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_usar" sheetId="1" state="visible" r:id="rId3"/>
    <sheet name="Parametros" sheetId="2" state="visible" r:id="rId4"/>
    <sheet name="Excepciones" sheetId="3" state="visible" r:id="rId5"/>
    <sheet name="Datos_Semanales" sheetId="4" state="visible" r:id="rId6"/>
    <sheet name="ABC_XYZ" sheetId="5" state="visible" r:id="rId7"/>
    <sheet name="Stock_Seguridad" sheetId="6" state="visible" r:id="rId8"/>
    <sheet name="Cadenas_vs_FCST" sheetId="7" state="visible" r:id="rId9"/>
  </sheets>
  <definedNames>
    <definedName function="false" hidden="true" localSheetId="4" name="_xlnm._FilterDatabase" vbProcedure="false">ABC_XYZ!$A$4:$R$494</definedName>
    <definedName function="false" hidden="true" localSheetId="6" name="_xlnm._FilterDatabase" vbProcedure="false">Cadenas_vs_FCST!$A$16:$H$2437</definedName>
    <definedName function="false" hidden="true" localSheetId="3" name="_xlnm._FilterDatabase" vbProcedure="false">Datos_Semanales!$A$4:$S$494</definedName>
    <definedName function="false" hidden="true" localSheetId="2" name="_xlnm._FilterDatabase" vbProcedure="false">Excepciones!$A$4:$AC$826</definedName>
    <definedName function="false" hidden="true" localSheetId="5" name="_xlnm._FilterDatabase" vbProcedure="false">Stock_Seguridad!$A$4:$X$826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WMAPE = suma |pedido − FCST| / suma pedido. Bajo 20% es bueno a nivel SKU semanal.</t>
        </r>
      </text>
    </comment>
    <comment ref="Q4" authorId="0">
      <text>
        <r>
          <rPr>
            <sz val="10"/>
            <rFont val="Arial"/>
            <family val="2"/>
          </rPr>
          <t xml:space="preserve">Sesgo = FCST / pedido − 1. Positivo: sobreestimas (riesgo merma). Negativo: subestimas (riesgo quiebre).</t>
        </r>
      </text>
    </comment>
  </commentList>
</comments>
</file>

<file path=xl/sharedStrings.xml><?xml version="1.0" encoding="utf-8"?>
<sst xmlns="http://schemas.openxmlformats.org/spreadsheetml/2006/main" count="10534" uniqueCount="1383">
  <si>
    <t xml:space="preserve">Herramienta Demand Planner — Watt's (datos al 22-10-2026)</t>
  </si>
  <si>
    <t xml:space="preserve">Hojas de este libro:</t>
  </si>
  <si>
    <t xml:space="preserve">• Excepciones — tu tablero diario. Una fila por SKU; solo mira las que tienen alerta. Columna "Qué revisar" te dice la acción.</t>
  </si>
  <si>
    <t xml:space="preserve">• Stock_Seguridad — cálculo de SS, punto de reorden y techo por vida útil para cada SKU.</t>
  </si>
  <si>
    <t xml:space="preserve">• ABC_XYZ — segmentación de cada SKU y cómo planificarlo. Incluye calidad del forecast (WMAPE y sesgo).</t>
  </si>
  <si>
    <t xml:space="preserve">• Cadenas_vs_FCST — qué cadena pidió más y cuál se desvió más del forecast (S38-S41).</t>
  </si>
  <si>
    <t xml:space="preserve">• Parametros — celdas amarillas editables: cortes, niveles de servicio, lead time, umbrales.</t>
  </si>
  <si>
    <t xml:space="preserve">• Datos_Semanales — pedidos y FCST por SKU (fuente). Para actualizar: pega las semanas nuevas aquí.</t>
  </si>
  <si>
    <t xml:space="preserve">Convención de colores: texto azul en celda amarilla = dato que tú editas. Texto negro = fórmula. Texto verde = viene de otra hoja.</t>
  </si>
  <si>
    <t xml:space="preserve">1. ¿Qué es ABC/XYZ? — Ejemplo con fórmulas (cambia los números azules y mira cómo cambia)</t>
  </si>
  <si>
    <t xml:space="preserve">ABC mide CUÁNTO vende el SKU (importancia). XYZ mide QUÉ TAN ESTABLE es (predictibilidad). Se cruzan en 9 segmentos.</t>
  </si>
  <si>
    <t xml:space="preserve">SKU ejemplo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</si>
  <si>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</si>
  <si>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</si>
  <si>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</si>
  <si>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</si>
  <si>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</si>
  <si>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Sem 6</t>
  </si>
  <si>
    <t xml:space="preserve">Promedio</t>
  </si>
  <si>
    <t xml:space="preserve">Desv. est.</t>
  </si>
  <si>
    <t xml:space="preserve">CV</t>
  </si>
  <si>
    <t xml:space="preserve">XYZ</t>
  </si>
  <si>
    <t xml:space="preserve">Leche entera 1L (estable)</t>
  </si>
  <si>
    <t xml:space="preserve">Yogurt con promo (variable)</t>
  </si>
  <si>
    <t xml:space="preserve">Queso especial (errático)</t>
  </si>
  <si>
    <t xml:space="preserve">CV (coeficiente de variación) = desviación estándar ÷ promedio. CV 0,02 = la leche vende casi igual todas las semanas → X.</t>
  </si>
  <si>
    <t xml:space="preserve">CV ≤ 0,5 → X (estable, se planifica con estadística).  0,5–1,0 → Y (variable, hay que entender por qué).  &gt; 1,0 → Z (errático).</t>
  </si>
  <si>
    <t xml:space="preserve">ABC: ordenas los SKU de mayor a menor volumen y sumas. Los que llegan al 80% del total son A; hasta el 95% son B; el resto C.</t>
  </si>
  <si>
    <t xml:space="preserve">Ejemplo: si un SKU es A (mucho volumen) y Z (errático) = AZ → es donde un error te cuesta más: ahí va tu tiempo.</t>
  </si>
  <si>
    <t xml:space="preserve">Un AX (mucho volumen, estable) casi se planifica solo: no lo toques cada semana. Un CZ (poco y errático) no merece tu tiempo: stock mínimo.</t>
  </si>
  <si>
    <t xml:space="preserve">Tu lista real está en la hoja ABC_XYZ; la matriz de acciones por segmento está en Parametros.</t>
  </si>
  <si>
    <t xml:space="preserve">2. Stock de seguridad — Ejemplo con fórmulas</t>
  </si>
  <si>
    <t xml:space="preserve">El SS cubre el ERROR del forecast durante el tiempo que tardas en reponer. Por eso usa σ del error (no de la venta).</t>
  </si>
  <si>
    <t xml:space="preserve">FCST semanal (kg)</t>
  </si>
  <si>
    <t xml:space="preserve">σ del error del forecast (kg/sem)</t>
  </si>
  <si>
    <t xml:space="preserve">Lead time (semanas)</t>
  </si>
  <si>
    <t xml:space="preserve">Nivel de servicio</t>
  </si>
  <si>
    <t xml:space="preserve">Z (=NORMSINV(nivel))</t>
  </si>
  <si>
    <t xml:space="preserve">SS = Z × σ × √LT (kg)</t>
  </si>
  <si>
    <t xml:space="preserve">Punto de reorden = SS + FCST × LT (kg)</t>
  </si>
  <si>
    <t xml:space="preserve">VU del producto (días)</t>
  </si>
  <si>
    <t xml:space="preserve">Tope avance cadena más exigente</t>
  </si>
  <si>
    <t xml:space="preserve">Semanas vendibles = VU × tope / 7</t>
  </si>
  <si>
    <t xml:space="preserve">Stock máx. vendible = FCST × semanas vendibles</t>
  </si>
  <si>
    <t xml:space="preserve">SS final = MIN(SS, máx. vendible − FCST × LT)</t>
  </si>
  <si>
    <t xml:space="preserve">Lectura: con 98% de servicio necesitas ~5.800 kg de SS. Pero si el producto dura 50 días y la cadena más exigente acepta hasta 35% de avance,</t>
  </si>
  <si>
    <t xml:space="preserve">solo tienes 2,5 semanas para venderlo: máx. vendible 25.000 kg − 20.000 kg que vendes durante el lead time = SS topado en 5.000 kg. Producir más = merma.</t>
  </si>
  <si>
    <t xml:space="preserve">Z según nivel de servicio: 90% → 1,28 · 95% → 1,64 · 98% → 2,05 · 99% → 2,33.  Subir de 95% a 99% casi aumenta el SS en 42%.</t>
  </si>
  <si>
    <t xml:space="preserve">Dato pendiente: el lead time real por categoría (hoy se usa 1 semana por defecto). Cárgalo en Parametros y todo se recalcula.</t>
  </si>
  <si>
    <t xml:space="preserve">3. Gestión por excepción — rutina sugerida</t>
  </si>
  <si>
    <t xml:space="preserve">LUNES (30 min): actualizar archivos → hoja Excepciones → filtrar Prioridad 1-ALTA. Revisar ALERTA QUIEBRE y QUIEBRE ENCUBIERTO.</t>
  </si>
  <si>
    <t xml:space="preserve">LUNES: hoja Cadenas_vs_FCST → ¿qué cadena se desvió más? Llevar los SKU "SOBRE/BAJO FCST" a la reunión con KAM.</t>
  </si>
  <si>
    <t xml:space="preserve">Estados de stock: BAJO SS = stock + por liberar no alcanza el SS (crítico) · BAJO SS (XLIB CUBRE) = se salva solo si liberan a tiempo ·</t>
  </si>
  <si>
    <t xml:space="preserve">BAJO P.REORDEN = no es alerta, es la señal normal de programar producción · SOBRE MAX VENDIBLE = más stock del que se alcanza a vender dentro del filtro.</t>
  </si>
  <si>
    <t xml:space="preserve">MARTES-JUEVES (15 min/día): solo SKU AZ, AY y BZ + nuevas alertas. Ignorar los AX y CX salvo que tengan alerta.</t>
  </si>
  <si>
    <t xml:space="preserve">VIERNES (20 min): ALERTA MERMA/VU → lotes a ≤6 pts del filtro: priorizar despacho (FEFO) o venta intermedia antes de que se pierdan.</t>
  </si>
  <si>
    <t xml:space="preserve">MENSUAL: revisar WMAPE y sesgo en ABC_XYZ. Si un SKU tiene sesgo persistente &gt; ±10%, corregir el forecast base, no parchar semana a semana.</t>
  </si>
  <si>
    <t xml:space="preserve">Regla de oro: si un SKU no tiene alerta, no lo toques. Tu tiempo vale más en los 30-50 SKU que sí la tienen.</t>
  </si>
  <si>
    <t xml:space="preserve">Las 4 alertas: QUIEBRE (stock bajo SS/reorden) · QUIEBRE ENCUBIERTO (hay stock pero no pasa el filtro de la cadena exigente) ·</t>
  </si>
  <si>
    <t xml:space="preserve">MERMA/VU (sobrestock vs vida útil o lotes fuera/cerca del filtro) · DESVIACIÓN (pedidos ±20% vs FCST en 4 semanas).</t>
  </si>
  <si>
    <t xml:space="preserve">Parámetros — edita solo las celdas amarillas (texto azul)</t>
  </si>
  <si>
    <t xml:space="preserve">Parámetro</t>
  </si>
  <si>
    <t xml:space="preserve">Valor</t>
  </si>
  <si>
    <t xml:space="preserve">Nota / fuente</t>
  </si>
  <si>
    <t xml:space="preserve">Corte ABC: A hasta % acumulado</t>
  </si>
  <si>
    <t xml:space="preserve">Pareto estándar: los SKU que suman el 80% del volumen son A.</t>
  </si>
  <si>
    <t xml:space="preserve">Corte ABC: B hasta % acumulado</t>
  </si>
  <si>
    <t xml:space="preserve">Del 80% al 95% son B; el resto (5% del volumen) son C.</t>
  </si>
  <si>
    <t xml:space="preserve">Corte XYZ: X si CV ≤</t>
  </si>
  <si>
    <t xml:space="preserve">CV = desviación estándar / promedio semanal. Corte usual en demanda semanal por SKU.</t>
  </si>
  <si>
    <t xml:space="preserve">Corte XYZ: Y si CV ≤</t>
  </si>
  <si>
    <t xml:space="preserve">Sobre este valor el SKU es Z (errático).</t>
  </si>
  <si>
    <t xml:space="preserve">Nivel de servicio A</t>
  </si>
  <si>
    <t xml:space="preserve">Supuesto inicial (benchmark internacional). Ajustar según política Watt's.</t>
  </si>
  <si>
    <t xml:space="preserve">Nivel de servicio B</t>
  </si>
  <si>
    <t xml:space="preserve">Supuesto inicial.</t>
  </si>
  <si>
    <t xml:space="preserve">Nivel de servicio C</t>
  </si>
  <si>
    <t xml:space="preserve">Nivel de servicio SKU sin historial</t>
  </si>
  <si>
    <t xml:space="preserve">Para SKU sin ventas en la base S36-S41.</t>
  </si>
  <si>
    <t xml:space="preserve">Lead time por defecto (semanas)</t>
  </si>
  <si>
    <t xml:space="preserve">SUPUESTO: no se recibió lead time real. Reemplazar por categoría en la tabla de abajo.</t>
  </si>
  <si>
    <t xml:space="preserve">σ por defecto (% del FCST semanal) si no hay historial</t>
  </si>
  <si>
    <t xml:space="preserve">SUPUESTO para SKU sin historial de pedidos.</t>
  </si>
  <si>
    <t xml:space="preserve">Umbral desviación pedido vs FCST (±)</t>
  </si>
  <si>
    <t xml:space="preserve">Alerta si |Solicitado/FCST − 1| supera este valor.</t>
  </si>
  <si>
    <t xml:space="preserve">Volumen mínimo para alertar desviación SKU (kg, 4 sem)</t>
  </si>
  <si>
    <t xml:space="preserve">Evita alertas por SKU de volumen marginal.</t>
  </si>
  <si>
    <t xml:space="preserve">Volumen mínimo para alertar desviación SKU×cadena (kg, 4 sem)</t>
  </si>
  <si>
    <t xml:space="preserve">Idem, a nivel SKU×cadena.</t>
  </si>
  <si>
    <t xml:space="preserve">Kg mínimo para alertar VU (por SKU)</t>
  </si>
  <si>
    <t xml:space="preserve">Evita alertas por saldos pequeños de lotes.</t>
  </si>
  <si>
    <t xml:space="preserve">Margen de alerta VU (puntos de avance antes del filtro)</t>
  </si>
  <si>
    <t xml:space="preserve">Misma regla del dashboard: alerta si el lote está a ≤ 6 pts del tope de la cadena más exigente.</t>
  </si>
  <si>
    <t xml:space="preserve">Matriz ABC/XYZ — qué hacer con cada segmento</t>
  </si>
  <si>
    <t xml:space="preserve">Segmento</t>
  </si>
  <si>
    <t xml:space="preserve">Cómo planificarlo</t>
  </si>
  <si>
    <t xml:space="preserve">Frecuencia de revisión</t>
  </si>
  <si>
    <t xml:space="preserve">AX</t>
  </si>
  <si>
    <t xml:space="preserve">Forecast estadístico casi automático. Ajustes mínimos. SS bajo porque la demanda es estable.</t>
  </si>
  <si>
    <t xml:space="preserve">Mensual</t>
  </si>
  <si>
    <t xml:space="preserve">AY</t>
  </si>
  <si>
    <t xml:space="preserve">Alto volumen con variaciones: entender causas (promos, cadenas). Validar con KAM antes de ajustar.</t>
  </si>
  <si>
    <t xml:space="preserve">Semanal</t>
  </si>
  <si>
    <t xml:space="preserve">AZ</t>
  </si>
  <si>
    <t xml:space="preserve">FOCO MÁXIMO. Mucho volumen y errático: CPFR con cadenas, separar promociones de la base, SS alto.</t>
  </si>
  <si>
    <t xml:space="preserve">2 veces por semana</t>
  </si>
  <si>
    <t xml:space="preserve">BX</t>
  </si>
  <si>
    <t xml:space="preserve">Estadístico + revisión de tendencia.</t>
  </si>
  <si>
    <t xml:space="preserve">BY</t>
  </si>
  <si>
    <t xml:space="preserve">Validar promociones y eventos con comercial.</t>
  </si>
  <si>
    <t xml:space="preserve">Quincenal</t>
  </si>
  <si>
    <t xml:space="preserve">BZ</t>
  </si>
  <si>
    <t xml:space="preserve">Investigar causa de la variabilidad; evaluar producir contra pedido confirmado.</t>
  </si>
  <si>
    <t xml:space="preserve">CX</t>
  </si>
  <si>
    <t xml:space="preserve">Reposición simple mín/máx.</t>
  </si>
  <si>
    <t xml:space="preserve">Trimestral</t>
  </si>
  <si>
    <t xml:space="preserve">CY</t>
  </si>
  <si>
    <t xml:space="preserve">Mín/máx con stock bajo; evaluar continuidad del SKU.</t>
  </si>
  <si>
    <t xml:space="preserve">CZ</t>
  </si>
  <si>
    <t xml:space="preserve">Contra pedido o stock mínimo. Candidato a racionalizar/descontinuar.</t>
  </si>
  <si>
    <t xml:space="preserve">Lead time de reposición por categoría (semanas) — reemplaza con el dato real</t>
  </si>
  <si>
    <t xml:space="preserve">Categoría</t>
  </si>
  <si>
    <t xml:space="preserve">Lead time (sem)</t>
  </si>
  <si>
    <t xml:space="preserve">Nota</t>
  </si>
  <si>
    <t xml:space="preserve">ACEITES</t>
  </si>
  <si>
    <t xml:space="preserve">Usa el valor por defecto hasta que ingreses el real</t>
  </si>
  <si>
    <t xml:space="preserve">COBERTURA</t>
  </si>
  <si>
    <t xml:space="preserve">COLACIONES EN CONSERVA</t>
  </si>
  <si>
    <t xml:space="preserve">CONCENTRADOS</t>
  </si>
  <si>
    <t xml:space="preserve">CONSERVAS Y PLATOS LISTOS</t>
  </si>
  <si>
    <t xml:space="preserve">CREMA</t>
  </si>
  <si>
    <t xml:space="preserve">DULCES</t>
  </si>
  <si>
    <t xml:space="preserve">ESPUMANTE</t>
  </si>
  <si>
    <t xml:space="preserve">FRUTAS Y HORTALIZAS CONGELADAS</t>
  </si>
  <si>
    <t xml:space="preserve">JARABE DE REMOJO</t>
  </si>
  <si>
    <t xml:space="preserve">JUGOS Y NECTARES</t>
  </si>
  <si>
    <t xml:space="preserve">LECHE CONDENSADA</t>
  </si>
  <si>
    <t xml:space="preserve">LECHE EVAPORADA</t>
  </si>
  <si>
    <t xml:space="preserve">LECHES EN POLVO</t>
  </si>
  <si>
    <t xml:space="preserve">LECHES LIQUIDAS</t>
  </si>
  <si>
    <t xml:space="preserve">MANJAR</t>
  </si>
  <si>
    <t xml:space="preserve">MANTECAS</t>
  </si>
  <si>
    <t xml:space="preserve">MANTEQUILLAS</t>
  </si>
  <si>
    <t xml:space="preserve">MARGARINAS</t>
  </si>
  <si>
    <t xml:space="preserve">MERMELADAS</t>
  </si>
  <si>
    <t xml:space="preserve">NUTRICION ANIMAL</t>
  </si>
  <si>
    <t xml:space="preserve">PAPAS PREFRITAS</t>
  </si>
  <si>
    <t xml:space="preserve">POSTRES</t>
  </si>
  <si>
    <t xml:space="preserve">PREPARADOS DE HELADO</t>
  </si>
  <si>
    <t xml:space="preserve">QUESOS</t>
  </si>
  <si>
    <t xml:space="preserve">RELLENO</t>
  </si>
  <si>
    <t xml:space="preserve">REMOJO</t>
  </si>
  <si>
    <t xml:space="preserve">SALSAS</t>
  </si>
  <si>
    <t xml:space="preserve">TOPPINGS</t>
  </si>
  <si>
    <t xml:space="preserve">VINOS</t>
  </si>
  <si>
    <t xml:space="preserve">YOGURT</t>
  </si>
  <si>
    <t xml:space="preserve">Tablero de excepciones — revisa solo lo que tiene alerta</t>
  </si>
  <si>
    <t xml:space="preserve">Ordena por Puntaje (mayor a menor) y trabaja de arriba hacia abajo. Puntaje = (Quiebre×3 + Encubierto×2 + Merma/VU×2 + Desviación×1) × peso ABC (A=3, B=2, C=1). Cada fila dice qué revisar. Datos al 22-10-2026.</t>
  </si>
  <si>
    <t xml:space="preserve">SKU</t>
  </si>
  <si>
    <t xml:space="preserve">Producto</t>
  </si>
  <si>
    <t xml:space="preserve">Estado stock</t>
  </si>
  <si>
    <t xml:space="preserve">Cobertura (sem)</t>
  </si>
  <si>
    <t xml:space="preserve">Stock disp (kg)</t>
  </si>
  <si>
    <t xml:space="preserve">SS final (kg)</t>
  </si>
  <si>
    <t xml:space="preserve">Punto reorden (kg)</t>
  </si>
  <si>
    <t xml:space="preserve">XLIB (kg)</t>
  </si>
  <si>
    <t xml:space="preserve">Próx. liberación</t>
  </si>
  <si>
    <t xml:space="preserve">Kg fuera filtro cadena exigente</t>
  </si>
  <si>
    <t xml:space="preserve">Kg a ≤6 pts del filtro</t>
  </si>
  <si>
    <t xml:space="preserve">Kg fuera de TODAS las cadenas</t>
  </si>
  <si>
    <t xml:space="preserve">Avance VU ponderado</t>
  </si>
  <si>
    <t xml:space="preserve">Tope cadena exigente</t>
  </si>
  <si>
    <t xml:space="preserve">Margen (pts)</t>
  </si>
  <si>
    <t xml:space="preserve">Stock útil cadena exigente (kg)</t>
  </si>
  <si>
    <t xml:space="preserve">Solicitado 4 sem (kg)</t>
  </si>
  <si>
    <t xml:space="preserve">FCST 4 sem (kg)</t>
  </si>
  <si>
    <t xml:space="preserve">Desv. %</t>
  </si>
  <si>
    <t xml:space="preserve">ALERTA QUIEBRE</t>
  </si>
  <si>
    <t xml:space="preserve">QUIEBRE ENCUBIERTO (VU)</t>
  </si>
  <si>
    <t xml:space="preserve">ALERTA MERMA/VU</t>
  </si>
  <si>
    <t xml:space="preserve">ALERTA DESVIACIÓN</t>
  </si>
  <si>
    <t xml:space="preserve">N° alertas</t>
  </si>
  <si>
    <t xml:space="preserve">Puntaje</t>
  </si>
  <si>
    <t xml:space="preserve">Prioridad</t>
  </si>
  <si>
    <t xml:space="preserve">Qué revisar</t>
  </si>
  <si>
    <t xml:space="preserve">Resumen</t>
  </si>
  <si>
    <t xml:space="preserve">SKU con alerta de quiebre</t>
  </si>
  <si>
    <t xml:space="preserve">SKU con quiebre encubierto (VU)</t>
  </si>
  <si>
    <t xml:space="preserve">SKU con alerta merma/VU</t>
  </si>
  <si>
    <t xml:space="preserve">SKU con desviación pedido vs FCST</t>
  </si>
  <si>
    <t xml:space="preserve">Prioridad 1-ALTA</t>
  </si>
  <si>
    <t xml:space="preserve">Prioridad 2-MEDIA</t>
  </si>
  <si>
    <t xml:space="preserve">Kg fuera de filtro cadena exigente</t>
  </si>
  <si>
    <t xml:space="preserve">Pedidos (Solicitado) y FCST semanales por SKU, en kg — fuente: base_1.xlsx (todas las cadenas sumadas)</t>
  </si>
  <si>
    <t xml:space="preserve">S42 parece cargada incompleta (Solicitado −35% vs S41 en todas las cadenas): no se usa en los cálculos. S38 incluye Fiestas Patrias.</t>
  </si>
  <si>
    <t xml:space="preserve">Almacenamiento</t>
  </si>
  <si>
    <t xml:space="preserve">Foco</t>
  </si>
  <si>
    <t xml:space="preserve">Sol S36</t>
  </si>
  <si>
    <t xml:space="preserve">Sol S37</t>
  </si>
  <si>
    <t xml:space="preserve">Sol S38</t>
  </si>
  <si>
    <t xml:space="preserve">Sol S39</t>
  </si>
  <si>
    <t xml:space="preserve">Sol S40</t>
  </si>
  <si>
    <t xml:space="preserve">Sol S41</t>
  </si>
  <si>
    <t xml:space="preserve">Sol S42</t>
  </si>
  <si>
    <t xml:space="preserve">FCST S36</t>
  </si>
  <si>
    <t xml:space="preserve">FCST S37</t>
  </si>
  <si>
    <t xml:space="preserve">FCST S38</t>
  </si>
  <si>
    <t xml:space="preserve">FCST S39</t>
  </si>
  <si>
    <t xml:space="preserve">FCST S40</t>
  </si>
  <si>
    <t xml:space="preserve">FCST S41</t>
  </si>
  <si>
    <t xml:space="preserve">FCST S42</t>
  </si>
  <si>
    <t xml:space="preserve">LECHE BCA ENTERA LONCO BASE 12X1LT</t>
  </si>
  <si>
    <t xml:space="preserve">-</t>
  </si>
  <si>
    <t xml:space="preserve">SECO</t>
  </si>
  <si>
    <t xml:space="preserve">FOCO A</t>
  </si>
  <si>
    <t xml:space="preserve">ACEITE BELMONT 12X1LT</t>
  </si>
  <si>
    <t xml:space="preserve">LECHE LONCO S/LAC NAT ENT 12X1LT</t>
  </si>
  <si>
    <t xml:space="preserve">ACEITE CHEF MARAVILLA 12X1LT</t>
  </si>
  <si>
    <t xml:space="preserve">LECHE LONCO SEMI S/LAC 12X1LT</t>
  </si>
  <si>
    <t xml:space="preserve">LECHE LCO DESC S/LACTOSA 12X1LT</t>
  </si>
  <si>
    <t xml:space="preserve">LECHE BLANCA DESC LCO BASE 12X1LT</t>
  </si>
  <si>
    <t xml:space="preserve">NECTAR W DZNO SIXPACK 30X200ML</t>
  </si>
  <si>
    <t xml:space="preserve">LECHE BCA SEMI LONCO BASE 12X1LT</t>
  </si>
  <si>
    <t xml:space="preserve">YOG GRI OIKOS NAT S/A 48X150GR</t>
  </si>
  <si>
    <t xml:space="preserve">FRIO</t>
  </si>
  <si>
    <t xml:space="preserve">NECTAR W PIÑA SIXPACK 30X200ML</t>
  </si>
  <si>
    <t xml:space="preserve">YOG CALAN BOLSA FRUT NUEVA 12X1KG</t>
  </si>
  <si>
    <t xml:space="preserve">NECTAR W NJA SIXPACK 30X200ML</t>
  </si>
  <si>
    <t xml:space="preserve">NECTAR W MZNA SIXPACK 30X200ML</t>
  </si>
  <si>
    <t xml:space="preserve">MANTECOSO PARCELAS PIEZA 1X10KG</t>
  </si>
  <si>
    <t xml:space="preserve">YOG CALAN UNIV PACK 4X12X110GR</t>
  </si>
  <si>
    <t xml:space="preserve">FOCO B</t>
  </si>
  <si>
    <t xml:space="preserve">POROTOS NEGROS WS 16X380GR</t>
  </si>
  <si>
    <t xml:space="preserve">YOG CALAN BOLSA DCO NUEVA 12X1KG</t>
  </si>
  <si>
    <t xml:space="preserve">LECHE FRUTILLA LONCO 30X200ML</t>
  </si>
  <si>
    <t xml:space="preserve">LECHE CHOC LONCO 30X200ML</t>
  </si>
  <si>
    <t xml:space="preserve">YOGU YOGU MORA 30X200GR</t>
  </si>
  <si>
    <t xml:space="preserve">NECTAR W TUTTIFRUTILLA SIXPACK 30X200ML</t>
  </si>
  <si>
    <t xml:space="preserve">DURAZNOS CUBITOS WSL 16X380GR</t>
  </si>
  <si>
    <t xml:space="preserve">MARGARINA PAMPERITA BOLSA 10X900GR</t>
  </si>
  <si>
    <t xml:space="preserve">POROTOS WASIL 16X380GR</t>
  </si>
  <si>
    <t xml:space="preserve">LONCOLECHE EXTRA PROTEINA 12X1LT</t>
  </si>
  <si>
    <t xml:space="preserve">MARGARINA SUREÑA 12X450GR</t>
  </si>
  <si>
    <t xml:space="preserve">YOG BOL CA VAIN NUEVA 12X1KG</t>
  </si>
  <si>
    <t xml:space="preserve">GARBANZOS WS 16X380GR</t>
  </si>
  <si>
    <t xml:space="preserve">GAUDA CALO LAMINADO 12X467GR</t>
  </si>
  <si>
    <t xml:space="preserve">LONCO PROTEIN YOG NAT 24X140GR</t>
  </si>
  <si>
    <t xml:space="preserve">LECHE FRUTILLA LONCOLECHE 12X1LT</t>
  </si>
  <si>
    <t xml:space="preserve">ACEITE CRISTAL VEGETAL 12X900ML</t>
  </si>
  <si>
    <t xml:space="preserve">FOCO C</t>
  </si>
  <si>
    <t xml:space="preserve">MARGARINA SUREÑA 6X900GR</t>
  </si>
  <si>
    <t xml:space="preserve">MANTEQUILLA CALO 20X250GR</t>
  </si>
  <si>
    <t xml:space="preserve">LONCO PROTEIN MILK CAPP 12X1LT</t>
  </si>
  <si>
    <t xml:space="preserve">LECHE LONCO PROTEIN CAPPUCCINO 30X200ML</t>
  </si>
  <si>
    <t xml:space="preserve">YOGU YOGU FRUTILLA 30X200GR</t>
  </si>
  <si>
    <t xml:space="preserve">MERMELADA MORA 24X225GR</t>
  </si>
  <si>
    <t xml:space="preserve">YOG GRI OIKOS SAB NAT END 48X110GR</t>
  </si>
  <si>
    <t xml:space="preserve">YOG CALAN VAINILLA UNIV 48X110GR</t>
  </si>
  <si>
    <t xml:space="preserve">YOG CALAN FRUTILLA UNIV 48X110GR</t>
  </si>
  <si>
    <t xml:space="preserve">LONCO PROTEIN YOGURT FLL 24X140GR</t>
  </si>
  <si>
    <t xml:space="preserve">LECHE LONCO FULL PRO DESCR 12X1LT</t>
  </si>
  <si>
    <t xml:space="preserve">DURAZNOS CUBITOS WSL 16X500GR</t>
  </si>
  <si>
    <t xml:space="preserve">CREMA S/LAC LONCO 30X200ML</t>
  </si>
  <si>
    <t xml:space="preserve">QUESO LPV LAM S/BORDE 12X470G</t>
  </si>
  <si>
    <t xml:space="preserve">MERMELADA DURAZNO 24X225GR</t>
  </si>
  <si>
    <t xml:space="preserve">FRUTILLAS WASIL 16X500G</t>
  </si>
  <si>
    <t xml:space="preserve">LAS PARCELAS QUESO PIEZA 4X3KG</t>
  </si>
  <si>
    <t xml:space="preserve">YOG GRI OIKOS TZO FTLLA 48X110GR</t>
  </si>
  <si>
    <t xml:space="preserve">DULCE MEMBRILLO WATT'S 12X250GR</t>
  </si>
  <si>
    <t xml:space="preserve">YOG CALAN BOLSA CHIR NUEVA 12X1KG</t>
  </si>
  <si>
    <t xml:space="preserve">LECHE POLVO CALO 26% INST 20X850GR</t>
  </si>
  <si>
    <t xml:space="preserve">QUESO LPV CHANCO 4 PIEZAS 2,5KG</t>
  </si>
  <si>
    <t xml:space="preserve">NECTAR W NJA LIG SIXPACK 30X200ML</t>
  </si>
  <si>
    <t xml:space="preserve">YOGURT CALAN DAMASCO 48X110G</t>
  </si>
  <si>
    <t xml:space="preserve">NECTAR W DZNO S/AZUCAR 30X200ML</t>
  </si>
  <si>
    <t xml:space="preserve">LECHE LONCO PROTEIN CHOCOLATE 30X200ML</t>
  </si>
  <si>
    <t xml:space="preserve">YOG OIKOS NATURAL S/E BALDE 6X800GR</t>
  </si>
  <si>
    <t xml:space="preserve">LENTEJAS WS 16X380GR</t>
  </si>
  <si>
    <t xml:space="preserve">YOG GRI OIKOS TZO DZNO 48X110GR</t>
  </si>
  <si>
    <t xml:space="preserve">PALMITOS RODAJAS WSL 24X400GR</t>
  </si>
  <si>
    <t xml:space="preserve">POROTOS ROJOS 16X380GR</t>
  </si>
  <si>
    <t xml:space="preserve">LONCO PROTEINMILK CHOCO 12X1LT</t>
  </si>
  <si>
    <t xml:space="preserve">YOG GRI OIKOS TROZ PPYA 48X110GR</t>
  </si>
  <si>
    <t xml:space="preserve">MANTECA ASTRA 40X200GR</t>
  </si>
  <si>
    <t xml:space="preserve">QUESO CALO GAUDA LAM 4X2,5KG</t>
  </si>
  <si>
    <t xml:space="preserve">MANJAR LONCOLECHE BOLSA 10X920GR</t>
  </si>
  <si>
    <t xml:space="preserve">QUESO GAUDA CALO 4PIEZA 2,5 KG</t>
  </si>
  <si>
    <t xml:space="preserve">NECTAR WATTS MZNA LIGHT 30X200ML</t>
  </si>
  <si>
    <t xml:space="preserve">LONCO PROTEIN YOG ARANDA 24X140GR</t>
  </si>
  <si>
    <t xml:space="preserve">YOGURT OIKOS CHOCO CRUNCH 12X142GR</t>
  </si>
  <si>
    <t xml:space="preserve">YOG CALAN CHIRIMOYA UNIV 48X110GR</t>
  </si>
  <si>
    <t xml:space="preserve">LECHE PLATANO LONCO 30X200ML</t>
  </si>
  <si>
    <t xml:space="preserve">BEBIDA LONCOLECHE VEGETAL ALMENDRA 6X1LT</t>
  </si>
  <si>
    <t xml:space="preserve">ACEITE CHEF EXTRAVIRGEN 6X1LT</t>
  </si>
  <si>
    <t xml:space="preserve">LONCO PROTEIN YOG VLLA 24X140GR</t>
  </si>
  <si>
    <t xml:space="preserve">LECHE S/LACT CHOC LONCO 30X200ML</t>
  </si>
  <si>
    <t xml:space="preserve">MERMELADA ALCAYOTA 24X225GR</t>
  </si>
  <si>
    <t xml:space="preserve">YOG GRI OIKOS SABOR FTLLA 48X110GR</t>
  </si>
  <si>
    <t xml:space="preserve">MERMELADA FRAMBUESA 24X225GR</t>
  </si>
  <si>
    <t xml:space="preserve">MARG SUREÑA POTE MIX 12X450GR</t>
  </si>
  <si>
    <t xml:space="preserve">NECTAR WATTS PIÑA LIGHT 30X200ML</t>
  </si>
  <si>
    <t xml:space="preserve">MERMELADA FRUTILLA 24X225GR</t>
  </si>
  <si>
    <t xml:space="preserve">ACEITE CHEF EXTRAVIRGEN 12X500ML</t>
  </si>
  <si>
    <t xml:space="preserve">YOG GRIEGO OIKOS CF F BOS 48X150GR</t>
  </si>
  <si>
    <t xml:space="preserve">MARGARINA CALO 12X450GR</t>
  </si>
  <si>
    <t xml:space="preserve">BREAK CAPPUCCINO LONCO 18X250ML</t>
  </si>
  <si>
    <t xml:space="preserve">YOGU YOGU CHIRIMOYA 30X200GR</t>
  </si>
  <si>
    <t xml:space="preserve">MERMELADA DAMASCO 24X225GR</t>
  </si>
  <si>
    <t xml:space="preserve">ARVEJITAS ESPECIALES 16X340GR</t>
  </si>
  <si>
    <t xml:space="preserve">YOG POTE LONCO S/LACT TZO PAPAYA 24X140G</t>
  </si>
  <si>
    <t xml:space="preserve">MANTEQUIILLA LAS PARCELAS PAN 20X200GR</t>
  </si>
  <si>
    <t xml:space="preserve">DULCE MEMBRILLO 12X500GR</t>
  </si>
  <si>
    <t xml:space="preserve">JUGO FRESCO WATTS NJA MIX 6X1,6LT</t>
  </si>
  <si>
    <t xml:space="preserve">LECHE CHOCOLATE LONCOLECHE 12X1LT</t>
  </si>
  <si>
    <t xml:space="preserve">YOGURT LONCO PROTEIN NAT N/END 24X140G</t>
  </si>
  <si>
    <t xml:space="preserve">NECTAR WATTS MANZANA 5X10X115ML</t>
  </si>
  <si>
    <t xml:space="preserve">YOG DAN L&amp;F BOL NAT 12X900GR</t>
  </si>
  <si>
    <t xml:space="preserve">YOG FULL PRO LONCO PROTEIN NAT 12X150GR</t>
  </si>
  <si>
    <t xml:space="preserve">YOGURT YOGU YOGU MORA TETRA 5X6X115GR</t>
  </si>
  <si>
    <t xml:space="preserve">CREMA LISTA LONCO 30X200ML</t>
  </si>
  <si>
    <t xml:space="preserve">YOGURT DANONE CRUNCH M&amp;M 12X138G</t>
  </si>
  <si>
    <t xml:space="preserve">LP LONCO SEMIDESCREMADA 10X760GR</t>
  </si>
  <si>
    <t xml:space="preserve">JALEA REG FRAMBUESA 6X4X100GR</t>
  </si>
  <si>
    <t xml:space="preserve">MANTEQUILLA CALO 40X125GR</t>
  </si>
  <si>
    <t xml:space="preserve">LECHE POLVO CALO 26% INST 6X1,440KG</t>
  </si>
  <si>
    <t xml:space="preserve">YOG FULL PRO LONCO PROTEIN FLLA 12X150GR</t>
  </si>
  <si>
    <t xml:space="preserve">YOG GRIGO OIKOS CF FTLLA 48X150GR</t>
  </si>
  <si>
    <t xml:space="preserve">YOG GRIEGO OIKOS CF PPYA 48X150GR</t>
  </si>
  <si>
    <t xml:space="preserve">FULL PROTEIN LONCO VAINILLA 18X250ML</t>
  </si>
  <si>
    <t xml:space="preserve">YOGU YOGU DAMASCO 30X200GR</t>
  </si>
  <si>
    <t xml:space="preserve">YOG ACTIVIA TROZ FTOS DEL BOSQUE 24X140G</t>
  </si>
  <si>
    <t xml:space="preserve">LS8 L. MOMENTS CAPUCHINO 12X1LT</t>
  </si>
  <si>
    <t xml:space="preserve">QUESO LAS PARCELAS LAM 4X2,5KG</t>
  </si>
  <si>
    <t xml:space="preserve">DURAZNO MITADES WSL 24X590GR</t>
  </si>
  <si>
    <t xml:space="preserve">YOG DAN L&amp;F BOL FRUT 12X900GR</t>
  </si>
  <si>
    <t xml:space="preserve">YOG POTE LONCO S/LACT TZO DZNO 24X140G</t>
  </si>
  <si>
    <t xml:space="preserve">JUGO FRESCO WATTS NARANJA 6X1,6LT</t>
  </si>
  <si>
    <t xml:space="preserve">YOGURT OIKOS NUTS CARAMEL CRUNCH 12X142G</t>
  </si>
  <si>
    <t xml:space="preserve">DURAZNO TROCITOS WSL 24X590GR</t>
  </si>
  <si>
    <t xml:space="preserve">LECHE PLATANO LONCOLECHE 12X1LT</t>
  </si>
  <si>
    <t xml:space="preserve">ACEITE BELMONT CANOLA 12X900ML</t>
  </si>
  <si>
    <t xml:space="preserve">LP LONCO DESCREMADA 20X760GR</t>
  </si>
  <si>
    <t xml:space="preserve">NECTAR WATTS SELECCION FRAM 6X1.6LT</t>
  </si>
  <si>
    <t xml:space="preserve">YOG POTE LONCO S/LAC TZO BERRIES 24X140G</t>
  </si>
  <si>
    <t xml:space="preserve">NECTAR WATTS DURAZNO 5X10X115ML</t>
  </si>
  <si>
    <t xml:space="preserve">QUESO LAS PARCELAS CHANCO 20X233GR</t>
  </si>
  <si>
    <t xml:space="preserve">JUGO 100% FRUTA WATTS NRJA-MZNA 30X200ML</t>
  </si>
  <si>
    <t xml:space="preserve">DURAZNO CUBITOS REGI 16X380GR</t>
  </si>
  <si>
    <t xml:space="preserve">DULCE MEMBRILLO WATT'S 12X1KG</t>
  </si>
  <si>
    <t xml:space="preserve">ACEITE CHEF PEPITA UVA 12X1LT</t>
  </si>
  <si>
    <t xml:space="preserve">MERMELADA WATTS MORA 12X360GR</t>
  </si>
  <si>
    <t xml:space="preserve">L POLVO LONCO S/LACT 10X800GR</t>
  </si>
  <si>
    <t xml:space="preserve">YOGURT YOGU YOGU FLLA TETRA 5X6X115GR</t>
  </si>
  <si>
    <t xml:space="preserve">JUGO 100% FRUTA LV WATTS MZNA 30X200ML</t>
  </si>
  <si>
    <t xml:space="preserve">MARGARINA CALO MIX 12X350GR</t>
  </si>
  <si>
    <t xml:space="preserve">YOG DAN L&amp;F ARÁNDANO 48X115GR</t>
  </si>
  <si>
    <t xml:space="preserve">CHOCLO DULCE 16X340GR</t>
  </si>
  <si>
    <t xml:space="preserve">YOG LONCO PROTEIN NAT S/E BALDE 6X800GR</t>
  </si>
  <si>
    <t xml:space="preserve">QUESO LPV CHANCO 12X434 GR</t>
  </si>
  <si>
    <t xml:space="preserve">MERM W S/A SACHET MORA 24X200GR</t>
  </si>
  <si>
    <t xml:space="preserve">YOG DAN L&amp;F FRUT 48X115GR</t>
  </si>
  <si>
    <t xml:space="preserve">LS8 CAL PROB FRUT UNV P6 48X90GR</t>
  </si>
  <si>
    <t xml:space="preserve">YOG BALDE LONCO PROTEIN NAT 6X800GR</t>
  </si>
  <si>
    <t xml:space="preserve">MERMELADA DURAZNO 12X225GR</t>
  </si>
  <si>
    <t xml:space="preserve">LECHE VAINILLA LONCO  12X1 LT</t>
  </si>
  <si>
    <t xml:space="preserve">YOGU YOGU ORIGINAL MORA LV 12x1LT</t>
  </si>
  <si>
    <t xml:space="preserve">MERM W S/A SACHET DZNO 24X200GR</t>
  </si>
  <si>
    <t xml:space="preserve">LECHE LCO S/LACTOSA CHOCO 12X1LT</t>
  </si>
  <si>
    <t xml:space="preserve">LECHE LONCO EXTRAPROTEIN 18X200ML</t>
  </si>
  <si>
    <t xml:space="preserve">JUGO FRUGO NARANJA 6X1,6LT</t>
  </si>
  <si>
    <t xml:space="preserve">PIÑA RODAJAS SUD WSL 24X565GR</t>
  </si>
  <si>
    <t xml:space="preserve">MERMELADA MORA 12X225GR</t>
  </si>
  <si>
    <t xml:space="preserve">PALMITOS WSL 24X400GR</t>
  </si>
  <si>
    <t xml:space="preserve">QUESO LAS PARCELAS TROZO 12X450GR</t>
  </si>
  <si>
    <t xml:space="preserve">LS8 CAL PROB MULT UNV P6 48X90GR</t>
  </si>
  <si>
    <t xml:space="preserve">POUCH WATTS HALLOWEEN MANZANA 36X90GR</t>
  </si>
  <si>
    <t xml:space="preserve">CREMA BATIR LONCO 12X500ML</t>
  </si>
  <si>
    <t xml:space="preserve">MARGARINA SUREÑA LIGHT POTE 12X450G</t>
  </si>
  <si>
    <t xml:space="preserve">LECHE LCO SEMI S/LACTOS 5X6X200ML</t>
  </si>
  <si>
    <t xml:space="preserve">JUGO FRUGO MARACUYA 6X1,6LT</t>
  </si>
  <si>
    <t xml:space="preserve">MARG CALO CAJA LISTA 6X12X125GR</t>
  </si>
  <si>
    <t xml:space="preserve">POUCH WATTS HALLOWEEN MULTIFRUTA 36X90GR</t>
  </si>
  <si>
    <t xml:space="preserve">LECHE S/LACT EXTRA CALCIO 12X1LT</t>
  </si>
  <si>
    <t xml:space="preserve">DURAZNOS MITADES WASIL 16X500G</t>
  </si>
  <si>
    <t xml:space="preserve">QUESO LAS PARCELAS LAMIN 16X350GR</t>
  </si>
  <si>
    <t xml:space="preserve">YOG DAN L&amp;F NATU 48X115GR</t>
  </si>
  <si>
    <t xml:space="preserve">BREAK CARAMEL LONCO 18X250ML</t>
  </si>
  <si>
    <t xml:space="preserve">PIÑA CUBITOS WSL 24X565GR</t>
  </si>
  <si>
    <t xml:space="preserve">JALEA REG ARANDANO 6X4X100GR</t>
  </si>
  <si>
    <t xml:space="preserve">FULL PRO CAPPUCCINO LONCOLECHE 18X250ML</t>
  </si>
  <si>
    <t xml:space="preserve">MERMELADA MORA L L 24X225GR</t>
  </si>
  <si>
    <t xml:space="preserve">QUESO LPV CHANCO 8X434 GR</t>
  </si>
  <si>
    <t xml:space="preserve">CAPPUCCINO LONCOLECHE 12X1LT</t>
  </si>
  <si>
    <t xml:space="preserve">LECHE VAINILLA 30X200ML</t>
  </si>
  <si>
    <t xml:space="preserve">JUGO EXPRIMIDO WATTS NJA 6X1,5LT</t>
  </si>
  <si>
    <t xml:space="preserve">MERMELADA WATTS FRUTILLA 12X360GR</t>
  </si>
  <si>
    <t xml:space="preserve">YOG S/LAC LCO VLLA BOL 12X900GR</t>
  </si>
  <si>
    <t xml:space="preserve">YOG GRI OIKOS TZO COCO 48X110GR</t>
  </si>
  <si>
    <t xml:space="preserve">NECTAR WATT'S MANZANA 12X1LT</t>
  </si>
  <si>
    <t xml:space="preserve">QUESO LAS PARCELAS TROZO 16X350GR</t>
  </si>
  <si>
    <t xml:space="preserve">NECTAR WATTS SELECCION MGO/MCYA 6X1.6LT</t>
  </si>
  <si>
    <t xml:space="preserve">LECHE BON MOMENT DAN CAPPUCCINO 5X6X200ML</t>
  </si>
  <si>
    <t xml:space="preserve">L.UHT MOMENTS MOCA 12X1LT</t>
  </si>
  <si>
    <t xml:space="preserve">NECTAR WATT'S NARANJA 12X1LT</t>
  </si>
  <si>
    <t xml:space="preserve">FULL PROTEIN LONCO CHOCOLATE 18X250</t>
  </si>
  <si>
    <t xml:space="preserve">NEC W SELECCION FRAMBUESA 6X1LT</t>
  </si>
  <si>
    <t xml:space="preserve">ACEITE BELMONT 10X250ML</t>
  </si>
  <si>
    <t xml:space="preserve">NECTAR WATTS DAMASCO 5X10X115ML</t>
  </si>
  <si>
    <t xml:space="preserve">JUGO FRESCO NARANJA 6X1LT</t>
  </si>
  <si>
    <t xml:space="preserve">JALEA LONCO PROTEIN GUINDA 6X4X100GR</t>
  </si>
  <si>
    <t xml:space="preserve">YOGU YOGU PINA 30X200GR</t>
  </si>
  <si>
    <t xml:space="preserve">LONCO PROTEIN YOG CAP GRAN 12X142G</t>
  </si>
  <si>
    <t xml:space="preserve">LONCO PROTEIN YOG TRZ FLLA 24X140GR</t>
  </si>
  <si>
    <t xml:space="preserve">NECTAR WATT'S DURAZNO 12X1LT</t>
  </si>
  <si>
    <t xml:space="preserve">MERMELADA DURAZNO L L 24X225GR</t>
  </si>
  <si>
    <t xml:space="preserve">YOG S/LAC LCO FLLA BOL 12X900GR</t>
  </si>
  <si>
    <t xml:space="preserve">COCTEL DE FRUT WSL 24X560GR</t>
  </si>
  <si>
    <t xml:space="preserve">ACEITE CHEF PEPITA UVA 30X500ML</t>
  </si>
  <si>
    <t xml:space="preserve">DULCE MEMBRILLO POTE 12X500GR</t>
  </si>
  <si>
    <t xml:space="preserve">ACEITE BELMONT 4X5LT</t>
  </si>
  <si>
    <t xml:space="preserve">YOG POTE ACTIVIA SEMILLA FLLA 24X140GR</t>
  </si>
  <si>
    <t xml:space="preserve">YOG CALAN PACK 6X8X90GR</t>
  </si>
  <si>
    <t xml:space="preserve">BEBIDA VEGETAL AVENA LCO 6X1LT</t>
  </si>
  <si>
    <t xml:space="preserve">LECHE LCO S/LACTOSA FRUTIL 12X1LT</t>
  </si>
  <si>
    <t xml:space="preserve">MANTECA ASTRA 6X12X100GR</t>
  </si>
  <si>
    <t xml:space="preserve">YOGURT YOGU YOGU MORA BOT 6X900GR</t>
  </si>
  <si>
    <t xml:space="preserve">SHAKE SHAKE MANJAR 30X190ML</t>
  </si>
  <si>
    <t xml:space="preserve">MANJAR LONCOLECHE DOYPACK 12X750GR</t>
  </si>
  <si>
    <t xml:space="preserve">MANTEQUILLA CALO UNTAB 12X350GR</t>
  </si>
  <si>
    <t xml:space="preserve">QUESO LAS PARCELAS CHANCO LAM 4X2,5KG</t>
  </si>
  <si>
    <t xml:space="preserve">LECHE POLVO LONCO ENTERA 20X760GR</t>
  </si>
  <si>
    <t xml:space="preserve">MERMELADA WATTS DAMASCO 12X360GR</t>
  </si>
  <si>
    <t xml:space="preserve">BEBIDA LONCOLECHE VEGETAL SOYA 6X1LT</t>
  </si>
  <si>
    <t xml:space="preserve">MARGARINA SUREÑA 6X12X125GR</t>
  </si>
  <si>
    <t xml:space="preserve">NECTAR WATT'S PIÑA 12X1LT</t>
  </si>
  <si>
    <t xml:space="preserve">MANTECA CRUCINA 40X200GR</t>
  </si>
  <si>
    <t xml:space="preserve">QUESO LAS PARCELAS CHANCO 12X233GR</t>
  </si>
  <si>
    <t xml:space="preserve">POUCH WATTS HALLOWEEN PERA 36X90GR</t>
  </si>
  <si>
    <t xml:space="preserve">MERMELADA FRUTILLA L L 24X225GR</t>
  </si>
  <si>
    <t xml:space="preserve">MERM W S/A SACHET DSCO 24X200GR</t>
  </si>
  <si>
    <t xml:space="preserve">YOG DAN L&amp;F TROZOS PAPAYA 24X145GR</t>
  </si>
  <si>
    <t xml:space="preserve">MERMELADA FRUTILLA 12X225GR</t>
  </si>
  <si>
    <t xml:space="preserve">MARGARINA PAMPERITA 6X12X100GR</t>
  </si>
  <si>
    <t xml:space="preserve">JUGO 100% WATTS TUTTIMANGO LV 30X200ML</t>
  </si>
  <si>
    <t xml:space="preserve">JUGO FRESCO WATTS NARANJA-PIÑA 6X1,6LT</t>
  </si>
  <si>
    <t xml:space="preserve">POUCH WATTS HALLOWEEN DURAZNO 36X90GR</t>
  </si>
  <si>
    <t xml:space="preserve">JUGO FRESCO WATTS NJA ZANAHORIA 6X1,6LT</t>
  </si>
  <si>
    <t xml:space="preserve">CREMA PARA BATIR LONCO 12X1LT</t>
  </si>
  <si>
    <t xml:space="preserve">YOG S/LAC LCO CHYA BOL 12X900GR</t>
  </si>
  <si>
    <t xml:space="preserve">MERM W S/A SACHET FRAM 24X200GR</t>
  </si>
  <si>
    <t xml:space="preserve">LECHE CULT LIGHT FRLLA 6X900ML</t>
  </si>
  <si>
    <t xml:space="preserve">POROTOS GRANADOS WASIL 16X380GR</t>
  </si>
  <si>
    <t xml:space="preserve">OIKOS POSTRE CHEESCAKE BERRIES 12X132GR</t>
  </si>
  <si>
    <t xml:space="preserve">HABAS WASIL 16X380GR</t>
  </si>
  <si>
    <t xml:space="preserve">MERMELADA WATTS MANGO MARACUYA 24X225GR</t>
  </si>
  <si>
    <t xml:space="preserve">YOGURT LONCO PROTEIN CHIRIMOYA 24X140GR</t>
  </si>
  <si>
    <t xml:space="preserve">LS8 CAL PROB MORA UNV P6 48X90ML</t>
  </si>
  <si>
    <t xml:space="preserve">YOG GRI OIKOS SABOR CHYA 48X110GR</t>
  </si>
  <si>
    <t xml:space="preserve">YOGURT OIKOS MIEL GRANOLA 12X142G</t>
  </si>
  <si>
    <t xml:space="preserve">PROT SHOT BERRIES PACK 8X6X100ML</t>
  </si>
  <si>
    <t xml:space="preserve">MARGARINA CALO LIGHT 12X450GR</t>
  </si>
  <si>
    <t xml:space="preserve">YOG DAN L&amp;F SABOR VLLA 48X115GR</t>
  </si>
  <si>
    <t xml:space="preserve">MERM W S/A SACH ARANDANO 24X200GR</t>
  </si>
  <si>
    <t xml:space="preserve">POROTOS WASIL TTR 24X200</t>
  </si>
  <si>
    <t xml:space="preserve">LECHE S/LACTOSA VAINILLA 12X1LT</t>
  </si>
  <si>
    <t xml:space="preserve">MARGARINA CALO 6X900G</t>
  </si>
  <si>
    <t xml:space="preserve">DAMASCOS MITADES WASIL 16X500GR</t>
  </si>
  <si>
    <t xml:space="preserve">MANTECA CRUCINA 20X400GR</t>
  </si>
  <si>
    <t xml:space="preserve">MARGARINA SUREÑA POT 24X250GR</t>
  </si>
  <si>
    <t xml:space="preserve">MERMELADA DAMASCO L L 24X225GR</t>
  </si>
  <si>
    <t xml:space="preserve">CEREZAS CON CAROZO 16X500GR</t>
  </si>
  <si>
    <t xml:space="preserve">MERMELADA REGIMEL DZNO 24X200GR</t>
  </si>
  <si>
    <t xml:space="preserve">YOG POTE ACTIVIA SEMILLA DURAZN 24X140GR</t>
  </si>
  <si>
    <t xml:space="preserve">YOG GRIEGO OIKOS CF DZNO 48X150GR</t>
  </si>
  <si>
    <t xml:space="preserve">LONCO PROTEIN YOG TRZ MGOMYA 24X140GR</t>
  </si>
  <si>
    <t xml:space="preserve">MERMELADA FRUTAS DEL SUR 24X225GR</t>
  </si>
  <si>
    <t xml:space="preserve">MERMELADA MEMBRILLO REGULAR 24X225GR</t>
  </si>
  <si>
    <t xml:space="preserve">YOG DAN L&amp;F BOL VLLA 12X900GR</t>
  </si>
  <si>
    <t xml:space="preserve">NECTAR WATTS SELECCION PIÑA/COCO 6X1,6LT</t>
  </si>
  <si>
    <t xml:space="preserve">MERMELADA REGI MORA 24X200GR</t>
  </si>
  <si>
    <t xml:space="preserve">ARVEJITAS WSL 48X300GR</t>
  </si>
  <si>
    <t xml:space="preserve">POROTOS NEGROS WASIL TTR 24X200</t>
  </si>
  <si>
    <t xml:space="preserve">YOG POTE ACTIVIA CIRUELA 24X140GR</t>
  </si>
  <si>
    <t xml:space="preserve">NECTAR WATTS PROTEINA TROPICAL SIXPACK 18X250ML</t>
  </si>
  <si>
    <t xml:space="preserve">MERM W S/A DOYP DZNO 12X350GR</t>
  </si>
  <si>
    <t xml:space="preserve">MARG LONCO C/L SIN LACT 12X500GR</t>
  </si>
  <si>
    <t xml:space="preserve">JALEA LONCO PROTEIN PIÑA 6X4X100GR</t>
  </si>
  <si>
    <t xml:space="preserve">CARBONADA WSL 16X380GR</t>
  </si>
  <si>
    <t xml:space="preserve">OIKOS POSTRE PIE DE LIMON 12X132GR</t>
  </si>
  <si>
    <t xml:space="preserve">LECHE DESC CHOC LIGHT LCO 12X1</t>
  </si>
  <si>
    <t xml:space="preserve">LONCOLECHE BREAK CARAMEL 12X1LT</t>
  </si>
  <si>
    <t xml:space="preserve">FRUGO BERRIES 6X1,6LT</t>
  </si>
  <si>
    <t xml:space="preserve">MERMELADA REGI DSCO 24X200GR</t>
  </si>
  <si>
    <t xml:space="preserve">LECHE BON MOMENT DAN MOCACCINO 5X6X200ML</t>
  </si>
  <si>
    <t xml:space="preserve">MANGO EN TROZOS WASIL 16X500G</t>
  </si>
  <si>
    <t xml:space="preserve">MERM W S/A DOYP BERRIES 12X350GR</t>
  </si>
  <si>
    <t xml:space="preserve">MARGARINA PAMPERITA 10X1KG</t>
  </si>
  <si>
    <t xml:space="preserve">MANTEQ LONCOLECHE PAN 20X200GR</t>
  </si>
  <si>
    <t xml:space="preserve">MERMELADA WATTS FRAMBUESA FRASCO 10X500G</t>
  </si>
  <si>
    <t xml:space="preserve">CULTIVADA LONCO PROTEIN CHIRIMOY 6X900ML</t>
  </si>
  <si>
    <t xml:space="preserve">CASTANAS EN ALMIBAR WASIL 16X570GR</t>
  </si>
  <si>
    <t xml:space="preserve">PASTELERA DE CHOCLO 16X380GR</t>
  </si>
  <si>
    <t xml:space="preserve">MERM W S/A DOYP MORA 12X350GR</t>
  </si>
  <si>
    <t xml:space="preserve">MERM WATTS FRASCO MORA 10X500GR</t>
  </si>
  <si>
    <t xml:space="preserve">L.L. VEGETAL SOYA TRZO MGO MYA 12X130GR</t>
  </si>
  <si>
    <t xml:space="preserve">NECTAR WATTS PROTEINA FRUTOS ROJOS SIXPACK 18X250ML</t>
  </si>
  <si>
    <t xml:space="preserve">MERMELADA DAMASCO 12X225GR</t>
  </si>
  <si>
    <t xml:space="preserve">JALEA REG NARANJA 6X4X100GR</t>
  </si>
  <si>
    <t xml:space="preserve">MANTEQ LONCO S/COL POT 24X250GR</t>
  </si>
  <si>
    <t xml:space="preserve">MANTEQUILLA LPV POTE 24X200G</t>
  </si>
  <si>
    <t xml:space="preserve">L.L. VEGETAL SOYA TRZO FRUTILLA 12X130GR</t>
  </si>
  <si>
    <t xml:space="preserve">YOG POTE ACTIVIA TROZO MGOMYA 24X140GR</t>
  </si>
  <si>
    <t xml:space="preserve">LECHE POLVO CALO CRECER 1+ 10X720GR</t>
  </si>
  <si>
    <t xml:space="preserve">YOGU YOGU VAINILLA 30X200GR</t>
  </si>
  <si>
    <t xml:space="preserve">CULTIVADA LONCO PROTEIN BERRIES 6X900ML</t>
  </si>
  <si>
    <t xml:space="preserve">MERMELADA REGI BERRIES 24X200GR</t>
  </si>
  <si>
    <t xml:space="preserve">YOGURT DANONE L&amp;F GRAN BERRIES 12X142G</t>
  </si>
  <si>
    <t xml:space="preserve">PROBIOTICO CALAN FLLA TETRA 3X12X108ML</t>
  </si>
  <si>
    <t xml:space="preserve">MANTECA CRUCINA 6X12X100GR</t>
  </si>
  <si>
    <t xml:space="preserve">MERM W S/A SACH FRUTILLA 24X200GR</t>
  </si>
  <si>
    <t xml:space="preserve">NECTAR WATTS SELECCION PAPAYA 6X1.6LT</t>
  </si>
  <si>
    <t xml:space="preserve">MERM WATTS FCO DAMASCO 10X500GR</t>
  </si>
  <si>
    <t xml:space="preserve">NECTAR WATTS PROBIOTICO MANZANA 5X6X115ML</t>
  </si>
  <si>
    <t xml:space="preserve">LECHE POLVO CALO CRECER 4+ 10X720GR</t>
  </si>
  <si>
    <t xml:space="preserve">PAPAYAS TROCITOS WASIL 16X380GR</t>
  </si>
  <si>
    <t xml:space="preserve">ACEITE CHEF OLIVA 12X1LT</t>
  </si>
  <si>
    <t xml:space="preserve">LECHE CULTIV LIGHT CHIRI 6X900ML</t>
  </si>
  <si>
    <t xml:space="preserve">SHAKE SHAKE CHOCOLATE 30X190ML</t>
  </si>
  <si>
    <t xml:space="preserve">MANTECA PALMIN 6X12X100GR</t>
  </si>
  <si>
    <t xml:space="preserve">CHAMPIÑON LAMINADO WSL 24X400GR</t>
  </si>
  <si>
    <t xml:space="preserve">YOG POTE LONCO S/LACT FRUTILLA 24X140G</t>
  </si>
  <si>
    <t xml:space="preserve">COCTEL DE FRUTA WSL 20X820GR</t>
  </si>
  <si>
    <t xml:space="preserve">QUESO LPV LAM S/BORDE 20X210G</t>
  </si>
  <si>
    <t xml:space="preserve">CREMA LISTA S/LACT LONCO 18X250ML</t>
  </si>
  <si>
    <t xml:space="preserve">CHARQUICAN WASIL 16X380GR</t>
  </si>
  <si>
    <t xml:space="preserve">LS8 CAL PROB MZNA UNV P6 48X90GR</t>
  </si>
  <si>
    <t xml:space="preserve">LECHE EVAPORADA S/LAC LONCO 30X200ML</t>
  </si>
  <si>
    <t xml:space="preserve">BREAK CHOCO AVELLANA LONCO 18X250ML</t>
  </si>
  <si>
    <t xml:space="preserve">YOGURT YOGU YOGU DAMASCO TETRA 5X6X115GR</t>
  </si>
  <si>
    <t xml:space="preserve">SALSA TOMATES WASIL SACHET 24X180 GRS</t>
  </si>
  <si>
    <t xml:space="preserve">MANTECA ASTRA12X900 G</t>
  </si>
  <si>
    <t xml:space="preserve">CREMA S/LAC LONCO 500ML</t>
  </si>
  <si>
    <t xml:space="preserve">NEC W SELECCION MGO/MCYA 6X1LT</t>
  </si>
  <si>
    <t xml:space="preserve">GARBANZOS WASIL TTR 24X200</t>
  </si>
  <si>
    <t xml:space="preserve">JUGO FRESCO ARÁNDANO 6X1LT</t>
  </si>
  <si>
    <t xml:space="preserve">NECTAR WATTS PROBIOTICO DURAZNO 5X6X115ML</t>
  </si>
  <si>
    <t xml:space="preserve">ACEITE BELMONT FREIR 12X1LT</t>
  </si>
  <si>
    <t xml:space="preserve">YOGURT YOGU YOGU FRUTILLA BOT 6X900GR</t>
  </si>
  <si>
    <t xml:space="preserve">CHOCLO PALMITO WASIL 16X380GR</t>
  </si>
  <si>
    <t xml:space="preserve">YOG POTE LONCO S/LACT CHIRIMOYA 24X140</t>
  </si>
  <si>
    <t xml:space="preserve">MERM W S/A SACHET MANGO 24X200GR</t>
  </si>
  <si>
    <t xml:space="preserve">LECHE CHOCOLATE LONCOLECHE 30X115ML</t>
  </si>
  <si>
    <t xml:space="preserve">LENTEJAS CON CHORIZO WSL 16X380GR</t>
  </si>
  <si>
    <t xml:space="preserve">MANTECA PALMIN 40X200GR</t>
  </si>
  <si>
    <t xml:space="preserve">ACEITE CHEF MARAVILLA 4X5LT</t>
  </si>
  <si>
    <t xml:space="preserve">MARGARINA SUREÑA MIX 6X900GR</t>
  </si>
  <si>
    <t xml:space="preserve">YOG LONCO PROTEIN NAT BOLSA 20X500GR</t>
  </si>
  <si>
    <t xml:space="preserve">YOG S/LACT LCO FRUT BOT 6X900GR</t>
  </si>
  <si>
    <t xml:space="preserve">MERMELADA REGI FRUTILLA 24X200GR</t>
  </si>
  <si>
    <t xml:space="preserve">PROT SHOT VAINILL PACK 8X6X100ML</t>
  </si>
  <si>
    <t xml:space="preserve">POUCH WATT'S MULTIFRUTAS 36X90GR</t>
  </si>
  <si>
    <t xml:space="preserve">FRUGO FRUTILLA 6X1,6LT</t>
  </si>
  <si>
    <t xml:space="preserve">LECHE CULTIV LIGHT VAINI 6X900ML</t>
  </si>
  <si>
    <t xml:space="preserve">JUGO 100% FRUTA LV WATTS NRJA MIX 12X1LT</t>
  </si>
  <si>
    <t xml:space="preserve">FRUGO PIÑA 6X1,6LT</t>
  </si>
  <si>
    <t xml:space="preserve">YOGURT OIKOS FOB MIEL 48X150G</t>
  </si>
  <si>
    <t xml:space="preserve">POUCH WATT'S MANZANA 36X90GR</t>
  </si>
  <si>
    <t xml:space="preserve">MERMELADA WATTS S/A PAPAYA SACHET24X200G</t>
  </si>
  <si>
    <t xml:space="preserve">PROBIOTICO CALAN DSCO TETRA 3X12X108ML</t>
  </si>
  <si>
    <t xml:space="preserve">SALSA WASIL POMODORO 16X340GR TTR</t>
  </si>
  <si>
    <t xml:space="preserve">GOUDA CALO LAMINADO 12X1KG</t>
  </si>
  <si>
    <t xml:space="preserve">YOG DAN L&amp;F TROZOS FRUTILLA 24X145GR</t>
  </si>
  <si>
    <t xml:space="preserve">LP LONCO EXTRA CALCIO 10X800GR</t>
  </si>
  <si>
    <t xml:space="preserve">MERMELADA CIRUELA 24X225GR</t>
  </si>
  <si>
    <t xml:space="preserve">ENSALADA DE VERDURAS 16X340GR</t>
  </si>
  <si>
    <t xml:space="preserve">LECHE LONCO ENTERA 5X6X200ML</t>
  </si>
  <si>
    <t xml:space="preserve">LECHE POLVO CALO CRECER+1 BOLSA 6X1,35KG</t>
  </si>
  <si>
    <t xml:space="preserve">TOMATE CUBITO WASIL 16X380GR</t>
  </si>
  <si>
    <t xml:space="preserve">CREMA S/LACT LONCOLECHE 12X1LT</t>
  </si>
  <si>
    <t xml:space="preserve">CHILI CON CARNE 16X380GR</t>
  </si>
  <si>
    <t xml:space="preserve">CHAMPIÑON ENTERO WSL 24X400GR</t>
  </si>
  <si>
    <t xml:space="preserve">CHOCO AVELLANAS LONCO 12X1LT</t>
  </si>
  <si>
    <t xml:space="preserve">YOG LONCOLECHE SL PACK 6X8X120GR</t>
  </si>
  <si>
    <t xml:space="preserve">LECHE LONCO DESC CHOC 5X6X200ML</t>
  </si>
  <si>
    <t xml:space="preserve">LECHE PLATANO LONCOLECHE 30X115ML</t>
  </si>
  <si>
    <t xml:space="preserve">JALEA LONCO PROTEIN NARANJA 6X4X100GR</t>
  </si>
  <si>
    <t xml:space="preserve">CREMA REFRIGERADA LONCOLECHE 15X500GR</t>
  </si>
  <si>
    <t xml:space="preserve">GAUDA CALO LAMINADO 16X233GR</t>
  </si>
  <si>
    <t xml:space="preserve">POUCH WATT'S DURAZNO 36X90GR</t>
  </si>
  <si>
    <t xml:space="preserve">POUCH WATT'S PERA 36X90GR</t>
  </si>
  <si>
    <t xml:space="preserve">MANTECOSO VALDIVIA PIEZA 1X10KG</t>
  </si>
  <si>
    <t xml:space="preserve">QUESO CREMA CALO TRIPA 40X100G</t>
  </si>
  <si>
    <t xml:space="preserve">CREMA DE ZAPALLO WASIL 16X380GR</t>
  </si>
  <si>
    <t xml:space="preserve">LECHE LONCO SEMI DESCR 5X6X200ML</t>
  </si>
  <si>
    <t xml:space="preserve">MANTEQ LONCO S/COL PAN 20X250GR</t>
  </si>
  <si>
    <t xml:space="preserve">YOG POTE ACTIVIA NATURAL 24X140GR</t>
  </si>
  <si>
    <t xml:space="preserve">TOMATICAN WSL 16X380GR</t>
  </si>
  <si>
    <t xml:space="preserve">MARGARINA PAMPERITA 40X250GR</t>
  </si>
  <si>
    <t xml:space="preserve">QUESO CHANCO LAS PARCELAS 24X148G</t>
  </si>
  <si>
    <t xml:space="preserve">LECHE FRUTILLA LONCO LECHE 30X115ML</t>
  </si>
  <si>
    <t xml:space="preserve">MERMELADA WATTS NARANJA FRASCO 10X500G</t>
  </si>
  <si>
    <t xml:space="preserve">QUESO LPV MANTECOSO RUEDA 20X500G</t>
  </si>
  <si>
    <t xml:space="preserve">ACEITE CHEF MAIZ 12X1LT</t>
  </si>
  <si>
    <t xml:space="preserve">SUREÑA MIX PAN 40X200</t>
  </si>
  <si>
    <t xml:space="preserve">ACEITE CHEF MARAVILLA 30X500ML</t>
  </si>
  <si>
    <t xml:space="preserve">JUGO 100% FRUTA LV WATTS MZNA 12X1LT</t>
  </si>
  <si>
    <t xml:space="preserve">ARANDANOS WASIL 16X380GR</t>
  </si>
  <si>
    <t xml:space="preserve">YOG POTE ACTIVIA FLLA 24X140GR</t>
  </si>
  <si>
    <t xml:space="preserve">CREMA DE LENTEJAS WASIL 16X380GR</t>
  </si>
  <si>
    <t xml:space="preserve">CREMA LISTA LONCO 18X250ML</t>
  </si>
  <si>
    <t xml:space="preserve">YOG DAN L&amp;F BOT FRUT 6X900GR</t>
  </si>
  <si>
    <t xml:space="preserve">YOG S/LACT LCO VAIN BOT 6X900GR</t>
  </si>
  <si>
    <t xml:space="preserve">QUESO LPV RESERVA PREMIUM 1X10KG</t>
  </si>
  <si>
    <t xml:space="preserve">YOG S/LACT LCO CHIRI BOT 6X900GR</t>
  </si>
  <si>
    <t xml:space="preserve">YOG DAN L&amp;F BOT NAT 6X900GR</t>
  </si>
  <si>
    <t xml:space="preserve">NEC W SELECCION GUAYABA 6X1LT</t>
  </si>
  <si>
    <t xml:space="preserve">LONCO EXT PROT POLVO 14X550GR</t>
  </si>
  <si>
    <t xml:space="preserve">CREMA DE ESPARRAGOS 16X380GR</t>
  </si>
  <si>
    <t xml:space="preserve">SALSA WASIL BOLOGNESA VEGGIE 16X340 TTR</t>
  </si>
  <si>
    <t xml:space="preserve">CURRY DE GARBANZOS 16X380G</t>
  </si>
  <si>
    <t xml:space="preserve">ACEITE CHEF EXTRAVIRGEN SPRAY 12X180ML</t>
  </si>
  <si>
    <t xml:space="preserve">ACEITE CHEF EXTRAVIRGEN 12X250ML</t>
  </si>
  <si>
    <t xml:space="preserve">MANTECOSO ISLA TEJA PIEZA 1X10KG</t>
  </si>
  <si>
    <t xml:space="preserve">YOGU YOGU MORA 5X6X115ML</t>
  </si>
  <si>
    <t xml:space="preserve">CREMA ACIDA LONCOLECHE 12X140GR</t>
  </si>
  <si>
    <t xml:space="preserve">MANJAR EN BARRA LONCOLECHE 120X35GR</t>
  </si>
  <si>
    <t xml:space="preserve">ACEITE CHEF MARAVILLA SPRAY 12X180 ML</t>
  </si>
  <si>
    <t xml:space="preserve">QUESO CREMA LPV NATURAL TUBO 28X150GR</t>
  </si>
  <si>
    <t xml:space="preserve">CREMA TOMATE WASIL 16X380GR</t>
  </si>
  <si>
    <t xml:space="preserve">ACEITE BELMONT 12X750ML</t>
  </si>
  <si>
    <t xml:space="preserve">QUESO LPV ALBAHACA RUEDA 16X200G</t>
  </si>
  <si>
    <t xml:space="preserve">QUESO CREMA LPV MERKEN TUBO 28X150GR</t>
  </si>
  <si>
    <t xml:space="preserve">QUESO LPV MERKEN RUEDA 16X200G</t>
  </si>
  <si>
    <t xml:space="preserve">GARBANZO WASIL 16X500GR</t>
  </si>
  <si>
    <t xml:space="preserve">SALSA WASIL POMODORO 24X200GR</t>
  </si>
  <si>
    <t xml:space="preserve">LONCO PROTEIN CHOCOLATE 18X200ML</t>
  </si>
  <si>
    <t xml:space="preserve">ACEITE MAZOLA CANOLA 12X1LT</t>
  </si>
  <si>
    <t xml:space="preserve">SALSA WASIL ESTILO BOLOGNESA 24X200GR</t>
  </si>
  <si>
    <t xml:space="preserve">LONCO PROTEIN CAPPUCCINO 18X200ML</t>
  </si>
  <si>
    <t xml:space="preserve">POROTOS NEGROS SIN SAL WASIL 16X340GR</t>
  </si>
  <si>
    <t xml:space="preserve">MARGARINA SUREÑA LIGHT 6X1KG</t>
  </si>
  <si>
    <t xml:space="preserve">QUESO LPV CHANCO P3</t>
  </si>
  <si>
    <t xml:space="preserve">YOGU YOGU FRUTILLA 5X6X115 ML</t>
  </si>
  <si>
    <t xml:space="preserve">LECHE POLVO SUPER CALO 20X850GR</t>
  </si>
  <si>
    <t xml:space="preserve">JUGO FRESCO PINA 6X1LT</t>
  </si>
  <si>
    <t xml:space="preserve">JUGO EXPRIMIDO WATTS NJA 6X1,7LT</t>
  </si>
  <si>
    <t xml:space="preserve">COCTEL WSL 24X820GR</t>
  </si>
  <si>
    <t xml:space="preserve">BON MOMENT MOCACCINO 18X200ML</t>
  </si>
  <si>
    <t xml:space="preserve">JALEA REG LIMONADA MENTA 6X4X100GR</t>
  </si>
  <si>
    <t xml:space="preserve">LP CALO CRECER 1+ 10X800GR</t>
  </si>
  <si>
    <t xml:space="preserve">PIÑA RODAJAS SUD WSL 24X560GR</t>
  </si>
  <si>
    <t xml:space="preserve">MERMELADA CIRUELA 24X250GR</t>
  </si>
  <si>
    <t xml:space="preserve">MARGARINA SUREÑA 40X250GR</t>
  </si>
  <si>
    <t xml:space="preserve">MARGARINA SUREÑA 12X500GR</t>
  </si>
  <si>
    <t xml:space="preserve">ALIMEN SOYA LIQUIDO NATU 12X1LT</t>
  </si>
  <si>
    <t xml:space="preserve">CREMA VEGETAL LCO SOYA TTP24X200</t>
  </si>
  <si>
    <t xml:space="preserve">PROBIOTICO CALAN FLLA TETRA 3X12X98ML</t>
  </si>
  <si>
    <t xml:space="preserve">NECTAR WATTS DAMASCO SIXPACK 5X6X115ML</t>
  </si>
  <si>
    <t xml:space="preserve">YOG POT LON TRO S/L BER 48X120GR</t>
  </si>
  <si>
    <t xml:space="preserve">YOG POT LON TRO S/L DUR 48X120GR</t>
  </si>
  <si>
    <t xml:space="preserve">LP CALO CRECER 4+ 10X800GR</t>
  </si>
  <si>
    <t xml:space="preserve">ALIMENTO LIQUIDO ALMENDRA NATURAL 12X1LT</t>
  </si>
  <si>
    <t xml:space="preserve">PINO VEGETAL WASIL 16X380GR</t>
  </si>
  <si>
    <t xml:space="preserve">TROZOS QUESO MANTECOSO</t>
  </si>
  <si>
    <t xml:space="preserve">LECHE REGIMEL CHOCOLATE 30X200ML</t>
  </si>
  <si>
    <t xml:space="preserve">BON MOMENT CAPPUCCINO 18X200ML</t>
  </si>
  <si>
    <t xml:space="preserve">DESPUNTES LACTEOS VALDIVIA</t>
  </si>
  <si>
    <t xml:space="preserve">LONCOLECHE BREAK CARAME 18X330ML</t>
  </si>
  <si>
    <t xml:space="preserve">LONCO PROTEIN MILK CAPP 18X330ML</t>
  </si>
  <si>
    <t xml:space="preserve">QUESO LAS PARCELAS MIX GRANULADO 16X400G</t>
  </si>
  <si>
    <t xml:space="preserve">DURANZNO MTDS REGIMEL 24X560GR</t>
  </si>
  <si>
    <t xml:space="preserve">QUESO MANTECOSO SAN RAFAEL T8</t>
  </si>
  <si>
    <t xml:space="preserve">QUESO GAUDA CALO P-3</t>
  </si>
  <si>
    <t xml:space="preserve">SHAKE SHAKE MANJAR 30X170ML</t>
  </si>
  <si>
    <t xml:space="preserve">YOG POT LON S/L FRU 48X120GR</t>
  </si>
  <si>
    <t xml:space="preserve">LECHE POLVO 0% CALO 20X800GR</t>
  </si>
  <si>
    <t xml:space="preserve">GAUDA CALO LAMINADO 2X5KG</t>
  </si>
  <si>
    <t xml:space="preserve">MANTECOSO S.RAFAEL LAM 2X5KG</t>
  </si>
  <si>
    <t xml:space="preserve">MARGARINA SUREÑA DIET 12X450GR</t>
  </si>
  <si>
    <t xml:space="preserve">YOG POT LON S/L CHI 48X120GR</t>
  </si>
  <si>
    <t xml:space="preserve">ACEITE CHEF OLIVA MARAVILLA 12X1LT</t>
  </si>
  <si>
    <t xml:space="preserve">NECTAR WATTS DURAZNO SIXPACK 5X6X115ML</t>
  </si>
  <si>
    <t xml:space="preserve">JUGO 100% FRUTA LV WATTS NRJA 12X1LT</t>
  </si>
  <si>
    <t xml:space="preserve">NECTAR WATTS MANZANA SIXPACK 5X6X115ML</t>
  </si>
  <si>
    <t xml:space="preserve">YOGURT YOGU YOGU VLLA TETRA 5X6X115GR</t>
  </si>
  <si>
    <t xml:space="preserve">NECTAR W DSCO SIXPACK 30X200ML</t>
  </si>
  <si>
    <t xml:space="preserve">FRUGO PIÑA 6X1,75LT</t>
  </si>
  <si>
    <t xml:space="preserve">NECTAR WATT'S NARANJA 30X200ML</t>
  </si>
  <si>
    <t xml:space="preserve">JALEA REG NARAN/PLAT 6X4X100GR</t>
  </si>
  <si>
    <t xml:space="preserve">SORRENTINO CHEF RICOT JAM 6X500GR</t>
  </si>
  <si>
    <t xml:space="preserve">LECHE REGIMEL DESCR 30X200ML</t>
  </si>
  <si>
    <t xml:space="preserve">YOG S/LAC LCO VAINI BOLS 6X900GR</t>
  </si>
  <si>
    <t xml:space="preserve">MERM W S/A FCO FRUTILLA 10X320GR</t>
  </si>
  <si>
    <t xml:space="preserve">MANTECA ASTRA 40X100GR</t>
  </si>
  <si>
    <t xml:space="preserve">PROT SHOT VAINILLA BOT 6X900ML</t>
  </si>
  <si>
    <t xml:space="preserve">YOG GRI CELEST TIRAMISU 24X140GR</t>
  </si>
  <si>
    <t xml:space="preserve">CALO CRECER +1 BL 6X1,5KG</t>
  </si>
  <si>
    <t xml:space="preserve">LENTEJAS NEGRAS WASIL 16X380GR</t>
  </si>
  <si>
    <t xml:space="preserve">YOGURT OIKOS SABOR MIEL 48X110G</t>
  </si>
  <si>
    <t xml:space="preserve">BEBIDA LONCOLECHE AVENA CHOCOLATE 6X1LT</t>
  </si>
  <si>
    <t xml:space="preserve">LONCO VEGETAL SOYA FRUTILLA 24X140GR</t>
  </si>
  <si>
    <t xml:space="preserve">LONCO VEGETAL SOYA MGO MCYA 24X140GR</t>
  </si>
  <si>
    <t xml:space="preserve">YOG CALAN DAMASCO UNIV 48X110GR</t>
  </si>
  <si>
    <t xml:space="preserve">MERM W S/A SACH ALCAYOTA 24X200GR</t>
  </si>
  <si>
    <t xml:space="preserve">MERMELADA FRUTILLA L L 24X250GR</t>
  </si>
  <si>
    <t xml:space="preserve">QUESO PESO VARIABLE</t>
  </si>
  <si>
    <t xml:space="preserve">Segmentación ABC (volumen) / XYZ (variabilidad) — pedidos S36 a S41</t>
  </si>
  <si>
    <t xml:space="preserve">Todo se calcula con fórmulas desde Datos_Semanales y Parametros. Filtra la columna Segmento para ver tu lista de foco (AY, AZ, BZ).</t>
  </si>
  <si>
    <t xml:space="preserve">Total pedido 6 sem (kg)</t>
  </si>
  <si>
    <t xml:space="preserve">Promedio sem (kg)</t>
  </si>
  <si>
    <t xml:space="preserve">Desv. estándar (kg)</t>
  </si>
  <si>
    <t xml:space="preserve">% del volumen</t>
  </si>
  <si>
    <t xml:space="preserve">% acumulado</t>
  </si>
  <si>
    <t xml:space="preserve">ABC</t>
  </si>
  <si>
    <t xml:space="preserve">Revisión</t>
  </si>
  <si>
    <t xml:space="preserve">FCST 6 sem (kg)</t>
  </si>
  <si>
    <t xml:space="preserve">WMAPE forecast</t>
  </si>
  <si>
    <t xml:space="preserve">Sesgo (Bias)</t>
  </si>
  <si>
    <t xml:space="preserve">Error forecast RMSE (kg/sem)</t>
  </si>
  <si>
    <t xml:space="preserve">N° SKU</t>
  </si>
  <si>
    <t xml:space="preserve">X</t>
  </si>
  <si>
    <t xml:space="preserve">Y</t>
  </si>
  <si>
    <t xml:space="preserve">Z</t>
  </si>
  <si>
    <t xml:space="preserve">A</t>
  </si>
  <si>
    <t xml:space="preserve">Total</t>
  </si>
  <si>
    <t xml:space="preserve">B</t>
  </si>
  <si>
    <t xml:space="preserve">C</t>
  </si>
  <si>
    <t xml:space="preserve">Interpretación: la fila A concentra el 80% del volumen. La columna Z son los SKU erráticos. AZ + AY + BZ = tu lista de foco.</t>
  </si>
  <si>
    <t xml:space="preserve">Stock de seguridad calculado — SS = Z × σ × √(Lead time), con techo por vida útil</t>
  </si>
  <si>
    <t xml:space="preserve">σ = error del forecast (RMSE semanal Solicitado vs FCST): es lo que el SS debe cubrir. Techo VU: el stock objetivo no puede superar lo que se vende antes de llegar al filtro de la cadena más exigente.</t>
  </si>
  <si>
    <t xml:space="preserve">Planta</t>
  </si>
  <si>
    <t xml:space="preserve">Tipo</t>
  </si>
  <si>
    <t xml:space="preserve">FCST sem (kg)</t>
  </si>
  <si>
    <t xml:space="preserve">σ error (kg/sem)</t>
  </si>
  <si>
    <t xml:space="preserve">SS teórico (kg)</t>
  </si>
  <si>
    <t xml:space="preserve">VU interna (días)</t>
  </si>
  <si>
    <t xml:space="preserve">Tope avance cadena exigente</t>
  </si>
  <si>
    <t xml:space="preserve">Cadena exigente</t>
  </si>
  <si>
    <t xml:space="preserve">Semanas vendibles</t>
  </si>
  <si>
    <t xml:space="preserve">Stock máx. vendible (kg)</t>
  </si>
  <si>
    <t xml:space="preserve">Punto de reorden (kg)</t>
  </si>
  <si>
    <t xml:space="preserve">Disp+XLIB (kg)</t>
  </si>
  <si>
    <t xml:space="preserve">Estado</t>
  </si>
  <si>
    <t xml:space="preserve">LECHE BLANCA LONCO ENTERA BASE 12X1LT</t>
  </si>
  <si>
    <t xml:space="preserve">OSORNO</t>
  </si>
  <si>
    <t xml:space="preserve">ABARROTES</t>
  </si>
  <si>
    <t xml:space="preserve">CENCOSUD CENTRAL</t>
  </si>
  <si>
    <t xml:space="preserve">LECHE  LONCO ENTERA S/LAC NAT 12X1LT</t>
  </si>
  <si>
    <t xml:space="preserve">LECHE LONCO SEMIDESCREMADA S/LACT 12X1LT</t>
  </si>
  <si>
    <t xml:space="preserve">LECHE LONCO DESC S/LACTOSA 12X1LT</t>
  </si>
  <si>
    <t xml:space="preserve">SAN BERNARDO</t>
  </si>
  <si>
    <t xml:space="preserve">LECHE BLANCA LONCO SEMI BASE 12X1LT</t>
  </si>
  <si>
    <t xml:space="preserve">NECTAR WATTS DZNO SIXPACK 30X200ML</t>
  </si>
  <si>
    <t xml:space="preserve">LONQUEN</t>
  </si>
  <si>
    <t xml:space="preserve">WALMART</t>
  </si>
  <si>
    <t xml:space="preserve">PREPARADO HELADO VLLA MCD BOLSA 1X10KG</t>
  </si>
  <si>
    <t xml:space="preserve">LECHE BLANCA LONCO DESC BASE 12X1LT</t>
  </si>
  <si>
    <t xml:space="preserve">CHOCLO IQF FDM 30X500GR</t>
  </si>
  <si>
    <t xml:space="preserve">LINARES</t>
  </si>
  <si>
    <t xml:space="preserve">NECTAR WATTS PIÑA SIXPACK 30X200ML</t>
  </si>
  <si>
    <t xml:space="preserve">YOGURT GRIEGO OIKOS NAT S/A 48X150GR</t>
  </si>
  <si>
    <t xml:space="preserve">CHILLAN</t>
  </si>
  <si>
    <t xml:space="preserve">REFRIGERADO</t>
  </si>
  <si>
    <t xml:space="preserve">UNIMARC SALAS</t>
  </si>
  <si>
    <t xml:space="preserve">NECTAR WATTS MZNA SIXPACK 30X200ML</t>
  </si>
  <si>
    <t xml:space="preserve">PREPARADO HELADO BOCADO TETRA 12X1LT</t>
  </si>
  <si>
    <t xml:space="preserve">NECTAR WATTS NJA SIXPACK 30X200ML</t>
  </si>
  <si>
    <t xml:space="preserve">PREPARADO HELADO CHOC TETRA 12X1LT</t>
  </si>
  <si>
    <t xml:space="preserve">PAPA PREFRITA 12X12 FM 4X2,5KG</t>
  </si>
  <si>
    <t xml:space="preserve">COMPRAS</t>
  </si>
  <si>
    <t xml:space="preserve">MEZCLA ACEITE HIDROG COVER PLUS1X25KG</t>
  </si>
  <si>
    <t xml:space="preserve">MARGARINA VEGETAL DOÑA JUANITA 12X1KG</t>
  </si>
  <si>
    <t xml:space="preserve">JUMBO SALAS</t>
  </si>
  <si>
    <t xml:space="preserve">YOGURT CALAN FTLLA NVA BOL 12X1KG</t>
  </si>
  <si>
    <t xml:space="preserve">TOTTUS</t>
  </si>
  <si>
    <t xml:space="preserve">LECHE LONCO EXTRA PROTEINA 12X1LT</t>
  </si>
  <si>
    <t xml:space="preserve">YOGURT CALAN UNIV PACK 4X12X110GR</t>
  </si>
  <si>
    <t xml:space="preserve">LECHE POLVO PURITA PRO 1 SNS 20X1KG</t>
  </si>
  <si>
    <t xml:space="preserve">PASTA DE CHOCLO FDM 10X1KG</t>
  </si>
  <si>
    <t xml:space="preserve">QUESO MANTECOSO PARCELAS VALD PZA 1X10KG</t>
  </si>
  <si>
    <t xml:space="preserve">UNIMARC CENTRAL</t>
  </si>
  <si>
    <t xml:space="preserve">PREPARADO HELADO CHOC MCD BOLSA 1X10KG</t>
  </si>
  <si>
    <t xml:space="preserve">YOGURT CALAN VLLA NVA BOL 12X1KG</t>
  </si>
  <si>
    <t xml:space="preserve">LECHE LONCO PROTEIN MILK CAPP 12X1LT</t>
  </si>
  <si>
    <t xml:space="preserve">PAPAS PRE FRITAS FDM 10X1KG</t>
  </si>
  <si>
    <t xml:space="preserve">MANJAR ARTESANAL LONCOLECHE 2X5KG</t>
  </si>
  <si>
    <t xml:space="preserve">PAPAS DUQUESAS FDM 10X1KG</t>
  </si>
  <si>
    <t xml:space="preserve">GARBANZOS WASIL 16X380GR</t>
  </si>
  <si>
    <t xml:space="preserve">YOGURT CALAN DSCO NVA BOL 12X1KG</t>
  </si>
  <si>
    <t xml:space="preserve">MERMELADA WATTS MORA 24X225GR</t>
  </si>
  <si>
    <t xml:space="preserve">YOGURT CALAN VAINILLA UNIV 48X110GR</t>
  </si>
  <si>
    <t xml:space="preserve">PAPA PREFRITA 9X9 FM 4X2,5KG</t>
  </si>
  <si>
    <t xml:space="preserve">PREPARADO HELADO PREMIUM BOCADO 1X10LT</t>
  </si>
  <si>
    <t xml:space="preserve">PREPARADO HELADO BASE 12X1LT</t>
  </si>
  <si>
    <t xml:space="preserve">CREMA LACTEA PASTEURIZADA LONCO 9X1L</t>
  </si>
  <si>
    <t xml:space="preserve">NECTAR WATTS TUTTIFLLA SIXPACK 30X200ML</t>
  </si>
  <si>
    <t xml:space="preserve">CHOCLO IQF 8X2KG</t>
  </si>
  <si>
    <t xml:space="preserve">YOGURT LONCO PROTEIN NAT 24X140GR</t>
  </si>
  <si>
    <t xml:space="preserve">PREPARADO HELADO FRUTILLA 12X1LT</t>
  </si>
  <si>
    <t xml:space="preserve">YOGURT CALAN FRUTILLA UNIV 48X110GR</t>
  </si>
  <si>
    <t xml:space="preserve">MERMELADA WATTS DURAZNO 24X225GR</t>
  </si>
  <si>
    <t xml:space="preserve">MANTECA CRUCINA PANADERA 10X1KG</t>
  </si>
  <si>
    <t xml:space="preserve">MANTECA CRUCINA 20X1KG</t>
  </si>
  <si>
    <t xml:space="preserve">QUESO LAS PARCELAS PIEZA 4X3KG</t>
  </si>
  <si>
    <t xml:space="preserve">MARGARINA HORNITO HORNEO 20X1KG</t>
  </si>
  <si>
    <t xml:space="preserve">LECHE LONCO FRUTILLA 30X200ML</t>
  </si>
  <si>
    <t xml:space="preserve">LECHE LONCO PROTEIN MILK CHOCO 12X1LT</t>
  </si>
  <si>
    <t xml:space="preserve">MARGARINA CONDESA HORNEO CZ 1X20KG</t>
  </si>
  <si>
    <t xml:space="preserve">ENSALADA PRIMAVERA IQF 30X500GR</t>
  </si>
  <si>
    <t xml:space="preserve">ARVEJA IQF 30X500GR</t>
  </si>
  <si>
    <t xml:space="preserve">NECTAR WATTS NJA LIGHT SIXPACK 30X200ML</t>
  </si>
  <si>
    <t xml:space="preserve">YOGURT GRIEGO OIKOS NAT END 48X110GR</t>
  </si>
  <si>
    <t xml:space="preserve">NECTAR WATTS DZNO S/A 30X200ML</t>
  </si>
  <si>
    <t xml:space="preserve">LECHE POLVO CALO ENTERA INST 20X850GR</t>
  </si>
  <si>
    <t xml:space="preserve">MANJAR CALO DULCE RELLENO 2X6KG</t>
  </si>
  <si>
    <t xml:space="preserve">LENTEJAS WASIL 16X380GR</t>
  </si>
  <si>
    <t xml:space="preserve">YOGURT CALAN CHMYA NVA BOL 12X1KG</t>
  </si>
  <si>
    <t xml:space="preserve">DURAZNOS CUBITOS WASIL 16X500GR</t>
  </si>
  <si>
    <t xml:space="preserve">DULCE MEMBRILLO WATTS 12X250GR</t>
  </si>
  <si>
    <t xml:space="preserve">YOGURT LONCO PROTEIN FRUTILLA 24X140GR</t>
  </si>
  <si>
    <t xml:space="preserve">YOGURT GRIEGO OIKOS TRZ FRUTILLA 48X110G</t>
  </si>
  <si>
    <t xml:space="preserve">POROTO VERDE C/F FM 4X2KG</t>
  </si>
  <si>
    <t xml:space="preserve">POROTOS ROJOS WASIL 16X380GR</t>
  </si>
  <si>
    <t xml:space="preserve">YOGURT GRIEGO OIKOS TRZ DURAZNO 48X110GR</t>
  </si>
  <si>
    <t xml:space="preserve">QUESO GAUDA CALO LAMINADO 12X467GR</t>
  </si>
  <si>
    <t xml:space="preserve">MANJAR CALO DULCE CHILENO 2X6KG</t>
  </si>
  <si>
    <t xml:space="preserve">MERMELADA WATTS FRAMBUESA 24X225GR</t>
  </si>
  <si>
    <t xml:space="preserve">MARGARINA CONDESA HORNEO INDUST 1X20KG</t>
  </si>
  <si>
    <t xml:space="preserve">PREPARADO HELADO G&amp;N BOCADO 1X10KG</t>
  </si>
  <si>
    <t xml:space="preserve">MARGARINA SUREÑA MIX POTE 12X450GR</t>
  </si>
  <si>
    <t xml:space="preserve">MERMELADA WATTS ALCAYOTA 24X225GR</t>
  </si>
  <si>
    <t xml:space="preserve">CHOCLO IQF 15X1KG</t>
  </si>
  <si>
    <t xml:space="preserve">MERMELADA WATTS DAMASCO 24X225GR</t>
  </si>
  <si>
    <t xml:space="preserve">SOFRITO 72X150G</t>
  </si>
  <si>
    <t xml:space="preserve">MERMELADA WATTS FRUTILLA 24X225GR</t>
  </si>
  <si>
    <t xml:space="preserve">CHOCLO TIERNO LC 24X400GR</t>
  </si>
  <si>
    <t xml:space="preserve">PAPAS PREFRITAS FM 25X500GR</t>
  </si>
  <si>
    <t xml:space="preserve">MANTECA VEG FLUIDA FRITOMASTER 2X10KG</t>
  </si>
  <si>
    <t xml:space="preserve">CHAMPIÑON IQF 4X2,5KG</t>
  </si>
  <si>
    <t xml:space="preserve">LECHE MOMENTS CAPUCHINO 12X1LT</t>
  </si>
  <si>
    <t xml:space="preserve">MIX BERRIES CONVENCIONAL IQF 30X400GR</t>
  </si>
  <si>
    <t xml:space="preserve">MARGARINA HORNITO HORNEO 1X20KG</t>
  </si>
  <si>
    <t xml:space="preserve">CHOCLO IQF 25X200GR</t>
  </si>
  <si>
    <t xml:space="preserve">YOGURT CALAN CHIRIMOYA UNIV 48X110GR</t>
  </si>
  <si>
    <t xml:space="preserve">YOGURT LONCOLECHE NATURAL 1X200KG</t>
  </si>
  <si>
    <t xml:space="preserve">GRASA PAMPERO BLOQUE 10X1KG</t>
  </si>
  <si>
    <t xml:space="preserve">MARGARINA HORNITO HOJA 20X1KG</t>
  </si>
  <si>
    <t xml:space="preserve">DULCE MEMBRILLO WATTS 12X500GR</t>
  </si>
  <si>
    <t xml:space="preserve">YOGURT GRIEGO OIKOS TRZ PAPAYA 48X110GR</t>
  </si>
  <si>
    <t xml:space="preserve">LECHE BREAK CAPPUCCINO LONCO 18X250ML</t>
  </si>
  <si>
    <t xml:space="preserve">PAPAS DUQUESA FDM 26X500GR</t>
  </si>
  <si>
    <t xml:space="preserve">PIMENTON ROJO CUBO FM 6X2KG</t>
  </si>
  <si>
    <t xml:space="preserve">YOGURT LONCO PROTEIN VAINILLA 24X140GR</t>
  </si>
  <si>
    <t xml:space="preserve">SOFRITO IQF FDM 14X150GR</t>
  </si>
  <si>
    <t xml:space="preserve">ENSALADA PRIMAVERA IQF FDM 7X2KG</t>
  </si>
  <si>
    <t xml:space="preserve">YOGURT GRIEGO OIKOS FRUTILLA 48X110GR</t>
  </si>
  <si>
    <t xml:space="preserve">POROTO VERDE IQF 26X350GR</t>
  </si>
  <si>
    <t xml:space="preserve">YOGURT GRIEGO OIKOS CF F BOS 48X150GR</t>
  </si>
  <si>
    <t xml:space="preserve">COLIFLOR IQF 4X2KG</t>
  </si>
  <si>
    <t xml:space="preserve">JARABE DE REMOJO WATTS 1X975LT</t>
  </si>
  <si>
    <t xml:space="preserve">ARVEJA FDM 8X2KG</t>
  </si>
  <si>
    <t xml:space="preserve">PREPARADO HELADO G&amp;N CHOCOLATE 1X10KG</t>
  </si>
  <si>
    <t xml:space="preserve">QUESO GAUDA CALO 4 PIEZAS 2,5KG</t>
  </si>
  <si>
    <t xml:space="preserve">BROCOLI IQF 4X2KG</t>
  </si>
  <si>
    <t xml:space="preserve">LECHE LONCO SEMI S/LACTOSA 5X6X200ML</t>
  </si>
  <si>
    <t xml:space="preserve">LECHE LONCO PROTEIN DESCREMADA 30X200ML</t>
  </si>
  <si>
    <t xml:space="preserve">YOGURT LONCO PROTEIN ARANDANO 24X140GR</t>
  </si>
  <si>
    <t xml:space="preserve">YOGURT GRIEGO OIKOS CF FTLLA 48X150GR</t>
  </si>
  <si>
    <t xml:space="preserve">YOGURT DANONE  L&amp;F NAT BOLSA 12X900GR</t>
  </si>
  <si>
    <t xml:space="preserve">JALEA REGIMEL FRAMBUESA 6X4X100GR</t>
  </si>
  <si>
    <t xml:space="preserve">PURE DE PALTA 5X1KG</t>
  </si>
  <si>
    <t xml:space="preserve">ACIDO GRASO VEGETAL</t>
  </si>
  <si>
    <t xml:space="preserve">MANTECA CRUCINA PANADERA VEGETAL 10X1KG</t>
  </si>
  <si>
    <t xml:space="preserve">ACIDO GRASO VEGETAL MIX 60/40</t>
  </si>
  <si>
    <t xml:space="preserve">PREPARADO HELADO PREMIUM CHOCOLAT 1X10LT</t>
  </si>
  <si>
    <t xml:space="preserve">YOGURT LCO S/LACT TZO PAPAY POTE 24X140G</t>
  </si>
  <si>
    <t xml:space="preserve">ENSALADA PRIMAVERA IQF FDM 25X200GR</t>
  </si>
  <si>
    <t xml:space="preserve">DULCE MEMBRILLO WATTS 12X1KG</t>
  </si>
  <si>
    <t xml:space="preserve">LECHE FULL LONCO PROTEIN VLLA 18X250ML</t>
  </si>
  <si>
    <t xml:space="preserve">SALSA DE MANJAR LONCOLECHE 12X1KG</t>
  </si>
  <si>
    <t xml:space="preserve">PREPARADO HELADO BK VAINILLA 1X10KG</t>
  </si>
  <si>
    <t xml:space="preserve">PAPA PREFRITA 7X7 FM 4X2,5KG</t>
  </si>
  <si>
    <t xml:space="preserve">YOGURT  DANONE L&amp;F FRUTILLA 48X115GR</t>
  </si>
  <si>
    <t xml:space="preserve">PASTA CHOCLO 12X500GR</t>
  </si>
  <si>
    <t xml:space="preserve">MERMELADA WATTS S/A MORA SACHET 24X200GR</t>
  </si>
  <si>
    <t xml:space="preserve">YOGURT LCO S/LACT TZO BERRIE POTE24X140G</t>
  </si>
  <si>
    <t xml:space="preserve">JUGO 100% WATTS NRJA-MZNA LV 30X200ML</t>
  </si>
  <si>
    <t xml:space="preserve">LECHE POLVO LONCO DESCREMADA 20X760GR</t>
  </si>
  <si>
    <t xml:space="preserve">LECHE LONCO S/LACTOSA CHOCO 12X1LT</t>
  </si>
  <si>
    <t xml:space="preserve">YOGURT LCO S/LACT TZO DZNO POTE 24X140G</t>
  </si>
  <si>
    <t xml:space="preserve">CHOCLO DULCE WASIL 16X340GR</t>
  </si>
  <si>
    <t xml:space="preserve">JUGO 100% WATTS MZNA LV 30X200ML</t>
  </si>
  <si>
    <t xml:space="preserve">YOGURT GRIEGO OIKOS CF PPYA 48X150GR</t>
  </si>
  <si>
    <t xml:space="preserve">ARVEJA IQF 25X200GR</t>
  </si>
  <si>
    <t xml:space="preserve">YOGURT DANONE L&amp;F FRUT BOLSA 12X900GR</t>
  </si>
  <si>
    <t xml:space="preserve">MERMELADA WATTS DURAZNO 12X225GR</t>
  </si>
  <si>
    <t xml:space="preserve">DURAZNO CUBITOS REGIMEL 16X380GR</t>
  </si>
  <si>
    <t xml:space="preserve">MERMELADA WATTS S/A DZNO SACHET 24X200GR</t>
  </si>
  <si>
    <t xml:space="preserve">MANJAR LONCOLECHE DP 12X750GR</t>
  </si>
  <si>
    <t xml:space="preserve">LECHE POLVO LONCO SEMIDESCREMADA10X760GR</t>
  </si>
  <si>
    <t xml:space="preserve">YOGURT DANONE L&amp;F ARANDANO 48X115GR</t>
  </si>
  <si>
    <t xml:space="preserve">ENSALADA PRIMAVERA IQF FDM 16X1KG</t>
  </si>
  <si>
    <t xml:space="preserve">MERMELADA WATTS MORA 12X225GR</t>
  </si>
  <si>
    <t xml:space="preserve">CHOCLO TROZO COBERT FM 10X200GR</t>
  </si>
  <si>
    <t xml:space="preserve">LECHE POLVO LONCO S/LACT 10X800GR</t>
  </si>
  <si>
    <t xml:space="preserve">MANTECA CRUCINA PLUS 10X1KG</t>
  </si>
  <si>
    <t xml:space="preserve">CHAPSUI WOK IQF 20X500GR</t>
  </si>
  <si>
    <t xml:space="preserve">LECHE POLVO CALO ENTERA INST 6X1,440KG</t>
  </si>
  <si>
    <t xml:space="preserve">CHARQUICAN FDM 18X750GR</t>
  </si>
  <si>
    <t xml:space="preserve">LECHE EN POLVO ENTERA LONCO 20X760GR</t>
  </si>
  <si>
    <t xml:space="preserve">YOGURT DANONE L&amp;F NATURAL 48X115GR</t>
  </si>
  <si>
    <t xml:space="preserve">NECTAR WATTS NARANJA 12X1LT</t>
  </si>
  <si>
    <t xml:space="preserve">BEBIDA VEGETAL LONCO AVENA LCO 6X1LT</t>
  </si>
  <si>
    <t xml:space="preserve">ENSALADA JARDINERA IQF 30X500GR</t>
  </si>
  <si>
    <t xml:space="preserve">MARGARINA CALO CAJA LISTA 6X12X125GR</t>
  </si>
  <si>
    <t xml:space="preserve">QUESO LPV CHANCO 8X434 AS</t>
  </si>
  <si>
    <t xml:space="preserve">MERMELADA LOS LAGOS MORA 24X225GR</t>
  </si>
  <si>
    <t xml:space="preserve">LECHE VAINILLA LONCOLECHE 12X1LT</t>
  </si>
  <si>
    <t xml:space="preserve">HABAS FM 8X2KG</t>
  </si>
  <si>
    <t xml:space="preserve">ARVEJA IQF 15X1KG</t>
  </si>
  <si>
    <t xml:space="preserve">PROBIOTICO CALAN FLLA UNV BOT 8X6X90G</t>
  </si>
  <si>
    <t xml:space="preserve">ARVEJA FM 12X200GR</t>
  </si>
  <si>
    <t xml:space="preserve">CHOCLO CONGELADO FM 12X200GR</t>
  </si>
  <si>
    <t xml:space="preserve">ZANAHORIA CUBO NESTLE 6X6CM</t>
  </si>
  <si>
    <t xml:space="preserve">MARGARINA CONDESA HOJA VEGETAL 10X2KG</t>
  </si>
  <si>
    <t xml:space="preserve">ZANAHORIA CUBO 10*10MM 1X14KG</t>
  </si>
  <si>
    <t xml:space="preserve">QUESO GAUDA LAMINADO 6X1KG</t>
  </si>
  <si>
    <t xml:space="preserve">LECHE LONCO FULL PROTEIN CHOCOLATE18X250</t>
  </si>
  <si>
    <t xml:space="preserve">DURAZNO MITADES WASIL 24X590GR</t>
  </si>
  <si>
    <t xml:space="preserve">LECHE BREAK CARAMEL LONCO 18X250ML</t>
  </si>
  <si>
    <t xml:space="preserve">DURAZNO TROCITOS WASIL 24X590GR</t>
  </si>
  <si>
    <t xml:space="preserve">JALEA REGIMEL ARANDANO 6X4X100GR</t>
  </si>
  <si>
    <t xml:space="preserve">YOGURT DANONE L&amp;F SABOR VLLA 48X115GR</t>
  </si>
  <si>
    <t xml:space="preserve">MERMELADA LOS LAGOS DURAZNO 24X225GR</t>
  </si>
  <si>
    <t xml:space="preserve">MANJAR LONCOLECHE 4X3KG</t>
  </si>
  <si>
    <t xml:space="preserve">LECHE FULL PRO CAPPUCCINO LONCO 18X250ML</t>
  </si>
  <si>
    <t xml:space="preserve">FRUGO MARACUYA 6X1,6LT</t>
  </si>
  <si>
    <t xml:space="preserve">PAPA DUQUESA FM 4X2,5KG</t>
  </si>
  <si>
    <t xml:space="preserve">POROTO GRANADO FM 30X500GR</t>
  </si>
  <si>
    <t xml:space="preserve">QUESO CHANCO LPV 12X233 AS</t>
  </si>
  <si>
    <t xml:space="preserve">YOGURT GRIEGO OIKOS TRZ COCO 48X110GR</t>
  </si>
  <si>
    <t xml:space="preserve">PREPARADO HELADO LUCUMA TETRA 12X1LT</t>
  </si>
  <si>
    <t xml:space="preserve">LECHE LONCOLECHE BREAK CARAMEL 12X1LT</t>
  </si>
  <si>
    <t xml:space="preserve">NECTAR WATTS SELECCION FRAMBUESA 6X1LT</t>
  </si>
  <si>
    <t xml:space="preserve">MARGARINA CONDESA HOJA BLANCA 1X20KG</t>
  </si>
  <si>
    <t xml:space="preserve">NECTAR WATTS DURAZNO 12X1LT</t>
  </si>
  <si>
    <t xml:space="preserve">MERMELADA WATTS S/A DSCO SACHET 24X200GR</t>
  </si>
  <si>
    <t xml:space="preserve">DURAZNOS SLICE FM 6X2KG</t>
  </si>
  <si>
    <t xml:space="preserve">MACEDONIA FM 6X2KG</t>
  </si>
  <si>
    <t xml:space="preserve">PIÑA RODAJAS 565GR</t>
  </si>
  <si>
    <t xml:space="preserve">PAPA PREFRITA CUBO 14X750GR</t>
  </si>
  <si>
    <t xml:space="preserve">YOGURT LONCO S/LAC FLLA BOLSA 12X900GR</t>
  </si>
  <si>
    <t xml:space="preserve">YOGURT ACTIVIA TRZ FTOS BOSQUE 24X140G</t>
  </si>
  <si>
    <t xml:space="preserve">SALTEADO CHAPSUI FDM 15X400GR</t>
  </si>
  <si>
    <t xml:space="preserve">YOGURT LONCO PROTEIN TRZ FLLA 24X140GR</t>
  </si>
  <si>
    <t xml:space="preserve">ENSALADA PRIMAVERA FDM 12X200GR</t>
  </si>
  <si>
    <t xml:space="preserve">MERMELADA WATTS S/A FBSA SACHET 24X200GR</t>
  </si>
  <si>
    <t xml:space="preserve">JARDINERA FM 8X2KG</t>
  </si>
  <si>
    <t xml:space="preserve">QUESO MANTECOSO VALDIVIA PIEZA 1X10KG</t>
  </si>
  <si>
    <t xml:space="preserve">QUESO PIZZERIAS 2X3,5KG</t>
  </si>
  <si>
    <t xml:space="preserve">QUESO CREMA CALO 10X1,36KG</t>
  </si>
  <si>
    <t xml:space="preserve">MERMELADA WATTS FRUTILLA 12X225GR</t>
  </si>
  <si>
    <t xml:space="preserve">CREMA BATIR LONCO 12X1LT</t>
  </si>
  <si>
    <t xml:space="preserve">MIX PIMENTONES FM 10X1KG</t>
  </si>
  <si>
    <t xml:space="preserve">MERMELADA LOS LAGOS FRUTILLA 24X225GR</t>
  </si>
  <si>
    <t xml:space="preserve">PROBIOTICO CALAN MULT UNV BOT 8X6X90G</t>
  </si>
  <si>
    <t xml:space="preserve">HABAS 30X500GR</t>
  </si>
  <si>
    <t xml:space="preserve">YOGURT GRIEGO OIKOS CF DZNO 48X150GR</t>
  </si>
  <si>
    <t xml:space="preserve">NECTAR WATTS MANZANA 12X1LT</t>
  </si>
  <si>
    <t xml:space="preserve">CREMA S/L LISTA LONCO 18X250ML</t>
  </si>
  <si>
    <t xml:space="preserve">MERMELADA WATTS FRUTAS DEL SUR 24X225GR</t>
  </si>
  <si>
    <t xml:space="preserve">CARBONADA WASIL 16X380GR</t>
  </si>
  <si>
    <t xml:space="preserve">PROBIOTICO CALAN MORA UNV BOT 8X6X90G</t>
  </si>
  <si>
    <t xml:space="preserve">NECTAR WATTS PIÑA 12X1LT</t>
  </si>
  <si>
    <t xml:space="preserve">YOGURT LONCO S/LAC CHYA BOLSA 12X900GR</t>
  </si>
  <si>
    <t xml:space="preserve">YOGURT ACTIVIA CIRUELA POTE 24X140GR</t>
  </si>
  <si>
    <t xml:space="preserve">YOGURT LONCO PROTEIN CAP GRAN 12X142G</t>
  </si>
  <si>
    <t xml:space="preserve">ARVEJA LC 24X400GR</t>
  </si>
  <si>
    <t xml:space="preserve">MERMELADA LOS LAGOS DAMASCO 24X225GR</t>
  </si>
  <si>
    <t xml:space="preserve">MERMELADA REGIMEL MORA 24X200GR</t>
  </si>
  <si>
    <t xml:space="preserve">YOGURT LONCO PROTEIN TRZ MGOMYA 24X140G</t>
  </si>
  <si>
    <t xml:space="preserve">LECHE BON MOMENT DAN CAPPUCCINO 30X200ML</t>
  </si>
  <si>
    <t xml:space="preserve">YOGURT DANONE  L&amp;F VLLA BOLSA 12X900GR</t>
  </si>
  <si>
    <t xml:space="preserve">CHOCLO TROZO 20X350GR</t>
  </si>
  <si>
    <t xml:space="preserve">ARANDANO RT 15X400GR</t>
  </si>
  <si>
    <t xml:space="preserve">YOGURT ACTIVIA SEMILLA DZNO POTE 24X140G</t>
  </si>
  <si>
    <t xml:space="preserve">MIX PIMENTONES IQF 20X150GR</t>
  </si>
  <si>
    <t xml:space="preserve">YOGURT ACTIVIA SEMILLA FLLA POTE 24X140G</t>
  </si>
  <si>
    <t xml:space="preserve">HABAS TIERNAS LC 24X400GR</t>
  </si>
  <si>
    <t xml:space="preserve">MARGARINA SUREÑA POTE 24X250GR</t>
  </si>
  <si>
    <t xml:space="preserve">YOGURT DANONE L&amp;F TRZO PAPAYA 24X145GR</t>
  </si>
  <si>
    <t xml:space="preserve">PREPARADO HELADO ESTAND MORA CREMA12X1LT</t>
  </si>
  <si>
    <t xml:space="preserve">PREPARADO HELADO CHIRIMOYA TTRA 12X1LT</t>
  </si>
  <si>
    <t xml:space="preserve">SOFRITO APIO TOMATE 14X150GR</t>
  </si>
  <si>
    <t xml:space="preserve">MERMELADA WATTS DAMASCO 12X225GR</t>
  </si>
  <si>
    <t xml:space="preserve">MERMELADA WATTS MORA FRASCO 10X500GR</t>
  </si>
  <si>
    <t xml:space="preserve">MERMELADA WATTS S/A ARAND SACHET 24X200G</t>
  </si>
  <si>
    <t xml:space="preserve">COCTEL DE FRUTA WASIL 24X560GR</t>
  </si>
  <si>
    <t xml:space="preserve">LECHE LONCO S/LACTOSA FRUTILLA 12X1LT</t>
  </si>
  <si>
    <t xml:space="preserve">PASTA CHOCLO NEUTRA FM 4X2,5KG</t>
  </si>
  <si>
    <t xml:space="preserve">LECHE CULTIVADA LONCO FLLA LIGHT 6X900ML</t>
  </si>
  <si>
    <t xml:space="preserve">YOGURT ACTIVIA TRZ MGO-MYA POTE 24X140G</t>
  </si>
  <si>
    <t xml:space="preserve">SALTEADO CHAPSUI FM 7X2KG</t>
  </si>
  <si>
    <t xml:space="preserve">CREMA VEGETAL CALO 12X1LT</t>
  </si>
  <si>
    <t xml:space="preserve">PULPA FRAMBUESA S/AZUCAR 10X1KG</t>
  </si>
  <si>
    <t xml:space="preserve">PULPA MARACUYA S/AZUCAR 10X1KG</t>
  </si>
  <si>
    <t xml:space="preserve">ACEITE CHEF MAIZ 2X10LT</t>
  </si>
  <si>
    <t xml:space="preserve">PULPA DE MANGO S/AZUCAR 10X1KG</t>
  </si>
  <si>
    <t xml:space="preserve">ESPARRAGO IQF 10X1KG</t>
  </si>
  <si>
    <t xml:space="preserve">CEBOLLA CUBO IQF 14X150GR</t>
  </si>
  <si>
    <t xml:space="preserve">BITES FRAMBUESAS 12X150GR</t>
  </si>
  <si>
    <t xml:space="preserve">MERMELADA REGIMEL BERRIES 24X200GR</t>
  </si>
  <si>
    <t xml:space="preserve">YOGURT GRIEGO OIKOS CHIRIMOYA 48X110GR</t>
  </si>
  <si>
    <t xml:space="preserve">MERMELADA REGIMEL DAMASCO 24X200GR</t>
  </si>
  <si>
    <t xml:space="preserve">LECHE BON MOMENT DAN MOCACCINO 30X200ML</t>
  </si>
  <si>
    <t xml:space="preserve">MERMELADA WATTS S/A MORA DOYPACK 12X350G</t>
  </si>
  <si>
    <t xml:space="preserve">JUGO 100% WATTS NRJA MIX LV 12X1LT</t>
  </si>
  <si>
    <t xml:space="preserve">FRAMBUESA CONVENCIONAL IQF 14X250GR</t>
  </si>
  <si>
    <t xml:space="preserve">PAPAS PREFRITAS FINAS 7X7 FDM 15X700G</t>
  </si>
  <si>
    <t xml:space="preserve">REMOJO TRES LECHES LONCOLECHE 12X1LT</t>
  </si>
  <si>
    <t xml:space="preserve">ESPINACA IQF 4X2KG</t>
  </si>
  <si>
    <t xml:space="preserve">CHOCLO GRANOS NESTLE</t>
  </si>
  <si>
    <t xml:space="preserve">PREPARADO HELADO FROSTY CALO VLLA 1X10L</t>
  </si>
  <si>
    <t xml:space="preserve">PULPA DE PIÑA S/AZUCAR 10X1KG</t>
  </si>
  <si>
    <t xml:space="preserve">LECHE UHT MOMENTS MOCA 12X1LT</t>
  </si>
  <si>
    <t xml:space="preserve">MERMELADA WATTS S/A BERRIES DOYP 12X350G</t>
  </si>
  <si>
    <t xml:space="preserve">CHOCLO TROZO FM 6X2KG</t>
  </si>
  <si>
    <t xml:space="preserve">YOGURT LONCO S/LAC VLLA BOLSA 12X900GR</t>
  </si>
  <si>
    <t xml:space="preserve">YOGURT CALAN PACK 6X8X90GR</t>
  </si>
  <si>
    <t xml:space="preserve">LECHE CULTIVADA LCO PROTEIN CHYA 6X900ML</t>
  </si>
  <si>
    <t xml:space="preserve">ENSALADA RUSA FM 8X1KG</t>
  </si>
  <si>
    <t xml:space="preserve">YOG OIKOS POSTRE CHEESCAKE BERRI 12X132G</t>
  </si>
  <si>
    <t xml:space="preserve">PULPA FRUTILLA S/AZUCAR IQF 10X1KG</t>
  </si>
  <si>
    <t xml:space="preserve">MARGARINA CONDESA BATERKRIM VEGET 20X1KG</t>
  </si>
  <si>
    <t xml:space="preserve">MANTEQUILLA S/COL LONCO POTE 24X250GR</t>
  </si>
  <si>
    <t xml:space="preserve">MERMELADA WATTS S/A DZNO DOYPACK 12X350G</t>
  </si>
  <si>
    <t xml:space="preserve">JARABE DE REMOJO WATTS 4X5LT</t>
  </si>
  <si>
    <t xml:space="preserve">PREPARADO HELADO NARANJA TETRA 12X1LT</t>
  </si>
  <si>
    <t xml:space="preserve">DURAZNO MITADES WASIL 06XA10</t>
  </si>
  <si>
    <t xml:space="preserve">LECHE CONDENSADA LONCOLECHE 4X5KG</t>
  </si>
  <si>
    <t xml:space="preserve">POROTO VERDE CA IQF 7X2KG</t>
  </si>
  <si>
    <t xml:space="preserve">QUESO MOZARELLA CAJA 2X3,5KG</t>
  </si>
  <si>
    <t xml:space="preserve">FRUTILLA CONVENCIONAL IQF 6X2KG</t>
  </si>
  <si>
    <t xml:space="preserve">MERMELADA WATTS S/A FRUTILLA SACH24X200G</t>
  </si>
  <si>
    <t xml:space="preserve">LECHE CULTIVAD LCO PROTEIN BERRIE6X900ML</t>
  </si>
  <si>
    <t xml:space="preserve">NECTAR C/PROBIOTICOS WATTS MZN 5X6X115ML</t>
  </si>
  <si>
    <t xml:space="preserve">NECTAR C/PROBIOTICO WATTS DZNO 5X6X115ML</t>
  </si>
  <si>
    <t xml:space="preserve">MERMELADA WATTS S/A MANGO SACHET 24X200G</t>
  </si>
  <si>
    <t xml:space="preserve">POROTO VERDE C/F 22X150GR</t>
  </si>
  <si>
    <t xml:space="preserve">ZANAHORIA EN CUBOS FM 6X2KG</t>
  </si>
  <si>
    <t xml:space="preserve">LECHE CULTIVADA LONCO CHMY LIGHT 6X900ML</t>
  </si>
  <si>
    <t xml:space="preserve">MANTECA CRUCINA PANADERA CERDO 10X1KG</t>
  </si>
  <si>
    <t xml:space="preserve">MERMELADA WATTS DAMASCO FRASCO 10X500GR</t>
  </si>
  <si>
    <t xml:space="preserve">POROTO BLANCO COCIDO FM 8X2KG</t>
  </si>
  <si>
    <t xml:space="preserve">ACEITE LA REINA IND FREIR 4X5LT</t>
  </si>
  <si>
    <t xml:space="preserve">ARANDANO IQF 10X1KG</t>
  </si>
  <si>
    <t xml:space="preserve">MERMELADA WATTS GOLD FRAMBUESA 1X5KG</t>
  </si>
  <si>
    <t xml:space="preserve">YOGURT DANONE L&amp;F TRZO FRUTILLA 24X145GR</t>
  </si>
  <si>
    <t xml:space="preserve">POROTO VERDE 12X150GR</t>
  </si>
  <si>
    <t xml:space="preserve">MANGO CUBO RT 15X400GR</t>
  </si>
  <si>
    <t xml:space="preserve">BASE ARVEJADO 6X2KG</t>
  </si>
  <si>
    <t xml:space="preserve">ZAPALLO CUBO 20X350GR</t>
  </si>
  <si>
    <t xml:space="preserve">LECHE DESC LIGHT CHOC LONCOLECHE 12X1LT</t>
  </si>
  <si>
    <t xml:space="preserve">BITES FRAMBUESA 14X250GR</t>
  </si>
  <si>
    <t xml:space="preserve">BASE POROTOS GRANADOS 18X500GR</t>
  </si>
  <si>
    <t xml:space="preserve">MANTECA VEGETAL AMASA 12X1KG</t>
  </si>
  <si>
    <t xml:space="preserve">NECTAR WATTS SELECCION MGO/MCYA 6X1LT</t>
  </si>
  <si>
    <t xml:space="preserve">YOG OIKOS POSTRE PIE DE LIMON 12X132GR</t>
  </si>
  <si>
    <t xml:space="preserve">BASE CARBONADA RT 24X500GR</t>
  </si>
  <si>
    <t xml:space="preserve">SMOOTHIE VITALITY FDM 15X500GR</t>
  </si>
  <si>
    <t xml:space="preserve">MERMELADA WATTS INDU FRAMB 6X1KG</t>
  </si>
  <si>
    <t xml:space="preserve">SALSA DE MANJAR LONCOLECHE 2X6KG</t>
  </si>
  <si>
    <t xml:space="preserve">CHOCLO GRANO 10X500GR</t>
  </si>
  <si>
    <t xml:space="preserve">CHOCLO TROZO FM 20X650GR</t>
  </si>
  <si>
    <t xml:space="preserve">|</t>
  </si>
  <si>
    <t xml:space="preserve">LONCO L VEGETAL SOYA TRZO MGO-MYA12X130G</t>
  </si>
  <si>
    <t xml:space="preserve">NECTAR WATTS PROTEINA TROPICAL 18X250ML</t>
  </si>
  <si>
    <t xml:space="preserve">POROTO GRANADO FM 8X2KG</t>
  </si>
  <si>
    <t xml:space="preserve">MERMELADA REGIMEL FRUTILLA 24X200GR</t>
  </si>
  <si>
    <t xml:space="preserve">LECHE BREAK CHOCO AVELLANA LONCO18X250ML</t>
  </si>
  <si>
    <t xml:space="preserve">SALTEADO THAI WOK IQF 20X500GR</t>
  </si>
  <si>
    <t xml:space="preserve">YOGURT LONCO S/LACT FRUTILLA POTE24X140G</t>
  </si>
  <si>
    <t xml:space="preserve">SMOOTHIE DETOX FDM 15X500GR</t>
  </si>
  <si>
    <t xml:space="preserve">ENSALADA DE VERDURAS WASIL 16X340GR</t>
  </si>
  <si>
    <t xml:space="preserve">MIX CHOCLO PALMITO WASIL 16X380GR</t>
  </si>
  <si>
    <t xml:space="preserve">ESPARRAGO LC 24X350GR</t>
  </si>
  <si>
    <t xml:space="preserve">SALTEADO THAI WOK 15X400GR</t>
  </si>
  <si>
    <t xml:space="preserve">LONCO L VEGETAL SOYA TRZO FLLA 12X130GR</t>
  </si>
  <si>
    <t xml:space="preserve">FRUTILLA CONV IQF DOY PACK 12X450GR</t>
  </si>
  <si>
    <t xml:space="preserve">LECHE POLVO EXTRA CALCIO LONCO 10X800GR</t>
  </si>
  <si>
    <t xml:space="preserve">PAPAS DUQUESA BBQ 26X500GR</t>
  </si>
  <si>
    <t xml:space="preserve">MARGARINA CONDESA HORNEO VEGETAL 20X1KG</t>
  </si>
  <si>
    <t xml:space="preserve">CHOCLO GRANO 32X260G</t>
  </si>
  <si>
    <t xml:space="preserve">HUMITA HOJA 1X30UN</t>
  </si>
  <si>
    <t xml:space="preserve">QUESO CREMA 6X1,36KG</t>
  </si>
  <si>
    <t xml:space="preserve">SALSA HELADERIA MANJAR 10X1KG</t>
  </si>
  <si>
    <t xml:space="preserve">FRAMBUESA CONVENCIONAL IQF 6X2KG</t>
  </si>
  <si>
    <t xml:space="preserve">QUESO GAUDA CALO BARRA 2x2,5KG</t>
  </si>
  <si>
    <t xml:space="preserve">PIÑAS RODAJAS SUDAF WSL 06XA10</t>
  </si>
  <si>
    <t xml:space="preserve">DURAZNOS TROCITOS WASIL 06XA10</t>
  </si>
  <si>
    <t xml:space="preserve">PREPARADO LACTEO CALO 3LECHES1X10LT</t>
  </si>
  <si>
    <t xml:space="preserve">MARGARINA C/LECHE S/LACT LONCO 12X500GR</t>
  </si>
  <si>
    <t xml:space="preserve">QUESO CHANCO LAS PARCELAS 32X99G</t>
  </si>
  <si>
    <t xml:space="preserve">LECHE CULTIVADA LONCO VLLA LIGHT 6X900ML</t>
  </si>
  <si>
    <t xml:space="preserve">AJO EN CUBO 20X100GR</t>
  </si>
  <si>
    <t xml:space="preserve">YOGURT LONCO S/LACT CHIRIMOYA POT24X140G</t>
  </si>
  <si>
    <t xml:space="preserve">CHAMPINON 16X350GR</t>
  </si>
  <si>
    <t xml:space="preserve">BASE ARVEJADO FDM 30X400GR</t>
  </si>
  <si>
    <t xml:space="preserve">BITES FRUTILLA POTE 12X150G</t>
  </si>
  <si>
    <t xml:space="preserve">TORTILLA PAPAS FDM 20X600GR</t>
  </si>
  <si>
    <t xml:space="preserve">DUQUESAS PASTELERA FDM 25X350GR</t>
  </si>
  <si>
    <t xml:space="preserve">MERMELADA WATTS CIRUELA 24X225GR</t>
  </si>
  <si>
    <t xml:space="preserve">JUGO 100% LIMON 10X1KG</t>
  </si>
  <si>
    <t xml:space="preserve">PULPA MARACUYA CON PEPAS 16X400GR</t>
  </si>
  <si>
    <t xml:space="preserve">MERMELADA WATTS IND GUINDA 6X1KG</t>
  </si>
  <si>
    <t xml:space="preserve">YOGURT LONCO S/LACT FRUTILLA BOT 6X900GR</t>
  </si>
  <si>
    <t xml:space="preserve">BASE ESTOFADO 24X500GR</t>
  </si>
  <si>
    <t xml:space="preserve">NECTAR WTS PROTEIN CIRU-BERRIES 18X250ML</t>
  </si>
  <si>
    <t xml:space="preserve">COCTEL WSL 06XA10</t>
  </si>
  <si>
    <t xml:space="preserve">BITES FRUTILLA FDM 14X250G</t>
  </si>
  <si>
    <t xml:space="preserve">PULPA DE CHIRIMOYA S/AZUCAR 10X1KG</t>
  </si>
  <si>
    <t xml:space="preserve">ONION RINGS FDM 6X1KG</t>
  </si>
  <si>
    <t xml:space="preserve">PREPARADO HELADO BLUE ICE TETRA 12X1LT</t>
  </si>
  <si>
    <t xml:space="preserve">HABAS 12X200GR</t>
  </si>
  <si>
    <t xml:space="preserve">BITES FRAMBUESA DARK 14X250G</t>
  </si>
  <si>
    <t xml:space="preserve">MANTECA VEGETAL BATERKRIM 1X20KG</t>
  </si>
  <si>
    <t xml:space="preserve">TORTILLA PAPAS FM 4X2,5KG</t>
  </si>
  <si>
    <t xml:space="preserve">MARGARINA SUREÑA MIX PAN 40X200</t>
  </si>
  <si>
    <t xml:space="preserve">PAPAS PRE FRITAS SMILE 15X600GR</t>
  </si>
  <si>
    <t xml:space="preserve">POROTOS CON MAZAMORRA FM 9X1KG</t>
  </si>
  <si>
    <t xml:space="preserve">PROBIOTICO CALAN MZNA UNV BOT 8X6X90G</t>
  </si>
  <si>
    <t xml:space="preserve">BITES FRAMBUESA DARK 12X150G</t>
  </si>
  <si>
    <t xml:space="preserve">MERMELADA WATTS IND DAMASCO 6X1GR</t>
  </si>
  <si>
    <t xml:space="preserve">JUGO 100% WATTS MZNA LV 12X1LT</t>
  </si>
  <si>
    <t xml:space="preserve">PAPAS GAJO CON PIEL 25X500GR</t>
  </si>
  <si>
    <t xml:space="preserve">CREMA S/L BATIR LONCO 12X500ML</t>
  </si>
  <si>
    <t xml:space="preserve">YOGURT LONCO S/LACT VAINILLA BOT 6X900GR</t>
  </si>
  <si>
    <t xml:space="preserve">QUESO GOUDA CALO LAMINADO 12X1KG</t>
  </si>
  <si>
    <t xml:space="preserve">SALSA WASIL  A LA BOLOGNESA 24X200GR</t>
  </si>
  <si>
    <t xml:space="preserve">MIX ORIENTAL IQF 26X350GR</t>
  </si>
  <si>
    <t xml:space="preserve">PAPA PREFRITA RODAJA 25X500GR</t>
  </si>
  <si>
    <t xml:space="preserve">MIX DE BERRIES 10X1 KG</t>
  </si>
  <si>
    <t xml:space="preserve">BASE TOMATICAN FM 30X400GR</t>
  </si>
  <si>
    <t xml:space="preserve">QUESO GAUDA CALO LAMINADO 16X233GR</t>
  </si>
  <si>
    <t xml:space="preserve">ACEITE MARAVILLA 1X190LT</t>
  </si>
  <si>
    <t xml:space="preserve">PIÑAS CUBITOS SUD WSL 06XA10</t>
  </si>
  <si>
    <t xml:space="preserve">ALCACHOFA FONDOS FM 5X2KG</t>
  </si>
  <si>
    <t xml:space="preserve">PIMENTON ROJO TIRAS FDM 6X2KG</t>
  </si>
  <si>
    <t xml:space="preserve">CREMA PARA REPOSTRE CALO 12X1LT</t>
  </si>
  <si>
    <t xml:space="preserve">ESPARRAGO CUT&amp;TIP 1X13KG</t>
  </si>
  <si>
    <t xml:space="preserve">LECHE POLVO LONCO PROTEIN 14X550GR</t>
  </si>
  <si>
    <t xml:space="preserve">CEBOLLA 8X1KG</t>
  </si>
  <si>
    <t xml:space="preserve">LECHE CHOCO AVELLANAS LONCO 12X1LT</t>
  </si>
  <si>
    <t xml:space="preserve">BASE ESTOFADO SODEXO 6X2KG</t>
  </si>
  <si>
    <t xml:space="preserve">MANTEQUILLA S/COL LONCO PAN 20X250GR</t>
  </si>
  <si>
    <t xml:space="preserve">BITES ARANDANOS 12X150GR</t>
  </si>
  <si>
    <t xml:space="preserve">MANTEQUILLA LONCOLECHE PAN 20X200GR</t>
  </si>
  <si>
    <t xml:space="preserve">HABAS PELADAS 18X350GR</t>
  </si>
  <si>
    <t xml:space="preserve">QUESO LPV MANTECOSO RUEDA 18X500G</t>
  </si>
  <si>
    <t xml:space="preserve">ZANAHORIA RONDELL 6X2KG</t>
  </si>
  <si>
    <t xml:space="preserve">MELON VERDE FM 6X2KG</t>
  </si>
  <si>
    <t xml:space="preserve">QUESO MANTECOSO ISLA TEJA PIEZA 1X10KG</t>
  </si>
  <si>
    <t xml:space="preserve">BITES ARANDANOS 14X250G</t>
  </si>
  <si>
    <t xml:space="preserve">CAJA MIXTA PULPAS 6X1KG</t>
  </si>
  <si>
    <t xml:space="preserve">SALTEADO MEDITERRANEO IQF 20X500GR</t>
  </si>
  <si>
    <t xml:space="preserve">CREMA REFRIGERADA LONCOLECHE 15X500ML</t>
  </si>
  <si>
    <t xml:space="preserve">HUMITAS FDM 20X600GR</t>
  </si>
  <si>
    <t xml:space="preserve">MERMELADA WATTS INDU MARACUYA 6X1KG</t>
  </si>
  <si>
    <t xml:space="preserve">MARGARINA HORNITO HOJA 1X20KG</t>
  </si>
  <si>
    <t xml:space="preserve">MARGARINA HORNITO PANADERIA BOLSA 10X1KG</t>
  </si>
  <si>
    <t xml:space="preserve">MANTEQUILLA PANIF LONCO 10X1KG</t>
  </si>
  <si>
    <t xml:space="preserve">SALSA CHOCOLATE AMERICANO 10X1KG</t>
  </si>
  <si>
    <t xml:space="preserve">CEBOLLA MORADA 20X150GR</t>
  </si>
  <si>
    <t xml:space="preserve">JARDINERA FM 25X200GR</t>
  </si>
  <si>
    <t xml:space="preserve">SALTEADO MEDITERRANEO 15X400GR</t>
  </si>
  <si>
    <t xml:space="preserve">BASE DE LENTEJAS 20X500GR</t>
  </si>
  <si>
    <t xml:space="preserve">ACAI BOWL 12X150G</t>
  </si>
  <si>
    <t xml:space="preserve">NECTAR WATTS SELECCION GUAYABA 6X1LT</t>
  </si>
  <si>
    <t xml:space="preserve">LECHE LONCO PROTEIN CAPPUCCINO 18X200ML</t>
  </si>
  <si>
    <t xml:space="preserve">YOGURT LONCO S/LACT CHIRIMOY BOT 6X900GR</t>
  </si>
  <si>
    <t xml:space="preserve">GYOZAS DE CERDO FDM 25X200GR</t>
  </si>
  <si>
    <t xml:space="preserve">PULPA DE FRAMBUESA FDM 19X335GR</t>
  </si>
  <si>
    <t xml:space="preserve">PULPA DE MANGO FDM 19X335GR</t>
  </si>
  <si>
    <t xml:space="preserve">YOGURT ACTIVIA FRUTILLA POTE 24X140GR</t>
  </si>
  <si>
    <t xml:space="preserve">SOFRITO CONGELADO FM 8X1KG</t>
  </si>
  <si>
    <t xml:space="preserve">ACAI CUBOS 10X350G</t>
  </si>
  <si>
    <t xml:space="preserve">MERMELADA GOLD/TAMIZ WATTS DSCO 1X5KG</t>
  </si>
  <si>
    <t xml:space="preserve">GARBANZO LA CRIANZA 1X16KG</t>
  </si>
  <si>
    <t xml:space="preserve">MERMELADA WATTS GOLD GUINDA 1X5KG</t>
  </si>
  <si>
    <t xml:space="preserve">YOGURT ACTIVIA NATURAL POTE 24X140GR</t>
  </si>
  <si>
    <t xml:space="preserve">ENSALADA RUSA IQF 30X500GR</t>
  </si>
  <si>
    <t xml:space="preserve">ARROLLADO JAMON QUESO 2X2,5KG</t>
  </si>
  <si>
    <t xml:space="preserve">ARROLLADO PRIMAVERA 25X320GR</t>
  </si>
  <si>
    <t xml:space="preserve">PULPA DE FRUTILLA FDM 19X335GR</t>
  </si>
  <si>
    <t xml:space="preserve">ARROLLADO PRIMAVERA 2X2,5KG</t>
  </si>
  <si>
    <t xml:space="preserve">AROS DE CEBOLLA 22X350GR</t>
  </si>
  <si>
    <t xml:space="preserve">FRUTIMIX 15X400GR</t>
  </si>
  <si>
    <t xml:space="preserve">PULPA DE PIÑA FDM 19X335GR</t>
  </si>
  <si>
    <t xml:space="preserve">POROTO NEGRO LA CRIANZA 1X16KG</t>
  </si>
  <si>
    <t xml:space="preserve">CREMA DE ESPARRAGOS WASIL 16X380GR</t>
  </si>
  <si>
    <t xml:space="preserve">YOGURT DANONE L&amp;F  FRUT BOT 6X900GR</t>
  </si>
  <si>
    <t xml:space="preserve">GYOZAS DE CAMARON FDM 25X200GR</t>
  </si>
  <si>
    <t xml:space="preserve">EDAMAME 18X350G</t>
  </si>
  <si>
    <t xml:space="preserve">MAQUILA</t>
  </si>
  <si>
    <t xml:space="preserve">BASE POLVO P/BROWNIE DOÑA JUANITA 20X1KG</t>
  </si>
  <si>
    <t xml:space="preserve">LENTEJAS FM 8X2KG</t>
  </si>
  <si>
    <t xml:space="preserve">BASE POLVO BIZC 3LEC DOÑA JUANITA 20X1KG</t>
  </si>
  <si>
    <t xml:space="preserve">BASE POLVO P/QUEQUE DOÑA JUANITA 20X1KG</t>
  </si>
  <si>
    <t xml:space="preserve">PASTEL DE CHOCLO FDM 12X550G</t>
  </si>
  <si>
    <t xml:space="preserve">PASTEL DE PAPA FDM 12X550G</t>
  </si>
  <si>
    <t xml:space="preserve">BASE POLVO BIZC/CHOC DOÑA JUANITA 20X1KG</t>
  </si>
  <si>
    <t xml:space="preserve">CEBOLLA CUBO 1X15KG</t>
  </si>
  <si>
    <t xml:space="preserve">TOMATE CUBO B 1X10KG</t>
  </si>
  <si>
    <t xml:space="preserve">ACEITE LA REINA IND VEG 4X5LT</t>
  </si>
  <si>
    <t xml:space="preserve">ZAPALLO 10X1KG</t>
  </si>
  <si>
    <t xml:space="preserve">TUTIMANGO 15X400GR</t>
  </si>
  <si>
    <t xml:space="preserve">EMPANADAS CARNE MONGOLIANA FDM 25X200GR</t>
  </si>
  <si>
    <t xml:space="preserve">RELLENO LES CREMES CINNAMON 1X6 KG</t>
  </si>
  <si>
    <t xml:space="preserve">QUESO CABRA LPV TROZO 20X200GR</t>
  </si>
  <si>
    <t xml:space="preserve">MERMELADA WATTS GOLD LUCUMA 1X5KG</t>
  </si>
  <si>
    <t xml:space="preserve">COBERTURA SACHER SUPREME 1X6 KG</t>
  </si>
  <si>
    <t xml:space="preserve">MERMELADA WATTS GOLD PIÑA 1X5KG</t>
  </si>
  <si>
    <t xml:space="preserve">RELLENO VELA NOCCIOLA 1X6 KG</t>
  </si>
  <si>
    <t xml:space="preserve">GARBANZO FM 8X2KG</t>
  </si>
  <si>
    <t xml:space="preserve">PAPAS RELLENAS QUESO 15X220GR</t>
  </si>
  <si>
    <t xml:space="preserve">YOGURT DANONE L&amp;F  NAT BOT 6X900GR</t>
  </si>
  <si>
    <t xml:space="preserve">COBERTURA SACHER BIANCA 1X6 KG</t>
  </si>
  <si>
    <t xml:space="preserve">PAPAS RELLENAS PINO CHAMPIÑON 15X220GR</t>
  </si>
  <si>
    <t xml:space="preserve">LECHE LONCO PROTEIN CHOCOLATE 18X200ML</t>
  </si>
  <si>
    <t xml:space="preserve">VINO TTO OCHAG SILVESTRE BOT 12X750ML</t>
  </si>
  <si>
    <t xml:space="preserve">VINO STA CAROLINA GRV BLEND ANIV 6X750ML</t>
  </si>
  <si>
    <t xml:space="preserve">MIX DEL HUERTO 30X500GR</t>
  </si>
  <si>
    <t xml:space="preserve">VINO TTO ORO MER 14,5º BOT 12X750ML</t>
  </si>
  <si>
    <t xml:space="preserve">VINO TTO 3EST CAB 13,5º BOT 12X750ML</t>
  </si>
  <si>
    <t xml:space="preserve">VINO TTO ORO CR 14,5º BOT 12X750ML</t>
  </si>
  <si>
    <t xml:space="preserve">VINO BCO ORO SB 13.5º BOT 12X750ML</t>
  </si>
  <si>
    <t xml:space="preserve">VINO TTO ORO CS 14º BOT 12X750ML</t>
  </si>
  <si>
    <t xml:space="preserve">VINO STA CAROLIN GR CS NAC TN21 6X750ML</t>
  </si>
  <si>
    <t xml:space="preserve">VINO BCO LATEHAR SAUV13º BOT 12X500ML</t>
  </si>
  <si>
    <t xml:space="preserve">VINO TTO RSVA ESP VSC ME BOT 6X750ML</t>
  </si>
  <si>
    <t xml:space="preserve">VINO TTO R.FMLIA CR 14,5º BOT 6X750ML</t>
  </si>
  <si>
    <t xml:space="preserve">VINO RSVA ESP VSC SB BOT 6X750ML</t>
  </si>
  <si>
    <t xml:space="preserve">LECHE POLVO CALO CRECER 1+ 10X800GR</t>
  </si>
  <si>
    <t xml:space="preserve">POROTOS BLANCOS SIN SAL WASIL 16X340GR</t>
  </si>
  <si>
    <t xml:space="preserve">ESPUMANTE STA CAROLINA BRUT RRP 6X750ML</t>
  </si>
  <si>
    <t xml:space="preserve">ARANDANO CONVENCIONAL IQF 13,62KG</t>
  </si>
  <si>
    <t xml:space="preserve">ARVEJA IQF 8X2KG</t>
  </si>
  <si>
    <t xml:space="preserve">PAPAYA FUERA DE CORTE 1X10KG</t>
  </si>
  <si>
    <t xml:space="preserve">FRAMBUESA IQF WATTS 1X14KG</t>
  </si>
  <si>
    <t xml:space="preserve">DAMASCO IQF MITADES 1X13KG</t>
  </si>
  <si>
    <t xml:space="preserve">MORA CULTIVADA 1X14KG</t>
  </si>
  <si>
    <t xml:space="preserve">QUINOA BLANCA 10X1KG</t>
  </si>
  <si>
    <t xml:space="preserve">ESPARRAGOS COLAS CAJA F 1X13KG</t>
  </si>
  <si>
    <t xml:space="preserve">PAPA PREFRITA RODAJAS 4X2,5KG</t>
  </si>
  <si>
    <t xml:space="preserve">ESPARRAGOS VERLEAL 20X300GR</t>
  </si>
  <si>
    <t xml:space="preserve">ARANDANOS CONSERVAS 13-16 1X14 KG</t>
  </si>
  <si>
    <t xml:space="preserve">QUINOA VEGGIE 25X400GR</t>
  </si>
  <si>
    <t xml:space="preserve">HABAS TIERNAS 1X16KG</t>
  </si>
  <si>
    <t xml:space="preserve">CHOCLO G.BUTTER-HARDY 1X16KG</t>
  </si>
  <si>
    <t xml:space="preserve">CHOCLO GRANO TURBO O TAMARAK 1X16KG</t>
  </si>
  <si>
    <t xml:space="preserve">PAPAS DUQUESAS FINAS HIERBAS 26X500GR</t>
  </si>
  <si>
    <t xml:space="preserve">MAIZ SUP DULCE G°A GUSTAD 1X16KG</t>
  </si>
  <si>
    <t xml:space="preserve">ARANDANO CALIBRADO 13.16MM 1X16 KG WATTS</t>
  </si>
  <si>
    <t xml:space="preserve">FRUTILLA CUBO 10*10 1X15KG</t>
  </si>
  <si>
    <t xml:space="preserve">CAJA DE PREMIO FDM 1</t>
  </si>
  <si>
    <t xml:space="preserve">MAIZ GRANO ALKOSTO EXPO 15X1KG</t>
  </si>
  <si>
    <t xml:space="preserve">CHOCLO GRANO PF 1X16KG</t>
  </si>
  <si>
    <t xml:space="preserve">ZAPALLO CUBO 4X2,5KG</t>
  </si>
  <si>
    <t xml:space="preserve">ARANDANO DOBLE COBERTURA AVA 12X170GR</t>
  </si>
  <si>
    <t xml:space="preserve">ARANDANO DOBLE COBERTURA DELI 24X170G</t>
  </si>
  <si>
    <t xml:space="preserve">FRAMBUESA DOBLE COBERTU DARK AVA 12X142G</t>
  </si>
  <si>
    <t xml:space="preserve">FRAMBUESA COBERTURA DARK DELI 24X142G</t>
  </si>
  <si>
    <t xml:space="preserve">FRAMBUESA DOBLE COBERTURA DELI 24X142G</t>
  </si>
  <si>
    <t xml:space="preserve">FRAMBUESA DOBLE COBERTURA AVA 12X142G</t>
  </si>
  <si>
    <t xml:space="preserve">FRUTILLA DOBLE COBERTURA AVA 12X170GR</t>
  </si>
  <si>
    <t xml:space="preserve">FRUTILLA COBERTURA CHOCO DELI 24X170G</t>
  </si>
  <si>
    <t xml:space="preserve">FRAMBUESA DOBLE COBERTURA AVA 18X454G</t>
  </si>
  <si>
    <t xml:space="preserve">PASTELERA PARA DUQUESAS 2X5KG</t>
  </si>
  <si>
    <t xml:space="preserve">MORA CONGELADA MM EXP 12X1,02KG</t>
  </si>
  <si>
    <t xml:space="preserve">JUGO DE LIMON FDM 15X400GR</t>
  </si>
  <si>
    <t xml:space="preserve">HABAS GRANEL 1X16KG</t>
  </si>
  <si>
    <t xml:space="preserve">ARANDANO CONGELADO MM EXP 12X1,02KG</t>
  </si>
  <si>
    <t xml:space="preserve">FRUTILLA CONGELADA MM EXP 12X1,02KG</t>
  </si>
  <si>
    <t xml:space="preserve">MIX BERRIES CONGELADO MM EXP 12X1,02KG</t>
  </si>
  <si>
    <t xml:space="preserve">LECHE POLVO CALO CRECER 4+ 10X800GR</t>
  </si>
  <si>
    <t xml:space="preserve">ESPUMANTE STA CAROLINA DEMI RRP 6X750ML</t>
  </si>
  <si>
    <t xml:space="preserve">VINO STA CARO FRZ ROSE NAC TR23 6X750CC</t>
  </si>
  <si>
    <t xml:space="preserve">VINO STA CARO RSV BLCO NAC TR23 6X750CC</t>
  </si>
  <si>
    <t xml:space="preserve">VINO STA CARO FRZ BLCO NAC TR23 6X750CC</t>
  </si>
  <si>
    <t xml:space="preserve">VINO STA CARO RSV TTO NAC TR23 6X750CC</t>
  </si>
  <si>
    <t xml:space="preserve">PREPARADO FRUTA MGO/MCYA TZO 1X1000KG</t>
  </si>
  <si>
    <t xml:space="preserve">PREPARADO FRUTA BERRIES LIGHT 1X1000KG</t>
  </si>
  <si>
    <t xml:space="preserve">PREPARADO FRUTA FRUTILLA LIGHT  1X500KG</t>
  </si>
  <si>
    <t xml:space="preserve">PREPARADO FRUTA DZNO S/A CUB FTO1X1000KG</t>
  </si>
  <si>
    <t xml:space="preserve">GRASA CRUCINA 1X20KG</t>
  </si>
  <si>
    <t xml:space="preserve">PAPAS DUQUESAS FDM BBQ 26X500GR</t>
  </si>
  <si>
    <t xml:space="preserve">ESPARRAGO CUT&amp;TIPS IQF 1X10KG</t>
  </si>
  <si>
    <t xml:space="preserve">MANTEQUILLA CALO BLOQUE BSAL 20 KG</t>
  </si>
  <si>
    <t xml:space="preserve">MARGARINA SWIS BARRA 6X8X200GR</t>
  </si>
  <si>
    <t xml:space="preserve">MARGARINA SWIS BARRA 4X12X90GR</t>
  </si>
  <si>
    <t xml:space="preserve">MARGARINA SWIS POTE 12X450GR</t>
  </si>
  <si>
    <t xml:space="preserve">POROTO BLANCO COCIDO 1X16KG</t>
  </si>
  <si>
    <t xml:space="preserve">SMOOTHIE VITALITY AVALANGE 15X500G</t>
  </si>
  <si>
    <t xml:space="preserve">SMOOTHIE DETOX AVALANGE 15X500G</t>
  </si>
  <si>
    <t xml:space="preserve">BITES FRAMBUESA GRANEL 2X2,5KG</t>
  </si>
  <si>
    <t xml:space="preserve">CHOCLO GRANO 1X16KG</t>
  </si>
  <si>
    <t xml:space="preserve">ZANAHORIA CUBO 6MM 1X14KG</t>
  </si>
  <si>
    <t xml:space="preserve">QUESO MANTECOSO TROZOS</t>
  </si>
  <si>
    <t xml:space="preserve">MIX POROTO GRANADO WATTS 1X16KG</t>
  </si>
  <si>
    <t xml:space="preserve">PAPA CUBO WATTS 1X15KG</t>
  </si>
  <si>
    <t xml:space="preserve">FRUTILLA CONVENCIONAL IQF EXPO 6X2KG</t>
  </si>
  <si>
    <t xml:space="preserve">SOFRITO CAJA FM 1X15KG</t>
  </si>
  <si>
    <t xml:space="preserve">CHOCLO GRANO 30X550GR</t>
  </si>
  <si>
    <t xml:space="preserve">ARVEJA 30X550GR</t>
  </si>
  <si>
    <t xml:space="preserve">ENSALADA PRIMAVERA 30X550GR</t>
  </si>
  <si>
    <t xml:space="preserve">LENTEJAS CAJA FM01 1X16KG</t>
  </si>
  <si>
    <t xml:space="preserve">PREPARADO HELADO STANDAR CHOCO EXP 1X10L</t>
  </si>
  <si>
    <t xml:space="preserve">PREPARADO HELADO STANDARD VLLA EXP 1X10L</t>
  </si>
  <si>
    <t xml:space="preserve">QUESO GAUDA NAC PIEZA 2,5 KG</t>
  </si>
  <si>
    <t xml:space="preserve">QUESO GAUDA EXP PIEZA 2,5 KG</t>
  </si>
  <si>
    <t xml:space="preserve">TOMATE CUBO 10X1KG</t>
  </si>
  <si>
    <t xml:space="preserve">MIX CHOCLO GRANO WATTS 1X16KG</t>
  </si>
  <si>
    <t xml:space="preserve">ZAPALLO CUBO WATTS 1X10KG</t>
  </si>
  <si>
    <t xml:space="preserve">ENSALADA PRIMAVERA AGROS 1X18KG</t>
  </si>
  <si>
    <t xml:space="preserve">FRAMBUESA DOBLE COBERTURA AVA 22X120G</t>
  </si>
  <si>
    <t xml:space="preserve">VERDURAS GRILLADAS LC 24X350GR</t>
  </si>
  <si>
    <t xml:space="preserve">PREPARADO HELADO VAINILLA MCD 2X8,6LT</t>
  </si>
  <si>
    <t xml:space="preserve">PREPARADO HELADO CHOCOLATE MCD 2X8,6LT</t>
  </si>
  <si>
    <t xml:space="preserve">QUINOA BLANCA LC 1X10KG</t>
  </si>
  <si>
    <t xml:space="preserve">LECHE POLVO CALO CRECER+1 BOLSA 6X1,5KG</t>
  </si>
  <si>
    <t xml:space="preserve">ARVEJAS WATTS 1X16KG</t>
  </si>
  <si>
    <t xml:space="preserve">ARVEJAS NESTLE</t>
  </si>
  <si>
    <t xml:space="preserve">SALSA MANJAR CALO 12X1LT</t>
  </si>
  <si>
    <t xml:space="preserve">QUESO GOUDA PIEZA 6X2,5KG EXP</t>
  </si>
  <si>
    <t xml:space="preserve">VINO TTO 3EST CR 13,5º BOT 12X750ML</t>
  </si>
  <si>
    <t xml:space="preserve">QUINOA MIX VERDURAS FDM 10X1KG</t>
  </si>
  <si>
    <t xml:space="preserve">FRAMBUESA DOBLE COBERTURA AVA 2X2,5KG</t>
  </si>
  <si>
    <t xml:space="preserve">ARVEJA CONGELADA 1X13,62KG EXP</t>
  </si>
  <si>
    <t xml:space="preserve">MANTECA CRUCINA SABOR PLUS 1X20KG</t>
  </si>
  <si>
    <t xml:space="preserve">FRAMBUESA COBERT CHOCO CHOCO AVA 22X150G</t>
  </si>
  <si>
    <t xml:space="preserve">ARVEJA CONGELADA 1X16KG EXP</t>
  </si>
  <si>
    <t xml:space="preserve">MAIZ CONGELADO 1X16 KG EXP</t>
  </si>
  <si>
    <t xml:space="preserve">BEBIDA LACTEA NUTRA MAX SNS 20X1KG</t>
  </si>
  <si>
    <t xml:space="preserve">VINO BCO 3EST SAUV13,5º BOT 12X750ML</t>
  </si>
  <si>
    <t xml:space="preserve">VINO TTO 3EST MER 13,5º BOT 12X750ML</t>
  </si>
  <si>
    <t xml:space="preserve">MAIZ SUPER DULCE IQF 1X16KG</t>
  </si>
  <si>
    <t xml:space="preserve">VINO BCO R.FMLIA CY14º BOT 6X750ML</t>
  </si>
  <si>
    <t xml:space="preserve">VINO TTO R.FMLIA CS 14,5º BOT 6X750ML</t>
  </si>
  <si>
    <t xml:space="preserve">VINO BCO ORO CY 14º BOT 12X750ML</t>
  </si>
  <si>
    <t xml:space="preserve">VINO TTO RSVA ESP VSC CR BOT 6X750ML</t>
  </si>
  <si>
    <t xml:space="preserve">VINO TTO RSVA ESP VSC CS BOT 6X750ML</t>
  </si>
  <si>
    <t xml:space="preserve">VINO TTO OCHAG SILVES ME BOT 12X750ML</t>
  </si>
  <si>
    <t xml:space="preserve">VINO TTO OCHAG SILVES CR BOT 12X750ML</t>
  </si>
  <si>
    <t xml:space="preserve">VINO BCO OCHAGAV SB RVA BOT 12X750ML</t>
  </si>
  <si>
    <t xml:space="preserve">VINO TTO PLATA MECS 13,5° BOT 6X750ML</t>
  </si>
  <si>
    <t xml:space="preserve">VINO TTO OCHAGAV CS RVA BOT 12X750ML</t>
  </si>
  <si>
    <t xml:space="preserve">VINO STA CAROLIN GR CR NAC TN21 6X750ML</t>
  </si>
  <si>
    <t xml:space="preserve">VINO STA CAROLIN GR AS NAC TN21 6X750ML</t>
  </si>
  <si>
    <t xml:space="preserve">VINO STA CAROLINA GRV SB NAC TN 6X750ML</t>
  </si>
  <si>
    <t xml:space="preserve">ACEITE SOYA LECITINA 2X10LT</t>
  </si>
  <si>
    <t xml:space="preserve">ACEITE MAIZ CRECER TB1X190LT</t>
  </si>
  <si>
    <t xml:space="preserve">YOGURT GRANEL AGROZZI 1X200KG</t>
  </si>
  <si>
    <t xml:space="preserve">Pedidos por cadena vs FCST — últimas 4 semanas completas (S38 a S41)</t>
  </si>
  <si>
    <t xml:space="preserve">Resumen por cadena arriba; detalle SKU × cadena abajo (filtra la columna Alerta).</t>
  </si>
  <si>
    <t xml:space="preserve">Cadena</t>
  </si>
  <si>
    <t xml:space="preserve">Solicitado (kg)</t>
  </si>
  <si>
    <t xml:space="preserve">FCST (kg)</t>
  </si>
  <si>
    <t xml:space="preserve">Desviación (kg)</t>
  </si>
  <si>
    <t xml:space="preserve">Desviación %</t>
  </si>
  <si>
    <t xml:space="preserve">Ranking volumen pedido</t>
  </si>
  <si>
    <t xml:space="preserve">Ranking desviación |%|</t>
  </si>
  <si>
    <t xml:space="preserve">N° SKU con alerta</t>
  </si>
  <si>
    <t xml:space="preserve">Alvi</t>
  </si>
  <si>
    <t xml:space="preserve">Canal Tradicional</t>
  </si>
  <si>
    <t xml:space="preserve">Ccu</t>
  </si>
  <si>
    <t xml:space="preserve">Cencosud</t>
  </si>
  <si>
    <t xml:space="preserve">Industrial Y Food Service</t>
  </si>
  <si>
    <t xml:space="preserve">Supermercados Region</t>
  </si>
  <si>
    <t xml:space="preserve">Tottus</t>
  </si>
  <si>
    <t xml:space="preserve">Unimarc</t>
  </si>
  <si>
    <t xml:space="preserve">Walmart</t>
  </si>
  <si>
    <t xml:space="preserve">TOTAL</t>
  </si>
  <si>
    <t xml:space="preserve">Alerta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</si>
</sst>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-#,##0;\-"/>
    <numFmt numFmtId="166" formatCode="0.00"/>
    <numFmt numFmtId="167" formatCode="0.0%;\-0.0%;\-"/>
    <numFmt numFmtId="168" formatCode="0"/>
    <numFmt numFmtId="169" formatCode="0.0"/>
    <numFmt numFmtId="170" formatCode="General"/>
    <numFmt numFmtId="171" formatCode="dd\-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001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4444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C8001E"/>
        <bgColor rgb="FFC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C800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C8001E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2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3" t="s">
        <v>10</v>
      </c>
    </row>
    <row r="15" customFormat="false" ht="15" hidden="false" customHeight="false" outlineLevel="0" collapsed="false"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  <c r="K15" s="5" t="s">
        <v>20</v>
      </c>
      <c r="L15" s="5" t="s">
        <v>21</v>
      </c>
    </row>
    <row r="16" customFormat="false" ht="15" hidden="false" customHeight="false" outlineLevel="0" collapsed="false">
      <c r="B16" s="3" t="s">
        <v>22</v>
      </c>
      <c r="C16" s="6" t="n">
        <v>10000</v>
      </c>
      <c r="D16" s="6" t="n">
        <v>10400</v>
      </c>
      <c r="E16" s="6" t="n">
        <v>9800</v>
      </c>
      <c r="F16" s="6" t="n">
        <v>10200</v>
      </c>
      <c r="G16" s="6" t="n">
        <v>9900</v>
      </c>
      <c r="H16" s="6" t="n">
        <v>10100</v>
      </c>
      <c r="I16" s="7" t="n">
        <f aca="false">AVERAGE(C16:H16)</f>
        <v>10066.6666666667</v>
      </c>
      <c r="J16" s="7" t="n">
        <f aca="false">STDEV(C16:H16)</f>
        <v>216.024689946929</v>
      </c>
      <c r="K16" s="8" t="n">
        <f aca="false">J16/I16</f>
        <v>0.0214594062861187</v>
      </c>
      <c r="L16" s="9" t="str">
        <f aca="false">IF(K16&lt;=Parametros!$B$6,"X",IF(K16&lt;=Parametros!$B$7,"Y","Z"))</f>
        <v>X</v>
      </c>
    </row>
    <row r="17" customFormat="false" ht="15" hidden="false" customHeight="false" outlineLevel="0" collapsed="false">
      <c r="B17" s="3" t="s">
        <v>23</v>
      </c>
      <c r="C17" s="6" t="n">
        <v>1500</v>
      </c>
      <c r="D17" s="6" t="n">
        <v>5200</v>
      </c>
      <c r="E17" s="6" t="n">
        <v>1000</v>
      </c>
      <c r="F17" s="6" t="n">
        <v>4800</v>
      </c>
      <c r="G17" s="6" t="n">
        <v>900</v>
      </c>
      <c r="H17" s="6" t="n">
        <v>3500</v>
      </c>
      <c r="I17" s="7" t="n">
        <f aca="false">AVERAGE(C17:H17)</f>
        <v>2816.66666666667</v>
      </c>
      <c r="J17" s="7" t="n">
        <f aca="false">STDEV(C17:H17)</f>
        <v>1938.47018720089</v>
      </c>
      <c r="K17" s="8" t="n">
        <f aca="false">J17/I17</f>
        <v>0.688214267645288</v>
      </c>
      <c r="L17" s="9" t="str">
        <f aca="false">IF(K17&lt;=Parametros!$B$6,"X",IF(K17&lt;=Parametros!$B$7,"Y","Z"))</f>
        <v>Y</v>
      </c>
    </row>
    <row r="18" customFormat="false" ht="15" hidden="false" customHeight="false" outlineLevel="0" collapsed="false">
      <c r="B18" s="3" t="s">
        <v>24</v>
      </c>
      <c r="C18" s="6" t="n">
        <v>200</v>
      </c>
      <c r="D18" s="6" t="n">
        <v>1500</v>
      </c>
      <c r="E18" s="6" t="n">
        <v>0</v>
      </c>
      <c r="F18" s="6" t="n">
        <v>900</v>
      </c>
      <c r="G18" s="6" t="n">
        <v>50</v>
      </c>
      <c r="H18" s="6" t="n">
        <v>1800</v>
      </c>
      <c r="I18" s="7" t="n">
        <f aca="false">AVERAGE(C18:H18)</f>
        <v>741.666666666667</v>
      </c>
      <c r="J18" s="7" t="n">
        <f aca="false">STDEV(C18:H18)</f>
        <v>780.010683687516</v>
      </c>
      <c r="K18" s="8" t="n">
        <f aca="false">J18/I18</f>
        <v>1.05169979823036</v>
      </c>
      <c r="L18" s="9" t="str">
        <f aca="false">IF(K18&lt;=Parametros!$B$6,"X",IF(K18&lt;=Parametros!$B$7,"Y","Z"))</f>
        <v>Z</v>
      </c>
    </row>
    <row r="20" customFormat="false" ht="15" hidden="false" customHeight="false" outlineLevel="0" collapsed="false">
      <c r="B20" s="3" t="s">
        <v>25</v>
      </c>
    </row>
    <row r="21" customFormat="false" ht="15" hidden="false" customHeight="false" outlineLevel="0" collapsed="false">
      <c r="B21" s="3" t="s">
        <v>26</v>
      </c>
    </row>
    <row r="22" customFormat="false" ht="15" hidden="false" customHeight="false" outlineLevel="0" collapsed="false">
      <c r="B22" s="3" t="s">
        <v>27</v>
      </c>
    </row>
    <row r="23" customFormat="false" ht="15" hidden="false" customHeight="false" outlineLevel="0" collapsed="false">
      <c r="B23" s="3" t="s">
        <v>28</v>
      </c>
    </row>
    <row r="24" customFormat="false" ht="15" hidden="false" customHeight="false" outlineLevel="0" collapsed="false">
      <c r="B24" s="3" t="s">
        <v>29</v>
      </c>
    </row>
    <row r="25" customFormat="false" ht="15" hidden="false" customHeight="false" outlineLevel="0" collapsed="false">
      <c r="B25" s="3" t="s">
        <v>30</v>
      </c>
    </row>
    <row r="27" customFormat="false" ht="15" hidden="false" customHeight="false" outlineLevel="0" collapsed="false">
      <c r="B27" s="4" t="s">
        <v>31</v>
      </c>
    </row>
    <row r="28" customFormat="false" ht="15" hidden="false" customHeight="false" outlineLevel="0" collapsed="false">
      <c r="B28" s="3" t="s">
        <v>32</v>
      </c>
    </row>
    <row r="30" customFormat="false" ht="15" hidden="false" customHeight="false" outlineLevel="0" collapsed="false">
      <c r="B30" s="3" t="s">
        <v>33</v>
      </c>
      <c r="D30" s="6" t="n">
        <v>10000</v>
      </c>
    </row>
    <row r="31" customFormat="false" ht="15" hidden="false" customHeight="false" outlineLevel="0" collapsed="false">
      <c r="B31" s="3" t="s">
        <v>34</v>
      </c>
      <c r="D31" s="6" t="n">
        <v>2000</v>
      </c>
    </row>
    <row r="32" customFormat="false" ht="15" hidden="false" customHeight="false" outlineLevel="0" collapsed="false">
      <c r="B32" s="3" t="s">
        <v>35</v>
      </c>
      <c r="D32" s="10" t="n">
        <v>2</v>
      </c>
    </row>
    <row r="33" customFormat="false" ht="15" hidden="false" customHeight="false" outlineLevel="0" collapsed="false">
      <c r="B33" s="3" t="s">
        <v>36</v>
      </c>
      <c r="D33" s="11" t="n">
        <v>0.98</v>
      </c>
    </row>
    <row r="34" customFormat="false" ht="15" hidden="false" customHeight="false" outlineLevel="0" collapsed="false">
      <c r="B34" s="3" t="s">
        <v>37</v>
      </c>
      <c r="D34" s="8" t="n">
        <f aca="false">NORMSINV(D33)</f>
        <v>2.05374891063182</v>
      </c>
    </row>
    <row r="35" customFormat="false" ht="15" hidden="false" customHeight="false" outlineLevel="0" collapsed="false">
      <c r="B35" s="3" t="s">
        <v>38</v>
      </c>
      <c r="D35" s="7" t="n">
        <f aca="false">D34*D31*SQRT(D32)</f>
        <v>5808.87912624899</v>
      </c>
    </row>
    <row r="36" customFormat="false" ht="15" hidden="false" customHeight="false" outlineLevel="0" collapsed="false">
      <c r="B36" s="3" t="s">
        <v>39</v>
      </c>
      <c r="D36" s="7" t="n">
        <f aca="false">D35+D30*D32</f>
        <v>25808.879126249</v>
      </c>
    </row>
    <row r="37" customFormat="false" ht="15" hidden="false" customHeight="false" outlineLevel="0" collapsed="false">
      <c r="B37" s="3" t="s">
        <v>40</v>
      </c>
      <c r="D37" s="12" t="n">
        <v>50</v>
      </c>
    </row>
    <row r="38" customFormat="false" ht="15" hidden="false" customHeight="false" outlineLevel="0" collapsed="false">
      <c r="B38" s="3" t="s">
        <v>41</v>
      </c>
      <c r="D38" s="11" t="n">
        <v>0.35</v>
      </c>
    </row>
    <row r="39" customFormat="false" ht="15" hidden="false" customHeight="false" outlineLevel="0" collapsed="false">
      <c r="B39" s="3" t="s">
        <v>42</v>
      </c>
      <c r="D39" s="13" t="n">
        <f aca="false">D37*D38/7</f>
        <v>2.5</v>
      </c>
    </row>
    <row r="40" customFormat="false" ht="15" hidden="false" customHeight="false" outlineLevel="0" collapsed="false">
      <c r="B40" s="3" t="s">
        <v>43</v>
      </c>
      <c r="D40" s="7" t="n">
        <f aca="false">D30*D39</f>
        <v>25000</v>
      </c>
    </row>
    <row r="41" customFormat="false" ht="15" hidden="false" customHeight="false" outlineLevel="0" collapsed="false">
      <c r="B41" s="3" t="s">
        <v>44</v>
      </c>
      <c r="D41" s="7" t="n">
        <f aca="false">MAX(0,MIN(D35,D40-D30*D32))</f>
        <v>5000</v>
      </c>
    </row>
    <row r="43" customFormat="false" ht="15" hidden="false" customHeight="false" outlineLevel="0" collapsed="false">
      <c r="B43" s="3" t="s">
        <v>45</v>
      </c>
    </row>
    <row r="44" customFormat="false" ht="15" hidden="false" customHeight="false" outlineLevel="0" collapsed="false">
      <c r="B44" s="3" t="s">
        <v>46</v>
      </c>
    </row>
    <row r="45" customFormat="false" ht="15" hidden="false" customHeight="false" outlineLevel="0" collapsed="false">
      <c r="B45" s="3" t="s">
        <v>47</v>
      </c>
    </row>
    <row r="46" customFormat="false" ht="15" hidden="false" customHeight="false" outlineLevel="0" collapsed="false">
      <c r="B46" s="3" t="s">
        <v>48</v>
      </c>
    </row>
    <row r="48" customFormat="false" ht="15" hidden="false" customHeight="false" outlineLevel="0" collapsed="false">
      <c r="B48" s="4" t="s">
        <v>49</v>
      </c>
    </row>
    <row r="49" customFormat="false" ht="15" hidden="false" customHeight="false" outlineLevel="0" collapsed="false">
      <c r="B49" s="3" t="s">
        <v>50</v>
      </c>
    </row>
    <row r="50" customFormat="false" ht="15" hidden="false" customHeight="false" outlineLevel="0" collapsed="false">
      <c r="B50" s="3" t="s">
        <v>51</v>
      </c>
    </row>
    <row r="51" customFormat="false" ht="15" hidden="false" customHeight="false" outlineLevel="0" collapsed="false">
      <c r="B51" s="3" t="s">
        <v>52</v>
      </c>
    </row>
    <row r="52" customFormat="false" ht="15" hidden="false" customHeight="false" outlineLevel="0" collapsed="false">
      <c r="B52" s="3" t="s">
        <v>53</v>
      </c>
    </row>
    <row r="53" customFormat="false" ht="15" hidden="false" customHeight="false" outlineLevel="0" collapsed="false">
      <c r="B53" s="3" t="s">
        <v>54</v>
      </c>
    </row>
    <row r="54" customFormat="false" ht="15" hidden="false" customHeight="false" outlineLevel="0" collapsed="false">
      <c r="B54" s="3" t="s">
        <v>55</v>
      </c>
    </row>
    <row r="55" customFormat="false" ht="15" hidden="false" customHeight="false" outlineLevel="0" collapsed="false">
      <c r="B55" s="3" t="s">
        <v>56</v>
      </c>
    </row>
    <row r="56" customFormat="false" ht="15" hidden="false" customHeight="false" outlineLevel="0" collapsed="false">
      <c r="B56" s="3" t="s">
        <v>57</v>
      </c>
    </row>
    <row r="57" customFormat="false" ht="15" hidden="false" customHeight="false" outlineLevel="0" collapsed="false">
      <c r="B57" s="3" t="s">
        <v>58</v>
      </c>
    </row>
    <row r="58" customFormat="false" ht="15" hidden="false" customHeight="false" outlineLevel="0" collapsed="false">
      <c r="B58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60</v>
      </c>
    </row>
    <row r="3" customFormat="false" ht="42" hidden="false" customHeight="true" outlineLevel="0" collapsed="false">
      <c r="A3" s="14" t="s">
        <v>61</v>
      </c>
      <c r="B3" s="14" t="s">
        <v>62</v>
      </c>
      <c r="C3" s="14" t="s">
        <v>63</v>
      </c>
    </row>
    <row r="4" customFormat="false" ht="15" hidden="false" customHeight="false" outlineLevel="0" collapsed="false">
      <c r="A4" s="3" t="s">
        <v>64</v>
      </c>
      <c r="B4" s="11" t="n">
        <v>0.8</v>
      </c>
      <c r="C4" s="3" t="s">
        <v>65</v>
      </c>
    </row>
    <row r="5" customFormat="false" ht="15" hidden="false" customHeight="false" outlineLevel="0" collapsed="false">
      <c r="A5" s="3" t="s">
        <v>66</v>
      </c>
      <c r="B5" s="11" t="n">
        <v>0.95</v>
      </c>
      <c r="C5" s="3" t="s">
        <v>67</v>
      </c>
    </row>
    <row r="6" customFormat="false" ht="15" hidden="false" customHeight="false" outlineLevel="0" collapsed="false">
      <c r="A6" s="3" t="s">
        <v>68</v>
      </c>
      <c r="B6" s="10" t="n">
        <v>0.5</v>
      </c>
      <c r="C6" s="3" t="s">
        <v>69</v>
      </c>
    </row>
    <row r="7" customFormat="false" ht="15" hidden="false" customHeight="false" outlineLevel="0" collapsed="false">
      <c r="A7" s="3" t="s">
        <v>70</v>
      </c>
      <c r="B7" s="10" t="n">
        <v>1</v>
      </c>
      <c r="C7" s="3" t="s">
        <v>71</v>
      </c>
    </row>
    <row r="8" customFormat="false" ht="15" hidden="false" customHeight="false" outlineLevel="0" collapsed="false">
      <c r="A8" s="3" t="s">
        <v>72</v>
      </c>
      <c r="B8" s="11" t="n">
        <v>0.98</v>
      </c>
      <c r="C8" s="3" t="s">
        <v>73</v>
      </c>
    </row>
    <row r="9" customFormat="false" ht="15" hidden="false" customHeight="false" outlineLevel="0" collapsed="false">
      <c r="A9" s="3" t="s">
        <v>74</v>
      </c>
      <c r="B9" s="11" t="n">
        <v>0.95</v>
      </c>
      <c r="C9" s="3" t="s">
        <v>75</v>
      </c>
    </row>
    <row r="10" customFormat="false" ht="15" hidden="false" customHeight="false" outlineLevel="0" collapsed="false">
      <c r="A10" s="3" t="s">
        <v>76</v>
      </c>
      <c r="B10" s="11" t="n">
        <v>0.9</v>
      </c>
      <c r="C10" s="3" t="s">
        <v>75</v>
      </c>
    </row>
    <row r="11" customFormat="false" ht="15" hidden="false" customHeight="false" outlineLevel="0" collapsed="false">
      <c r="A11" s="3" t="s">
        <v>77</v>
      </c>
      <c r="B11" s="11" t="n">
        <v>0.95</v>
      </c>
      <c r="C11" s="3" t="s">
        <v>78</v>
      </c>
    </row>
    <row r="12" customFormat="false" ht="15" hidden="false" customHeight="false" outlineLevel="0" collapsed="false">
      <c r="A12" s="3" t="s">
        <v>79</v>
      </c>
      <c r="B12" s="10" t="n">
        <v>1</v>
      </c>
      <c r="C12" s="3" t="s">
        <v>80</v>
      </c>
    </row>
    <row r="13" customFormat="false" ht="15" hidden="false" customHeight="false" outlineLevel="0" collapsed="false">
      <c r="A13" s="3" t="s">
        <v>81</v>
      </c>
      <c r="B13" s="11" t="n">
        <v>0.3</v>
      </c>
      <c r="C13" s="3" t="s">
        <v>82</v>
      </c>
    </row>
    <row r="14" customFormat="false" ht="15" hidden="false" customHeight="false" outlineLevel="0" collapsed="false">
      <c r="A14" s="3" t="s">
        <v>83</v>
      </c>
      <c r="B14" s="11" t="n">
        <v>0.2</v>
      </c>
      <c r="C14" s="3" t="s">
        <v>84</v>
      </c>
    </row>
    <row r="15" customFormat="false" ht="15" hidden="false" customHeight="false" outlineLevel="0" collapsed="false">
      <c r="A15" s="3" t="s">
        <v>85</v>
      </c>
      <c r="B15" s="6" t="n">
        <v>2000</v>
      </c>
      <c r="C15" s="3" t="s">
        <v>86</v>
      </c>
    </row>
    <row r="16" customFormat="false" ht="15" hidden="false" customHeight="false" outlineLevel="0" collapsed="false">
      <c r="A16" s="3" t="s">
        <v>87</v>
      </c>
      <c r="B16" s="6" t="n">
        <v>1000</v>
      </c>
      <c r="C16" s="3" t="s">
        <v>88</v>
      </c>
    </row>
    <row r="17" customFormat="false" ht="15" hidden="false" customHeight="false" outlineLevel="0" collapsed="false">
      <c r="A17" s="3" t="s">
        <v>89</v>
      </c>
      <c r="B17" s="6" t="n">
        <v>500</v>
      </c>
      <c r="C17" s="3" t="s">
        <v>90</v>
      </c>
    </row>
    <row r="18" customFormat="false" ht="15" hidden="false" customHeight="false" outlineLevel="0" collapsed="false">
      <c r="A18" s="3" t="s">
        <v>91</v>
      </c>
      <c r="B18" s="11" t="n">
        <v>0.06</v>
      </c>
      <c r="C18" s="3" t="s">
        <v>92</v>
      </c>
    </row>
    <row r="21" customFormat="false" ht="15" hidden="false" customHeight="false" outlineLevel="0" collapsed="false">
      <c r="A21" s="4" t="s">
        <v>93</v>
      </c>
    </row>
    <row r="22" customFormat="false" ht="42" hidden="false" customHeight="true" outlineLevel="0" collapsed="false">
      <c r="A22" s="15" t="s">
        <v>94</v>
      </c>
      <c r="B22" s="15" t="s">
        <v>95</v>
      </c>
      <c r="C22" s="15" t="s">
        <v>96</v>
      </c>
    </row>
    <row r="23" customFormat="false" ht="57.45" hidden="false" customHeight="false" outlineLevel="0" collapsed="false">
      <c r="A23" s="16" t="s">
        <v>97</v>
      </c>
      <c r="B23" s="17" t="s">
        <v>98</v>
      </c>
      <c r="C23" s="17" t="s">
        <v>99</v>
      </c>
    </row>
    <row r="24" customFormat="false" ht="68.65" hidden="false" customHeight="false" outlineLevel="0" collapsed="false">
      <c r="A24" s="16" t="s">
        <v>100</v>
      </c>
      <c r="B24" s="17" t="s">
        <v>101</v>
      </c>
      <c r="C24" s="17" t="s">
        <v>102</v>
      </c>
    </row>
    <row r="25" customFormat="false" ht="68.65" hidden="false" customHeight="false" outlineLevel="0" collapsed="false">
      <c r="A25" s="16" t="s">
        <v>103</v>
      </c>
      <c r="B25" s="17" t="s">
        <v>104</v>
      </c>
      <c r="C25" s="17" t="s">
        <v>105</v>
      </c>
    </row>
    <row r="26" customFormat="false" ht="23.85" hidden="false" customHeight="false" outlineLevel="0" collapsed="false">
      <c r="A26" s="16" t="s">
        <v>106</v>
      </c>
      <c r="B26" s="17" t="s">
        <v>107</v>
      </c>
      <c r="C26" s="17" t="s">
        <v>99</v>
      </c>
    </row>
    <row r="27" customFormat="false" ht="35.05" hidden="false" customHeight="false" outlineLevel="0" collapsed="false">
      <c r="A27" s="16" t="s">
        <v>108</v>
      </c>
      <c r="B27" s="17" t="s">
        <v>109</v>
      </c>
      <c r="C27" s="17" t="s">
        <v>110</v>
      </c>
    </row>
    <row r="28" customFormat="false" ht="57.45" hidden="false" customHeight="false" outlineLevel="0" collapsed="false">
      <c r="A28" s="16" t="s">
        <v>111</v>
      </c>
      <c r="B28" s="17" t="s">
        <v>112</v>
      </c>
      <c r="C28" s="17" t="s">
        <v>102</v>
      </c>
    </row>
    <row r="29" customFormat="false" ht="23.85" hidden="false" customHeight="false" outlineLevel="0" collapsed="false">
      <c r="A29" s="16" t="s">
        <v>113</v>
      </c>
      <c r="B29" s="17" t="s">
        <v>114</v>
      </c>
      <c r="C29" s="17" t="s">
        <v>115</v>
      </c>
    </row>
    <row r="30" customFormat="false" ht="35.05" hidden="false" customHeight="false" outlineLevel="0" collapsed="false">
      <c r="A30" s="16" t="s">
        <v>116</v>
      </c>
      <c r="B30" s="17" t="s">
        <v>117</v>
      </c>
      <c r="C30" s="17" t="s">
        <v>99</v>
      </c>
    </row>
    <row r="31" customFormat="false" ht="57.45" hidden="false" customHeight="false" outlineLevel="0" collapsed="false">
      <c r="A31" s="16" t="s">
        <v>118</v>
      </c>
      <c r="B31" s="17" t="s">
        <v>119</v>
      </c>
      <c r="C31" s="17" t="s">
        <v>99</v>
      </c>
    </row>
    <row r="34" customFormat="false" ht="15" hidden="false" customHeight="false" outlineLevel="0" collapsed="false">
      <c r="A34" s="4" t="s">
        <v>120</v>
      </c>
    </row>
    <row r="35" customFormat="false" ht="42" hidden="false" customHeight="true" outlineLevel="0" collapsed="false">
      <c r="A35" s="15" t="s">
        <v>121</v>
      </c>
      <c r="B35" s="15" t="s">
        <v>122</v>
      </c>
      <c r="C35" s="15" t="s">
        <v>123</v>
      </c>
    </row>
    <row r="36" customFormat="false" ht="15" hidden="false" customHeight="false" outlineLevel="0" collapsed="false">
      <c r="A36" s="3" t="s">
        <v>124</v>
      </c>
      <c r="B36" s="10" t="n">
        <f aca="false">Parametros!$B$12</f>
        <v>1</v>
      </c>
      <c r="C36" s="3" t="s">
        <v>125</v>
      </c>
    </row>
    <row r="37" customFormat="false" ht="15" hidden="false" customHeight="false" outlineLevel="0" collapsed="false">
      <c r="A37" s="3" t="s">
        <v>126</v>
      </c>
      <c r="B37" s="10" t="n">
        <f aca="false">Parametros!$B$12</f>
        <v>1</v>
      </c>
      <c r="C37" s="3" t="s">
        <v>125</v>
      </c>
    </row>
    <row r="38" customFormat="false" ht="15" hidden="false" customHeight="false" outlineLevel="0" collapsed="false">
      <c r="A38" s="3" t="s">
        <v>127</v>
      </c>
      <c r="B38" s="10" t="n">
        <f aca="false">Parametros!$B$12</f>
        <v>1</v>
      </c>
      <c r="C38" s="3" t="s">
        <v>125</v>
      </c>
    </row>
    <row r="39" customFormat="false" ht="15" hidden="false" customHeight="false" outlineLevel="0" collapsed="false">
      <c r="A39" s="3" t="s">
        <v>128</v>
      </c>
      <c r="B39" s="10" t="n">
        <f aca="false">Parametros!$B$12</f>
        <v>1</v>
      </c>
      <c r="C39" s="3" t="s">
        <v>125</v>
      </c>
    </row>
    <row r="40" customFormat="false" ht="15" hidden="false" customHeight="false" outlineLevel="0" collapsed="false">
      <c r="A40" s="3" t="s">
        <v>129</v>
      </c>
      <c r="B40" s="10" t="n">
        <f aca="false">Parametros!$B$12</f>
        <v>1</v>
      </c>
      <c r="C40" s="3" t="s">
        <v>125</v>
      </c>
    </row>
    <row r="41" customFormat="false" ht="15" hidden="false" customHeight="false" outlineLevel="0" collapsed="false">
      <c r="A41" s="3" t="s">
        <v>130</v>
      </c>
      <c r="B41" s="10" t="n">
        <f aca="false">Parametros!$B$12</f>
        <v>1</v>
      </c>
      <c r="C41" s="3" t="s">
        <v>125</v>
      </c>
    </row>
    <row r="42" customFormat="false" ht="15" hidden="false" customHeight="false" outlineLevel="0" collapsed="false">
      <c r="A42" s="3" t="s">
        <v>131</v>
      </c>
      <c r="B42" s="10" t="n">
        <f aca="false">Parametros!$B$12</f>
        <v>1</v>
      </c>
      <c r="C42" s="3" t="s">
        <v>125</v>
      </c>
    </row>
    <row r="43" customFormat="false" ht="15" hidden="false" customHeight="false" outlineLevel="0" collapsed="false">
      <c r="A43" s="3" t="s">
        <v>132</v>
      </c>
      <c r="B43" s="10" t="n">
        <f aca="false">Parametros!$B$12</f>
        <v>1</v>
      </c>
      <c r="C43" s="3" t="s">
        <v>125</v>
      </c>
    </row>
    <row r="44" customFormat="false" ht="15" hidden="false" customHeight="false" outlineLevel="0" collapsed="false">
      <c r="A44" s="3" t="s">
        <v>133</v>
      </c>
      <c r="B44" s="10" t="n">
        <f aca="false">Parametros!$B$12</f>
        <v>1</v>
      </c>
      <c r="C44" s="3" t="s">
        <v>125</v>
      </c>
    </row>
    <row r="45" customFormat="false" ht="15" hidden="false" customHeight="false" outlineLevel="0" collapsed="false">
      <c r="A45" s="3" t="s">
        <v>134</v>
      </c>
      <c r="B45" s="10" t="n">
        <f aca="false">Parametros!$B$12</f>
        <v>1</v>
      </c>
      <c r="C45" s="3" t="s">
        <v>125</v>
      </c>
    </row>
    <row r="46" customFormat="false" ht="15" hidden="false" customHeight="false" outlineLevel="0" collapsed="false">
      <c r="A46" s="3" t="s">
        <v>135</v>
      </c>
      <c r="B46" s="10" t="n">
        <f aca="false">Parametros!$B$12</f>
        <v>1</v>
      </c>
      <c r="C46" s="3" t="s">
        <v>125</v>
      </c>
    </row>
    <row r="47" customFormat="false" ht="15" hidden="false" customHeight="false" outlineLevel="0" collapsed="false">
      <c r="A47" s="3" t="s">
        <v>136</v>
      </c>
      <c r="B47" s="10" t="n">
        <f aca="false">Parametros!$B$12</f>
        <v>1</v>
      </c>
      <c r="C47" s="3" t="s">
        <v>125</v>
      </c>
    </row>
    <row r="48" customFormat="false" ht="15" hidden="false" customHeight="false" outlineLevel="0" collapsed="false">
      <c r="A48" s="3" t="s">
        <v>137</v>
      </c>
      <c r="B48" s="10" t="n">
        <f aca="false">Parametros!$B$12</f>
        <v>1</v>
      </c>
      <c r="C48" s="3" t="s">
        <v>125</v>
      </c>
    </row>
    <row r="49" customFormat="false" ht="15" hidden="false" customHeight="false" outlineLevel="0" collapsed="false">
      <c r="A49" s="3" t="s">
        <v>138</v>
      </c>
      <c r="B49" s="10" t="n">
        <f aca="false">Parametros!$B$12</f>
        <v>1</v>
      </c>
      <c r="C49" s="3" t="s">
        <v>125</v>
      </c>
    </row>
    <row r="50" customFormat="false" ht="15" hidden="false" customHeight="false" outlineLevel="0" collapsed="false">
      <c r="A50" s="3" t="s">
        <v>139</v>
      </c>
      <c r="B50" s="10" t="n">
        <f aca="false">Parametros!$B$12</f>
        <v>1</v>
      </c>
      <c r="C50" s="3" t="s">
        <v>125</v>
      </c>
    </row>
    <row r="51" customFormat="false" ht="15" hidden="false" customHeight="false" outlineLevel="0" collapsed="false">
      <c r="A51" s="3" t="s">
        <v>140</v>
      </c>
      <c r="B51" s="10" t="n">
        <f aca="false">Parametros!$B$12</f>
        <v>1</v>
      </c>
      <c r="C51" s="3" t="s">
        <v>125</v>
      </c>
    </row>
    <row r="52" customFormat="false" ht="15" hidden="false" customHeight="false" outlineLevel="0" collapsed="false">
      <c r="A52" s="3" t="s">
        <v>141</v>
      </c>
      <c r="B52" s="10" t="n">
        <f aca="false">Parametros!$B$12</f>
        <v>1</v>
      </c>
      <c r="C52" s="3" t="s">
        <v>125</v>
      </c>
    </row>
    <row r="53" customFormat="false" ht="15" hidden="false" customHeight="false" outlineLevel="0" collapsed="false">
      <c r="A53" s="3" t="s">
        <v>142</v>
      </c>
      <c r="B53" s="10" t="n">
        <f aca="false">Parametros!$B$12</f>
        <v>1</v>
      </c>
      <c r="C53" s="3" t="s">
        <v>125</v>
      </c>
    </row>
    <row r="54" customFormat="false" ht="15" hidden="false" customHeight="false" outlineLevel="0" collapsed="false">
      <c r="A54" s="3" t="s">
        <v>143</v>
      </c>
      <c r="B54" s="10" t="n">
        <f aca="false">Parametros!$B$12</f>
        <v>1</v>
      </c>
      <c r="C54" s="3" t="s">
        <v>125</v>
      </c>
    </row>
    <row r="55" customFormat="false" ht="15" hidden="false" customHeight="false" outlineLevel="0" collapsed="false">
      <c r="A55" s="3" t="s">
        <v>144</v>
      </c>
      <c r="B55" s="10" t="n">
        <f aca="false">Parametros!$B$12</f>
        <v>1</v>
      </c>
      <c r="C55" s="3" t="s">
        <v>125</v>
      </c>
    </row>
    <row r="56" customFormat="false" ht="15" hidden="false" customHeight="false" outlineLevel="0" collapsed="false">
      <c r="A56" s="3" t="s">
        <v>145</v>
      </c>
      <c r="B56" s="10" t="n">
        <f aca="false">Parametros!$B$12</f>
        <v>1</v>
      </c>
      <c r="C56" s="3" t="s">
        <v>125</v>
      </c>
    </row>
    <row r="57" customFormat="false" ht="15" hidden="false" customHeight="false" outlineLevel="0" collapsed="false">
      <c r="A57" s="3" t="s">
        <v>146</v>
      </c>
      <c r="B57" s="10" t="n">
        <f aca="false">Parametros!$B$12</f>
        <v>1</v>
      </c>
      <c r="C57" s="3" t="s">
        <v>125</v>
      </c>
    </row>
    <row r="58" customFormat="false" ht="15" hidden="false" customHeight="false" outlineLevel="0" collapsed="false">
      <c r="A58" s="3" t="s">
        <v>147</v>
      </c>
      <c r="B58" s="10" t="n">
        <f aca="false">Parametros!$B$12</f>
        <v>1</v>
      </c>
      <c r="C58" s="3" t="s">
        <v>125</v>
      </c>
    </row>
    <row r="59" customFormat="false" ht="15" hidden="false" customHeight="false" outlineLevel="0" collapsed="false">
      <c r="A59" s="3" t="s">
        <v>148</v>
      </c>
      <c r="B59" s="10" t="n">
        <f aca="false">Parametros!$B$12</f>
        <v>1</v>
      </c>
      <c r="C59" s="3" t="s">
        <v>125</v>
      </c>
    </row>
    <row r="60" customFormat="false" ht="15" hidden="false" customHeight="false" outlineLevel="0" collapsed="false">
      <c r="A60" s="3" t="s">
        <v>149</v>
      </c>
      <c r="B60" s="10" t="n">
        <f aca="false">Parametros!$B$12</f>
        <v>1</v>
      </c>
      <c r="C60" s="3" t="s">
        <v>125</v>
      </c>
    </row>
    <row r="61" customFormat="false" ht="15" hidden="false" customHeight="false" outlineLevel="0" collapsed="false">
      <c r="A61" s="3" t="s">
        <v>150</v>
      </c>
      <c r="B61" s="10" t="n">
        <f aca="false">Parametros!$B$12</f>
        <v>1</v>
      </c>
      <c r="C61" s="3" t="s">
        <v>125</v>
      </c>
    </row>
    <row r="62" customFormat="false" ht="15" hidden="false" customHeight="false" outlineLevel="0" collapsed="false">
      <c r="A62" s="3" t="s">
        <v>151</v>
      </c>
      <c r="B62" s="10" t="n">
        <f aca="false">Parametros!$B$12</f>
        <v>1</v>
      </c>
      <c r="C62" s="3" t="s">
        <v>125</v>
      </c>
    </row>
    <row r="63" customFormat="false" ht="15" hidden="false" customHeight="false" outlineLevel="0" collapsed="false">
      <c r="A63" s="3" t="s">
        <v>152</v>
      </c>
      <c r="B63" s="10" t="n">
        <f aca="false">Parametros!$B$12</f>
        <v>1</v>
      </c>
      <c r="C63" s="3" t="s">
        <v>125</v>
      </c>
    </row>
    <row r="64" customFormat="false" ht="15" hidden="false" customHeight="false" outlineLevel="0" collapsed="false">
      <c r="A64" s="3" t="s">
        <v>153</v>
      </c>
      <c r="B64" s="10" t="n">
        <f aca="false">Parametros!$B$12</f>
        <v>1</v>
      </c>
      <c r="C64" s="3" t="s">
        <v>125</v>
      </c>
    </row>
    <row r="65" customFormat="false" ht="15" hidden="false" customHeight="false" outlineLevel="0" collapsed="false">
      <c r="A65" s="3" t="s">
        <v>154</v>
      </c>
      <c r="B65" s="10" t="n">
        <f aca="false">Parametros!$B$12</f>
        <v>1</v>
      </c>
      <c r="C65" s="3" t="s">
        <v>125</v>
      </c>
    </row>
    <row r="66" customFormat="false" ht="15" hidden="false" customHeight="false" outlineLevel="0" collapsed="false">
      <c r="A66" s="3" t="s">
        <v>155</v>
      </c>
      <c r="B66" s="10" t="n">
        <f aca="false">Parametros!$B$12</f>
        <v>1</v>
      </c>
      <c r="C66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6" min="15" style="0" width="9"/>
    <col collapsed="false" customWidth="true" hidden="false" outlineLevel="0" max="17" min="17" style="0" width="8"/>
    <col collapsed="false" customWidth="true" hidden="false" outlineLevel="0" max="20" min="18" style="0" width="12"/>
    <col collapsed="false" customWidth="true" hidden="false" outlineLevel="0" max="22" min="21" style="0" width="9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7" min="26" style="0" width="8"/>
    <col collapsed="false" customWidth="true" hidden="false" outlineLevel="0" max="28" min="28" style="0" width="9"/>
    <col collapsed="false" customWidth="true" hidden="false" outlineLevel="0" max="29" min="29" style="0" width="95"/>
    <col collapsed="false" customWidth="true" hidden="false" outlineLevel="0" max="31" min="31" style="0" width="34"/>
    <col collapsed="false" customWidth="true" hidden="false" outlineLevel="0" max="32" min="32" style="0" width="12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3" t="s">
        <v>157</v>
      </c>
    </row>
    <row r="4" customFormat="false" ht="42" hidden="false" customHeight="true" outlineLevel="0" collapsed="false">
      <c r="A4" s="14" t="s">
        <v>158</v>
      </c>
      <c r="B4" s="14" t="s">
        <v>159</v>
      </c>
      <c r="C4" s="14" t="s">
        <v>121</v>
      </c>
      <c r="D4" s="14" t="s">
        <v>94</v>
      </c>
      <c r="E4" s="14" t="s">
        <v>160</v>
      </c>
      <c r="F4" s="14" t="s">
        <v>161</v>
      </c>
      <c r="G4" s="14" t="s">
        <v>162</v>
      </c>
      <c r="H4" s="14" t="s">
        <v>163</v>
      </c>
      <c r="I4" s="14" t="s">
        <v>164</v>
      </c>
      <c r="J4" s="14" t="s">
        <v>165</v>
      </c>
      <c r="K4" s="14" t="s">
        <v>166</v>
      </c>
      <c r="L4" s="14" t="s">
        <v>167</v>
      </c>
      <c r="M4" s="14" t="s">
        <v>168</v>
      </c>
      <c r="N4" s="14" t="s">
        <v>169</v>
      </c>
      <c r="O4" s="14" t="s">
        <v>170</v>
      </c>
      <c r="P4" s="14" t="s">
        <v>171</v>
      </c>
      <c r="Q4" s="14" t="s">
        <v>172</v>
      </c>
      <c r="R4" s="14" t="s">
        <v>173</v>
      </c>
      <c r="S4" s="14" t="s">
        <v>174</v>
      </c>
      <c r="T4" s="14" t="s">
        <v>175</v>
      </c>
      <c r="U4" s="14" t="s">
        <v>176</v>
      </c>
      <c r="V4" s="14" t="s">
        <v>177</v>
      </c>
      <c r="W4" s="14" t="s">
        <v>178</v>
      </c>
      <c r="X4" s="14" t="s">
        <v>179</v>
      </c>
      <c r="Y4" s="14" t="s">
        <v>180</v>
      </c>
      <c r="Z4" s="14" t="s">
        <v>181</v>
      </c>
      <c r="AA4" s="14" t="s">
        <v>182</v>
      </c>
      <c r="AB4" s="14" t="s">
        <v>183</v>
      </c>
      <c r="AC4" s="14" t="s">
        <v>184</v>
      </c>
      <c r="AE4" s="2" t="s">
        <v>185</v>
      </c>
    </row>
    <row r="5" customFormat="false" ht="15" hidden="false" customHeight="false" outlineLevel="0" collapsed="false">
      <c r="A5" s="18" t="n">
        <f aca="false">Stock_Seguridad!A5</f>
        <v>30000522</v>
      </c>
      <c r="B5" s="18" t="str">
        <f aca="false">Stock_Seguridad!B5</f>
        <v>LECHE BLANCA LONCO ENTERA BASE 12X1LT</v>
      </c>
      <c r="C5" s="18" t="str">
        <f aca="false">Stock_Seguridad!C5</f>
        <v>LECHES LIQUIDAS</v>
      </c>
      <c r="D5" s="18" t="str">
        <f aca="false">Stock_Seguridad!F5</f>
        <v>AX</v>
      </c>
      <c r="E5" s="19" t="str">
        <f aca="false">Stock_Seguridad!X5</f>
        <v>OK</v>
      </c>
      <c r="F5" s="20" t="n">
        <f aca="false">Stock_Seguridad!W5</f>
        <v>1.66697899416686</v>
      </c>
      <c r="G5" s="21" t="n">
        <f aca="false">Stock_Seguridad!T5</f>
        <v>276372</v>
      </c>
      <c r="H5" s="21" t="n">
        <f aca="false">Stock_Seguridad!R5</f>
        <v>203849.724196651</v>
      </c>
      <c r="I5" s="21" t="n">
        <f aca="false">Stock_Seguridad!S5</f>
        <v>530963.624196651</v>
      </c>
      <c r="J5" s="21" t="n">
        <f aca="false">Stock_Seguridad!U5</f>
        <v>268920</v>
      </c>
      <c r="K5" s="22" t="n">
        <v>46321</v>
      </c>
      <c r="L5" s="23" t="n">
        <v>684</v>
      </c>
      <c r="M5" s="23" t="n">
        <v>16080</v>
      </c>
      <c r="N5" s="23" t="n">
        <v>0</v>
      </c>
      <c r="O5" s="24" t="n">
        <v>0.0332376715195031</v>
      </c>
      <c r="P5" s="24" t="n">
        <f aca="false">IF(ISNUMBER(Stock_Seguridad!N5),Stock_Seguridad!N5,"")</f>
        <v>0.18848167539267</v>
      </c>
      <c r="Q5" s="24" t="n">
        <f aca="false">IF(AND(ISNUMBER(O5),ISNUMBER(P5)),P5-O5,"")</f>
        <v>0.155244003873167</v>
      </c>
      <c r="R5" s="23" t="n">
        <f aca="false">MAX(0,G5-N(L5))</f>
        <v>275688</v>
      </c>
      <c r="S5" s="23" t="n">
        <f aca="false">SUMIFS(Cadenas_vs_FCST!$D$17:$D$2437,Cadenas_vs_FCST!$A$17:$A$2437,A5)</f>
        <v>1522272</v>
      </c>
      <c r="T5" s="23" t="n">
        <f aca="false">SUMIFS(Cadenas_vs_FCST!$E$17:$E$2437,Cadenas_vs_FCST!$A$17:$A$2437,A5)</f>
        <v>1455276.11150031</v>
      </c>
      <c r="U5" s="24" t="n">
        <f aca="false">IF(T5&gt;0,S5/T5-1,"")</f>
        <v>0.0460365479583256</v>
      </c>
      <c r="V5" s="3" t="str">
        <f aca="false">IF(OR(E5="BAJO SS",E5="BAJO SS (XLIB CUBRE)"),"SÍ","")</f>
        <v/>
      </c>
      <c r="W5" s="3" t="str">
        <f aca="false">IF(AND(V5="",N(L5)&gt;=Parametros!$B$17,G5&gt;=H5,R5&lt;H5),"SÍ","")</f>
        <v/>
      </c>
      <c r="X5" s="3" t="str">
        <f aca="false">IF(OR(E5="SOBRE MAX VENDIBLE",N(N5)&gt;=Parametros!$B$17,N(M5)&gt;=Parametros!$B$17),"SÍ","")</f>
        <v>SÍ</v>
      </c>
      <c r="Y5" s="3" t="str">
        <f aca="false">IF(AND(ISNUMBER(U5),MAX(S5,T5)&gt;=Parametros!$B$15,ABS(N(U5))&gt;Parametros!$B$14),"SÍ","")</f>
        <v/>
      </c>
      <c r="Z5" s="3" t="n">
        <f aca="false">COUNTIF(V5:Y5,"SÍ")</f>
        <v>1</v>
      </c>
      <c r="AA5" s="3" t="n">
        <f aca="false">(3*(V5="SÍ")+2*(W5="SÍ")+2*(X5="SÍ")+(Y5="SÍ"))*IF(LEFT(D5,1)="A",3,IF(OR(LEFT(D5,1)="B",D5="SIN HIST"),2,1))</f>
        <v>6</v>
      </c>
      <c r="AB5" s="3" t="str">
        <f aca="false">IF(AA5&gt;=9,"1-ALTA",IF(AA5&gt;=4,"2-MEDIA",IF(AA5&gt;0,"3-BAJA","")))</f>
        <v>2-MEDIA</v>
      </c>
      <c r="AC5" s="3" t="str">
        <f aca="false">IF(E5="BAJO SS","Stock + XLIB bajo el SS: riesgo real de quiebre, adelantar producción. ","")&amp;IF(E5="BAJO SS (XLIB CUBRE)","Disponible bajo el SS; depende de liberar "&amp;TEXT(J5,"#,##0")&amp;" kg"&amp;IF(ISNUMBER(K5)," el "&amp;TEXT(K5,"dd-mm"),"")&amp;". ","")&amp;IF(W5="SÍ","Stock parece sano pero "&amp;TEXT(L5,"#,##0")&amp;" kg no pasan filtro "&amp;Stock_Seguridad!O5&amp;": sin ellos queda bajo el SS para esa cadena. ","")&amp;IF(E5="SOBRE MAX VENDIBLE","Sobrestock vs vida útil: frenar producción/activar venta. ","")&amp;IF(N(N5)&gt;=Parametros!$B$17,TEXT(N5,"#,##0")&amp;" kg ya no los acepta ninguna cadena: venta intermedia/liquidación. ","")&amp;IF(N(M5)&gt;=Parametros!$B$17,TEXT(M5,"#,##0")&amp;" kg a punto de salir del filtro: despachar primero (FEFO). ","")&amp;IF(Y5="SÍ","Pedidos "&amp;IF(N(U5)&gt;0,"sobre","bajo")&amp;" FCST "&amp;TEXT(ABS(N(U5)),"0%")&amp;": revisar forecast con KAM.","")</f>
        <v>16,080 kg a punto de salir del filtro: despachar primero (FEFO). </v>
      </c>
      <c r="AE5" s="3" t="s">
        <v>186</v>
      </c>
      <c r="AF5" s="25" t="n">
        <f aca="false">COUNTIF(V5:V826,"SÍ")</f>
        <v>78</v>
      </c>
    </row>
    <row r="6" customFormat="false" ht="15" hidden="false" customHeight="false" outlineLevel="0" collapsed="false">
      <c r="A6" s="18" t="n">
        <f aca="false">Stock_Seguridad!A6</f>
        <v>30000325</v>
      </c>
      <c r="B6" s="18" t="str">
        <f aca="false">Stock_Seguridad!B6</f>
        <v>LECHE  LONCO ENTERA S/LAC NAT 12X1LT</v>
      </c>
      <c r="C6" s="18" t="str">
        <f aca="false">Stock_Seguridad!C6</f>
        <v>LECHES LIQUIDAS</v>
      </c>
      <c r="D6" s="18" t="str">
        <f aca="false">Stock_Seguridad!F6</f>
        <v>AX</v>
      </c>
      <c r="E6" s="19" t="str">
        <f aca="false">Stock_Seguridad!X6</f>
        <v>OK</v>
      </c>
      <c r="F6" s="20" t="n">
        <f aca="false">Stock_Seguridad!W6</f>
        <v>4.54091733470048</v>
      </c>
      <c r="G6" s="21" t="n">
        <f aca="false">Stock_Seguridad!T6</f>
        <v>582228</v>
      </c>
      <c r="H6" s="21" t="n">
        <f aca="false">Stock_Seguridad!R6</f>
        <v>54787.8340011071</v>
      </c>
      <c r="I6" s="21" t="n">
        <f aca="false">Stock_Seguridad!S6</f>
        <v>236577.534001107</v>
      </c>
      <c r="J6" s="21" t="n">
        <f aca="false">Stock_Seguridad!U6</f>
        <v>243264</v>
      </c>
      <c r="K6" s="22" t="n">
        <v>46322</v>
      </c>
      <c r="L6" s="23" t="n">
        <v>1512</v>
      </c>
      <c r="M6" s="23" t="n">
        <v>89844</v>
      </c>
      <c r="N6" s="23" t="n">
        <v>768</v>
      </c>
      <c r="O6" s="24" t="n">
        <v>0.105105909718689</v>
      </c>
      <c r="P6" s="24" t="n">
        <f aca="false">IF(ISNUMBER(Stock_Seguridad!N6),Stock_Seguridad!N6,"")</f>
        <v>0.255434782608696</v>
      </c>
      <c r="Q6" s="24" t="n">
        <f aca="false">IF(AND(ISNUMBER(O6),ISNUMBER(P6)),P6-O6,"")</f>
        <v>0.150328872890007</v>
      </c>
      <c r="R6" s="23" t="n">
        <f aca="false">MAX(0,G6-N(L6))</f>
        <v>580716</v>
      </c>
      <c r="S6" s="23" t="n">
        <f aca="false">SUMIFS(Cadenas_vs_FCST!$D$17:$D$2437,Cadenas_vs_FCST!$A$17:$A$2437,A6)</f>
        <v>502932</v>
      </c>
      <c r="T6" s="23" t="n">
        <f aca="false">SUMIFS(Cadenas_vs_FCST!$E$17:$E$2437,Cadenas_vs_FCST!$A$17:$A$2437,A6)</f>
        <v>543530.176497465</v>
      </c>
      <c r="U6" s="24" t="n">
        <f aca="false">IF(T6&gt;0,S6/T6-1,"")</f>
        <v>-0.074693509676098</v>
      </c>
      <c r="V6" s="3" t="str">
        <f aca="false">IF(OR(E6="BAJO SS",E6="BAJO SS (XLIB CUBRE)"),"SÍ","")</f>
        <v/>
      </c>
      <c r="W6" s="3" t="str">
        <f aca="false">IF(AND(V6="",N(L6)&gt;=Parametros!$B$17,G6&gt;=H6,R6&lt;H6),"SÍ","")</f>
        <v/>
      </c>
      <c r="X6" s="3" t="str">
        <f aca="false">IF(OR(E6="SOBRE MAX VENDIBLE",N(N6)&gt;=Parametros!$B$17,N(M6)&gt;=Parametros!$B$17),"SÍ","")</f>
        <v>SÍ</v>
      </c>
      <c r="Y6" s="3" t="str">
        <f aca="false">IF(AND(ISNUMBER(U6),MAX(S6,T6)&gt;=Parametros!$B$15,ABS(N(U6))&gt;Parametros!$B$14),"SÍ","")</f>
        <v/>
      </c>
      <c r="Z6" s="3" t="n">
        <f aca="false">COUNTIF(V6:Y6,"SÍ")</f>
        <v>1</v>
      </c>
      <c r="AA6" s="3" t="n">
        <f aca="false">(3*(V6="SÍ")+2*(W6="SÍ")+2*(X6="SÍ")+(Y6="SÍ"))*IF(LEFT(D6,1)="A",3,IF(OR(LEFT(D6,1)="B",D6="SIN HIST"),2,1))</f>
        <v>6</v>
      </c>
      <c r="AB6" s="3" t="str">
        <f aca="false">IF(AA6&gt;=9,"1-ALTA",IF(AA6&gt;=4,"2-MEDIA",IF(AA6&gt;0,"3-BAJA","")))</f>
        <v>2-MEDIA</v>
      </c>
      <c r="AC6" s="3" t="str">
        <f aca="false">IF(E6="BAJO SS","Stock + XLIB bajo el SS: riesgo real de quiebre, adelantar producción. ","")&amp;IF(E6="BAJO SS (XLIB CUBRE)","Disponible bajo el SS; depende de liberar "&amp;TEXT(J6,"#,##0")&amp;" kg"&amp;IF(ISNUMBER(K6)," el "&amp;TEXT(K6,"dd-mm"),"")&amp;". ","")&amp;IF(W6="SÍ","Stock parece sano pero "&amp;TEXT(L6,"#,##0")&amp;" kg no pasan filtro "&amp;Stock_Seguridad!O6&amp;": sin ellos queda bajo el SS para esa cadena. ","")&amp;IF(E6="SOBRE MAX VENDIBLE","Sobrestock vs vida útil: frenar producción/activar venta. ","")&amp;IF(N(N6)&gt;=Parametros!$B$17,TEXT(N6,"#,##0")&amp;" kg ya no los acepta ninguna cadena: venta intermedia/liquidación. ","")&amp;IF(N(M6)&gt;=Parametros!$B$17,TEXT(M6,"#,##0")&amp;" kg a punto de salir del filtro: despachar primero (FEFO). ","")&amp;IF(Y6="SÍ","Pedidos "&amp;IF(N(U6)&gt;0,"sobre","bajo")&amp;" FCST "&amp;TEXT(ABS(N(U6)),"0%")&amp;": revisar forecast con KAM.","")</f>
        <v>768 kg ya no los acepta ninguna cadena: venta intermedia/liquidación. 89,844 kg a punto de salir del filtro: despachar primero (FEFO). </v>
      </c>
      <c r="AE6" s="3" t="s">
        <v>187</v>
      </c>
      <c r="AF6" s="25" t="n">
        <f aca="false">COUNTIF(W5:W826,"SÍ")</f>
        <v>17</v>
      </c>
    </row>
    <row r="7" customFormat="false" ht="15" hidden="false" customHeight="false" outlineLevel="0" collapsed="false">
      <c r="A7" s="18" t="n">
        <f aca="false">Stock_Seguridad!A7</f>
        <v>30000326</v>
      </c>
      <c r="B7" s="18" t="str">
        <f aca="false">Stock_Seguridad!B7</f>
        <v>LECHE LONCO SEMIDESCREMADA S/LACT 12X1LT</v>
      </c>
      <c r="C7" s="18" t="str">
        <f aca="false">Stock_Seguridad!C7</f>
        <v>LECHES LIQUIDAS</v>
      </c>
      <c r="D7" s="18" t="str">
        <f aca="false">Stock_Seguridad!F7</f>
        <v>AX</v>
      </c>
      <c r="E7" s="19" t="str">
        <f aca="false">Stock_Seguridad!X7</f>
        <v>OK</v>
      </c>
      <c r="F7" s="20" t="n">
        <f aca="false">Stock_Seguridad!W7</f>
        <v>2.25461973330265</v>
      </c>
      <c r="G7" s="21" t="n">
        <f aca="false">Stock_Seguridad!T7</f>
        <v>236280</v>
      </c>
      <c r="H7" s="21" t="n">
        <f aca="false">Stock_Seguridad!R7</f>
        <v>37565.4474043127</v>
      </c>
      <c r="I7" s="21" t="n">
        <f aca="false">Stock_Seguridad!S7</f>
        <v>211357.947404313</v>
      </c>
      <c r="J7" s="21" t="n">
        <f aca="false">Stock_Seguridad!U7</f>
        <v>155556</v>
      </c>
      <c r="K7" s="22" t="n">
        <v>46319</v>
      </c>
      <c r="L7" s="23" t="n">
        <v>15576</v>
      </c>
      <c r="M7" s="23" t="n">
        <v>0</v>
      </c>
      <c r="N7" s="23" t="n">
        <v>4248</v>
      </c>
      <c r="O7" s="24" t="n">
        <v>0.0763870750176278</v>
      </c>
      <c r="P7" s="24" t="n">
        <f aca="false">IF(ISNUMBER(Stock_Seguridad!N7),Stock_Seguridad!N7,"")</f>
        <v>0.239130434782609</v>
      </c>
      <c r="Q7" s="24" t="n">
        <f aca="false">IF(AND(ISNUMBER(O7),ISNUMBER(P7)),P7-O7,"")</f>
        <v>0.162743359764981</v>
      </c>
      <c r="R7" s="23" t="n">
        <f aca="false">MAX(0,G7-N(L7))</f>
        <v>220704</v>
      </c>
      <c r="S7" s="23" t="n">
        <f aca="false">SUMIFS(Cadenas_vs_FCST!$D$17:$D$2437,Cadenas_vs_FCST!$A$17:$A$2437,A7)</f>
        <v>482760</v>
      </c>
      <c r="T7" s="23" t="n">
        <f aca="false">SUMIFS(Cadenas_vs_FCST!$E$17:$E$2437,Cadenas_vs_FCST!$A$17:$A$2437,A7)</f>
        <v>521443.369500659</v>
      </c>
      <c r="U7" s="24" t="n">
        <f aca="false">IF(T7&gt;0,S7/T7-1,"")</f>
        <v>-0.0741851786085658</v>
      </c>
      <c r="V7" s="3" t="str">
        <f aca="false">IF(OR(E7="BAJO SS",E7="BAJO SS (XLIB CUBRE)"),"SÍ","")</f>
        <v/>
      </c>
      <c r="W7" s="3" t="str">
        <f aca="false">IF(AND(V7="",N(L7)&gt;=Parametros!$B$17,G7&gt;=H7,R7&lt;H7),"SÍ","")</f>
        <v/>
      </c>
      <c r="X7" s="3" t="str">
        <f aca="false">IF(OR(E7="SOBRE MAX VENDIBLE",N(N7)&gt;=Parametros!$B$17,N(M7)&gt;=Parametros!$B$17),"SÍ","")</f>
        <v>SÍ</v>
      </c>
      <c r="Y7" s="3" t="str">
        <f aca="false">IF(AND(ISNUMBER(U7),MAX(S7,T7)&gt;=Parametros!$B$15,ABS(N(U7))&gt;Parametros!$B$14),"SÍ","")</f>
        <v/>
      </c>
      <c r="Z7" s="3" t="n">
        <f aca="false">COUNTIF(V7:Y7,"SÍ")</f>
        <v>1</v>
      </c>
      <c r="AA7" s="3" t="n">
        <f aca="false">(3*(V7="SÍ")+2*(W7="SÍ")+2*(X7="SÍ")+(Y7="SÍ"))*IF(LEFT(D7,1)="A",3,IF(OR(LEFT(D7,1)="B",D7="SIN HIST"),2,1))</f>
        <v>6</v>
      </c>
      <c r="AB7" s="3" t="str">
        <f aca="false">IF(AA7&gt;=9,"1-ALTA",IF(AA7&gt;=4,"2-MEDIA",IF(AA7&gt;0,"3-BAJA","")))</f>
        <v>2-MEDIA</v>
      </c>
      <c r="AC7" s="3" t="str">
        <f aca="false">IF(E7="BAJO SS","Stock + XLIB bajo el SS: riesgo real de quiebre, adelantar producción. ","")&amp;IF(E7="BAJO SS (XLIB CUBRE)","Disponible bajo el SS; depende de liberar "&amp;TEXT(J7,"#,##0")&amp;" kg"&amp;IF(ISNUMBER(K7)," el "&amp;TEXT(K7,"dd-mm"),"")&amp;". ","")&amp;IF(W7="SÍ","Stock parece sano pero "&amp;TEXT(L7,"#,##0")&amp;" kg no pasan filtro "&amp;Stock_Seguridad!O7&amp;": sin ellos queda bajo el SS para esa cadena. ","")&amp;IF(E7="SOBRE MAX VENDIBLE","Sobrestock vs vida útil: frenar producción/activar venta. ","")&amp;IF(N(N7)&gt;=Parametros!$B$17,TEXT(N7,"#,##0")&amp;" kg ya no los acepta ninguna cadena: venta intermedia/liquidación. ","")&amp;IF(N(M7)&gt;=Parametros!$B$17,TEXT(M7,"#,##0")&amp;" kg a punto de salir del filtro: despachar primero (FEFO). ","")&amp;IF(Y7="SÍ","Pedidos "&amp;IF(N(U7)&gt;0,"sobre","bajo")&amp;" FCST "&amp;TEXT(ABS(N(U7)),"0%")&amp;": revisar forecast con KAM.","")</f>
        <v>4,248 kg ya no los acepta ninguna cadena: venta intermedia/liquidación. </v>
      </c>
      <c r="AE7" s="3" t="s">
        <v>188</v>
      </c>
      <c r="AF7" s="25" t="n">
        <f aca="false">COUNTIF(X5:X826,"SÍ")</f>
        <v>168</v>
      </c>
    </row>
    <row r="8" customFormat="false" ht="15" hidden="false" customHeight="false" outlineLevel="0" collapsed="false">
      <c r="A8" s="18" t="n">
        <f aca="false">Stock_Seguridad!A8</f>
        <v>30000353</v>
      </c>
      <c r="B8" s="18" t="str">
        <f aca="false">Stock_Seguridad!B8</f>
        <v>LECHE LONCO DESC S/LACTOSA 12X1LT</v>
      </c>
      <c r="C8" s="18" t="str">
        <f aca="false">Stock_Seguridad!C8</f>
        <v>LECHES LIQUIDAS</v>
      </c>
      <c r="D8" s="18" t="str">
        <f aca="false">Stock_Seguridad!F8</f>
        <v>AX</v>
      </c>
      <c r="E8" s="19" t="str">
        <f aca="false">Stock_Seguridad!X8</f>
        <v>OK</v>
      </c>
      <c r="F8" s="20" t="n">
        <f aca="false">Stock_Seguridad!W8</f>
        <v>1.85389809699202</v>
      </c>
      <c r="G8" s="21" t="n">
        <f aca="false">Stock_Seguridad!T8</f>
        <v>218316</v>
      </c>
      <c r="H8" s="21" t="n">
        <f aca="false">Stock_Seguridad!R8</f>
        <v>51160.8282008819</v>
      </c>
      <c r="I8" s="21" t="n">
        <f aca="false">Stock_Seguridad!S8</f>
        <v>183109.828200882</v>
      </c>
      <c r="J8" s="21" t="n">
        <f aca="false">Stock_Seguridad!U8</f>
        <v>26304</v>
      </c>
      <c r="K8" s="22" t="n">
        <v>46318</v>
      </c>
      <c r="L8" s="23" t="n">
        <v>2208</v>
      </c>
      <c r="M8" s="23" t="n">
        <v>252</v>
      </c>
      <c r="N8" s="23" t="n">
        <v>312</v>
      </c>
      <c r="O8" s="24" t="n">
        <v>0.0712468482721115</v>
      </c>
      <c r="P8" s="24" t="n">
        <f aca="false">IF(ISNUMBER(Stock_Seguridad!N8),Stock_Seguridad!N8,"")</f>
        <v>0.239130434782609</v>
      </c>
      <c r="Q8" s="24" t="n">
        <f aca="false">IF(AND(ISNUMBER(O8),ISNUMBER(P8)),P8-O8,"")</f>
        <v>0.167883586510497</v>
      </c>
      <c r="R8" s="23" t="n">
        <f aca="false">MAX(0,G8-N(L8))</f>
        <v>216108</v>
      </c>
      <c r="S8" s="23" t="n">
        <f aca="false">SUMIFS(Cadenas_vs_FCST!$D$17:$D$2437,Cadenas_vs_FCST!$A$17:$A$2437,A8)</f>
        <v>427464</v>
      </c>
      <c r="T8" s="23" t="n">
        <f aca="false">SUMIFS(Cadenas_vs_FCST!$E$17:$E$2437,Cadenas_vs_FCST!$A$17:$A$2437,A8)</f>
        <v>393661.158237621</v>
      </c>
      <c r="U8" s="24" t="n">
        <f aca="false">IF(T8&gt;0,S8/T8-1,"")</f>
        <v>0.0858678613701964</v>
      </c>
      <c r="V8" s="3" t="str">
        <f aca="false">IF(OR(E8="BAJO SS",E8="BAJO SS (XLIB CUBRE)"),"SÍ","")</f>
        <v/>
      </c>
      <c r="W8" s="3" t="str">
        <f aca="false">IF(AND(V8="",N(L8)&gt;=Parametros!$B$17,G8&gt;=H8,R8&lt;H8),"SÍ","")</f>
        <v/>
      </c>
      <c r="X8" s="3" t="str">
        <f aca="false">IF(OR(E8="SOBRE MAX VENDIBLE",N(N8)&gt;=Parametros!$B$17,N(M8)&gt;=Parametros!$B$17),"SÍ","")</f>
        <v/>
      </c>
      <c r="Y8" s="3" t="str">
        <f aca="false">IF(AND(ISNUMBER(U8),MAX(S8,T8)&gt;=Parametros!$B$15,ABS(N(U8))&gt;Parametros!$B$14),"SÍ","")</f>
        <v/>
      </c>
      <c r="Z8" s="3" t="n">
        <f aca="false">COUNTIF(V8:Y8,"SÍ")</f>
        <v>0</v>
      </c>
      <c r="AA8" s="3" t="n">
        <f aca="false">(3*(V8="SÍ")+2*(W8="SÍ")+2*(X8="SÍ")+(Y8="SÍ"))*IF(LEFT(D8,1)="A",3,IF(OR(LEFT(D8,1)="B",D8="SIN HIST"),2,1))</f>
        <v>0</v>
      </c>
      <c r="AB8" s="3" t="str">
        <f aca="false">IF(AA8&gt;=9,"1-ALTA",IF(AA8&gt;=4,"2-MEDIA",IF(AA8&gt;0,"3-BAJA","")))</f>
        <v/>
      </c>
      <c r="AC8" s="3" t="str">
        <f aca="false">IF(E8="BAJO SS","Stock + XLIB bajo el SS: riesgo real de quiebre, adelantar producción. ","")&amp;IF(E8="BAJO SS (XLIB CUBRE)","Disponible bajo el SS; depende de liberar "&amp;TEXT(J8,"#,##0")&amp;" kg"&amp;IF(ISNUMBER(K8)," el "&amp;TEXT(K8,"dd-mm"),"")&amp;". ","")&amp;IF(W8="SÍ","Stock parece sano pero "&amp;TEXT(L8,"#,##0")&amp;" kg no pasan filtro "&amp;Stock_Seguridad!O8&amp;": sin ellos queda bajo el SS para esa cadena. ","")&amp;IF(E8="SOBRE MAX VENDIBLE","Sobrestock vs vida útil: frenar producción/activar venta. ","")&amp;IF(N(N8)&gt;=Parametros!$B$17,TEXT(N8,"#,##0")&amp;" kg ya no los acepta ninguna cadena: venta intermedia/liquidación. ","")&amp;IF(N(M8)&gt;=Parametros!$B$17,TEXT(M8,"#,##0")&amp;" kg a punto de salir del filtro: despachar primero (FEFO). ","")&amp;IF(Y8="SÍ","Pedidos "&amp;IF(N(U8)&gt;0,"sobre","bajo")&amp;" FCST "&amp;TEXT(ABS(N(U8)),"0%")&amp;": revisar forecast con KAM.","")</f>
        <v/>
      </c>
      <c r="AE8" s="3" t="s">
        <v>189</v>
      </c>
      <c r="AF8" s="25" t="n">
        <f aca="false">COUNTIF(Y5:Y826,"SÍ")</f>
        <v>154</v>
      </c>
    </row>
    <row r="9" customFormat="false" ht="15" hidden="false" customHeight="false" outlineLevel="0" collapsed="false">
      <c r="A9" s="18" t="n">
        <f aca="false">Stock_Seguridad!A9</f>
        <v>30000038</v>
      </c>
      <c r="B9" s="18" t="str">
        <f aca="false">Stock_Seguridad!B9</f>
        <v>ACEITE BELMONT 12X1LT</v>
      </c>
      <c r="C9" s="18" t="str">
        <f aca="false">Stock_Seguridad!C9</f>
        <v>ACEITES</v>
      </c>
      <c r="D9" s="18" t="str">
        <f aca="false">Stock_Seguridad!F9</f>
        <v>AX</v>
      </c>
      <c r="E9" s="19" t="str">
        <f aca="false">Stock_Seguridad!X9</f>
        <v>OK</v>
      </c>
      <c r="F9" s="20" t="n">
        <f aca="false">Stock_Seguridad!W9</f>
        <v>3.65556655844156</v>
      </c>
      <c r="G9" s="21" t="n">
        <f aca="false">Stock_Seguridad!T9</f>
        <v>420038.9</v>
      </c>
      <c r="H9" s="21" t="n">
        <f aca="false">Stock_Seguridad!R9</f>
        <v>54188.2532308024</v>
      </c>
      <c r="I9" s="21" t="n">
        <f aca="false">Stock_Seguridad!S9</f>
        <v>177388.253230802</v>
      </c>
      <c r="J9" s="21" t="n">
        <f aca="false">Stock_Seguridad!U9</f>
        <v>30326.9</v>
      </c>
      <c r="K9" s="22" t="n">
        <v>46316</v>
      </c>
      <c r="L9" s="23" t="n">
        <v>1589.76</v>
      </c>
      <c r="M9" s="23" t="n">
        <v>2649.6</v>
      </c>
      <c r="N9" s="23" t="n">
        <v>0</v>
      </c>
      <c r="O9" s="24" t="n">
        <v>0.0391767917752964</v>
      </c>
      <c r="P9" s="24" t="n">
        <f aca="false">IF(ISNUMBER(Stock_Seguridad!N9),Stock_Seguridad!N9,"")</f>
        <v>0.197080291970803</v>
      </c>
      <c r="Q9" s="24" t="n">
        <f aca="false">IF(AND(ISNUMBER(O9),ISNUMBER(P9)),P9-O9,"")</f>
        <v>0.157903500195507</v>
      </c>
      <c r="R9" s="23" t="n">
        <f aca="false">MAX(0,G9-N(L9))</f>
        <v>418449.14</v>
      </c>
      <c r="S9" s="23" t="n">
        <f aca="false">SUMIFS(Cadenas_vs_FCST!$D$17:$D$2437,Cadenas_vs_FCST!$A$17:$A$2437,A9)</f>
        <v>487360.8</v>
      </c>
      <c r="T9" s="23" t="n">
        <f aca="false">SUMIFS(Cadenas_vs_FCST!$E$17:$E$2437,Cadenas_vs_FCST!$A$17:$A$2437,A9)</f>
        <v>486689.76</v>
      </c>
      <c r="U9" s="24" t="n">
        <f aca="false">IF(T9&gt;0,S9/T9-1,"")</f>
        <v>0.00137878388893986</v>
      </c>
      <c r="V9" s="3" t="str">
        <f aca="false">IF(OR(E9="BAJO SS",E9="BAJO SS (XLIB CUBRE)"),"SÍ","")</f>
        <v/>
      </c>
      <c r="W9" s="3" t="str">
        <f aca="false">IF(AND(V9="",N(L9)&gt;=Parametros!$B$17,G9&gt;=H9,R9&lt;H9),"SÍ","")</f>
        <v/>
      </c>
      <c r="X9" s="3" t="str">
        <f aca="false">IF(OR(E9="SOBRE MAX VENDIBLE",N(N9)&gt;=Parametros!$B$17,N(M9)&gt;=Parametros!$B$17),"SÍ","")</f>
        <v>SÍ</v>
      </c>
      <c r="Y9" s="3" t="str">
        <f aca="false">IF(AND(ISNUMBER(U9),MAX(S9,T9)&gt;=Parametros!$B$15,ABS(N(U9))&gt;Parametros!$B$14),"SÍ","")</f>
        <v/>
      </c>
      <c r="Z9" s="3" t="n">
        <f aca="false">COUNTIF(V9:Y9,"SÍ")</f>
        <v>1</v>
      </c>
      <c r="AA9" s="3" t="n">
        <f aca="false">(3*(V9="SÍ")+2*(W9="SÍ")+2*(X9="SÍ")+(Y9="SÍ"))*IF(LEFT(D9,1)="A",3,IF(OR(LEFT(D9,1)="B",D9="SIN HIST"),2,1))</f>
        <v>6</v>
      </c>
      <c r="AB9" s="3" t="str">
        <f aca="false">IF(AA9&gt;=9,"1-ALTA",IF(AA9&gt;=4,"2-MEDIA",IF(AA9&gt;0,"3-BAJA","")))</f>
        <v>2-MEDIA</v>
      </c>
      <c r="AC9" s="3" t="str">
        <f aca="false">IF(E9="BAJO SS","Stock + XLIB bajo el SS: riesgo real de quiebre, adelantar producción. ","")&amp;IF(E9="BAJO SS (XLIB CUBRE)","Disponible bajo el SS; depende de liberar "&amp;TEXT(J9,"#,##0")&amp;" kg"&amp;IF(ISNUMBER(K9)," el "&amp;TEXT(K9,"dd-mm"),"")&amp;". ","")&amp;IF(W9="SÍ","Stock parece sano pero "&amp;TEXT(L9,"#,##0")&amp;" kg no pasan filtro "&amp;Stock_Seguridad!O9&amp;": sin ellos queda bajo el SS para esa cadena. ","")&amp;IF(E9="SOBRE MAX VENDIBLE","Sobrestock vs vida útil: frenar producción/activar venta. ","")&amp;IF(N(N9)&gt;=Parametros!$B$17,TEXT(N9,"#,##0")&amp;" kg ya no los acepta ninguna cadena: venta intermedia/liquidación. ","")&amp;IF(N(M9)&gt;=Parametros!$B$17,TEXT(M9,"#,##0")&amp;" kg a punto de salir del filtro: despachar primero (FEFO). ","")&amp;IF(Y9="SÍ","Pedidos "&amp;IF(N(U9)&gt;0,"sobre","bajo")&amp;" FCST "&amp;TEXT(ABS(N(U9)),"0%")&amp;": revisar forecast con KAM.","")</f>
        <v>2,650 kg a punto de salir del filtro: despachar primero (FEFO). </v>
      </c>
      <c r="AE9" s="3" t="s">
        <v>190</v>
      </c>
      <c r="AF9" s="25" t="n">
        <f aca="false">COUNTIF(AB5:AB826,"1-ALTA")</f>
        <v>30</v>
      </c>
    </row>
    <row r="10" customFormat="false" ht="15" hidden="false" customHeight="false" outlineLevel="0" collapsed="false">
      <c r="A10" s="18" t="n">
        <f aca="false">Stock_Seguridad!A10</f>
        <v>30000049</v>
      </c>
      <c r="B10" s="18" t="str">
        <f aca="false">Stock_Seguridad!B10</f>
        <v>ACEITE CHEF MARAVILLA 12X1LT</v>
      </c>
      <c r="C10" s="18" t="str">
        <f aca="false">Stock_Seguridad!C10</f>
        <v>ACEITES</v>
      </c>
      <c r="D10" s="18" t="str">
        <f aca="false">Stock_Seguridad!F10</f>
        <v>AX</v>
      </c>
      <c r="E10" s="19" t="str">
        <f aca="false">Stock_Seguridad!X10</f>
        <v>OK</v>
      </c>
      <c r="F10" s="20" t="n">
        <f aca="false">Stock_Seguridad!W10</f>
        <v>6.51140513670257</v>
      </c>
      <c r="G10" s="21" t="n">
        <f aca="false">Stock_Seguridad!T10</f>
        <v>746878.1</v>
      </c>
      <c r="H10" s="21" t="n">
        <f aca="false">Stock_Seguridad!R10</f>
        <v>96581.8199512145</v>
      </c>
      <c r="I10" s="21" t="n">
        <f aca="false">Stock_Seguridad!S10</f>
        <v>217281.819951214</v>
      </c>
      <c r="J10" s="21" t="n">
        <f aca="false">Stock_Seguridad!U10</f>
        <v>39048.5</v>
      </c>
      <c r="K10" s="22" t="n">
        <v>46311</v>
      </c>
      <c r="L10" s="23" t="n">
        <v>5939.52</v>
      </c>
      <c r="M10" s="23" t="n">
        <v>2296.32</v>
      </c>
      <c r="N10" s="23" t="n">
        <v>0</v>
      </c>
      <c r="O10" s="24" t="n">
        <v>0.028985059029543</v>
      </c>
      <c r="P10" s="24" t="n">
        <f aca="false">IF(ISNUMBER(Stock_Seguridad!N10),Stock_Seguridad!N10,"")</f>
        <v>0.197080291970803</v>
      </c>
      <c r="Q10" s="24" t="n">
        <f aca="false">IF(AND(ISNUMBER(O10),ISNUMBER(P10)),P10-O10,"")</f>
        <v>0.16809523294126</v>
      </c>
      <c r="R10" s="23" t="n">
        <f aca="false">MAX(0,G10-N(L10))</f>
        <v>740938.58</v>
      </c>
      <c r="S10" s="23" t="n">
        <f aca="false">SUMIFS(Cadenas_vs_FCST!$D$17:$D$2437,Cadenas_vs_FCST!$A$17:$A$2437,A10)</f>
        <v>478120.32</v>
      </c>
      <c r="T10" s="23" t="n">
        <f aca="false">SUMIFS(Cadenas_vs_FCST!$E$17:$E$2437,Cadenas_vs_FCST!$A$17:$A$2437,A10)</f>
        <v>476522.24</v>
      </c>
      <c r="U10" s="24" t="n">
        <f aca="false">IF(T10&gt;0,S10/T10-1,"")</f>
        <v>0.00335363151151147</v>
      </c>
      <c r="V10" s="3" t="str">
        <f aca="false">IF(OR(E10="BAJO SS",E10="BAJO SS (XLIB CUBRE)"),"SÍ","")</f>
        <v/>
      </c>
      <c r="W10" s="3" t="str">
        <f aca="false">IF(AND(V10="",N(L10)&gt;=Parametros!$B$17,G10&gt;=H10,R10&lt;H10),"SÍ","")</f>
        <v/>
      </c>
      <c r="X10" s="3" t="str">
        <f aca="false">IF(OR(E10="SOBRE MAX VENDIBLE",N(N10)&gt;=Parametros!$B$17,N(M10)&gt;=Parametros!$B$17),"SÍ","")</f>
        <v>SÍ</v>
      </c>
      <c r="Y10" s="3" t="str">
        <f aca="false">IF(AND(ISNUMBER(U10),MAX(S10,T10)&gt;=Parametros!$B$15,ABS(N(U10))&gt;Parametros!$B$14),"SÍ","")</f>
        <v/>
      </c>
      <c r="Z10" s="3" t="n">
        <f aca="false">COUNTIF(V10:Y10,"SÍ")</f>
        <v>1</v>
      </c>
      <c r="AA10" s="3" t="n">
        <f aca="false">(3*(V10="SÍ")+2*(W10="SÍ")+2*(X10="SÍ")+(Y10="SÍ"))*IF(LEFT(D10,1)="A",3,IF(OR(LEFT(D10,1)="B",D10="SIN HIST"),2,1))</f>
        <v>6</v>
      </c>
      <c r="AB10" s="3" t="str">
        <f aca="false">IF(AA10&gt;=9,"1-ALTA",IF(AA10&gt;=4,"2-MEDIA",IF(AA10&gt;0,"3-BAJA","")))</f>
        <v>2-MEDIA</v>
      </c>
      <c r="AC10" s="3" t="str">
        <f aca="false">IF(E10="BAJO SS","Stock + XLIB bajo el SS: riesgo real de quiebre, adelantar producción. ","")&amp;IF(E10="BAJO SS (XLIB CUBRE)","Disponible bajo el SS; depende de liberar "&amp;TEXT(J10,"#,##0")&amp;" kg"&amp;IF(ISNUMBER(K10)," el "&amp;TEXT(K10,"dd-mm"),"")&amp;". ","")&amp;IF(W10="SÍ","Stock parece sano pero "&amp;TEXT(L10,"#,##0")&amp;" kg no pasan filtro "&amp;Stock_Seguridad!O10&amp;": sin ellos queda bajo el SS para esa cadena. ","")&amp;IF(E10="SOBRE MAX VENDIBLE","Sobrestock vs vida útil: frenar producción/activar venta. ","")&amp;IF(N(N10)&gt;=Parametros!$B$17,TEXT(N10,"#,##0")&amp;" kg ya no los acepta ninguna cadena: venta intermedia/liquidación. ","")&amp;IF(N(M10)&gt;=Parametros!$B$17,TEXT(M10,"#,##0")&amp;" kg a punto de salir del filtro: despachar primero (FEFO). ","")&amp;IF(Y10="SÍ","Pedidos "&amp;IF(N(U10)&gt;0,"sobre","bajo")&amp;" FCST "&amp;TEXT(ABS(N(U10)),"0%")&amp;": revisar forecast con KAM.","")</f>
        <v>2,296 kg a punto de salir del filtro: despachar primero (FEFO). </v>
      </c>
      <c r="AE10" s="3" t="s">
        <v>191</v>
      </c>
      <c r="AF10" s="25" t="n">
        <f aca="false">COUNTIF(AB5:AB826,"2-MEDIA")</f>
        <v>161</v>
      </c>
    </row>
    <row r="11" customFormat="false" ht="15" hidden="false" customHeight="false" outlineLevel="0" collapsed="false">
      <c r="A11" s="18" t="n">
        <f aca="false">Stock_Seguridad!A11</f>
        <v>30000523</v>
      </c>
      <c r="B11" s="18" t="str">
        <f aca="false">Stock_Seguridad!B11</f>
        <v>LECHE BLANCA LONCO SEMI BASE 12X1LT</v>
      </c>
      <c r="C11" s="18" t="str">
        <f aca="false">Stock_Seguridad!C11</f>
        <v>LECHES LIQUIDAS</v>
      </c>
      <c r="D11" s="18" t="str">
        <f aca="false">Stock_Seguridad!F11</f>
        <v>AX</v>
      </c>
      <c r="E11" s="19" t="str">
        <f aca="false">Stock_Seguridad!X11</f>
        <v>SOBRE MAX VENDIBLE</v>
      </c>
      <c r="F11" s="20" t="n">
        <f aca="false">Stock_Seguridad!W11</f>
        <v>7.34967434653562</v>
      </c>
      <c r="G11" s="21" t="n">
        <f aca="false">Stock_Seguridad!T11</f>
        <v>757980</v>
      </c>
      <c r="H11" s="21" t="n">
        <f aca="false">Stock_Seguridad!R11</f>
        <v>136290.406727946</v>
      </c>
      <c r="I11" s="21" t="n">
        <f aca="false">Stock_Seguridad!S11</f>
        <v>239421.506727946</v>
      </c>
      <c r="J11" s="21" t="n">
        <f aca="false">Stock_Seguridad!U11</f>
        <v>0</v>
      </c>
      <c r="K11" s="22"/>
      <c r="L11" s="23" t="n">
        <v>318540</v>
      </c>
      <c r="M11" s="23" t="n">
        <v>102420</v>
      </c>
      <c r="N11" s="23" t="n">
        <v>768</v>
      </c>
      <c r="O11" s="24" t="n">
        <v>0.167761546383586</v>
      </c>
      <c r="P11" s="24" t="n">
        <f aca="false">IF(ISNUMBER(Stock_Seguridad!N11),Stock_Seguridad!N11,"")</f>
        <v>0.18848167539267</v>
      </c>
      <c r="Q11" s="24" t="n">
        <f aca="false">IF(AND(ISNUMBER(O11),ISNUMBER(P11)),P11-O11,"")</f>
        <v>0.0207201290090846</v>
      </c>
      <c r="R11" s="23" t="n">
        <f aca="false">MAX(0,G11-N(L11))</f>
        <v>439440</v>
      </c>
      <c r="S11" s="23" t="n">
        <f aca="false">SUMIFS(Cadenas_vs_FCST!$D$17:$D$2437,Cadenas_vs_FCST!$A$17:$A$2437,A11)</f>
        <v>273588</v>
      </c>
      <c r="T11" s="23" t="n">
        <f aca="false">SUMIFS(Cadenas_vs_FCST!$E$17:$E$2437,Cadenas_vs_FCST!$A$17:$A$2437,A11)</f>
        <v>461942.507120916</v>
      </c>
      <c r="U11" s="24" t="n">
        <f aca="false">IF(T11&gt;0,S11/T11-1,"")</f>
        <v>-0.407744479491282</v>
      </c>
      <c r="V11" s="3" t="str">
        <f aca="false">IF(OR(E11="BAJO SS",E11="BAJO SS (XLIB CUBRE)"),"SÍ","")</f>
        <v/>
      </c>
      <c r="W11" s="3" t="str">
        <f aca="false">IF(AND(V11="",N(L11)&gt;=Parametros!$B$17,G11&gt;=H11,R11&lt;H11),"SÍ","")</f>
        <v/>
      </c>
      <c r="X11" s="3" t="str">
        <f aca="false">IF(OR(E11="SOBRE MAX VENDIBLE",N(N11)&gt;=Parametros!$B$17,N(M11)&gt;=Parametros!$B$17),"SÍ","")</f>
        <v>SÍ</v>
      </c>
      <c r="Y11" s="3" t="str">
        <f aca="false">IF(AND(ISNUMBER(U11),MAX(S11,T11)&gt;=Parametros!$B$15,ABS(N(U11))&gt;Parametros!$B$14),"SÍ","")</f>
        <v>SÍ</v>
      </c>
      <c r="Z11" s="3" t="n">
        <f aca="false">COUNTIF(V11:Y11,"SÍ")</f>
        <v>2</v>
      </c>
      <c r="AA11" s="3" t="n">
        <f aca="false">(3*(V11="SÍ")+2*(W11="SÍ")+2*(X11="SÍ")+(Y11="SÍ"))*IF(LEFT(D11,1)="A",3,IF(OR(LEFT(D11,1)="B",D11="SIN HIST"),2,1))</f>
        <v>9</v>
      </c>
      <c r="AB11" s="3" t="str">
        <f aca="false">IF(AA11&gt;=9,"1-ALTA",IF(AA11&gt;=4,"2-MEDIA",IF(AA11&gt;0,"3-BAJA","")))</f>
        <v>1-ALTA</v>
      </c>
      <c r="AC11" s="3" t="str">
        <f aca="false">IF(E11="BAJO SS","Stock + XLIB bajo el SS: riesgo real de quiebre, adelantar producción. ","")&amp;IF(E11="BAJO SS (XLIB CUBRE)","Disponible bajo el SS; depende de liberar "&amp;TEXT(J11,"#,##0")&amp;" kg"&amp;IF(ISNUMBER(K11)," el "&amp;TEXT(K11,"dd-mm"),"")&amp;". ","")&amp;IF(W11="SÍ","Stock parece sano pero "&amp;TEXT(L11,"#,##0")&amp;" kg no pasan filtro "&amp;Stock_Seguridad!O11&amp;": sin ellos queda bajo el SS para esa cadena. ","")&amp;IF(E11="SOBRE MAX VENDIBLE","Sobrestock vs vida útil: frenar producción/activar venta. ","")&amp;IF(N(N11)&gt;=Parametros!$B$17,TEXT(N11,"#,##0")&amp;" kg ya no los acepta ninguna cadena: venta intermedia/liquidación. ","")&amp;IF(N(M11)&gt;=Parametros!$B$17,TEXT(M11,"#,##0")&amp;" kg a punto de salir del filtro: despachar primero (FEFO). ","")&amp;IF(Y11="SÍ","Pedidos "&amp;IF(N(U11)&gt;0,"sobre","bajo")&amp;" FCST "&amp;TEXT(ABS(N(U11)),"0%")&amp;": revisar forecast con KAM.","")</f>
        <v>Sobrestock vs vida útil: frenar producción/activar venta. 768 kg ya no los acepta ninguna cadena: venta intermedia/liquidación. 102,420 kg a punto de salir del filtro: despachar primero (FEFO). Pedidos bajo FCST 41%: revisar forecast con KAM.</v>
      </c>
      <c r="AE11" s="3" t="s">
        <v>192</v>
      </c>
      <c r="AF11" s="25" t="n">
        <f aca="false">SUM(L5:L826)</f>
        <v>692347.745</v>
      </c>
    </row>
    <row r="12" customFormat="false" ht="15" hidden="false" customHeight="false" outlineLevel="0" collapsed="false">
      <c r="A12" s="18" t="n">
        <f aca="false">Stock_Seguridad!A12</f>
        <v>30000255</v>
      </c>
      <c r="B12" s="18" t="str">
        <f aca="false">Stock_Seguridad!B12</f>
        <v>NECTAR WATTS DZNO SIXPACK 30X200ML</v>
      </c>
      <c r="C12" s="18" t="str">
        <f aca="false">Stock_Seguridad!C12</f>
        <v>JUGOS Y NECTARES</v>
      </c>
      <c r="D12" s="18" t="str">
        <f aca="false">Stock_Seguridad!F12</f>
        <v>AY</v>
      </c>
      <c r="E12" s="19" t="str">
        <f aca="false">Stock_Seguridad!X12</f>
        <v>OK</v>
      </c>
      <c r="F12" s="20" t="n">
        <f aca="false">Stock_Seguridad!W12</f>
        <v>5.29359533185859</v>
      </c>
      <c r="G12" s="21" t="n">
        <f aca="false">Stock_Seguridad!T12</f>
        <v>429072</v>
      </c>
      <c r="H12" s="21" t="n">
        <f aca="false">Stock_Seguridad!R12</f>
        <v>58177.8102434475</v>
      </c>
      <c r="I12" s="21" t="n">
        <f aca="false">Stock_Seguridad!S12</f>
        <v>142305.510243447</v>
      </c>
      <c r="J12" s="21" t="n">
        <f aca="false">Stock_Seguridad!U12</f>
        <v>16266</v>
      </c>
      <c r="K12" s="22" t="n">
        <v>46317</v>
      </c>
      <c r="L12" s="23" t="n">
        <v>0</v>
      </c>
      <c r="M12" s="23" t="n">
        <v>0</v>
      </c>
      <c r="N12" s="23" t="n">
        <v>0</v>
      </c>
      <c r="O12" s="24" t="n">
        <v>0.0523016429708366</v>
      </c>
      <c r="P12" s="24" t="n">
        <f aca="false">IF(ISNUMBER(Stock_Seguridad!N12),Stock_Seguridad!N12,"")</f>
        <v>0.32054794520548</v>
      </c>
      <c r="Q12" s="24" t="n">
        <f aca="false">IF(AND(ISNUMBER(O12),ISNUMBER(P12)),P12-O12,"")</f>
        <v>0.268246302234643</v>
      </c>
      <c r="R12" s="23" t="n">
        <f aca="false">MAX(0,G12-N(L12))</f>
        <v>429072</v>
      </c>
      <c r="S12" s="23" t="n">
        <f aca="false">SUMIFS(Cadenas_vs_FCST!$D$17:$D$2437,Cadenas_vs_FCST!$A$17:$A$2437,A12)</f>
        <v>317406</v>
      </c>
      <c r="T12" s="23" t="n">
        <f aca="false">SUMIFS(Cadenas_vs_FCST!$E$17:$E$2437,Cadenas_vs_FCST!$A$17:$A$2437,A12)</f>
        <v>276949.480917707</v>
      </c>
      <c r="U12" s="24" t="n">
        <f aca="false">IF(T12&gt;0,S12/T12-1,"")</f>
        <v>0.146079057264291</v>
      </c>
      <c r="V12" s="3" t="str">
        <f aca="false">IF(OR(E12="BAJO SS",E12="BAJO SS (XLIB CUBRE)"),"SÍ","")</f>
        <v/>
      </c>
      <c r="W12" s="3" t="str">
        <f aca="false">IF(AND(V12="",N(L12)&gt;=Parametros!$B$17,G12&gt;=H12,R12&lt;H12),"SÍ","")</f>
        <v/>
      </c>
      <c r="X12" s="3" t="str">
        <f aca="false">IF(OR(E12="SOBRE MAX VENDIBLE",N(N12)&gt;=Parametros!$B$17,N(M12)&gt;=Parametros!$B$17),"SÍ","")</f>
        <v/>
      </c>
      <c r="Y12" s="3" t="str">
        <f aca="false">IF(AND(ISNUMBER(U12),MAX(S12,T12)&gt;=Parametros!$B$15,ABS(N(U12))&gt;Parametros!$B$14),"SÍ","")</f>
        <v/>
      </c>
      <c r="Z12" s="3" t="n">
        <f aca="false">COUNTIF(V12:Y12,"SÍ")</f>
        <v>0</v>
      </c>
      <c r="AA12" s="3" t="n">
        <f aca="false">(3*(V12="SÍ")+2*(W12="SÍ")+2*(X12="SÍ")+(Y12="SÍ"))*IF(LEFT(D12,1)="A",3,IF(OR(LEFT(D12,1)="B",D12="SIN HIST"),2,1))</f>
        <v>0</v>
      </c>
      <c r="AB12" s="3" t="str">
        <f aca="false">IF(AA12&gt;=9,"1-ALTA",IF(AA12&gt;=4,"2-MEDIA",IF(AA12&gt;0,"3-BAJA","")))</f>
        <v/>
      </c>
      <c r="AC12" s="3" t="str">
        <f aca="false">IF(E12="BAJO SS","Stock + XLIB bajo el SS: riesgo real de quiebre, adelantar producción. ","")&amp;IF(E12="BAJO SS (XLIB CUBRE)","Disponible bajo el SS; depende de liberar "&amp;TEXT(J12,"#,##0")&amp;" kg"&amp;IF(ISNUMBER(K12)," el "&amp;TEXT(K12,"dd-mm"),"")&amp;". ","")&amp;IF(W12="SÍ","Stock parece sano pero "&amp;TEXT(L12,"#,##0")&amp;" kg no pasan filtro "&amp;Stock_Seguridad!O12&amp;": sin ellos queda bajo el SS para esa cadena. ","")&amp;IF(E12="SOBRE MAX VENDIBLE","Sobrestock vs vida útil: frenar producción/activar venta. ","")&amp;IF(N(N12)&gt;=Parametros!$B$17,TEXT(N12,"#,##0")&amp;" kg ya no los acepta ninguna cadena: venta intermedia/liquidación. ","")&amp;IF(N(M12)&gt;=Parametros!$B$17,TEXT(M12,"#,##0")&amp;" kg a punto de salir del filtro: despachar primero (FEFO). ","")&amp;IF(Y12="SÍ","Pedidos "&amp;IF(N(U12)&gt;0,"sobre","bajo")&amp;" FCST "&amp;TEXT(ABS(N(U12)),"0%")&amp;": revisar forecast con KAM.","")</f>
        <v/>
      </c>
      <c r="AE12" s="3" t="s">
        <v>169</v>
      </c>
      <c r="AF12" s="25" t="n">
        <f aca="false">SUM(N5:N826)</f>
        <v>60688.509</v>
      </c>
    </row>
    <row r="13" customFormat="false" ht="15" hidden="false" customHeight="false" outlineLevel="0" collapsed="false">
      <c r="A13" s="18" t="n">
        <f aca="false">Stock_Seguridad!A13</f>
        <v>30000426</v>
      </c>
      <c r="B13" s="18" t="str">
        <f aca="false">Stock_Seguridad!B13</f>
        <v>PREPARADO HELADO VLLA MCD BOLSA 1X10KG</v>
      </c>
      <c r="C13" s="18" t="str">
        <f aca="false">Stock_Seguridad!C13</f>
        <v>PREPARADOS DE HELADO</v>
      </c>
      <c r="D13" s="18" t="str">
        <f aca="false">Stock_Seguridad!F13</f>
        <v>SIN HIST</v>
      </c>
      <c r="E13" s="19" t="str">
        <f aca="false">Stock_Seguridad!X13</f>
        <v>OK</v>
      </c>
      <c r="F13" s="20" t="n">
        <f aca="false">Stock_Seguridad!W13</f>
        <v>2.09477200592325</v>
      </c>
      <c r="G13" s="21" t="n">
        <f aca="false">Stock_Seguridad!T13</f>
        <v>134630</v>
      </c>
      <c r="H13" s="21" t="n">
        <f aca="false">Stock_Seguridad!R13</f>
        <v>36722.3112367952</v>
      </c>
      <c r="I13" s="21" t="n">
        <f aca="false">Stock_Seguridad!S13</f>
        <v>111140.911236795</v>
      </c>
      <c r="J13" s="21" t="n">
        <f aca="false">Stock_Seguridad!U13</f>
        <v>21260</v>
      </c>
      <c r="K13" s="22" t="n">
        <v>46319</v>
      </c>
      <c r="L13" s="23" t="n">
        <v>0</v>
      </c>
      <c r="M13" s="23" t="n">
        <v>0</v>
      </c>
      <c r="N13" s="23" t="n">
        <v>0</v>
      </c>
      <c r="O13" s="24" t="n">
        <v>0.0886458400153955</v>
      </c>
      <c r="P13" s="24" t="n">
        <f aca="false">IF(ISNUMBER(Stock_Seguridad!N13),Stock_Seguridad!N13,"")</f>
        <v>0.219512195121951</v>
      </c>
      <c r="Q13" s="24" t="n">
        <f aca="false">IF(AND(ISNUMBER(O13),ISNUMBER(P13)),P13-O13,"")</f>
        <v>0.130866355106556</v>
      </c>
      <c r="R13" s="23" t="n">
        <f aca="false">MAX(0,G13-N(L13))</f>
        <v>134630</v>
      </c>
      <c r="S13" s="23" t="n">
        <f aca="false">SUMIFS(Cadenas_vs_FCST!$D$17:$D$2437,Cadenas_vs_FCST!$A$17:$A$2437,A13)</f>
        <v>0</v>
      </c>
      <c r="T13" s="23" t="n">
        <f aca="false">SUMIFS(Cadenas_vs_FCST!$E$17:$E$2437,Cadenas_vs_FCST!$A$17:$A$2437,A13)</f>
        <v>0</v>
      </c>
      <c r="U13" s="24" t="str">
        <f aca="false">IF(T13&gt;0,S13/T13-1,"")</f>
        <v/>
      </c>
      <c r="V13" s="3" t="str">
        <f aca="false">IF(OR(E13="BAJO SS",E13="BAJO SS (XLIB CUBRE)"),"SÍ","")</f>
        <v/>
      </c>
      <c r="W13" s="3" t="str">
        <f aca="false">IF(AND(V13="",N(L13)&gt;=Parametros!$B$17,G13&gt;=H13,R13&lt;H13),"SÍ","")</f>
        <v/>
      </c>
      <c r="X13" s="3" t="str">
        <f aca="false">IF(OR(E13="SOBRE MAX VENDIBLE",N(N13)&gt;=Parametros!$B$17,N(M13)&gt;=Parametros!$B$17),"SÍ","")</f>
        <v/>
      </c>
      <c r="Y13" s="3" t="str">
        <f aca="false">IF(AND(ISNUMBER(U13),MAX(S13,T13)&gt;=Parametros!$B$15,ABS(N(U13))&gt;Parametros!$B$14),"SÍ","")</f>
        <v/>
      </c>
      <c r="Z13" s="3" t="n">
        <f aca="false">COUNTIF(V13:Y13,"SÍ")</f>
        <v>0</v>
      </c>
      <c r="AA13" s="3" t="n">
        <f aca="false">(3*(V13="SÍ")+2*(W13="SÍ")+2*(X13="SÍ")+(Y13="SÍ"))*IF(LEFT(D13,1)="A",3,IF(OR(LEFT(D13,1)="B",D13="SIN HIST"),2,1))</f>
        <v>0</v>
      </c>
      <c r="AB13" s="3" t="str">
        <f aca="false">IF(AA13&gt;=9,"1-ALTA",IF(AA13&gt;=4,"2-MEDIA",IF(AA13&gt;0,"3-BAJA","")))</f>
        <v/>
      </c>
      <c r="AC13" s="3" t="str">
        <f aca="false">IF(E13="BAJO SS","Stock + XLIB bajo el SS: riesgo real de quiebre, adelantar producción. ","")&amp;IF(E13="BAJO SS (XLIB CUBRE)","Disponible bajo el SS; depende de liberar "&amp;TEXT(J13,"#,##0")&amp;" kg"&amp;IF(ISNUMBER(K13)," el "&amp;TEXT(K13,"dd-mm"),"")&amp;". ","")&amp;IF(W13="SÍ","Stock parece sano pero "&amp;TEXT(L13,"#,##0")&amp;" kg no pasan filtro "&amp;Stock_Seguridad!O13&amp;": sin ellos queda bajo el SS para esa cadena. ","")&amp;IF(E13="SOBRE MAX VENDIBLE","Sobrestock vs vida útil: frenar producción/activar venta. ","")&amp;IF(N(N13)&gt;=Parametros!$B$17,TEXT(N13,"#,##0")&amp;" kg ya no los acepta ninguna cadena: venta intermedia/liquidación. ","")&amp;IF(N(M13)&gt;=Parametros!$B$17,TEXT(M13,"#,##0")&amp;" kg a punto de salir del filtro: despachar primero (FEFO). ","")&amp;IF(Y13="SÍ","Pedidos "&amp;IF(N(U13)&gt;0,"sobre","bajo")&amp;" FCST "&amp;TEXT(ABS(N(U13)),"0%")&amp;": revisar forecast con KAM.","")</f>
        <v/>
      </c>
    </row>
    <row r="14" customFormat="false" ht="15" hidden="false" customHeight="false" outlineLevel="0" collapsed="false">
      <c r="A14" s="18" t="n">
        <f aca="false">Stock_Seguridad!A14</f>
        <v>30000524</v>
      </c>
      <c r="B14" s="18" t="str">
        <f aca="false">Stock_Seguridad!B14</f>
        <v>LECHE BLANCA LONCO DESC BASE 12X1LT</v>
      </c>
      <c r="C14" s="18" t="str">
        <f aca="false">Stock_Seguridad!C14</f>
        <v>LECHES LIQUIDAS</v>
      </c>
      <c r="D14" s="18" t="str">
        <f aca="false">Stock_Seguridad!F14</f>
        <v>AZ</v>
      </c>
      <c r="E14" s="19" t="str">
        <f aca="false">Stock_Seguridad!X14</f>
        <v>BAJO P.REORDEN</v>
      </c>
      <c r="F14" s="20" t="n">
        <f aca="false">Stock_Seguridad!W14</f>
        <v>2.92949020136036</v>
      </c>
      <c r="G14" s="21" t="n">
        <f aca="false">Stock_Seguridad!T14</f>
        <v>208800</v>
      </c>
      <c r="H14" s="21" t="n">
        <f aca="false">Stock_Seguridad!R14</f>
        <v>205028.965680551</v>
      </c>
      <c r="I14" s="21" t="n">
        <f aca="false">Stock_Seguridad!S14</f>
        <v>276304.165680551</v>
      </c>
      <c r="J14" s="21" t="n">
        <f aca="false">Stock_Seguridad!U14</f>
        <v>0</v>
      </c>
      <c r="K14" s="22"/>
      <c r="L14" s="23" t="n">
        <v>4020</v>
      </c>
      <c r="M14" s="23" t="n">
        <v>8232</v>
      </c>
      <c r="N14" s="23" t="n">
        <v>4020</v>
      </c>
      <c r="O14" s="24" t="n">
        <v>0.0930487304286636</v>
      </c>
      <c r="P14" s="24" t="n">
        <f aca="false">IF(ISNUMBER(Stock_Seguridad!N14),Stock_Seguridad!N14,"")</f>
        <v>0.18848167539267</v>
      </c>
      <c r="Q14" s="24" t="n">
        <f aca="false">IF(AND(ISNUMBER(O14),ISNUMBER(P14)),P14-O14,"")</f>
        <v>0.0954329449640065</v>
      </c>
      <c r="R14" s="23" t="n">
        <f aca="false">MAX(0,G14-N(L14))</f>
        <v>204780</v>
      </c>
      <c r="S14" s="23" t="n">
        <f aca="false">SUMIFS(Cadenas_vs_FCST!$D$17:$D$2437,Cadenas_vs_FCST!$A$17:$A$2437,A14)</f>
        <v>426432</v>
      </c>
      <c r="T14" s="23" t="n">
        <f aca="false">SUMIFS(Cadenas_vs_FCST!$E$17:$E$2437,Cadenas_vs_FCST!$A$17:$A$2437,A14)</f>
        <v>225993.602113639</v>
      </c>
      <c r="U14" s="24" t="n">
        <f aca="false">IF(T14&gt;0,S14/T14-1,"")</f>
        <v>0.886920673911698</v>
      </c>
      <c r="V14" s="3" t="str">
        <f aca="false">IF(OR(E14="BAJO SS",E14="BAJO SS (XLIB CUBRE)"),"SÍ","")</f>
        <v/>
      </c>
      <c r="W14" s="3" t="str">
        <f aca="false">IF(AND(V14="",N(L14)&gt;=Parametros!$B$17,G14&gt;=H14,R14&lt;H14),"SÍ","")</f>
        <v>SÍ</v>
      </c>
      <c r="X14" s="3" t="str">
        <f aca="false">IF(OR(E14="SOBRE MAX VENDIBLE",N(N14)&gt;=Parametros!$B$17,N(M14)&gt;=Parametros!$B$17),"SÍ","")</f>
        <v>SÍ</v>
      </c>
      <c r="Y14" s="3" t="str">
        <f aca="false">IF(AND(ISNUMBER(U14),MAX(S14,T14)&gt;=Parametros!$B$15,ABS(N(U14))&gt;Parametros!$B$14),"SÍ","")</f>
        <v>SÍ</v>
      </c>
      <c r="Z14" s="3" t="n">
        <f aca="false">COUNTIF(V14:Y14,"SÍ")</f>
        <v>3</v>
      </c>
      <c r="AA14" s="3" t="n">
        <f aca="false">(3*(V14="SÍ")+2*(W14="SÍ")+2*(X14="SÍ")+(Y14="SÍ"))*IF(LEFT(D14,1)="A",3,IF(OR(LEFT(D14,1)="B",D14="SIN HIST"),2,1))</f>
        <v>15</v>
      </c>
      <c r="AB14" s="3" t="str">
        <f aca="false">IF(AA14&gt;=9,"1-ALTA",IF(AA14&gt;=4,"2-MEDIA",IF(AA14&gt;0,"3-BAJA","")))</f>
        <v>1-ALTA</v>
      </c>
      <c r="AC14" s="3" t="str">
        <f aca="false">IF(E14="BAJO SS","Stock + XLIB bajo el SS: riesgo real de quiebre, adelantar producción. ","")&amp;IF(E14="BAJO SS (XLIB CUBRE)","Disponible bajo el SS; depende de liberar "&amp;TEXT(J14,"#,##0")&amp;" kg"&amp;IF(ISNUMBER(K14)," el "&amp;TEXT(K14,"dd-mm"),"")&amp;". ","")&amp;IF(W14="SÍ","Stock parece sano pero "&amp;TEXT(L14,"#,##0")&amp;" kg no pasan filtro "&amp;Stock_Seguridad!O14&amp;": sin ellos queda bajo el SS para esa cadena. ","")&amp;IF(E14="SOBRE MAX VENDIBLE","Sobrestock vs vida útil: frenar producción/activar venta. ","")&amp;IF(N(N14)&gt;=Parametros!$B$17,TEXT(N14,"#,##0")&amp;" kg ya no los acepta ninguna cadena: venta intermedia/liquidación. ","")&amp;IF(N(M14)&gt;=Parametros!$B$17,TEXT(M14,"#,##0")&amp;" kg a punto de salir del filtro: despachar primero (FEFO). ","")&amp;IF(Y14="SÍ","Pedidos "&amp;IF(N(U14)&gt;0,"sobre","bajo")&amp;" FCST "&amp;TEXT(ABS(N(U14)),"0%")&amp;": revisar forecast con KAM.","")</f>
        <v>Stock parece sano pero 4,020 kg no pasan filtro CENCOSUD CENTRAL: sin ellos queda bajo el SS para esa cadena. 4,020 kg ya no los acepta ninguna cadena: venta intermedia/liquidación. 8,232 kg a punto de salir del filtro: despachar primero (FEFO). Pedidos sobre FCST 89%: revisar forecast con KAM.</v>
      </c>
    </row>
    <row r="15" customFormat="false" ht="15" hidden="false" customHeight="false" outlineLevel="0" collapsed="false">
      <c r="A15" s="18" t="n">
        <f aca="false">Stock_Seguridad!A15</f>
        <v>30000704</v>
      </c>
      <c r="B15" s="18" t="str">
        <f aca="false">Stock_Seguridad!B15</f>
        <v>CHOCLO IQF FDM 30X500GR</v>
      </c>
      <c r="C15" s="18" t="str">
        <f aca="false">Stock_Seguridad!C15</f>
        <v>FRUTAS Y HORTALIZAS CONGELADAS</v>
      </c>
      <c r="D15" s="18" t="str">
        <f aca="false">Stock_Seguridad!F15</f>
        <v>SIN HIST</v>
      </c>
      <c r="E15" s="19" t="str">
        <f aca="false">Stock_Seguridad!X15</f>
        <v>OK</v>
      </c>
      <c r="F15" s="20" t="n">
        <f aca="false">Stock_Seguridad!W15</f>
        <v>9.12895595089792</v>
      </c>
      <c r="G15" s="21" t="n">
        <f aca="false">Stock_Seguridad!T15</f>
        <v>586980</v>
      </c>
      <c r="H15" s="21" t="n">
        <f aca="false">Stock_Seguridad!R15</f>
        <v>31728.5849709794</v>
      </c>
      <c r="I15" s="21" t="n">
        <f aca="false">Stock_Seguridad!S15</f>
        <v>96027.2849709794</v>
      </c>
      <c r="J15" s="21" t="n">
        <f aca="false">Stock_Seguridad!U15</f>
        <v>0</v>
      </c>
      <c r="K15" s="22"/>
      <c r="L15" s="23" t="n">
        <v>0</v>
      </c>
      <c r="M15" s="23" t="n">
        <v>0</v>
      </c>
      <c r="N15" s="23" t="n">
        <v>0</v>
      </c>
      <c r="O15" s="24" t="n">
        <v>0.111431825161224</v>
      </c>
      <c r="P15" s="24" t="str">
        <f aca="false">IF(ISNUMBER(Stock_Seguridad!N15),Stock_Seguridad!N15,"")</f>
        <v/>
      </c>
      <c r="Q15" s="24" t="str">
        <f aca="false">IF(AND(ISNUMBER(O15),ISNUMBER(P15)),P15-O15,"")</f>
        <v/>
      </c>
      <c r="R15" s="23" t="n">
        <f aca="false">MAX(0,G15-N(L15))</f>
        <v>586980</v>
      </c>
      <c r="S15" s="23" t="n">
        <f aca="false">SUMIFS(Cadenas_vs_FCST!$D$17:$D$2437,Cadenas_vs_FCST!$A$17:$A$2437,A15)</f>
        <v>0</v>
      </c>
      <c r="T15" s="23" t="n">
        <f aca="false">SUMIFS(Cadenas_vs_FCST!$E$17:$E$2437,Cadenas_vs_FCST!$A$17:$A$2437,A15)</f>
        <v>0</v>
      </c>
      <c r="U15" s="24" t="str">
        <f aca="false">IF(T15&gt;0,S15/T15-1,"")</f>
        <v/>
      </c>
      <c r="V15" s="3" t="str">
        <f aca="false">IF(OR(E15="BAJO SS",E15="BAJO SS (XLIB CUBRE)"),"SÍ","")</f>
        <v/>
      </c>
      <c r="W15" s="3" t="str">
        <f aca="false">IF(AND(V15="",N(L15)&gt;=Parametros!$B$17,G15&gt;=H15,R15&lt;H15),"SÍ","")</f>
        <v/>
      </c>
      <c r="X15" s="3" t="str">
        <f aca="false">IF(OR(E15="SOBRE MAX VENDIBLE",N(N15)&gt;=Parametros!$B$17,N(M15)&gt;=Parametros!$B$17),"SÍ","")</f>
        <v/>
      </c>
      <c r="Y15" s="3" t="str">
        <f aca="false">IF(AND(ISNUMBER(U15),MAX(S15,T15)&gt;=Parametros!$B$15,ABS(N(U15))&gt;Parametros!$B$14),"SÍ","")</f>
        <v/>
      </c>
      <c r="Z15" s="3" t="n">
        <f aca="false">COUNTIF(V15:Y15,"SÍ")</f>
        <v>0</v>
      </c>
      <c r="AA15" s="3" t="n">
        <f aca="false">(3*(V15="SÍ")+2*(W15="SÍ")+2*(X15="SÍ")+(Y15="SÍ"))*IF(LEFT(D15,1)="A",3,IF(OR(LEFT(D15,1)="B",D15="SIN HIST"),2,1))</f>
        <v>0</v>
      </c>
      <c r="AB15" s="3" t="str">
        <f aca="false">IF(AA15&gt;=9,"1-ALTA",IF(AA15&gt;=4,"2-MEDIA",IF(AA15&gt;0,"3-BAJA","")))</f>
        <v/>
      </c>
      <c r="AC15" s="3" t="str">
        <f aca="false">IF(E15="BAJO SS","Stock + XLIB bajo el SS: riesgo real de quiebre, adelantar producción. ","")&amp;IF(E15="BAJO SS (XLIB CUBRE)","Disponible bajo el SS; depende de liberar "&amp;TEXT(J15,"#,##0")&amp;" kg"&amp;IF(ISNUMBER(K15)," el "&amp;TEXT(K15,"dd-mm"),"")&amp;". ","")&amp;IF(W15="SÍ","Stock parece sano pero "&amp;TEXT(L15,"#,##0")&amp;" kg no pasan filtro "&amp;Stock_Seguridad!O15&amp;": sin ellos queda bajo el SS para esa cadena. ","")&amp;IF(E15="SOBRE MAX VENDIBLE","Sobrestock vs vida útil: frenar producción/activar venta. ","")&amp;IF(N(N15)&gt;=Parametros!$B$17,TEXT(N15,"#,##0")&amp;" kg ya no los acepta ninguna cadena: venta intermedia/liquidación. ","")&amp;IF(N(M15)&gt;=Parametros!$B$17,TEXT(M15,"#,##0")&amp;" kg a punto de salir del filtro: despachar primero (FEFO). ","")&amp;IF(Y15="SÍ","Pedidos "&amp;IF(N(U15)&gt;0,"sobre","bajo")&amp;" FCST "&amp;TEXT(ABS(N(U15)),"0%")&amp;": revisar forecast con KAM.","")</f>
        <v/>
      </c>
    </row>
    <row r="16" customFormat="false" ht="15" hidden="false" customHeight="false" outlineLevel="0" collapsed="false">
      <c r="A16" s="18" t="n">
        <f aca="false">Stock_Seguridad!A16</f>
        <v>30000256</v>
      </c>
      <c r="B16" s="18" t="str">
        <f aca="false">Stock_Seguridad!B16</f>
        <v>NECTAR WATTS PIÑA SIXPACK 30X200ML</v>
      </c>
      <c r="C16" s="18" t="str">
        <f aca="false">Stock_Seguridad!C16</f>
        <v>JUGOS Y NECTARES</v>
      </c>
      <c r="D16" s="18" t="str">
        <f aca="false">Stock_Seguridad!F16</f>
        <v>AY</v>
      </c>
      <c r="E16" s="19" t="str">
        <f aca="false">Stock_Seguridad!X16</f>
        <v>OK</v>
      </c>
      <c r="F16" s="20" t="n">
        <f aca="false">Stock_Seguridad!W16</f>
        <v>3.7490697191691</v>
      </c>
      <c r="G16" s="21" t="n">
        <f aca="false">Stock_Seguridad!T16</f>
        <v>222156</v>
      </c>
      <c r="H16" s="21" t="n">
        <f aca="false">Stock_Seguridad!R16</f>
        <v>54208.2442214323</v>
      </c>
      <c r="I16" s="21" t="n">
        <f aca="false">Stock_Seguridad!S16</f>
        <v>113464.544221432</v>
      </c>
      <c r="J16" s="21" t="n">
        <f aca="false">Stock_Seguridad!U16</f>
        <v>0</v>
      </c>
      <c r="K16" s="22"/>
      <c r="L16" s="23" t="n">
        <v>306</v>
      </c>
      <c r="M16" s="23" t="n">
        <v>2436</v>
      </c>
      <c r="N16" s="23" t="n">
        <v>0</v>
      </c>
      <c r="O16" s="24" t="n">
        <v>0.109289450150402</v>
      </c>
      <c r="P16" s="24" t="n">
        <f aca="false">IF(ISNUMBER(Stock_Seguridad!N16),Stock_Seguridad!N16,"")</f>
        <v>0.32054794520548</v>
      </c>
      <c r="Q16" s="24" t="n">
        <f aca="false">IF(AND(ISNUMBER(O16),ISNUMBER(P16)),P16-O16,"")</f>
        <v>0.211258495055077</v>
      </c>
      <c r="R16" s="23" t="n">
        <f aca="false">MAX(0,G16-N(L16))</f>
        <v>221850</v>
      </c>
      <c r="S16" s="23" t="n">
        <f aca="false">SUMIFS(Cadenas_vs_FCST!$D$17:$D$2437,Cadenas_vs_FCST!$A$17:$A$2437,A16)</f>
        <v>223524</v>
      </c>
      <c r="T16" s="23" t="n">
        <f aca="false">SUMIFS(Cadenas_vs_FCST!$E$17:$E$2437,Cadenas_vs_FCST!$A$17:$A$2437,A16)</f>
        <v>203815.376546386</v>
      </c>
      <c r="U16" s="24" t="n">
        <f aca="false">IF(T16&gt;0,S16/T16-1,"")</f>
        <v>0.0966984129832249</v>
      </c>
      <c r="V16" s="3" t="str">
        <f aca="false">IF(OR(E16="BAJO SS",E16="BAJO SS (XLIB CUBRE)"),"SÍ","")</f>
        <v/>
      </c>
      <c r="W16" s="3" t="str">
        <f aca="false">IF(AND(V16="",N(L16)&gt;=Parametros!$B$17,G16&gt;=H16,R16&lt;H16),"SÍ","")</f>
        <v/>
      </c>
      <c r="X16" s="3" t="str">
        <f aca="false">IF(OR(E16="SOBRE MAX VENDIBLE",N(N16)&gt;=Parametros!$B$17,N(M16)&gt;=Parametros!$B$17),"SÍ","")</f>
        <v>SÍ</v>
      </c>
      <c r="Y16" s="3" t="str">
        <f aca="false">IF(AND(ISNUMBER(U16),MAX(S16,T16)&gt;=Parametros!$B$15,ABS(N(U16))&gt;Parametros!$B$14),"SÍ","")</f>
        <v/>
      </c>
      <c r="Z16" s="3" t="n">
        <f aca="false">COUNTIF(V16:Y16,"SÍ")</f>
        <v>1</v>
      </c>
      <c r="AA16" s="3" t="n">
        <f aca="false">(3*(V16="SÍ")+2*(W16="SÍ")+2*(X16="SÍ")+(Y16="SÍ"))*IF(LEFT(D16,1)="A",3,IF(OR(LEFT(D16,1)="B",D16="SIN HIST"),2,1))</f>
        <v>6</v>
      </c>
      <c r="AB16" s="3" t="str">
        <f aca="false">IF(AA16&gt;=9,"1-ALTA",IF(AA16&gt;=4,"2-MEDIA",IF(AA16&gt;0,"3-BAJA","")))</f>
        <v>2-MEDIA</v>
      </c>
      <c r="AC16" s="3" t="str">
        <f aca="false">IF(E16="BAJO SS","Stock + XLIB bajo el SS: riesgo real de quiebre, adelantar producción. ","")&amp;IF(E16="BAJO SS (XLIB CUBRE)","Disponible bajo el SS; depende de liberar "&amp;TEXT(J16,"#,##0")&amp;" kg"&amp;IF(ISNUMBER(K16)," el "&amp;TEXT(K16,"dd-mm"),"")&amp;". ","")&amp;IF(W16="SÍ","Stock parece sano pero "&amp;TEXT(L16,"#,##0")&amp;" kg no pasan filtro "&amp;Stock_Seguridad!O16&amp;": sin ellos queda bajo el SS para esa cadena. ","")&amp;IF(E16="SOBRE MAX VENDIBLE","Sobrestock vs vida útil: frenar producción/activar venta. ","")&amp;IF(N(N16)&gt;=Parametros!$B$17,TEXT(N16,"#,##0")&amp;" kg ya no los acepta ninguna cadena: venta intermedia/liquidación. ","")&amp;IF(N(M16)&gt;=Parametros!$B$17,TEXT(M16,"#,##0")&amp;" kg a punto de salir del filtro: despachar primero (FEFO). ","")&amp;IF(Y16="SÍ","Pedidos "&amp;IF(N(U16)&gt;0,"sobre","bajo")&amp;" FCST "&amp;TEXT(ABS(N(U16)),"0%")&amp;": revisar forecast con KAM.","")</f>
        <v>2,436 kg a punto de salir del filtro: despachar primero (FEFO). </v>
      </c>
    </row>
    <row r="17" customFormat="false" ht="15" hidden="false" customHeight="false" outlineLevel="0" collapsed="false">
      <c r="A17" s="18" t="n">
        <f aca="false">Stock_Seguridad!A17</f>
        <v>30001086</v>
      </c>
      <c r="B17" s="18" t="str">
        <f aca="false">Stock_Seguridad!B17</f>
        <v>YOGURT GRIEGO OIKOS NAT S/A 48X150GR</v>
      </c>
      <c r="C17" s="18" t="str">
        <f aca="false">Stock_Seguridad!C17</f>
        <v>YOGURT</v>
      </c>
      <c r="D17" s="18" t="str">
        <f aca="false">Stock_Seguridad!F17</f>
        <v>AX</v>
      </c>
      <c r="E17" s="19" t="str">
        <f aca="false">Stock_Seguridad!X17</f>
        <v>OK</v>
      </c>
      <c r="F17" s="20" t="n">
        <f aca="false">Stock_Seguridad!W17</f>
        <v>1.62824496500575</v>
      </c>
      <c r="G17" s="21" t="n">
        <f aca="false">Stock_Seguridad!T17</f>
        <v>69559.2</v>
      </c>
      <c r="H17" s="21" t="n">
        <f aca="false">Stock_Seguridad!R17</f>
        <v>26284.592948647</v>
      </c>
      <c r="I17" s="21" t="n">
        <f aca="false">Stock_Seguridad!S17</f>
        <v>83022.492948647</v>
      </c>
      <c r="J17" s="21" t="n">
        <f aca="false">Stock_Seguridad!U17</f>
        <v>22824</v>
      </c>
      <c r="K17" s="22" t="n">
        <v>46317</v>
      </c>
      <c r="L17" s="23" t="n">
        <v>14.4</v>
      </c>
      <c r="M17" s="23" t="n">
        <v>345.6</v>
      </c>
      <c r="N17" s="23" t="n">
        <v>0</v>
      </c>
      <c r="O17" s="24" t="n">
        <v>0.0801428682957296</v>
      </c>
      <c r="P17" s="24" t="n">
        <f aca="false">IF(ISNUMBER(Stock_Seguridad!N17),Stock_Seguridad!N17,"")</f>
        <v>0.298245614035088</v>
      </c>
      <c r="Q17" s="24" t="n">
        <f aca="false">IF(AND(ISNUMBER(O17),ISNUMBER(P17)),P17-O17,"")</f>
        <v>0.218102745739358</v>
      </c>
      <c r="R17" s="23" t="n">
        <f aca="false">MAX(0,G17-N(L17))</f>
        <v>69544.8</v>
      </c>
      <c r="S17" s="23" t="n">
        <f aca="false">SUMIFS(Cadenas_vs_FCST!$D$17:$D$2437,Cadenas_vs_FCST!$A$17:$A$2437,A17)</f>
        <v>230263.2</v>
      </c>
      <c r="T17" s="23" t="n">
        <f aca="false">SUMIFS(Cadenas_vs_FCST!$E$17:$E$2437,Cadenas_vs_FCST!$A$17:$A$2437,A17)</f>
        <v>226140.664980406</v>
      </c>
      <c r="U17" s="24" t="n">
        <f aca="false">IF(T17&gt;0,S17/T17-1,"")</f>
        <v>0.0182299588618919</v>
      </c>
      <c r="V17" s="3" t="str">
        <f aca="false">IF(OR(E17="BAJO SS",E17="BAJO SS (XLIB CUBRE)"),"SÍ","")</f>
        <v/>
      </c>
      <c r="W17" s="3" t="str">
        <f aca="false">IF(AND(V17="",N(L17)&gt;=Parametros!$B$17,G17&gt;=H17,R17&lt;H17),"SÍ","")</f>
        <v/>
      </c>
      <c r="X17" s="3" t="str">
        <f aca="false">IF(OR(E17="SOBRE MAX VENDIBLE",N(N17)&gt;=Parametros!$B$17,N(M17)&gt;=Parametros!$B$17),"SÍ","")</f>
        <v/>
      </c>
      <c r="Y17" s="3" t="str">
        <f aca="false">IF(AND(ISNUMBER(U17),MAX(S17,T17)&gt;=Parametros!$B$15,ABS(N(U17))&gt;Parametros!$B$14),"SÍ","")</f>
        <v/>
      </c>
      <c r="Z17" s="3" t="n">
        <f aca="false">COUNTIF(V17:Y17,"SÍ")</f>
        <v>0</v>
      </c>
      <c r="AA17" s="3" t="n">
        <f aca="false">(3*(V17="SÍ")+2*(W17="SÍ")+2*(X17="SÍ")+(Y17="SÍ"))*IF(LEFT(D17,1)="A",3,IF(OR(LEFT(D17,1)="B",D17="SIN HIST"),2,1))</f>
        <v>0</v>
      </c>
      <c r="AB17" s="3" t="str">
        <f aca="false">IF(AA17&gt;=9,"1-ALTA",IF(AA17&gt;=4,"2-MEDIA",IF(AA17&gt;0,"3-BAJA","")))</f>
        <v/>
      </c>
      <c r="AC17" s="3" t="str">
        <f aca="false">IF(E17="BAJO SS","Stock + XLIB bajo el SS: riesgo real de quiebre, adelantar producción. ","")&amp;IF(E17="BAJO SS (XLIB CUBRE)","Disponible bajo el SS; depende de liberar "&amp;TEXT(J17,"#,##0")&amp;" kg"&amp;IF(ISNUMBER(K17)," el "&amp;TEXT(K17,"dd-mm"),"")&amp;". ","")&amp;IF(W17="SÍ","Stock parece sano pero "&amp;TEXT(L17,"#,##0")&amp;" kg no pasan filtro "&amp;Stock_Seguridad!O17&amp;": sin ellos queda bajo el SS para esa cadena. ","")&amp;IF(E17="SOBRE MAX VENDIBLE","Sobrestock vs vida útil: frenar producción/activar venta. ","")&amp;IF(N(N17)&gt;=Parametros!$B$17,TEXT(N17,"#,##0")&amp;" kg ya no los acepta ninguna cadena: venta intermedia/liquidación. ","")&amp;IF(N(M17)&gt;=Parametros!$B$17,TEXT(M17,"#,##0")&amp;" kg a punto de salir del filtro: despachar primero (FEFO). ","")&amp;IF(Y17="SÍ","Pedidos "&amp;IF(N(U17)&gt;0,"sobre","bajo")&amp;" FCST "&amp;TEXT(ABS(N(U17)),"0%")&amp;": revisar forecast con KAM.","")</f>
        <v/>
      </c>
    </row>
    <row r="18" customFormat="false" ht="15" hidden="false" customHeight="false" outlineLevel="0" collapsed="false">
      <c r="A18" s="18" t="n">
        <f aca="false">Stock_Seguridad!A18</f>
        <v>30000257</v>
      </c>
      <c r="B18" s="18" t="str">
        <f aca="false">Stock_Seguridad!B18</f>
        <v>NECTAR WATTS MZNA SIXPACK 30X200ML</v>
      </c>
      <c r="C18" s="18" t="str">
        <f aca="false">Stock_Seguridad!C18</f>
        <v>JUGOS Y NECTARES</v>
      </c>
      <c r="D18" s="18" t="str">
        <f aca="false">Stock_Seguridad!F18</f>
        <v>AX</v>
      </c>
      <c r="E18" s="19" t="str">
        <f aca="false">Stock_Seguridad!X18</f>
        <v>OK</v>
      </c>
      <c r="F18" s="20" t="n">
        <f aca="false">Stock_Seguridad!W18</f>
        <v>5.83455247184058</v>
      </c>
      <c r="G18" s="21" t="n">
        <f aca="false">Stock_Seguridad!T18</f>
        <v>325398</v>
      </c>
      <c r="H18" s="21" t="n">
        <f aca="false">Stock_Seguridad!R18</f>
        <v>39827.55256937</v>
      </c>
      <c r="I18" s="21" t="n">
        <f aca="false">Stock_Seguridad!S18</f>
        <v>95741.35256937</v>
      </c>
      <c r="J18" s="21" t="n">
        <f aca="false">Stock_Seguridad!U18</f>
        <v>834</v>
      </c>
      <c r="K18" s="22" t="n">
        <v>46263</v>
      </c>
      <c r="L18" s="23" t="n">
        <v>0</v>
      </c>
      <c r="M18" s="23" t="n">
        <v>3690</v>
      </c>
      <c r="N18" s="23" t="n">
        <v>0</v>
      </c>
      <c r="O18" s="24" t="n">
        <v>0.079453458898407</v>
      </c>
      <c r="P18" s="24" t="n">
        <f aca="false">IF(ISNUMBER(Stock_Seguridad!N18),Stock_Seguridad!N18,"")</f>
        <v>0.32054794520548</v>
      </c>
      <c r="Q18" s="24" t="n">
        <f aca="false">IF(AND(ISNUMBER(O18),ISNUMBER(P18)),P18-O18,"")</f>
        <v>0.241094486307073</v>
      </c>
      <c r="R18" s="23" t="n">
        <f aca="false">MAX(0,G18-N(L18))</f>
        <v>325398</v>
      </c>
      <c r="S18" s="23" t="n">
        <f aca="false">SUMIFS(Cadenas_vs_FCST!$D$17:$D$2437,Cadenas_vs_FCST!$A$17:$A$2437,A18)</f>
        <v>209526</v>
      </c>
      <c r="T18" s="23" t="n">
        <f aca="false">SUMIFS(Cadenas_vs_FCST!$E$17:$E$2437,Cadenas_vs_FCST!$A$17:$A$2437,A18)</f>
        <v>224854.500588335</v>
      </c>
      <c r="U18" s="24" t="n">
        <f aca="false">IF(T18&gt;0,S18/T18-1,"")</f>
        <v>-0.06817075285675</v>
      </c>
      <c r="V18" s="3" t="str">
        <f aca="false">IF(OR(E18="BAJO SS",E18="BAJO SS (XLIB CUBRE)"),"SÍ","")</f>
        <v/>
      </c>
      <c r="W18" s="3" t="str">
        <f aca="false">IF(AND(V18="",N(L18)&gt;=Parametros!$B$17,G18&gt;=H18,R18&lt;H18),"SÍ","")</f>
        <v/>
      </c>
      <c r="X18" s="3" t="str">
        <f aca="false">IF(OR(E18="SOBRE MAX VENDIBLE",N(N18)&gt;=Parametros!$B$17,N(M18)&gt;=Parametros!$B$17),"SÍ","")</f>
        <v>SÍ</v>
      </c>
      <c r="Y18" s="3" t="str">
        <f aca="false">IF(AND(ISNUMBER(U18),MAX(S18,T18)&gt;=Parametros!$B$15,ABS(N(U18))&gt;Parametros!$B$14),"SÍ","")</f>
        <v/>
      </c>
      <c r="Z18" s="3" t="n">
        <f aca="false">COUNTIF(V18:Y18,"SÍ")</f>
        <v>1</v>
      </c>
      <c r="AA18" s="3" t="n">
        <f aca="false">(3*(V18="SÍ")+2*(W18="SÍ")+2*(X18="SÍ")+(Y18="SÍ"))*IF(LEFT(D18,1)="A",3,IF(OR(LEFT(D18,1)="B",D18="SIN HIST"),2,1))</f>
        <v>6</v>
      </c>
      <c r="AB18" s="3" t="str">
        <f aca="false">IF(AA18&gt;=9,"1-ALTA",IF(AA18&gt;=4,"2-MEDIA",IF(AA18&gt;0,"3-BAJA","")))</f>
        <v>2-MEDIA</v>
      </c>
      <c r="AC18" s="3" t="str">
        <f aca="false">IF(E18="BAJO SS","Stock + XLIB bajo el SS: riesgo real de quiebre, adelantar producción. ","")&amp;IF(E18="BAJO SS (XLIB CUBRE)","Disponible bajo el SS; depende de liberar "&amp;TEXT(J18,"#,##0")&amp;" kg"&amp;IF(ISNUMBER(K18)," el "&amp;TEXT(K18,"dd-mm"),"")&amp;". ","")&amp;IF(W18="SÍ","Stock parece sano pero "&amp;TEXT(L18,"#,##0")&amp;" kg no pasan filtro "&amp;Stock_Seguridad!O18&amp;": sin ellos queda bajo el SS para esa cadena. ","")&amp;IF(E18="SOBRE MAX VENDIBLE","Sobrestock vs vida útil: frenar producción/activar venta. ","")&amp;IF(N(N18)&gt;=Parametros!$B$17,TEXT(N18,"#,##0")&amp;" kg ya no los acepta ninguna cadena: venta intermedia/liquidación. ","")&amp;IF(N(M18)&gt;=Parametros!$B$17,TEXT(M18,"#,##0")&amp;" kg a punto de salir del filtro: despachar primero (FEFO). ","")&amp;IF(Y18="SÍ","Pedidos "&amp;IF(N(U18)&gt;0,"sobre","bajo")&amp;" FCST "&amp;TEXT(ABS(N(U18)),"0%")&amp;": revisar forecast con KAM.","")</f>
        <v>3,690 kg a punto de salir del filtro: despachar primero (FEFO). </v>
      </c>
    </row>
    <row r="19" customFormat="false" ht="15" hidden="false" customHeight="false" outlineLevel="0" collapsed="false">
      <c r="A19" s="18" t="n">
        <f aca="false">Stock_Seguridad!A19</f>
        <v>30000338</v>
      </c>
      <c r="B19" s="18" t="str">
        <f aca="false">Stock_Seguridad!B19</f>
        <v>PREPARADO HELADO BOCADO TETRA 12X1LT</v>
      </c>
      <c r="C19" s="18" t="str">
        <f aca="false">Stock_Seguridad!C19</f>
        <v>PREPARADOS DE HELADO</v>
      </c>
      <c r="D19" s="18" t="str">
        <f aca="false">Stock_Seguridad!F19</f>
        <v>SIN HIST</v>
      </c>
      <c r="E19" s="19" t="str">
        <f aca="false">Stock_Seguridad!X19</f>
        <v>OK</v>
      </c>
      <c r="F19" s="20" t="n">
        <f aca="false">Stock_Seguridad!W19</f>
        <v>6.40808114107776</v>
      </c>
      <c r="G19" s="21" t="n">
        <f aca="false">Stock_Seguridad!T19</f>
        <v>357660</v>
      </c>
      <c r="H19" s="21" t="n">
        <f aca="false">Stock_Seguridad!R19</f>
        <v>27541.708754792</v>
      </c>
      <c r="I19" s="21" t="n">
        <f aca="false">Stock_Seguridad!S19</f>
        <v>83355.608754792</v>
      </c>
      <c r="J19" s="21" t="n">
        <f aca="false">Stock_Seguridad!U19</f>
        <v>0</v>
      </c>
      <c r="K19" s="22"/>
      <c r="L19" s="23" t="n">
        <v>0</v>
      </c>
      <c r="M19" s="23" t="n">
        <v>0</v>
      </c>
      <c r="N19" s="23" t="n">
        <v>0</v>
      </c>
      <c r="O19" s="24" t="n">
        <v>0.0605264217413186</v>
      </c>
      <c r="P19" s="24" t="n">
        <f aca="false">IF(ISNUMBER(Stock_Seguridad!N19),Stock_Seguridad!N19,"")</f>
        <v>0.273469387755102</v>
      </c>
      <c r="Q19" s="24" t="n">
        <f aca="false">IF(AND(ISNUMBER(O19),ISNUMBER(P19)),P19-O19,"")</f>
        <v>0.212942966013783</v>
      </c>
      <c r="R19" s="23" t="n">
        <f aca="false">MAX(0,G19-N(L19))</f>
        <v>357660</v>
      </c>
      <c r="S19" s="23" t="n">
        <f aca="false">SUMIFS(Cadenas_vs_FCST!$D$17:$D$2437,Cadenas_vs_FCST!$A$17:$A$2437,A19)</f>
        <v>0</v>
      </c>
      <c r="T19" s="23" t="n">
        <f aca="false">SUMIFS(Cadenas_vs_FCST!$E$17:$E$2437,Cadenas_vs_FCST!$A$17:$A$2437,A19)</f>
        <v>0</v>
      </c>
      <c r="U19" s="24" t="str">
        <f aca="false">IF(T19&gt;0,S19/T19-1,"")</f>
        <v/>
      </c>
      <c r="V19" s="3" t="str">
        <f aca="false">IF(OR(E19="BAJO SS",E19="BAJO SS (XLIB CUBRE)"),"SÍ","")</f>
        <v/>
      </c>
      <c r="W19" s="3" t="str">
        <f aca="false">IF(AND(V19="",N(L19)&gt;=Parametros!$B$17,G19&gt;=H19,R19&lt;H19),"SÍ","")</f>
        <v/>
      </c>
      <c r="X19" s="3" t="str">
        <f aca="false">IF(OR(E19="SOBRE MAX VENDIBLE",N(N19)&gt;=Parametros!$B$17,N(M19)&gt;=Parametros!$B$17),"SÍ","")</f>
        <v/>
      </c>
      <c r="Y19" s="3" t="str">
        <f aca="false">IF(AND(ISNUMBER(U19),MAX(S19,T19)&gt;=Parametros!$B$15,ABS(N(U19))&gt;Parametros!$B$14),"SÍ","")</f>
        <v/>
      </c>
      <c r="Z19" s="3" t="n">
        <f aca="false">COUNTIF(V19:Y19,"SÍ")</f>
        <v>0</v>
      </c>
      <c r="AA19" s="3" t="n">
        <f aca="false">(3*(V19="SÍ")+2*(W19="SÍ")+2*(X19="SÍ")+(Y19="SÍ"))*IF(LEFT(D19,1)="A",3,IF(OR(LEFT(D19,1)="B",D19="SIN HIST"),2,1))</f>
        <v>0</v>
      </c>
      <c r="AB19" s="3" t="str">
        <f aca="false">IF(AA19&gt;=9,"1-ALTA",IF(AA19&gt;=4,"2-MEDIA",IF(AA19&gt;0,"3-BAJA","")))</f>
        <v/>
      </c>
      <c r="AC19" s="3" t="str">
        <f aca="false">IF(E19="BAJO SS","Stock + XLIB bajo el SS: riesgo real de quiebre, adelantar producción. ","")&amp;IF(E19="BAJO SS (XLIB CUBRE)","Disponible bajo el SS; depende de liberar "&amp;TEXT(J19,"#,##0")&amp;" kg"&amp;IF(ISNUMBER(K19)," el "&amp;TEXT(K19,"dd-mm"),"")&amp;". ","")&amp;IF(W19="SÍ","Stock parece sano pero "&amp;TEXT(L19,"#,##0")&amp;" kg no pasan filtro "&amp;Stock_Seguridad!O19&amp;": sin ellos queda bajo el SS para esa cadena. ","")&amp;IF(E19="SOBRE MAX VENDIBLE","Sobrestock vs vida útil: frenar producción/activar venta. ","")&amp;IF(N(N19)&gt;=Parametros!$B$17,TEXT(N19,"#,##0")&amp;" kg ya no los acepta ninguna cadena: venta intermedia/liquidación. ","")&amp;IF(N(M19)&gt;=Parametros!$B$17,TEXT(M19,"#,##0")&amp;" kg a punto de salir del filtro: despachar primero (FEFO). ","")&amp;IF(Y19="SÍ","Pedidos "&amp;IF(N(U19)&gt;0,"sobre","bajo")&amp;" FCST "&amp;TEXT(ABS(N(U19)),"0%")&amp;": revisar forecast con KAM.","")</f>
        <v/>
      </c>
    </row>
    <row r="20" customFormat="false" ht="15" hidden="false" customHeight="false" outlineLevel="0" collapsed="false">
      <c r="A20" s="18" t="n">
        <f aca="false">Stock_Seguridad!A20</f>
        <v>30000258</v>
      </c>
      <c r="B20" s="18" t="str">
        <f aca="false">Stock_Seguridad!B20</f>
        <v>NECTAR WATTS NJA SIXPACK 30X200ML</v>
      </c>
      <c r="C20" s="18" t="str">
        <f aca="false">Stock_Seguridad!C20</f>
        <v>JUGOS Y NECTARES</v>
      </c>
      <c r="D20" s="18" t="str">
        <f aca="false">Stock_Seguridad!F20</f>
        <v>AY</v>
      </c>
      <c r="E20" s="19" t="str">
        <f aca="false">Stock_Seguridad!X20</f>
        <v>OK</v>
      </c>
      <c r="F20" s="20" t="n">
        <f aca="false">Stock_Seguridad!W20</f>
        <v>3.32675204231347</v>
      </c>
      <c r="G20" s="21" t="n">
        <f aca="false">Stock_Seguridad!T20</f>
        <v>165294</v>
      </c>
      <c r="H20" s="21" t="n">
        <f aca="false">Stock_Seguridad!R20</f>
        <v>50190.0088686619</v>
      </c>
      <c r="I20" s="21" t="n">
        <f aca="false">Stock_Seguridad!S20</f>
        <v>99876.3088686619</v>
      </c>
      <c r="J20" s="21" t="n">
        <f aca="false">Stock_Seguridad!U20</f>
        <v>0</v>
      </c>
      <c r="K20" s="22"/>
      <c r="L20" s="23" t="n">
        <v>0</v>
      </c>
      <c r="M20" s="23" t="n">
        <v>0</v>
      </c>
      <c r="N20" s="23" t="n">
        <v>0</v>
      </c>
      <c r="O20" s="24" t="n">
        <v>0.186316957787482</v>
      </c>
      <c r="P20" s="24" t="n">
        <f aca="false">IF(ISNUMBER(Stock_Seguridad!N20),Stock_Seguridad!N20,"")</f>
        <v>0.32054794520548</v>
      </c>
      <c r="Q20" s="24" t="n">
        <f aca="false">IF(AND(ISNUMBER(O20),ISNUMBER(P20)),P20-O20,"")</f>
        <v>0.134230987417998</v>
      </c>
      <c r="R20" s="23" t="n">
        <f aca="false">MAX(0,G20-N(L20))</f>
        <v>165294</v>
      </c>
      <c r="S20" s="23" t="n">
        <f aca="false">SUMIFS(Cadenas_vs_FCST!$D$17:$D$2437,Cadenas_vs_FCST!$A$17:$A$2437,A20)</f>
        <v>150780</v>
      </c>
      <c r="T20" s="23" t="n">
        <f aca="false">SUMIFS(Cadenas_vs_FCST!$E$17:$E$2437,Cadenas_vs_FCST!$A$17:$A$2437,A20)</f>
        <v>241835.54725364</v>
      </c>
      <c r="U20" s="24" t="n">
        <f aca="false">IF(T20&gt;0,S20/T20-1,"")</f>
        <v>-0.376518457636585</v>
      </c>
      <c r="V20" s="3" t="str">
        <f aca="false">IF(OR(E20="BAJO SS",E20="BAJO SS (XLIB CUBRE)"),"SÍ","")</f>
        <v/>
      </c>
      <c r="W20" s="3" t="str">
        <f aca="false">IF(AND(V20="",N(L20)&gt;=Parametros!$B$17,G20&gt;=H20,R20&lt;H20),"SÍ","")</f>
        <v/>
      </c>
      <c r="X20" s="3" t="str">
        <f aca="false">IF(OR(E20="SOBRE MAX VENDIBLE",N(N20)&gt;=Parametros!$B$17,N(M20)&gt;=Parametros!$B$17),"SÍ","")</f>
        <v/>
      </c>
      <c r="Y20" s="3" t="str">
        <f aca="false">IF(AND(ISNUMBER(U20),MAX(S20,T20)&gt;=Parametros!$B$15,ABS(N(U20))&gt;Parametros!$B$14),"SÍ","")</f>
        <v>SÍ</v>
      </c>
      <c r="Z20" s="3" t="n">
        <f aca="false">COUNTIF(V20:Y20,"SÍ")</f>
        <v>1</v>
      </c>
      <c r="AA20" s="3" t="n">
        <f aca="false">(3*(V20="SÍ")+2*(W20="SÍ")+2*(X20="SÍ")+(Y20="SÍ"))*IF(LEFT(D20,1)="A",3,IF(OR(LEFT(D20,1)="B",D20="SIN HIST"),2,1))</f>
        <v>3</v>
      </c>
      <c r="AB20" s="3" t="str">
        <f aca="false">IF(AA20&gt;=9,"1-ALTA",IF(AA20&gt;=4,"2-MEDIA",IF(AA20&gt;0,"3-BAJA","")))</f>
        <v>3-BAJA</v>
      </c>
      <c r="AC20" s="3" t="str">
        <f aca="false">IF(E20="BAJO SS","Stock + XLIB bajo el SS: riesgo real de quiebre, adelantar producción. ","")&amp;IF(E20="BAJO SS (XLIB CUBRE)","Disponible bajo el SS; depende de liberar "&amp;TEXT(J20,"#,##0")&amp;" kg"&amp;IF(ISNUMBER(K20)," el "&amp;TEXT(K20,"dd-mm"),"")&amp;". ","")&amp;IF(W20="SÍ","Stock parece sano pero "&amp;TEXT(L20,"#,##0")&amp;" kg no pasan filtro "&amp;Stock_Seguridad!O20&amp;": sin ellos queda bajo el SS para esa cadena. ","")&amp;IF(E20="SOBRE MAX VENDIBLE","Sobrestock vs vida útil: frenar producción/activar venta. ","")&amp;IF(N(N20)&gt;=Parametros!$B$17,TEXT(N20,"#,##0")&amp;" kg ya no los acepta ninguna cadena: venta intermedia/liquidación. ","")&amp;IF(N(M20)&gt;=Parametros!$B$17,TEXT(M20,"#,##0")&amp;" kg a punto de salir del filtro: despachar primero (FEFO). ","")&amp;IF(Y20="SÍ","Pedidos "&amp;IF(N(U20)&gt;0,"sobre","bajo")&amp;" FCST "&amp;TEXT(ABS(N(U20)),"0%")&amp;": revisar forecast con KAM.","")</f>
        <v>Pedidos bajo FCST 38%: revisar forecast con KAM.</v>
      </c>
    </row>
    <row r="21" customFormat="false" ht="15" hidden="false" customHeight="false" outlineLevel="0" collapsed="false">
      <c r="A21" s="18" t="n">
        <f aca="false">Stock_Seguridad!A21</f>
        <v>30000337</v>
      </c>
      <c r="B21" s="18" t="str">
        <f aca="false">Stock_Seguridad!B21</f>
        <v>PREPARADO HELADO CHOC TETRA 12X1LT</v>
      </c>
      <c r="C21" s="18" t="str">
        <f aca="false">Stock_Seguridad!C21</f>
        <v>PREPARADOS DE HELADO</v>
      </c>
      <c r="D21" s="18" t="str">
        <f aca="false">Stock_Seguridad!F21</f>
        <v>SIN HIST</v>
      </c>
      <c r="E21" s="19" t="str">
        <f aca="false">Stock_Seguridad!X21</f>
        <v>OK</v>
      </c>
      <c r="F21" s="20" t="n">
        <f aca="false">Stock_Seguridad!W21</f>
        <v>6.10550973438281</v>
      </c>
      <c r="G21" s="21" t="n">
        <f aca="false">Stock_Seguridad!T21</f>
        <v>252228</v>
      </c>
      <c r="H21" s="21" t="n">
        <f aca="false">Stock_Seguridad!R21</f>
        <v>24099.0136650463</v>
      </c>
      <c r="I21" s="21" t="n">
        <f aca="false">Stock_Seguridad!S21</f>
        <v>72936.2136650463</v>
      </c>
      <c r="J21" s="21" t="n">
        <f aca="false">Stock_Seguridad!U21</f>
        <v>45948</v>
      </c>
      <c r="K21" s="22" t="n">
        <v>46320</v>
      </c>
      <c r="L21" s="23" t="n">
        <v>0</v>
      </c>
      <c r="M21" s="23" t="n">
        <v>396</v>
      </c>
      <c r="N21" s="23" t="n">
        <v>0</v>
      </c>
      <c r="O21" s="24" t="n">
        <v>0.0769031712813909</v>
      </c>
      <c r="P21" s="24" t="n">
        <f aca="false">IF(ISNUMBER(Stock_Seguridad!N21),Stock_Seguridad!N21,"")</f>
        <v>0.273469387755102</v>
      </c>
      <c r="Q21" s="24" t="n">
        <f aca="false">IF(AND(ISNUMBER(O21),ISNUMBER(P21)),P21-O21,"")</f>
        <v>0.196566216473711</v>
      </c>
      <c r="R21" s="23" t="n">
        <f aca="false">MAX(0,G21-N(L21))</f>
        <v>252228</v>
      </c>
      <c r="S21" s="23" t="n">
        <f aca="false">SUMIFS(Cadenas_vs_FCST!$D$17:$D$2437,Cadenas_vs_FCST!$A$17:$A$2437,A21)</f>
        <v>0</v>
      </c>
      <c r="T21" s="23" t="n">
        <f aca="false">SUMIFS(Cadenas_vs_FCST!$E$17:$E$2437,Cadenas_vs_FCST!$A$17:$A$2437,A21)</f>
        <v>0</v>
      </c>
      <c r="U21" s="24" t="str">
        <f aca="false">IF(T21&gt;0,S21/T21-1,"")</f>
        <v/>
      </c>
      <c r="V21" s="3" t="str">
        <f aca="false">IF(OR(E21="BAJO SS",E21="BAJO SS (XLIB CUBRE)"),"SÍ","")</f>
        <v/>
      </c>
      <c r="W21" s="3" t="str">
        <f aca="false">IF(AND(V21="",N(L21)&gt;=Parametros!$B$17,G21&gt;=H21,R21&lt;H21),"SÍ","")</f>
        <v/>
      </c>
      <c r="X21" s="3" t="str">
        <f aca="false">IF(OR(E21="SOBRE MAX VENDIBLE",N(N21)&gt;=Parametros!$B$17,N(M21)&gt;=Parametros!$B$17),"SÍ","")</f>
        <v/>
      </c>
      <c r="Y21" s="3" t="str">
        <f aca="false">IF(AND(ISNUMBER(U21),MAX(S21,T21)&gt;=Parametros!$B$15,ABS(N(U21))&gt;Parametros!$B$14),"SÍ","")</f>
        <v/>
      </c>
      <c r="Z21" s="3" t="n">
        <f aca="false">COUNTIF(V21:Y21,"SÍ")</f>
        <v>0</v>
      </c>
      <c r="AA21" s="3" t="n">
        <f aca="false">(3*(V21="SÍ")+2*(W21="SÍ")+2*(X21="SÍ")+(Y21="SÍ"))*IF(LEFT(D21,1)="A",3,IF(OR(LEFT(D21,1)="B",D21="SIN HIST"),2,1))</f>
        <v>0</v>
      </c>
      <c r="AB21" s="3" t="str">
        <f aca="false">IF(AA21&gt;=9,"1-ALTA",IF(AA21&gt;=4,"2-MEDIA",IF(AA21&gt;0,"3-BAJA","")))</f>
        <v/>
      </c>
      <c r="AC21" s="3" t="str">
        <f aca="false">IF(E21="BAJO SS","Stock + XLIB bajo el SS: riesgo real de quiebre, adelantar producción. ","")&amp;IF(E21="BAJO SS (XLIB CUBRE)","Disponible bajo el SS; depende de liberar "&amp;TEXT(J21,"#,##0")&amp;" kg"&amp;IF(ISNUMBER(K21)," el "&amp;TEXT(K21,"dd-mm"),"")&amp;". ","")&amp;IF(W21="SÍ","Stock parece sano pero "&amp;TEXT(L21,"#,##0")&amp;" kg no pasan filtro "&amp;Stock_Seguridad!O21&amp;": sin ellos queda bajo el SS para esa cadena. ","")&amp;IF(E21="SOBRE MAX VENDIBLE","Sobrestock vs vida útil: frenar producción/activar venta. ","")&amp;IF(N(N21)&gt;=Parametros!$B$17,TEXT(N21,"#,##0")&amp;" kg ya no los acepta ninguna cadena: venta intermedia/liquidación. ","")&amp;IF(N(M21)&gt;=Parametros!$B$17,TEXT(M21,"#,##0")&amp;" kg a punto de salir del filtro: despachar primero (FEFO). ","")&amp;IF(Y21="SÍ","Pedidos "&amp;IF(N(U21)&gt;0,"sobre","bajo")&amp;" FCST "&amp;TEXT(ABS(N(U21)),"0%")&amp;": revisar forecast con KAM.","")</f>
        <v/>
      </c>
    </row>
    <row r="22" customFormat="false" ht="15" hidden="false" customHeight="false" outlineLevel="0" collapsed="false">
      <c r="A22" s="18" t="n">
        <f aca="false">Stock_Seguridad!A22</f>
        <v>30000729</v>
      </c>
      <c r="B22" s="18" t="str">
        <f aca="false">Stock_Seguridad!B22</f>
        <v>PAPA PREFRITA 12X12 FM 4X2,5KG</v>
      </c>
      <c r="C22" s="18" t="str">
        <f aca="false">Stock_Seguridad!C22</f>
        <v>FRUTAS Y HORTALIZAS CONGELADAS</v>
      </c>
      <c r="D22" s="18" t="str">
        <f aca="false">Stock_Seguridad!F22</f>
        <v>SIN HIST</v>
      </c>
      <c r="E22" s="19" t="str">
        <f aca="false">Stock_Seguridad!X22</f>
        <v>OK</v>
      </c>
      <c r="F22" s="20" t="n">
        <f aca="false">Stock_Seguridad!W22</f>
        <v>9.8504828286634</v>
      </c>
      <c r="G22" s="21" t="n">
        <f aca="false">Stock_Seguridad!T22</f>
        <v>413790</v>
      </c>
      <c r="H22" s="21" t="n">
        <f aca="false">Stock_Seguridad!R22</f>
        <v>24099.0136650463</v>
      </c>
      <c r="I22" s="21" t="n">
        <f aca="false">Stock_Seguridad!S22</f>
        <v>72936.2136650463</v>
      </c>
      <c r="J22" s="21" t="n">
        <f aca="false">Stock_Seguridad!U22</f>
        <v>67280</v>
      </c>
      <c r="K22" s="22"/>
      <c r="L22" s="23" t="n">
        <v>0</v>
      </c>
      <c r="M22" s="23" t="n">
        <v>0</v>
      </c>
      <c r="N22" s="23" t="n">
        <v>0</v>
      </c>
      <c r="O22" s="24" t="n">
        <v>0.161162790697674</v>
      </c>
      <c r="P22" s="24" t="str">
        <f aca="false">IF(ISNUMBER(Stock_Seguridad!N22),Stock_Seguridad!N22,"")</f>
        <v/>
      </c>
      <c r="Q22" s="24" t="str">
        <f aca="false">IF(AND(ISNUMBER(O22),ISNUMBER(P22)),P22-O22,"")</f>
        <v/>
      </c>
      <c r="R22" s="23" t="n">
        <f aca="false">MAX(0,G22-N(L22))</f>
        <v>413790</v>
      </c>
      <c r="S22" s="23" t="n">
        <f aca="false">SUMIFS(Cadenas_vs_FCST!$D$17:$D$2437,Cadenas_vs_FCST!$A$17:$A$2437,A22)</f>
        <v>0</v>
      </c>
      <c r="T22" s="23" t="n">
        <f aca="false">SUMIFS(Cadenas_vs_FCST!$E$17:$E$2437,Cadenas_vs_FCST!$A$17:$A$2437,A22)</f>
        <v>0</v>
      </c>
      <c r="U22" s="24" t="str">
        <f aca="false">IF(T22&gt;0,S22/T22-1,"")</f>
        <v/>
      </c>
      <c r="V22" s="3" t="str">
        <f aca="false">IF(OR(E22="BAJO SS",E22="BAJO SS (XLIB CUBRE)"),"SÍ","")</f>
        <v/>
      </c>
      <c r="W22" s="3" t="str">
        <f aca="false">IF(AND(V22="",N(L22)&gt;=Parametros!$B$17,G22&gt;=H22,R22&lt;H22),"SÍ","")</f>
        <v/>
      </c>
      <c r="X22" s="3" t="str">
        <f aca="false">IF(OR(E22="SOBRE MAX VENDIBLE",N(N22)&gt;=Parametros!$B$17,N(M22)&gt;=Parametros!$B$17),"SÍ","")</f>
        <v/>
      </c>
      <c r="Y22" s="3" t="str">
        <f aca="false">IF(AND(ISNUMBER(U22),MAX(S22,T22)&gt;=Parametros!$B$15,ABS(N(U22))&gt;Parametros!$B$14),"SÍ","")</f>
        <v/>
      </c>
      <c r="Z22" s="3" t="n">
        <f aca="false">COUNTIF(V22:Y22,"SÍ")</f>
        <v>0</v>
      </c>
      <c r="AA22" s="3" t="n">
        <f aca="false">(3*(V22="SÍ")+2*(W22="SÍ")+2*(X22="SÍ")+(Y22="SÍ"))*IF(LEFT(D22,1)="A",3,IF(OR(LEFT(D22,1)="B",D22="SIN HIST"),2,1))</f>
        <v>0</v>
      </c>
      <c r="AB22" s="3" t="str">
        <f aca="false">IF(AA22&gt;=9,"1-ALTA",IF(AA22&gt;=4,"2-MEDIA",IF(AA22&gt;0,"3-BAJA","")))</f>
        <v/>
      </c>
      <c r="AC22" s="3" t="str">
        <f aca="false">IF(E22="BAJO SS","Stock + XLIB bajo el SS: riesgo real de quiebre, adelantar producción. ","")&amp;IF(E22="BAJO SS (XLIB CUBRE)","Disponible bajo el SS; depende de liberar "&amp;TEXT(J22,"#,##0")&amp;" kg"&amp;IF(ISNUMBER(K22)," el "&amp;TEXT(K22,"dd-mm"),"")&amp;". ","")&amp;IF(W22="SÍ","Stock parece sano pero "&amp;TEXT(L22,"#,##0")&amp;" kg no pasan filtro "&amp;Stock_Seguridad!O22&amp;": sin ellos queda bajo el SS para esa cadena. ","")&amp;IF(E22="SOBRE MAX VENDIBLE","Sobrestock vs vida útil: frenar producción/activar venta. ","")&amp;IF(N(N22)&gt;=Parametros!$B$17,TEXT(N22,"#,##0")&amp;" kg ya no los acepta ninguna cadena: venta intermedia/liquidación. ","")&amp;IF(N(M22)&gt;=Parametros!$B$17,TEXT(M22,"#,##0")&amp;" kg a punto de salir del filtro: despachar primero (FEFO). ","")&amp;IF(Y22="SÍ","Pedidos "&amp;IF(N(U22)&gt;0,"sobre","bajo")&amp;" FCST "&amp;TEXT(ABS(N(U22)),"0%")&amp;": revisar forecast con KAM.","")</f>
        <v/>
      </c>
    </row>
    <row r="23" customFormat="false" ht="15" hidden="false" customHeight="false" outlineLevel="0" collapsed="false">
      <c r="A23" s="18" t="n">
        <f aca="false">Stock_Seguridad!A23</f>
        <v>30000095</v>
      </c>
      <c r="B23" s="18" t="str">
        <f aca="false">Stock_Seguridad!B23</f>
        <v>MEZCLA ACEITE HIDROG COVER PLUS1X25KG</v>
      </c>
      <c r="C23" s="18" t="str">
        <f aca="false">Stock_Seguridad!C23</f>
        <v>NUTRICION ANIMAL</v>
      </c>
      <c r="D23" s="18" t="str">
        <f aca="false">Stock_Seguridad!F23</f>
        <v>SIN HIST</v>
      </c>
      <c r="E23" s="19" t="str">
        <f aca="false">Stock_Seguridad!X23</f>
        <v>BAJO SS</v>
      </c>
      <c r="F23" s="20" t="n">
        <f aca="false">Stock_Seguridad!W23</f>
        <v>0</v>
      </c>
      <c r="G23" s="21" t="n">
        <f aca="false">Stock_Seguridad!T23</f>
        <v>0</v>
      </c>
      <c r="H23" s="21" t="n">
        <f aca="false">Stock_Seguridad!R23</f>
        <v>22951.4321865948</v>
      </c>
      <c r="I23" s="21" t="n">
        <f aca="false">Stock_Seguridad!S23</f>
        <v>69463.0321865948</v>
      </c>
      <c r="J23" s="21" t="n">
        <f aca="false">Stock_Seguridad!U23</f>
        <v>0</v>
      </c>
      <c r="K23" s="22"/>
      <c r="L23" s="23"/>
      <c r="M23" s="23"/>
      <c r="N23" s="23"/>
      <c r="O23" s="24"/>
      <c r="P23" s="24" t="str">
        <f aca="false">IF(ISNUMBER(Stock_Seguridad!N23),Stock_Seguridad!N23,"")</f>
        <v/>
      </c>
      <c r="Q23" s="24" t="str">
        <f aca="false">IF(AND(ISNUMBER(O23),ISNUMBER(P23)),P23-O23,"")</f>
        <v/>
      </c>
      <c r="R23" s="23" t="n">
        <f aca="false">MAX(0,G23-N(L23))</f>
        <v>0</v>
      </c>
      <c r="S23" s="23" t="n">
        <f aca="false">SUMIFS(Cadenas_vs_FCST!$D$17:$D$2437,Cadenas_vs_FCST!$A$17:$A$2437,A23)</f>
        <v>0</v>
      </c>
      <c r="T23" s="23" t="n">
        <f aca="false">SUMIFS(Cadenas_vs_FCST!$E$17:$E$2437,Cadenas_vs_FCST!$A$17:$A$2437,A23)</f>
        <v>0</v>
      </c>
      <c r="U23" s="24" t="str">
        <f aca="false">IF(T23&gt;0,S23/T23-1,"")</f>
        <v/>
      </c>
      <c r="V23" s="3" t="str">
        <f aca="false">IF(OR(E23="BAJO SS",E23="BAJO SS (XLIB CUBRE)"),"SÍ","")</f>
        <v>SÍ</v>
      </c>
      <c r="W23" s="3" t="str">
        <f aca="false">IF(AND(V23="",N(L23)&gt;=Parametros!$B$17,G23&gt;=H23,R23&lt;H23),"SÍ","")</f>
        <v/>
      </c>
      <c r="X23" s="3" t="str">
        <f aca="false">IF(OR(E23="SOBRE MAX VENDIBLE",N(N23)&gt;=Parametros!$B$17,N(M23)&gt;=Parametros!$B$17),"SÍ","")</f>
        <v/>
      </c>
      <c r="Y23" s="3" t="str">
        <f aca="false">IF(AND(ISNUMBER(U23),MAX(S23,T23)&gt;=Parametros!$B$15,ABS(N(U23))&gt;Parametros!$B$14),"SÍ","")</f>
        <v/>
      </c>
      <c r="Z23" s="3" t="n">
        <f aca="false">COUNTIF(V23:Y23,"SÍ")</f>
        <v>1</v>
      </c>
      <c r="AA23" s="3" t="n">
        <f aca="false">(3*(V23="SÍ")+2*(W23="SÍ")+2*(X23="SÍ")+(Y23="SÍ"))*IF(LEFT(D23,1)="A",3,IF(OR(LEFT(D23,1)="B",D23="SIN HIST"),2,1))</f>
        <v>6</v>
      </c>
      <c r="AB23" s="3" t="str">
        <f aca="false">IF(AA23&gt;=9,"1-ALTA",IF(AA23&gt;=4,"2-MEDIA",IF(AA23&gt;0,"3-BAJA","")))</f>
        <v>2-MEDIA</v>
      </c>
      <c r="AC23" s="3" t="str">
        <f aca="false">IF(E23="BAJO SS","Stock + XLIB bajo el SS: riesgo real de quiebre, adelantar producción. ","")&amp;IF(E23="BAJO SS (XLIB CUBRE)","Disponible bajo el SS; depende de liberar "&amp;TEXT(J23,"#,##0")&amp;" kg"&amp;IF(ISNUMBER(K23)," el "&amp;TEXT(K23,"dd-mm"),"")&amp;". ","")&amp;IF(W23="SÍ","Stock parece sano pero "&amp;TEXT(L23,"#,##0")&amp;" kg no pasan filtro "&amp;Stock_Seguridad!O23&amp;": sin ellos queda bajo el SS para esa cadena. ","")&amp;IF(E23="SOBRE MAX VENDIBLE","Sobrestock vs vida útil: frenar producción/activar venta. ","")&amp;IF(N(N23)&gt;=Parametros!$B$17,TEXT(N23,"#,##0")&amp;" kg ya no los acepta ninguna cadena: venta intermedia/liquidación. ","")&amp;IF(N(M23)&gt;=Parametros!$B$17,TEXT(M23,"#,##0")&amp;" kg a punto de salir del filtro: despachar primero (FEFO). ","")&amp;IF(Y23="SÍ","Pedidos "&amp;IF(N(U23)&gt;0,"sobre","bajo")&amp;" FCST "&amp;TEXT(ABS(N(U23)),"0%")&amp;": revisar forecast con KAM.","")</f>
        <v>Stock + XLIB bajo el SS: riesgo real de quiebre, adelantar producción. </v>
      </c>
    </row>
    <row r="24" customFormat="false" ht="15" hidden="false" customHeight="false" outlineLevel="0" collapsed="false">
      <c r="A24" s="18" t="n">
        <f aca="false">Stock_Seguridad!A24</f>
        <v>30001447</v>
      </c>
      <c r="B24" s="18" t="str">
        <f aca="false">Stock_Seguridad!B24</f>
        <v>MARGARINA VEGETAL DOÑA JUANITA 12X1KG</v>
      </c>
      <c r="C24" s="18" t="str">
        <f aca="false">Stock_Seguridad!C24</f>
        <v>MARGARINAS</v>
      </c>
      <c r="D24" s="18" t="str">
        <f aca="false">Stock_Seguridad!F24</f>
        <v>SIN HIST</v>
      </c>
      <c r="E24" s="19" t="str">
        <f aca="false">Stock_Seguridad!X24</f>
        <v>OK</v>
      </c>
      <c r="F24" s="20" t="n">
        <f aca="false">Stock_Seguridad!W24</f>
        <v>4.14211709112142</v>
      </c>
      <c r="G24" s="21" t="n">
        <f aca="false">Stock_Seguridad!T24</f>
        <v>82716</v>
      </c>
      <c r="H24" s="21" t="n">
        <f aca="false">Stock_Seguridad!R24</f>
        <v>21803.9000537521</v>
      </c>
      <c r="I24" s="21" t="n">
        <f aca="false">Stock_Seguridad!S24</f>
        <v>65990.0000537521</v>
      </c>
      <c r="J24" s="21" t="n">
        <f aca="false">Stock_Seguridad!U24</f>
        <v>100308</v>
      </c>
      <c r="K24" s="22" t="n">
        <v>46319</v>
      </c>
      <c r="L24" s="23" t="n">
        <v>636</v>
      </c>
      <c r="M24" s="23" t="n">
        <v>6312</v>
      </c>
      <c r="N24" s="23" t="n">
        <v>0</v>
      </c>
      <c r="O24" s="24" t="n">
        <v>0.0625974281590342</v>
      </c>
      <c r="P24" s="24" t="n">
        <f aca="false">IF(ISNUMBER(Stock_Seguridad!N24),Stock_Seguridad!N24,"")</f>
        <v>0.244565217391304</v>
      </c>
      <c r="Q24" s="24" t="n">
        <f aca="false">IF(AND(ISNUMBER(O24),ISNUMBER(P24)),P24-O24,"")</f>
        <v>0.18196778923227</v>
      </c>
      <c r="R24" s="23" t="n">
        <f aca="false">MAX(0,G24-N(L24))</f>
        <v>82080</v>
      </c>
      <c r="S24" s="23" t="n">
        <f aca="false">SUMIFS(Cadenas_vs_FCST!$D$17:$D$2437,Cadenas_vs_FCST!$A$17:$A$2437,A24)</f>
        <v>0</v>
      </c>
      <c r="T24" s="23" t="n">
        <f aca="false">SUMIFS(Cadenas_vs_FCST!$E$17:$E$2437,Cadenas_vs_FCST!$A$17:$A$2437,A24)</f>
        <v>0</v>
      </c>
      <c r="U24" s="24" t="str">
        <f aca="false">IF(T24&gt;0,S24/T24-1,"")</f>
        <v/>
      </c>
      <c r="V24" s="3" t="str">
        <f aca="false">IF(OR(E24="BAJO SS",E24="BAJO SS (XLIB CUBRE)"),"SÍ","")</f>
        <v/>
      </c>
      <c r="W24" s="3" t="str">
        <f aca="false">IF(AND(V24="",N(L24)&gt;=Parametros!$B$17,G24&gt;=H24,R24&lt;H24),"SÍ","")</f>
        <v/>
      </c>
      <c r="X24" s="3" t="str">
        <f aca="false">IF(OR(E24="SOBRE MAX VENDIBLE",N(N24)&gt;=Parametros!$B$17,N(M24)&gt;=Parametros!$B$17),"SÍ","")</f>
        <v>SÍ</v>
      </c>
      <c r="Y24" s="3" t="str">
        <f aca="false">IF(AND(ISNUMBER(U24),MAX(S24,T24)&gt;=Parametros!$B$15,ABS(N(U24))&gt;Parametros!$B$14),"SÍ","")</f>
        <v/>
      </c>
      <c r="Z24" s="3" t="n">
        <f aca="false">COUNTIF(V24:Y24,"SÍ")</f>
        <v>1</v>
      </c>
      <c r="AA24" s="3" t="n">
        <f aca="false">(3*(V24="SÍ")+2*(W24="SÍ")+2*(X24="SÍ")+(Y24="SÍ"))*IF(LEFT(D24,1)="A",3,IF(OR(LEFT(D24,1)="B",D24="SIN HIST"),2,1))</f>
        <v>4</v>
      </c>
      <c r="AB24" s="3" t="str">
        <f aca="false">IF(AA24&gt;=9,"1-ALTA",IF(AA24&gt;=4,"2-MEDIA",IF(AA24&gt;0,"3-BAJA","")))</f>
        <v>2-MEDIA</v>
      </c>
      <c r="AC24" s="3" t="str">
        <f aca="false">IF(E24="BAJO SS","Stock + XLIB bajo el SS: riesgo real de quiebre, adelantar producción. ","")&amp;IF(E24="BAJO SS (XLIB CUBRE)","Disponible bajo el SS; depende de liberar "&amp;TEXT(J24,"#,##0")&amp;" kg"&amp;IF(ISNUMBER(K24)," el "&amp;TEXT(K24,"dd-mm"),"")&amp;". ","")&amp;IF(W24="SÍ","Stock parece sano pero "&amp;TEXT(L24,"#,##0")&amp;" kg no pasan filtro "&amp;Stock_Seguridad!O24&amp;": sin ellos queda bajo el SS para esa cadena. ","")&amp;IF(E24="SOBRE MAX VENDIBLE","Sobrestock vs vida útil: frenar producción/activar venta. ","")&amp;IF(N(N24)&gt;=Parametros!$B$17,TEXT(N24,"#,##0")&amp;" kg ya no los acepta ninguna cadena: venta intermedia/liquidación. ","")&amp;IF(N(M24)&gt;=Parametros!$B$17,TEXT(M24,"#,##0")&amp;" kg a punto de salir del filtro: despachar primero (FEFO). ","")&amp;IF(Y24="SÍ","Pedidos "&amp;IF(N(U24)&gt;0,"sobre","bajo")&amp;" FCST "&amp;TEXT(ABS(N(U24)),"0%")&amp;": revisar forecast con KAM.","")</f>
        <v>6,312 kg a punto de salir del filtro: despachar primero (FEFO). </v>
      </c>
    </row>
    <row r="25" customFormat="false" ht="15" hidden="false" customHeight="false" outlineLevel="0" collapsed="false">
      <c r="A25" s="18" t="n">
        <f aca="false">Stock_Seguridad!A25</f>
        <v>30001051</v>
      </c>
      <c r="B25" s="18" t="str">
        <f aca="false">Stock_Seguridad!B25</f>
        <v>YOGURT CALAN FTLLA NVA BOL 12X1KG</v>
      </c>
      <c r="C25" s="18" t="str">
        <f aca="false">Stock_Seguridad!C25</f>
        <v>YOGURT</v>
      </c>
      <c r="D25" s="18" t="str">
        <f aca="false">Stock_Seguridad!F25</f>
        <v>AX</v>
      </c>
      <c r="E25" s="19" t="str">
        <f aca="false">Stock_Seguridad!X25</f>
        <v>BAJO SS (XLIB CUBRE)</v>
      </c>
      <c r="F25" s="20" t="n">
        <f aca="false">Stock_Seguridad!W25</f>
        <v>1.11959871013973</v>
      </c>
      <c r="G25" s="21" t="n">
        <f aca="false">Stock_Seguridad!T25</f>
        <v>31056</v>
      </c>
      <c r="H25" s="21" t="n">
        <f aca="false">Stock_Seguridad!R25</f>
        <v>43416.585425055</v>
      </c>
      <c r="I25" s="21" t="n">
        <f aca="false">Stock_Seguridad!S25</f>
        <v>85281.585425055</v>
      </c>
      <c r="J25" s="21" t="n">
        <f aca="false">Stock_Seguridad!U25</f>
        <v>15816</v>
      </c>
      <c r="K25" s="22" t="n">
        <v>46317</v>
      </c>
      <c r="L25" s="23" t="n">
        <v>0</v>
      </c>
      <c r="M25" s="23" t="n">
        <v>0</v>
      </c>
      <c r="N25" s="23" t="n">
        <v>0</v>
      </c>
      <c r="O25" s="24" t="n">
        <v>0.0653410256410257</v>
      </c>
      <c r="P25" s="24" t="n">
        <f aca="false">IF(ISNUMBER(Stock_Seguridad!N25),Stock_Seguridad!N25,"")</f>
        <v>0.32258064516129</v>
      </c>
      <c r="Q25" s="24" t="n">
        <f aca="false">IF(AND(ISNUMBER(O25),ISNUMBER(P25)),P25-O25,"")</f>
        <v>0.257239619520265</v>
      </c>
      <c r="R25" s="23" t="n">
        <f aca="false">MAX(0,G25-N(L25))</f>
        <v>31056</v>
      </c>
      <c r="S25" s="23" t="n">
        <f aca="false">SUMIFS(Cadenas_vs_FCST!$D$17:$D$2437,Cadenas_vs_FCST!$A$17:$A$2437,A25)</f>
        <v>224496</v>
      </c>
      <c r="T25" s="23" t="n">
        <f aca="false">SUMIFS(Cadenas_vs_FCST!$E$17:$E$2437,Cadenas_vs_FCST!$A$17:$A$2437,A25)</f>
        <v>152499.159743564</v>
      </c>
      <c r="U25" s="24" t="n">
        <f aca="false">IF(T25&gt;0,S25/T25-1,"")</f>
        <v>0.47211302919638</v>
      </c>
      <c r="V25" s="3" t="str">
        <f aca="false">IF(OR(E25="BAJO SS",E25="BAJO SS (XLIB CUBRE)"),"SÍ","")</f>
        <v>SÍ</v>
      </c>
      <c r="W25" s="3" t="str">
        <f aca="false">IF(AND(V25="",N(L25)&gt;=Parametros!$B$17,G25&gt;=H25,R25&lt;H25),"SÍ","")</f>
        <v/>
      </c>
      <c r="X25" s="3" t="str">
        <f aca="false">IF(OR(E25="SOBRE MAX VENDIBLE",N(N25)&gt;=Parametros!$B$17,N(M25)&gt;=Parametros!$B$17),"SÍ","")</f>
        <v/>
      </c>
      <c r="Y25" s="3" t="str">
        <f aca="false">IF(AND(ISNUMBER(U25),MAX(S25,T25)&gt;=Parametros!$B$15,ABS(N(U25))&gt;Parametros!$B$14),"SÍ","")</f>
        <v>SÍ</v>
      </c>
      <c r="Z25" s="3" t="n">
        <f aca="false">COUNTIF(V25:Y25,"SÍ")</f>
        <v>2</v>
      </c>
      <c r="AA25" s="3" t="n">
        <f aca="false">(3*(V25="SÍ")+2*(W25="SÍ")+2*(X25="SÍ")+(Y25="SÍ"))*IF(LEFT(D25,1)="A",3,IF(OR(LEFT(D25,1)="B",D25="SIN HIST"),2,1))</f>
        <v>12</v>
      </c>
      <c r="AB25" s="3" t="str">
        <f aca="false">IF(AA25&gt;=9,"1-ALTA",IF(AA25&gt;=4,"2-MEDIA",IF(AA25&gt;0,"3-BAJA","")))</f>
        <v>1-ALTA</v>
      </c>
      <c r="AC25" s="3" t="str">
        <f aca="false">IF(E25="BAJO SS","Stock + XLIB bajo el SS: riesgo real de quiebre, adelantar producción. ","")&amp;IF(E25="BAJO SS (XLIB CUBRE)","Disponible bajo el SS; depende de liberar "&amp;TEXT(J25,"#,##0")&amp;" kg"&amp;IF(ISNUMBER(K25)," el "&amp;TEXT(K25,"dd-mm"),"")&amp;". ","")&amp;IF(W25="SÍ","Stock parece sano pero "&amp;TEXT(L25,"#,##0")&amp;" kg no pasan filtro "&amp;Stock_Seguridad!O25&amp;": sin ellos queda bajo el SS para esa cadena. ","")&amp;IF(E25="SOBRE MAX VENDIBLE","Sobrestock vs vida útil: frenar producción/activar venta. ","")&amp;IF(N(N25)&gt;=Parametros!$B$17,TEXT(N25,"#,##0")&amp;" kg ya no los acepta ninguna cadena: venta intermedia/liquidación. ","")&amp;IF(N(M25)&gt;=Parametros!$B$17,TEXT(M25,"#,##0")&amp;" kg a punto de salir del filtro: despachar primero (FEFO). ","")&amp;IF(Y25="SÍ","Pedidos "&amp;IF(N(U25)&gt;0,"sobre","bajo")&amp;" FCST "&amp;TEXT(ABS(N(U25)),"0%")&amp;": revisar forecast con KAM.","")</f>
        <v>Disponible bajo el SS; depende de liberar 15,816 kg el 22-10. Pedidos sobre FCST 47%: revisar forecast con KAM.</v>
      </c>
    </row>
    <row r="26" customFormat="false" ht="15" hidden="false" customHeight="false" outlineLevel="0" collapsed="false">
      <c r="A26" s="18" t="n">
        <f aca="false">Stock_Seguridad!A26</f>
        <v>30000481</v>
      </c>
      <c r="B26" s="18" t="str">
        <f aca="false">Stock_Seguridad!B26</f>
        <v>LECHE LONCO EXTRA PROTEINA 12X1LT</v>
      </c>
      <c r="C26" s="18" t="str">
        <f aca="false">Stock_Seguridad!C26</f>
        <v>LECHES LIQUIDAS</v>
      </c>
      <c r="D26" s="18" t="str">
        <f aca="false">Stock_Seguridad!F26</f>
        <v>AX</v>
      </c>
      <c r="E26" s="19" t="str">
        <f aca="false">Stock_Seguridad!X26</f>
        <v>OK</v>
      </c>
      <c r="F26" s="20" t="n">
        <f aca="false">Stock_Seguridad!W26</f>
        <v>3.98102440565516</v>
      </c>
      <c r="G26" s="21" t="n">
        <f aca="false">Stock_Seguridad!T26</f>
        <v>114012</v>
      </c>
      <c r="H26" s="21" t="n">
        <f aca="false">Stock_Seguridad!R26</f>
        <v>29103.242122475</v>
      </c>
      <c r="I26" s="21" t="n">
        <f aca="false">Stock_Seguridad!S26</f>
        <v>69618.442122475</v>
      </c>
      <c r="J26" s="21" t="n">
        <f aca="false">Stock_Seguridad!U26</f>
        <v>47280</v>
      </c>
      <c r="K26" s="22" t="n">
        <v>46318</v>
      </c>
      <c r="L26" s="23" t="n">
        <v>972</v>
      </c>
      <c r="M26" s="23" t="n">
        <v>112992</v>
      </c>
      <c r="N26" s="23" t="n">
        <v>144</v>
      </c>
      <c r="O26" s="24" t="n">
        <v>0.169481283024485</v>
      </c>
      <c r="P26" s="24" t="n">
        <f aca="false">IF(ISNUMBER(Stock_Seguridad!N26),Stock_Seguridad!N26,"")</f>
        <v>0.259259259259259</v>
      </c>
      <c r="Q26" s="24" t="n">
        <f aca="false">IF(AND(ISNUMBER(O26),ISNUMBER(P26)),P26-O26,"")</f>
        <v>0.0897779762347747</v>
      </c>
      <c r="R26" s="23" t="n">
        <f aca="false">MAX(0,G26-N(L26))</f>
        <v>113040</v>
      </c>
      <c r="S26" s="23" t="n">
        <f aca="false">SUMIFS(Cadenas_vs_FCST!$D$17:$D$2437,Cadenas_vs_FCST!$A$17:$A$2437,A26)</f>
        <v>134016</v>
      </c>
      <c r="T26" s="23" t="n">
        <f aca="false">SUMIFS(Cadenas_vs_FCST!$E$17:$E$2437,Cadenas_vs_FCST!$A$17:$A$2437,A26)</f>
        <v>139268.353681915</v>
      </c>
      <c r="U26" s="24" t="n">
        <f aca="false">IF(T26&gt;0,S26/T26-1,"")</f>
        <v>-0.0377139065915235</v>
      </c>
      <c r="V26" s="3" t="str">
        <f aca="false">IF(OR(E26="BAJO SS",E26="BAJO SS (XLIB CUBRE)"),"SÍ","")</f>
        <v/>
      </c>
      <c r="W26" s="3" t="str">
        <f aca="false">IF(AND(V26="",N(L26)&gt;=Parametros!$B$17,G26&gt;=H26,R26&lt;H26),"SÍ","")</f>
        <v/>
      </c>
      <c r="X26" s="3" t="str">
        <f aca="false">IF(OR(E26="SOBRE MAX VENDIBLE",N(N26)&gt;=Parametros!$B$17,N(M26)&gt;=Parametros!$B$17),"SÍ","")</f>
        <v>SÍ</v>
      </c>
      <c r="Y26" s="3" t="str">
        <f aca="false">IF(AND(ISNUMBER(U26),MAX(S26,T26)&gt;=Parametros!$B$15,ABS(N(U26))&gt;Parametros!$B$14),"SÍ","")</f>
        <v/>
      </c>
      <c r="Z26" s="3" t="n">
        <f aca="false">COUNTIF(V26:Y26,"SÍ")</f>
        <v>1</v>
      </c>
      <c r="AA26" s="3" t="n">
        <f aca="false">(3*(V26="SÍ")+2*(W26="SÍ")+2*(X26="SÍ")+(Y26="SÍ"))*IF(LEFT(D26,1)="A",3,IF(OR(LEFT(D26,1)="B",D26="SIN HIST"),2,1))</f>
        <v>6</v>
      </c>
      <c r="AB26" s="3" t="str">
        <f aca="false">IF(AA26&gt;=9,"1-ALTA",IF(AA26&gt;=4,"2-MEDIA",IF(AA26&gt;0,"3-BAJA","")))</f>
        <v>2-MEDIA</v>
      </c>
      <c r="AC26" s="3" t="str">
        <f aca="false">IF(E26="BAJO SS","Stock + XLIB bajo el SS: riesgo real de quiebre, adelantar producción. ","")&amp;IF(E26="BAJO SS (XLIB CUBRE)","Disponible bajo el SS; depende de liberar "&amp;TEXT(J26,"#,##0")&amp;" kg"&amp;IF(ISNUMBER(K26)," el "&amp;TEXT(K26,"dd-mm"),"")&amp;". ","")&amp;IF(W26="SÍ","Stock parece sano pero "&amp;TEXT(L26,"#,##0")&amp;" kg no pasan filtro "&amp;Stock_Seguridad!O26&amp;": sin ellos queda bajo el SS para esa cadena. ","")&amp;IF(E26="SOBRE MAX VENDIBLE","Sobrestock vs vida útil: frenar producción/activar venta. ","")&amp;IF(N(N26)&gt;=Parametros!$B$17,TEXT(N26,"#,##0")&amp;" kg ya no los acepta ninguna cadena: venta intermedia/liquidación. ","")&amp;IF(N(M26)&gt;=Parametros!$B$17,TEXT(M26,"#,##0")&amp;" kg a punto de salir del filtro: despachar primero (FEFO). ","")&amp;IF(Y26="SÍ","Pedidos "&amp;IF(N(U26)&gt;0,"sobre","bajo")&amp;" FCST "&amp;TEXT(ABS(N(U26)),"0%")&amp;": revisar forecast con KAM.","")</f>
        <v>112,992 kg a punto de salir del filtro: despachar primero (FEFO). </v>
      </c>
    </row>
    <row r="27" customFormat="false" ht="15" hidden="false" customHeight="false" outlineLevel="0" collapsed="false">
      <c r="A27" s="18" t="n">
        <f aca="false">Stock_Seguridad!A27</f>
        <v>30000309</v>
      </c>
      <c r="B27" s="18" t="str">
        <f aca="false">Stock_Seguridad!B27</f>
        <v>YOGU YOGU MORA 30X200GR</v>
      </c>
      <c r="C27" s="18" t="str">
        <f aca="false">Stock_Seguridad!C27</f>
        <v>LECHES LIQUIDAS</v>
      </c>
      <c r="D27" s="18" t="str">
        <f aca="false">Stock_Seguridad!F27</f>
        <v>AX</v>
      </c>
      <c r="E27" s="19" t="str">
        <f aca="false">Stock_Seguridad!X27</f>
        <v>OK</v>
      </c>
      <c r="F27" s="20" t="n">
        <f aca="false">Stock_Seguridad!W27</f>
        <v>3.38678745050621</v>
      </c>
      <c r="G27" s="21" t="n">
        <f aca="false">Stock_Seguridad!T27</f>
        <v>136686</v>
      </c>
      <c r="H27" s="21" t="n">
        <f aca="false">Stock_Seguridad!R27</f>
        <v>5302.36331828006</v>
      </c>
      <c r="I27" s="21" t="n">
        <f aca="false">Stock_Seguridad!S27</f>
        <v>45660.9633182801</v>
      </c>
      <c r="J27" s="21" t="n">
        <f aca="false">Stock_Seguridad!U27</f>
        <v>0</v>
      </c>
      <c r="K27" s="22"/>
      <c r="L27" s="23" t="n">
        <v>1188</v>
      </c>
      <c r="M27" s="23" t="n">
        <v>32928</v>
      </c>
      <c r="N27" s="23" t="n">
        <v>0</v>
      </c>
      <c r="O27" s="24" t="n">
        <v>0.105550998809366</v>
      </c>
      <c r="P27" s="24" t="n">
        <f aca="false">IF(ISNUMBER(Stock_Seguridad!N27),Stock_Seguridad!N27,"")</f>
        <v>0.240816326530612</v>
      </c>
      <c r="Q27" s="24" t="n">
        <f aca="false">IF(AND(ISNUMBER(O27),ISNUMBER(P27)),P27-O27,"")</f>
        <v>0.135265327721246</v>
      </c>
      <c r="R27" s="23" t="n">
        <f aca="false">MAX(0,G27-N(L27))</f>
        <v>135498</v>
      </c>
      <c r="S27" s="23" t="n">
        <f aca="false">SUMIFS(Cadenas_vs_FCST!$D$17:$D$2437,Cadenas_vs_FCST!$A$17:$A$2437,A27)</f>
        <v>151452</v>
      </c>
      <c r="T27" s="23" t="n">
        <f aca="false">SUMIFS(Cadenas_vs_FCST!$E$17:$E$2437,Cadenas_vs_FCST!$A$17:$A$2437,A27)</f>
        <v>156937.080262008</v>
      </c>
      <c r="U27" s="24" t="n">
        <f aca="false">IF(T27&gt;0,S27/T27-1,"")</f>
        <v>-0.03495082394072</v>
      </c>
      <c r="V27" s="3" t="str">
        <f aca="false">IF(OR(E27="BAJO SS",E27="BAJO SS (XLIB CUBRE)"),"SÍ","")</f>
        <v/>
      </c>
      <c r="W27" s="3" t="str">
        <f aca="false">IF(AND(V27="",N(L27)&gt;=Parametros!$B$17,G27&gt;=H27,R27&lt;H27),"SÍ","")</f>
        <v/>
      </c>
      <c r="X27" s="3" t="str">
        <f aca="false">IF(OR(E27="SOBRE MAX VENDIBLE",N(N27)&gt;=Parametros!$B$17,N(M27)&gt;=Parametros!$B$17),"SÍ","")</f>
        <v>SÍ</v>
      </c>
      <c r="Y27" s="3" t="str">
        <f aca="false">IF(AND(ISNUMBER(U27),MAX(S27,T27)&gt;=Parametros!$B$15,ABS(N(U27))&gt;Parametros!$B$14),"SÍ","")</f>
        <v/>
      </c>
      <c r="Z27" s="3" t="n">
        <f aca="false">COUNTIF(V27:Y27,"SÍ")</f>
        <v>1</v>
      </c>
      <c r="AA27" s="3" t="n">
        <f aca="false">(3*(V27="SÍ")+2*(W27="SÍ")+2*(X27="SÍ")+(Y27="SÍ"))*IF(LEFT(D27,1)="A",3,IF(OR(LEFT(D27,1)="B",D27="SIN HIST"),2,1))</f>
        <v>6</v>
      </c>
      <c r="AB27" s="3" t="str">
        <f aca="false">IF(AA27&gt;=9,"1-ALTA",IF(AA27&gt;=4,"2-MEDIA",IF(AA27&gt;0,"3-BAJA","")))</f>
        <v>2-MEDIA</v>
      </c>
      <c r="AC27" s="3" t="str">
        <f aca="false">IF(E27="BAJO SS","Stock + XLIB bajo el SS: riesgo real de quiebre, adelantar producción. ","")&amp;IF(E27="BAJO SS (XLIB CUBRE)","Disponible bajo el SS; depende de liberar "&amp;TEXT(J27,"#,##0")&amp;" kg"&amp;IF(ISNUMBER(K27)," el "&amp;TEXT(K27,"dd-mm"),"")&amp;". ","")&amp;IF(W27="SÍ","Stock parece sano pero "&amp;TEXT(L27,"#,##0")&amp;" kg no pasan filtro "&amp;Stock_Seguridad!O27&amp;": sin ellos queda bajo el SS para esa cadena. ","")&amp;IF(E27="SOBRE MAX VENDIBLE","Sobrestock vs vida útil: frenar producción/activar venta. ","")&amp;IF(N(N27)&gt;=Parametros!$B$17,TEXT(N27,"#,##0")&amp;" kg ya no los acepta ninguna cadena: venta intermedia/liquidación. ","")&amp;IF(N(M27)&gt;=Parametros!$B$17,TEXT(M27,"#,##0")&amp;" kg a punto de salir del filtro: despachar primero (FEFO). ","")&amp;IF(Y27="SÍ","Pedidos "&amp;IF(N(U27)&gt;0,"sobre","bajo")&amp;" FCST "&amp;TEXT(ABS(N(U27)),"0%")&amp;": revisar forecast con KAM.","")</f>
        <v>32,928 kg a punto de salir del filtro: despachar primero (FEFO). </v>
      </c>
    </row>
    <row r="28" customFormat="false" ht="15" hidden="false" customHeight="false" outlineLevel="0" collapsed="false">
      <c r="A28" s="18" t="n">
        <f aca="false">Stock_Seguridad!A28</f>
        <v>30001038</v>
      </c>
      <c r="B28" s="18" t="str">
        <f aca="false">Stock_Seguridad!B28</f>
        <v>YOGURT CALAN UNIV PACK 4X12X110GR</v>
      </c>
      <c r="C28" s="18" t="str">
        <f aca="false">Stock_Seguridad!C28</f>
        <v>YOGURT</v>
      </c>
      <c r="D28" s="18" t="str">
        <f aca="false">Stock_Seguridad!F28</f>
        <v>AX</v>
      </c>
      <c r="E28" s="19" t="str">
        <f aca="false">Stock_Seguridad!X28</f>
        <v>OK</v>
      </c>
      <c r="F28" s="20" t="n">
        <f aca="false">Stock_Seguridad!W28</f>
        <v>1.86720942170921</v>
      </c>
      <c r="G28" s="21" t="n">
        <f aca="false">Stock_Seguridad!T28</f>
        <v>37625.3</v>
      </c>
      <c r="H28" s="21" t="n">
        <f aca="false">Stock_Seguridad!R28</f>
        <v>18123.9073617023</v>
      </c>
      <c r="I28" s="21" t="n">
        <f aca="false">Stock_Seguridad!S28</f>
        <v>58252.5073617023</v>
      </c>
      <c r="J28" s="21" t="n">
        <f aca="false">Stock_Seguridad!U28</f>
        <v>37303.2</v>
      </c>
      <c r="K28" s="22" t="n">
        <v>46317</v>
      </c>
      <c r="L28" s="23" t="n">
        <v>0</v>
      </c>
      <c r="M28" s="23" t="n">
        <v>0</v>
      </c>
      <c r="N28" s="23" t="n">
        <v>0</v>
      </c>
      <c r="O28" s="24" t="n">
        <v>0.0972868437922929</v>
      </c>
      <c r="P28" s="24" t="n">
        <f aca="false">IF(ISNUMBER(Stock_Seguridad!N28),Stock_Seguridad!N28,"")</f>
        <v>0.32258064516129</v>
      </c>
      <c r="Q28" s="24" t="n">
        <f aca="false">IF(AND(ISNUMBER(O28),ISNUMBER(P28)),P28-O28,"")</f>
        <v>0.225293801368998</v>
      </c>
      <c r="R28" s="23" t="n">
        <f aca="false">MAX(0,G28-N(L28))</f>
        <v>37625.3</v>
      </c>
      <c r="S28" s="23" t="n">
        <f aca="false">SUMIFS(Cadenas_vs_FCST!$D$17:$D$2437,Cadenas_vs_FCST!$A$17:$A$2437,A28)</f>
        <v>156731.52</v>
      </c>
      <c r="T28" s="23" t="n">
        <f aca="false">SUMIFS(Cadenas_vs_FCST!$E$17:$E$2437,Cadenas_vs_FCST!$A$17:$A$2437,A28)</f>
        <v>153743.783598655</v>
      </c>
      <c r="U28" s="24" t="n">
        <f aca="false">IF(T28&gt;0,S28/T28-1,"")</f>
        <v>0.0194332176001659</v>
      </c>
      <c r="V28" s="3" t="str">
        <f aca="false">IF(OR(E28="BAJO SS",E28="BAJO SS (XLIB CUBRE)"),"SÍ","")</f>
        <v/>
      </c>
      <c r="W28" s="3" t="str">
        <f aca="false">IF(AND(V28="",N(L28)&gt;=Parametros!$B$17,G28&gt;=H28,R28&lt;H28),"SÍ","")</f>
        <v/>
      </c>
      <c r="X28" s="3" t="str">
        <f aca="false">IF(OR(E28="SOBRE MAX VENDIBLE",N(N28)&gt;=Parametros!$B$17,N(M28)&gt;=Parametros!$B$17),"SÍ","")</f>
        <v/>
      </c>
      <c r="Y28" s="3" t="str">
        <f aca="false">IF(AND(ISNUMBER(U28),MAX(S28,T28)&gt;=Parametros!$B$15,ABS(N(U28))&gt;Parametros!$B$14),"SÍ","")</f>
        <v/>
      </c>
      <c r="Z28" s="3" t="n">
        <f aca="false">COUNTIF(V28:Y28,"SÍ")</f>
        <v>0</v>
      </c>
      <c r="AA28" s="3" t="n">
        <f aca="false">(3*(V28="SÍ")+2*(W28="SÍ")+2*(X28="SÍ")+(Y28="SÍ"))*IF(LEFT(D28,1)="A",3,IF(OR(LEFT(D28,1)="B",D28="SIN HIST"),2,1))</f>
        <v>0</v>
      </c>
      <c r="AB28" s="3" t="str">
        <f aca="false">IF(AA28&gt;=9,"1-ALTA",IF(AA28&gt;=4,"2-MEDIA",IF(AA28&gt;0,"3-BAJA","")))</f>
        <v/>
      </c>
      <c r="AC28" s="3" t="str">
        <f aca="false">IF(E28="BAJO SS","Stock + XLIB bajo el SS: riesgo real de quiebre, adelantar producción. ","")&amp;IF(E28="BAJO SS (XLIB CUBRE)","Disponible bajo el SS; depende de liberar "&amp;TEXT(J28,"#,##0")&amp;" kg"&amp;IF(ISNUMBER(K28)," el "&amp;TEXT(K28,"dd-mm"),"")&amp;". ","")&amp;IF(W28="SÍ","Stock parece sano pero "&amp;TEXT(L28,"#,##0")&amp;" kg no pasan filtro "&amp;Stock_Seguridad!O28&amp;": sin ellos queda bajo el SS para esa cadena. ","")&amp;IF(E28="SOBRE MAX VENDIBLE","Sobrestock vs vida útil: frenar producción/activar venta. ","")&amp;IF(N(N28)&gt;=Parametros!$B$17,TEXT(N28,"#,##0")&amp;" kg ya no los acepta ninguna cadena: venta intermedia/liquidación. ","")&amp;IF(N(M28)&gt;=Parametros!$B$17,TEXT(M28,"#,##0")&amp;" kg a punto de salir del filtro: despachar primero (FEFO). ","")&amp;IF(Y28="SÍ","Pedidos "&amp;IF(N(U28)&gt;0,"sobre","bajo")&amp;" FCST "&amp;TEXT(ABS(N(U28)),"0%")&amp;": revisar forecast con KAM.","")</f>
        <v/>
      </c>
    </row>
    <row r="29" customFormat="false" ht="15" hidden="false" customHeight="false" outlineLevel="0" collapsed="false">
      <c r="A29" s="18" t="n">
        <f aca="false">Stock_Seguridad!A29</f>
        <v>30000637</v>
      </c>
      <c r="B29" s="18" t="str">
        <f aca="false">Stock_Seguridad!B29</f>
        <v>POROTOS NEGROS WS 16X380GR</v>
      </c>
      <c r="C29" s="18" t="str">
        <f aca="false">Stock_Seguridad!C29</f>
        <v>CONSERVAS Y PLATOS LISTOS</v>
      </c>
      <c r="D29" s="18" t="str">
        <f aca="false">Stock_Seguridad!F29</f>
        <v>AX</v>
      </c>
      <c r="E29" s="19" t="str">
        <f aca="false">Stock_Seguridad!X29</f>
        <v>OK</v>
      </c>
      <c r="F29" s="20" t="n">
        <f aca="false">Stock_Seguridad!W29</f>
        <v>17.6027019335055</v>
      </c>
      <c r="G29" s="21" t="n">
        <f aca="false">Stock_Seguridad!T29</f>
        <v>636563.8</v>
      </c>
      <c r="H29" s="21" t="n">
        <f aca="false">Stock_Seguridad!R29</f>
        <v>14308.6176032337</v>
      </c>
      <c r="I29" s="21" t="n">
        <f aca="false">Stock_Seguridad!S29</f>
        <v>53310.3176032337</v>
      </c>
      <c r="J29" s="21" t="n">
        <f aca="false">Stock_Seguridad!U29</f>
        <v>49971.5</v>
      </c>
      <c r="K29" s="22" t="n">
        <v>46311</v>
      </c>
      <c r="L29" s="23" t="n">
        <v>0</v>
      </c>
      <c r="M29" s="23" t="n">
        <v>0</v>
      </c>
      <c r="N29" s="23" t="n">
        <v>0</v>
      </c>
      <c r="O29" s="24" t="n">
        <v>0.0670333661059886</v>
      </c>
      <c r="P29" s="24" t="n">
        <f aca="false">IF(ISNUMBER(Stock_Seguridad!N29),Stock_Seguridad!N29,"")</f>
        <v>0.463894967177243</v>
      </c>
      <c r="Q29" s="24" t="n">
        <f aca="false">IF(AND(ISNUMBER(O29),ISNUMBER(P29)),P29-O29,"")</f>
        <v>0.396861601071254</v>
      </c>
      <c r="R29" s="23" t="n">
        <f aca="false">MAX(0,G29-N(L29))</f>
        <v>636563.8</v>
      </c>
      <c r="S29" s="23" t="n">
        <f aca="false">SUMIFS(Cadenas_vs_FCST!$D$17:$D$2437,Cadenas_vs_FCST!$A$17:$A$2437,A29)</f>
        <v>177092.16</v>
      </c>
      <c r="T29" s="23" t="n">
        <f aca="false">SUMIFS(Cadenas_vs_FCST!$E$17:$E$2437,Cadenas_vs_FCST!$A$17:$A$2437,A29)</f>
        <v>170446.64</v>
      </c>
      <c r="U29" s="24" t="n">
        <f aca="false">IF(T29&gt;0,S29/T29-1,"")</f>
        <v>0.0389888589179583</v>
      </c>
      <c r="V29" s="3" t="str">
        <f aca="false">IF(OR(E29="BAJO SS",E29="BAJO SS (XLIB CUBRE)"),"SÍ","")</f>
        <v/>
      </c>
      <c r="W29" s="3" t="str">
        <f aca="false">IF(AND(V29="",N(L29)&gt;=Parametros!$B$17,G29&gt;=H29,R29&lt;H29),"SÍ","")</f>
        <v/>
      </c>
      <c r="X29" s="3" t="str">
        <f aca="false">IF(OR(E29="SOBRE MAX VENDIBLE",N(N29)&gt;=Parametros!$B$17,N(M29)&gt;=Parametros!$B$17),"SÍ","")</f>
        <v/>
      </c>
      <c r="Y29" s="3" t="str">
        <f aca="false">IF(AND(ISNUMBER(U29),MAX(S29,T29)&gt;=Parametros!$B$15,ABS(N(U29))&gt;Parametros!$B$14),"SÍ","")</f>
        <v/>
      </c>
      <c r="Z29" s="3" t="n">
        <f aca="false">COUNTIF(V29:Y29,"SÍ")</f>
        <v>0</v>
      </c>
      <c r="AA29" s="3" t="n">
        <f aca="false">(3*(V29="SÍ")+2*(W29="SÍ")+2*(X29="SÍ")+(Y29="SÍ"))*IF(LEFT(D29,1)="A",3,IF(OR(LEFT(D29,1)="B",D29="SIN HIST"),2,1))</f>
        <v>0</v>
      </c>
      <c r="AB29" s="3" t="str">
        <f aca="false">IF(AA29&gt;=9,"1-ALTA",IF(AA29&gt;=4,"2-MEDIA",IF(AA29&gt;0,"3-BAJA","")))</f>
        <v/>
      </c>
      <c r="AC29" s="3" t="str">
        <f aca="false">IF(E29="BAJO SS","Stock + XLIB bajo el SS: riesgo real de quiebre, adelantar producción. ","")&amp;IF(E29="BAJO SS (XLIB CUBRE)","Disponible bajo el SS; depende de liberar "&amp;TEXT(J29,"#,##0")&amp;" kg"&amp;IF(ISNUMBER(K29)," el "&amp;TEXT(K29,"dd-mm"),"")&amp;". ","")&amp;IF(W29="SÍ","Stock parece sano pero "&amp;TEXT(L29,"#,##0")&amp;" kg no pasan filtro "&amp;Stock_Seguridad!O29&amp;": sin ellos queda bajo el SS para esa cadena. ","")&amp;IF(E29="SOBRE MAX VENDIBLE","Sobrestock vs vida útil: frenar producción/activar venta. ","")&amp;IF(N(N29)&gt;=Parametros!$B$17,TEXT(N29,"#,##0")&amp;" kg ya no los acepta ninguna cadena: venta intermedia/liquidación. ","")&amp;IF(N(M29)&gt;=Parametros!$B$17,TEXT(M29,"#,##0")&amp;" kg a punto de salir del filtro: despachar primero (FEFO). ","")&amp;IF(Y29="SÍ","Pedidos "&amp;IF(N(U29)&gt;0,"sobre","bajo")&amp;" FCST "&amp;TEXT(ABS(N(U29)),"0%")&amp;": revisar forecast con KAM.","")</f>
        <v/>
      </c>
    </row>
    <row r="30" customFormat="false" ht="15" hidden="false" customHeight="false" outlineLevel="0" collapsed="false">
      <c r="A30" s="18" t="n">
        <f aca="false">Stock_Seguridad!A30</f>
        <v>30002131</v>
      </c>
      <c r="B30" s="18" t="str">
        <f aca="false">Stock_Seguridad!B30</f>
        <v>LECHE POLVO PURITA PRO 1 SNS 20X1KG</v>
      </c>
      <c r="C30" s="18" t="str">
        <f aca="false">Stock_Seguridad!C30</f>
        <v>LECHES EN POLVO</v>
      </c>
      <c r="D30" s="18" t="str">
        <f aca="false">Stock_Seguridad!F30</f>
        <v>SIN HIST</v>
      </c>
      <c r="E30" s="19" t="str">
        <f aca="false">Stock_Seguridad!X30</f>
        <v>OK</v>
      </c>
      <c r="F30" s="20" t="n">
        <f aca="false">Stock_Seguridad!W30</f>
        <v>3.37376041279956</v>
      </c>
      <c r="G30" s="21" t="n">
        <f aca="false">Stock_Seguridad!T30</f>
        <v>126320</v>
      </c>
      <c r="H30" s="21" t="n">
        <f aca="false">Stock_Seguridad!R30</f>
        <v>18475.9335044863</v>
      </c>
      <c r="I30" s="21" t="n">
        <f aca="false">Stock_Seguridad!S30</f>
        <v>55917.8335044863</v>
      </c>
      <c r="J30" s="21" t="n">
        <f aca="false">Stock_Seguridad!U30</f>
        <v>0</v>
      </c>
      <c r="K30" s="22"/>
      <c r="L30" s="23" t="n">
        <v>0</v>
      </c>
      <c r="M30" s="23" t="n">
        <v>0</v>
      </c>
      <c r="N30" s="23" t="n">
        <v>0</v>
      </c>
      <c r="O30" s="24" t="n">
        <v>0.145718809373021</v>
      </c>
      <c r="P30" s="24" t="str">
        <f aca="false">IF(ISNUMBER(Stock_Seguridad!N30),Stock_Seguridad!N30,"")</f>
        <v/>
      </c>
      <c r="Q30" s="24" t="str">
        <f aca="false">IF(AND(ISNUMBER(O30),ISNUMBER(P30)),P30-O30,"")</f>
        <v/>
      </c>
      <c r="R30" s="23" t="n">
        <f aca="false">MAX(0,G30-N(L30))</f>
        <v>126320</v>
      </c>
      <c r="S30" s="23" t="n">
        <f aca="false">SUMIFS(Cadenas_vs_FCST!$D$17:$D$2437,Cadenas_vs_FCST!$A$17:$A$2437,A30)</f>
        <v>0</v>
      </c>
      <c r="T30" s="23" t="n">
        <f aca="false">SUMIFS(Cadenas_vs_FCST!$E$17:$E$2437,Cadenas_vs_FCST!$A$17:$A$2437,A30)</f>
        <v>0</v>
      </c>
      <c r="U30" s="24" t="str">
        <f aca="false">IF(T30&gt;0,S30/T30-1,"")</f>
        <v/>
      </c>
      <c r="V30" s="3" t="str">
        <f aca="false">IF(OR(E30="BAJO SS",E30="BAJO SS (XLIB CUBRE)"),"SÍ","")</f>
        <v/>
      </c>
      <c r="W30" s="3" t="str">
        <f aca="false">IF(AND(V30="",N(L30)&gt;=Parametros!$B$17,G30&gt;=H30,R30&lt;H30),"SÍ","")</f>
        <v/>
      </c>
      <c r="X30" s="3" t="str">
        <f aca="false">IF(OR(E30="SOBRE MAX VENDIBLE",N(N30)&gt;=Parametros!$B$17,N(M30)&gt;=Parametros!$B$17),"SÍ","")</f>
        <v/>
      </c>
      <c r="Y30" s="3" t="str">
        <f aca="false">IF(AND(ISNUMBER(U30),MAX(S30,T30)&gt;=Parametros!$B$15,ABS(N(U30))&gt;Parametros!$B$14),"SÍ","")</f>
        <v/>
      </c>
      <c r="Z30" s="3" t="n">
        <f aca="false">COUNTIF(V30:Y30,"SÍ")</f>
        <v>0</v>
      </c>
      <c r="AA30" s="3" t="n">
        <f aca="false">(3*(V30="SÍ")+2*(W30="SÍ")+2*(X30="SÍ")+(Y30="SÍ"))*IF(LEFT(D30,1)="A",3,IF(OR(LEFT(D30,1)="B",D30="SIN HIST"),2,1))</f>
        <v>0</v>
      </c>
      <c r="AB30" s="3" t="str">
        <f aca="false">IF(AA30&gt;=9,"1-ALTA",IF(AA30&gt;=4,"2-MEDIA",IF(AA30&gt;0,"3-BAJA","")))</f>
        <v/>
      </c>
      <c r="AC30" s="3" t="str">
        <f aca="false">IF(E30="BAJO SS","Stock + XLIB bajo el SS: riesgo real de quiebre, adelantar producción. ","")&amp;IF(E30="BAJO SS (XLIB CUBRE)","Disponible bajo el SS; depende de liberar "&amp;TEXT(J30,"#,##0")&amp;" kg"&amp;IF(ISNUMBER(K30)," el "&amp;TEXT(K30,"dd-mm"),"")&amp;". ","")&amp;IF(W30="SÍ","Stock parece sano pero "&amp;TEXT(L30,"#,##0")&amp;" kg no pasan filtro "&amp;Stock_Seguridad!O30&amp;": sin ellos queda bajo el SS para esa cadena. ","")&amp;IF(E30="SOBRE MAX VENDIBLE","Sobrestock vs vida útil: frenar producción/activar venta. ","")&amp;IF(N(N30)&gt;=Parametros!$B$17,TEXT(N30,"#,##0")&amp;" kg ya no los acepta ninguna cadena: venta intermedia/liquidación. ","")&amp;IF(N(M30)&gt;=Parametros!$B$17,TEXT(M30,"#,##0")&amp;" kg a punto de salir del filtro: despachar primero (FEFO). ","")&amp;IF(Y30="SÍ","Pedidos "&amp;IF(N(U30)&gt;0,"sobre","bajo")&amp;" FCST "&amp;TEXT(ABS(N(U30)),"0%")&amp;": revisar forecast con KAM.","")</f>
        <v/>
      </c>
    </row>
    <row r="31" customFormat="false" ht="15" hidden="false" customHeight="false" outlineLevel="0" collapsed="false">
      <c r="A31" s="18" t="n">
        <f aca="false">Stock_Seguridad!A31</f>
        <v>30000781</v>
      </c>
      <c r="B31" s="18" t="str">
        <f aca="false">Stock_Seguridad!B31</f>
        <v>PASTA DE CHOCLO FDM 10X1KG</v>
      </c>
      <c r="C31" s="18" t="str">
        <f aca="false">Stock_Seguridad!C31</f>
        <v>FRUTAS Y HORTALIZAS CONGELADAS</v>
      </c>
      <c r="D31" s="18" t="str">
        <f aca="false">Stock_Seguridad!F31</f>
        <v>SIN HIST</v>
      </c>
      <c r="E31" s="19" t="str">
        <f aca="false">Stock_Seguridad!X31</f>
        <v>OK</v>
      </c>
      <c r="F31" s="20" t="n">
        <f aca="false">Stock_Seguridad!W31</f>
        <v>9.42713411694114</v>
      </c>
      <c r="G31" s="21" t="n">
        <f aca="false">Stock_Seguridad!T31</f>
        <v>351930</v>
      </c>
      <c r="H31" s="21" t="n">
        <f aca="false">Stock_Seguridad!R31</f>
        <v>18421.5052979705</v>
      </c>
      <c r="I31" s="21" t="n">
        <f aca="false">Stock_Seguridad!S31</f>
        <v>55753.1052979705</v>
      </c>
      <c r="J31" s="21" t="n">
        <f aca="false">Stock_Seguridad!U31</f>
        <v>0</v>
      </c>
      <c r="K31" s="22"/>
      <c r="L31" s="23" t="n">
        <v>0</v>
      </c>
      <c r="M31" s="23" t="n">
        <v>0</v>
      </c>
      <c r="N31" s="23" t="n">
        <v>0</v>
      </c>
      <c r="O31" s="24" t="n">
        <v>0.0885653396982355</v>
      </c>
      <c r="P31" s="24" t="str">
        <f aca="false">IF(ISNUMBER(Stock_Seguridad!N31),Stock_Seguridad!N31,"")</f>
        <v/>
      </c>
      <c r="Q31" s="24" t="str">
        <f aca="false">IF(AND(ISNUMBER(O31),ISNUMBER(P31)),P31-O31,"")</f>
        <v/>
      </c>
      <c r="R31" s="23" t="n">
        <f aca="false">MAX(0,G31-N(L31))</f>
        <v>351930</v>
      </c>
      <c r="S31" s="23" t="n">
        <f aca="false">SUMIFS(Cadenas_vs_FCST!$D$17:$D$2437,Cadenas_vs_FCST!$A$17:$A$2437,A31)</f>
        <v>0</v>
      </c>
      <c r="T31" s="23" t="n">
        <f aca="false">SUMIFS(Cadenas_vs_FCST!$E$17:$E$2437,Cadenas_vs_FCST!$A$17:$A$2437,A31)</f>
        <v>0</v>
      </c>
      <c r="U31" s="24" t="str">
        <f aca="false">IF(T31&gt;0,S31/T31-1,"")</f>
        <v/>
      </c>
      <c r="V31" s="3" t="str">
        <f aca="false">IF(OR(E31="BAJO SS",E31="BAJO SS (XLIB CUBRE)"),"SÍ","")</f>
        <v/>
      </c>
      <c r="W31" s="3" t="str">
        <f aca="false">IF(AND(V31="",N(L31)&gt;=Parametros!$B$17,G31&gt;=H31,R31&lt;H31),"SÍ","")</f>
        <v/>
      </c>
      <c r="X31" s="3" t="str">
        <f aca="false">IF(OR(E31="SOBRE MAX VENDIBLE",N(N31)&gt;=Parametros!$B$17,N(M31)&gt;=Parametros!$B$17),"SÍ","")</f>
        <v/>
      </c>
      <c r="Y31" s="3" t="str">
        <f aca="false">IF(AND(ISNUMBER(U31),MAX(S31,T31)&gt;=Parametros!$B$15,ABS(N(U31))&gt;Parametros!$B$14),"SÍ","")</f>
        <v/>
      </c>
      <c r="Z31" s="3" t="n">
        <f aca="false">COUNTIF(V31:Y31,"SÍ")</f>
        <v>0</v>
      </c>
      <c r="AA31" s="3" t="n">
        <f aca="false">(3*(V31="SÍ")+2*(W31="SÍ")+2*(X31="SÍ")+(Y31="SÍ"))*IF(LEFT(D31,1)="A",3,IF(OR(LEFT(D31,1)="B",D31="SIN HIST"),2,1))</f>
        <v>0</v>
      </c>
      <c r="AB31" s="3" t="str">
        <f aca="false">IF(AA31&gt;=9,"1-ALTA",IF(AA31&gt;=4,"2-MEDIA",IF(AA31&gt;0,"3-BAJA","")))</f>
        <v/>
      </c>
      <c r="AC31" s="3" t="str">
        <f aca="false">IF(E31="BAJO SS","Stock + XLIB bajo el SS: riesgo real de quiebre, adelantar producción. ","")&amp;IF(E31="BAJO SS (XLIB CUBRE)","Disponible bajo el SS; depende de liberar "&amp;TEXT(J31,"#,##0")&amp;" kg"&amp;IF(ISNUMBER(K31)," el "&amp;TEXT(K31,"dd-mm"),"")&amp;". ","")&amp;IF(W31="SÍ","Stock parece sano pero "&amp;TEXT(L31,"#,##0")&amp;" kg no pasan filtro "&amp;Stock_Seguridad!O31&amp;": sin ellos queda bajo el SS para esa cadena. ","")&amp;IF(E31="SOBRE MAX VENDIBLE","Sobrestock vs vida útil: frenar producción/activar venta. ","")&amp;IF(N(N31)&gt;=Parametros!$B$17,TEXT(N31,"#,##0")&amp;" kg ya no los acepta ninguna cadena: venta intermedia/liquidación. ","")&amp;IF(N(M31)&gt;=Parametros!$B$17,TEXT(M31,"#,##0")&amp;" kg a punto de salir del filtro: despachar primero (FEFO). ","")&amp;IF(Y31="SÍ","Pedidos "&amp;IF(N(U31)&gt;0,"sobre","bajo")&amp;" FCST "&amp;TEXT(ABS(N(U31)),"0%")&amp;": revisar forecast con KAM.","")</f>
        <v/>
      </c>
    </row>
    <row r="32" customFormat="false" ht="15" hidden="false" customHeight="false" outlineLevel="0" collapsed="false">
      <c r="A32" s="18" t="n">
        <f aca="false">Stock_Seguridad!A32</f>
        <v>30000441</v>
      </c>
      <c r="B32" s="18" t="str">
        <f aca="false">Stock_Seguridad!B32</f>
        <v>QUESO MANTECOSO PARCELAS VALD PZA 1X10KG</v>
      </c>
      <c r="C32" s="18" t="str">
        <f aca="false">Stock_Seguridad!C32</f>
        <v>QUESOS</v>
      </c>
      <c r="D32" s="18" t="str">
        <f aca="false">Stock_Seguridad!F32</f>
        <v>AX</v>
      </c>
      <c r="E32" s="19" t="str">
        <f aca="false">Stock_Seguridad!X32</f>
        <v>OK</v>
      </c>
      <c r="F32" s="20" t="n">
        <f aca="false">Stock_Seguridad!W32</f>
        <v>4.11369863013699</v>
      </c>
      <c r="G32" s="21" t="n">
        <f aca="false">Stock_Seguridad!T32</f>
        <v>150150</v>
      </c>
      <c r="H32" s="21" t="n">
        <f aca="false">Stock_Seguridad!R32</f>
        <v>21223.9356795764</v>
      </c>
      <c r="I32" s="21" t="n">
        <f aca="false">Stock_Seguridad!S32</f>
        <v>57723.9356795764</v>
      </c>
      <c r="J32" s="21" t="n">
        <f aca="false">Stock_Seguridad!U32</f>
        <v>0</v>
      </c>
      <c r="K32" s="22"/>
      <c r="L32" s="23" t="n">
        <v>70</v>
      </c>
      <c r="M32" s="23" t="n">
        <v>0</v>
      </c>
      <c r="N32" s="23" t="n">
        <v>0</v>
      </c>
      <c r="O32" s="24" t="n">
        <v>0.110621585609594</v>
      </c>
      <c r="P32" s="24" t="n">
        <f aca="false">IF(ISNUMBER(Stock_Seguridad!N32),Stock_Seguridad!N32,"")</f>
        <v>0.316964285714286</v>
      </c>
      <c r="Q32" s="24" t="n">
        <f aca="false">IF(AND(ISNUMBER(O32),ISNUMBER(P32)),P32-O32,"")</f>
        <v>0.206342700104692</v>
      </c>
      <c r="R32" s="23" t="n">
        <f aca="false">MAX(0,G32-N(L32))</f>
        <v>150080</v>
      </c>
      <c r="S32" s="23" t="n">
        <f aca="false">SUMIFS(Cadenas_vs_FCST!$D$17:$D$2437,Cadenas_vs_FCST!$A$17:$A$2437,A32)</f>
        <v>164764</v>
      </c>
      <c r="T32" s="23" t="n">
        <f aca="false">SUMIFS(Cadenas_vs_FCST!$E$17:$E$2437,Cadenas_vs_FCST!$A$17:$A$2437,A32)</f>
        <v>158836.583873563</v>
      </c>
      <c r="U32" s="24" t="n">
        <f aca="false">IF(T32&gt;0,S32/T32-1,"")</f>
        <v>0.0373177008840424</v>
      </c>
      <c r="V32" s="3" t="str">
        <f aca="false">IF(OR(E32="BAJO SS",E32="BAJO SS (XLIB CUBRE)"),"SÍ","")</f>
        <v/>
      </c>
      <c r="W32" s="3" t="str">
        <f aca="false">IF(AND(V32="",N(L32)&gt;=Parametros!$B$17,G32&gt;=H32,R32&lt;H32),"SÍ","")</f>
        <v/>
      </c>
      <c r="X32" s="3" t="str">
        <f aca="false">IF(OR(E32="SOBRE MAX VENDIBLE",N(N32)&gt;=Parametros!$B$17,N(M32)&gt;=Parametros!$B$17),"SÍ","")</f>
        <v/>
      </c>
      <c r="Y32" s="3" t="str">
        <f aca="false">IF(AND(ISNUMBER(U32),MAX(S32,T32)&gt;=Parametros!$B$15,ABS(N(U32))&gt;Parametros!$B$14),"SÍ","")</f>
        <v/>
      </c>
      <c r="Z32" s="3" t="n">
        <f aca="false">COUNTIF(V32:Y32,"SÍ")</f>
        <v>0</v>
      </c>
      <c r="AA32" s="3" t="n">
        <f aca="false">(3*(V32="SÍ")+2*(W32="SÍ")+2*(X32="SÍ")+(Y32="SÍ"))*IF(LEFT(D32,1)="A",3,IF(OR(LEFT(D32,1)="B",D32="SIN HIST"),2,1))</f>
        <v>0</v>
      </c>
      <c r="AB32" s="3" t="str">
        <f aca="false">IF(AA32&gt;=9,"1-ALTA",IF(AA32&gt;=4,"2-MEDIA",IF(AA32&gt;0,"3-BAJA","")))</f>
        <v/>
      </c>
      <c r="AC32" s="3" t="str">
        <f aca="false">IF(E32="BAJO SS","Stock + XLIB bajo el SS: riesgo real de quiebre, adelantar producción. ","")&amp;IF(E32="BAJO SS (XLIB CUBRE)","Disponible bajo el SS; depende de liberar "&amp;TEXT(J32,"#,##0")&amp;" kg"&amp;IF(ISNUMBER(K32)," el "&amp;TEXT(K32,"dd-mm"),"")&amp;". ","")&amp;IF(W32="SÍ","Stock parece sano pero "&amp;TEXT(L32,"#,##0")&amp;" kg no pasan filtro "&amp;Stock_Seguridad!O32&amp;": sin ellos queda bajo el SS para esa cadena. ","")&amp;IF(E32="SOBRE MAX VENDIBLE","Sobrestock vs vida útil: frenar producción/activar venta. ","")&amp;IF(N(N32)&gt;=Parametros!$B$17,TEXT(N32,"#,##0")&amp;" kg ya no los acepta ninguna cadena: venta intermedia/liquidación. ","")&amp;IF(N(M32)&gt;=Parametros!$B$17,TEXT(M32,"#,##0")&amp;" kg a punto de salir del filtro: despachar primero (FEFO). ","")&amp;IF(Y32="SÍ","Pedidos "&amp;IF(N(U32)&gt;0,"sobre","bajo")&amp;" FCST "&amp;TEXT(ABS(N(U32)),"0%")&amp;": revisar forecast con KAM.","")</f>
        <v/>
      </c>
    </row>
    <row r="33" customFormat="false" ht="15" hidden="false" customHeight="false" outlineLevel="0" collapsed="false">
      <c r="A33" s="18" t="n">
        <f aca="false">Stock_Seguridad!A33</f>
        <v>30000427</v>
      </c>
      <c r="B33" s="18" t="str">
        <f aca="false">Stock_Seguridad!B33</f>
        <v>PREPARADO HELADO CHOC MCD BOLSA 1X10KG</v>
      </c>
      <c r="C33" s="18" t="str">
        <f aca="false">Stock_Seguridad!C33</f>
        <v>PREPARADOS DE HELADO</v>
      </c>
      <c r="D33" s="18" t="str">
        <f aca="false">Stock_Seguridad!F33</f>
        <v>SIN HIST</v>
      </c>
      <c r="E33" s="19" t="str">
        <f aca="false">Stock_Seguridad!X33</f>
        <v>OK</v>
      </c>
      <c r="F33" s="20" t="n">
        <f aca="false">Stock_Seguridad!W33</f>
        <v>2.29145722682372</v>
      </c>
      <c r="G33" s="21" t="n">
        <f aca="false">Stock_Seguridad!T33</f>
        <v>77270</v>
      </c>
      <c r="H33" s="21" t="n">
        <f aca="false">Stock_Seguridad!R33</f>
        <v>16639.7834007204</v>
      </c>
      <c r="I33" s="21" t="n">
        <f aca="false">Stock_Seguridad!S33</f>
        <v>50360.6834007204</v>
      </c>
      <c r="J33" s="21" t="n">
        <f aca="false">Stock_Seguridad!U33</f>
        <v>0</v>
      </c>
      <c r="K33" s="22"/>
      <c r="L33" s="23" t="n">
        <v>0</v>
      </c>
      <c r="M33" s="23" t="n">
        <v>0</v>
      </c>
      <c r="N33" s="23" t="n">
        <v>0</v>
      </c>
      <c r="O33" s="24" t="n">
        <v>0.0753384237090721</v>
      </c>
      <c r="P33" s="24" t="n">
        <f aca="false">IF(ISNUMBER(Stock_Seguridad!N33),Stock_Seguridad!N33,"")</f>
        <v>0.271739130434783</v>
      </c>
      <c r="Q33" s="24" t="n">
        <f aca="false">IF(AND(ISNUMBER(O33),ISNUMBER(P33)),P33-O33,"")</f>
        <v>0.196400706725711</v>
      </c>
      <c r="R33" s="23" t="n">
        <f aca="false">MAX(0,G33-N(L33))</f>
        <v>77270</v>
      </c>
      <c r="S33" s="23" t="n">
        <f aca="false">SUMIFS(Cadenas_vs_FCST!$D$17:$D$2437,Cadenas_vs_FCST!$A$17:$A$2437,A33)</f>
        <v>0</v>
      </c>
      <c r="T33" s="23" t="n">
        <f aca="false">SUMIFS(Cadenas_vs_FCST!$E$17:$E$2437,Cadenas_vs_FCST!$A$17:$A$2437,A33)</f>
        <v>0</v>
      </c>
      <c r="U33" s="24" t="str">
        <f aca="false">IF(T33&gt;0,S33/T33-1,"")</f>
        <v/>
      </c>
      <c r="V33" s="3" t="str">
        <f aca="false">IF(OR(E33="BAJO SS",E33="BAJO SS (XLIB CUBRE)"),"SÍ","")</f>
        <v/>
      </c>
      <c r="W33" s="3" t="str">
        <f aca="false">IF(AND(V33="",N(L33)&gt;=Parametros!$B$17,G33&gt;=H33,R33&lt;H33),"SÍ","")</f>
        <v/>
      </c>
      <c r="X33" s="3" t="str">
        <f aca="false">IF(OR(E33="SOBRE MAX VENDIBLE",N(N33)&gt;=Parametros!$B$17,N(M33)&gt;=Parametros!$B$17),"SÍ","")</f>
        <v/>
      </c>
      <c r="Y33" s="3" t="str">
        <f aca="false">IF(AND(ISNUMBER(U33),MAX(S33,T33)&gt;=Parametros!$B$15,ABS(N(U33))&gt;Parametros!$B$14),"SÍ","")</f>
        <v/>
      </c>
      <c r="Z33" s="3" t="n">
        <f aca="false">COUNTIF(V33:Y33,"SÍ")</f>
        <v>0</v>
      </c>
      <c r="AA33" s="3" t="n">
        <f aca="false">(3*(V33="SÍ")+2*(W33="SÍ")+2*(X33="SÍ")+(Y33="SÍ"))*IF(LEFT(D33,1)="A",3,IF(OR(LEFT(D33,1)="B",D33="SIN HIST"),2,1))</f>
        <v>0</v>
      </c>
      <c r="AB33" s="3" t="str">
        <f aca="false">IF(AA33&gt;=9,"1-ALTA",IF(AA33&gt;=4,"2-MEDIA",IF(AA33&gt;0,"3-BAJA","")))</f>
        <v/>
      </c>
      <c r="AC33" s="3" t="str">
        <f aca="false">IF(E33="BAJO SS","Stock + XLIB bajo el SS: riesgo real de quiebre, adelantar producción. ","")&amp;IF(E33="BAJO SS (XLIB CUBRE)","Disponible bajo el SS; depende de liberar "&amp;TEXT(J33,"#,##0")&amp;" kg"&amp;IF(ISNUMBER(K33)," el "&amp;TEXT(K33,"dd-mm"),"")&amp;". ","")&amp;IF(W33="SÍ","Stock parece sano pero "&amp;TEXT(L33,"#,##0")&amp;" kg no pasan filtro "&amp;Stock_Seguridad!O33&amp;": sin ellos queda bajo el SS para esa cadena. ","")&amp;IF(E33="SOBRE MAX VENDIBLE","Sobrestock vs vida útil: frenar producción/activar venta. ","")&amp;IF(N(N33)&gt;=Parametros!$B$17,TEXT(N33,"#,##0")&amp;" kg ya no los acepta ninguna cadena: venta intermedia/liquidación. ","")&amp;IF(N(M33)&gt;=Parametros!$B$17,TEXT(M33,"#,##0")&amp;" kg a punto de salir del filtro: despachar primero (FEFO). ","")&amp;IF(Y33="SÍ","Pedidos "&amp;IF(N(U33)&gt;0,"sobre","bajo")&amp;" FCST "&amp;TEXT(ABS(N(U33)),"0%")&amp;": revisar forecast con KAM.","")</f>
        <v/>
      </c>
    </row>
    <row r="34" customFormat="false" ht="15" hidden="false" customHeight="false" outlineLevel="0" collapsed="false">
      <c r="A34" s="18" t="n">
        <f aca="false">Stock_Seguridad!A34</f>
        <v>30001052</v>
      </c>
      <c r="B34" s="18" t="str">
        <f aca="false">Stock_Seguridad!B34</f>
        <v>YOGURT CALAN VLLA NVA BOL 12X1KG</v>
      </c>
      <c r="C34" s="18" t="str">
        <f aca="false">Stock_Seguridad!C34</f>
        <v>YOGURT</v>
      </c>
      <c r="D34" s="18" t="str">
        <f aca="false">Stock_Seguridad!F34</f>
        <v>AX</v>
      </c>
      <c r="E34" s="19" t="str">
        <f aca="false">Stock_Seguridad!X34</f>
        <v>BAJO P.REORDEN</v>
      </c>
      <c r="F34" s="20" t="n">
        <f aca="false">Stock_Seguridad!W34</f>
        <v>1.10198550210556</v>
      </c>
      <c r="G34" s="21" t="n">
        <f aca="false">Stock_Seguridad!T34</f>
        <v>36336</v>
      </c>
      <c r="H34" s="21" t="n">
        <f aca="false">Stock_Seguridad!R34</f>
        <v>20726.2635360135</v>
      </c>
      <c r="I34" s="21" t="n">
        <f aca="false">Stock_Seguridad!S34</f>
        <v>53710.3635360135</v>
      </c>
      <c r="J34" s="21" t="n">
        <f aca="false">Stock_Seguridad!U34</f>
        <v>12</v>
      </c>
      <c r="K34" s="22" t="n">
        <v>46312</v>
      </c>
      <c r="L34" s="23" t="n">
        <v>84</v>
      </c>
      <c r="M34" s="23" t="n">
        <v>0</v>
      </c>
      <c r="N34" s="23" t="n">
        <v>84</v>
      </c>
      <c r="O34" s="24" t="n">
        <v>0.0871126527915428</v>
      </c>
      <c r="P34" s="24" t="n">
        <f aca="false">IF(ISNUMBER(Stock_Seguridad!N34),Stock_Seguridad!N34,"")</f>
        <v>0.32258064516129</v>
      </c>
      <c r="Q34" s="24" t="n">
        <f aca="false">IF(AND(ISNUMBER(O34),ISNUMBER(P34)),P34-O34,"")</f>
        <v>0.235467992369748</v>
      </c>
      <c r="R34" s="23" t="n">
        <f aca="false">MAX(0,G34-N(L34))</f>
        <v>36252</v>
      </c>
      <c r="S34" s="23" t="n">
        <f aca="false">SUMIFS(Cadenas_vs_FCST!$D$17:$D$2437,Cadenas_vs_FCST!$A$17:$A$2437,A34)</f>
        <v>126168</v>
      </c>
      <c r="T34" s="23" t="n">
        <f aca="false">SUMIFS(Cadenas_vs_FCST!$E$17:$E$2437,Cadenas_vs_FCST!$A$17:$A$2437,A34)</f>
        <v>101899.35845645</v>
      </c>
      <c r="U34" s="24" t="n">
        <f aca="false">IF(T34&gt;0,S34/T34-1,"")</f>
        <v>0.238162849218736</v>
      </c>
      <c r="V34" s="3" t="str">
        <f aca="false">IF(OR(E34="BAJO SS",E34="BAJO SS (XLIB CUBRE)"),"SÍ","")</f>
        <v/>
      </c>
      <c r="W34" s="3" t="str">
        <f aca="false">IF(AND(V34="",N(L34)&gt;=Parametros!$B$17,G34&gt;=H34,R34&lt;H34),"SÍ","")</f>
        <v/>
      </c>
      <c r="X34" s="3" t="str">
        <f aca="false">IF(OR(E34="SOBRE MAX VENDIBLE",N(N34)&gt;=Parametros!$B$17,N(M34)&gt;=Parametros!$B$17),"SÍ","")</f>
        <v/>
      </c>
      <c r="Y34" s="3" t="str">
        <f aca="false">IF(AND(ISNUMBER(U34),MAX(S34,T34)&gt;=Parametros!$B$15,ABS(N(U34))&gt;Parametros!$B$14),"SÍ","")</f>
        <v>SÍ</v>
      </c>
      <c r="Z34" s="3" t="n">
        <f aca="false">COUNTIF(V34:Y34,"SÍ")</f>
        <v>1</v>
      </c>
      <c r="AA34" s="3" t="n">
        <f aca="false">(3*(V34="SÍ")+2*(W34="SÍ")+2*(X34="SÍ")+(Y34="SÍ"))*IF(LEFT(D34,1)="A",3,IF(OR(LEFT(D34,1)="B",D34="SIN HIST"),2,1))</f>
        <v>3</v>
      </c>
      <c r="AB34" s="3" t="str">
        <f aca="false">IF(AA34&gt;=9,"1-ALTA",IF(AA34&gt;=4,"2-MEDIA",IF(AA34&gt;0,"3-BAJA","")))</f>
        <v>3-BAJA</v>
      </c>
      <c r="AC34" s="3" t="str">
        <f aca="false">IF(E34="BAJO SS","Stock + XLIB bajo el SS: riesgo real de quiebre, adelantar producción. ","")&amp;IF(E34="BAJO SS (XLIB CUBRE)","Disponible bajo el SS; depende de liberar "&amp;TEXT(J34,"#,##0")&amp;" kg"&amp;IF(ISNUMBER(K34)," el "&amp;TEXT(K34,"dd-mm"),"")&amp;". ","")&amp;IF(W34="SÍ","Stock parece sano pero "&amp;TEXT(L34,"#,##0")&amp;" kg no pasan filtro "&amp;Stock_Seguridad!O34&amp;": sin ellos queda bajo el SS para esa cadena. ","")&amp;IF(E34="SOBRE MAX VENDIBLE","Sobrestock vs vida útil: frenar producción/activar venta. ","")&amp;IF(N(N34)&gt;=Parametros!$B$17,TEXT(N34,"#,##0")&amp;" kg ya no los acepta ninguna cadena: venta intermedia/liquidación. ","")&amp;IF(N(M34)&gt;=Parametros!$B$17,TEXT(M34,"#,##0")&amp;" kg a punto de salir del filtro: despachar primero (FEFO). ","")&amp;IF(Y34="SÍ","Pedidos "&amp;IF(N(U34)&gt;0,"sobre","bajo")&amp;" FCST "&amp;TEXT(ABS(N(U34)),"0%")&amp;": revisar forecast con KAM.","")</f>
        <v>Pedidos sobre FCST 24%: revisar forecast con KAM.</v>
      </c>
    </row>
    <row r="35" customFormat="false" ht="15" hidden="false" customHeight="false" outlineLevel="0" collapsed="false">
      <c r="A35" s="18" t="n">
        <f aca="false">Stock_Seguridad!A35</f>
        <v>30001862</v>
      </c>
      <c r="B35" s="18" t="str">
        <f aca="false">Stock_Seguridad!B35</f>
        <v>MARGARINA PAMPERITA BOLSA 10X900GR</v>
      </c>
      <c r="C35" s="18" t="str">
        <f aca="false">Stock_Seguridad!C35</f>
        <v>MARGARINAS</v>
      </c>
      <c r="D35" s="18" t="str">
        <f aca="false">Stock_Seguridad!F35</f>
        <v>AX</v>
      </c>
      <c r="E35" s="19" t="str">
        <f aca="false">Stock_Seguridad!X35</f>
        <v>OK</v>
      </c>
      <c r="F35" s="20" t="n">
        <f aca="false">Stock_Seguridad!W35</f>
        <v>4.07555555555556</v>
      </c>
      <c r="G35" s="21" t="n">
        <f aca="false">Stock_Seguridad!T35</f>
        <v>76671</v>
      </c>
      <c r="H35" s="21" t="n">
        <f aca="false">Stock_Seguridad!R35</f>
        <v>16491.2460945104</v>
      </c>
      <c r="I35" s="21" t="n">
        <f aca="false">Stock_Seguridad!S35</f>
        <v>48891.2460945104</v>
      </c>
      <c r="J35" s="21" t="n">
        <f aca="false">Stock_Seguridad!U35</f>
        <v>55377</v>
      </c>
      <c r="K35" s="22" t="n">
        <v>46319</v>
      </c>
      <c r="L35" s="23" t="n">
        <v>1863</v>
      </c>
      <c r="M35" s="23" t="n">
        <v>2322</v>
      </c>
      <c r="N35" s="23" t="n">
        <v>0</v>
      </c>
      <c r="O35" s="24" t="n">
        <v>0.0977071973827699</v>
      </c>
      <c r="P35" s="24" t="n">
        <f aca="false">IF(ISNUMBER(Stock_Seguridad!N35),Stock_Seguridad!N35,"")</f>
        <v>0.239130434782609</v>
      </c>
      <c r="Q35" s="24" t="n">
        <f aca="false">IF(AND(ISNUMBER(O35),ISNUMBER(P35)),P35-O35,"")</f>
        <v>0.141423237399839</v>
      </c>
      <c r="R35" s="23" t="n">
        <f aca="false">MAX(0,G35-N(L35))</f>
        <v>74808</v>
      </c>
      <c r="S35" s="23" t="n">
        <f aca="false">SUMIFS(Cadenas_vs_FCST!$D$17:$D$2437,Cadenas_vs_FCST!$A$17:$A$2437,A35)</f>
        <v>117045</v>
      </c>
      <c r="T35" s="23" t="n">
        <f aca="false">SUMIFS(Cadenas_vs_FCST!$E$17:$E$2437,Cadenas_vs_FCST!$A$17:$A$2437,A35)</f>
        <v>136446.391208124</v>
      </c>
      <c r="U35" s="24" t="n">
        <f aca="false">IF(T35&gt;0,S35/T35-1,"")</f>
        <v>-0.142190577825768</v>
      </c>
      <c r="V35" s="3" t="str">
        <f aca="false">IF(OR(E35="BAJO SS",E35="BAJO SS (XLIB CUBRE)"),"SÍ","")</f>
        <v/>
      </c>
      <c r="W35" s="3" t="str">
        <f aca="false">IF(AND(V35="",N(L35)&gt;=Parametros!$B$17,G35&gt;=H35,R35&lt;H35),"SÍ","")</f>
        <v/>
      </c>
      <c r="X35" s="3" t="str">
        <f aca="false">IF(OR(E35="SOBRE MAX VENDIBLE",N(N35)&gt;=Parametros!$B$17,N(M35)&gt;=Parametros!$B$17),"SÍ","")</f>
        <v>SÍ</v>
      </c>
      <c r="Y35" s="3" t="str">
        <f aca="false">IF(AND(ISNUMBER(U35),MAX(S35,T35)&gt;=Parametros!$B$15,ABS(N(U35))&gt;Parametros!$B$14),"SÍ","")</f>
        <v/>
      </c>
      <c r="Z35" s="3" t="n">
        <f aca="false">COUNTIF(V35:Y35,"SÍ")</f>
        <v>1</v>
      </c>
      <c r="AA35" s="3" t="n">
        <f aca="false">(3*(V35="SÍ")+2*(W35="SÍ")+2*(X35="SÍ")+(Y35="SÍ"))*IF(LEFT(D35,1)="A",3,IF(OR(LEFT(D35,1)="B",D35="SIN HIST"),2,1))</f>
        <v>6</v>
      </c>
      <c r="AB35" s="3" t="str">
        <f aca="false">IF(AA35&gt;=9,"1-ALTA",IF(AA35&gt;=4,"2-MEDIA",IF(AA35&gt;0,"3-BAJA","")))</f>
        <v>2-MEDIA</v>
      </c>
      <c r="AC35" s="3" t="str">
        <f aca="false">IF(E35="BAJO SS","Stock + XLIB bajo el SS: riesgo real de quiebre, adelantar producción. ","")&amp;IF(E35="BAJO SS (XLIB CUBRE)","Disponible bajo el SS; depende de liberar "&amp;TEXT(J35,"#,##0")&amp;" kg"&amp;IF(ISNUMBER(K35)," el "&amp;TEXT(K35,"dd-mm"),"")&amp;". ","")&amp;IF(W35="SÍ","Stock parece sano pero "&amp;TEXT(L35,"#,##0")&amp;" kg no pasan filtro "&amp;Stock_Seguridad!O35&amp;": sin ellos queda bajo el SS para esa cadena. ","")&amp;IF(E35="SOBRE MAX VENDIBLE","Sobrestock vs vida útil: frenar producción/activar venta. ","")&amp;IF(N(N35)&gt;=Parametros!$B$17,TEXT(N35,"#,##0")&amp;" kg ya no los acepta ninguna cadena: venta intermedia/liquidación. ","")&amp;IF(N(M35)&gt;=Parametros!$B$17,TEXT(M35,"#,##0")&amp;" kg a punto de salir del filtro: despachar primero (FEFO). ","")&amp;IF(Y35="SÍ","Pedidos "&amp;IF(N(U35)&gt;0,"sobre","bajo")&amp;" FCST "&amp;TEXT(ABS(N(U35)),"0%")&amp;": revisar forecast con KAM.","")</f>
        <v>2,322 kg a punto de salir del filtro: despachar primero (FEFO). </v>
      </c>
    </row>
    <row r="36" customFormat="false" ht="15" hidden="false" customHeight="false" outlineLevel="0" collapsed="false">
      <c r="A36" s="18" t="n">
        <f aca="false">Stock_Seguridad!A36</f>
        <v>30000400</v>
      </c>
      <c r="B36" s="18" t="str">
        <f aca="false">Stock_Seguridad!B36</f>
        <v>LECHE CHOC LONCO 30X200ML</v>
      </c>
      <c r="C36" s="18" t="str">
        <f aca="false">Stock_Seguridad!C36</f>
        <v>LECHES LIQUIDAS</v>
      </c>
      <c r="D36" s="18" t="str">
        <f aca="false">Stock_Seguridad!F36</f>
        <v>AX</v>
      </c>
      <c r="E36" s="19" t="str">
        <f aca="false">Stock_Seguridad!X36</f>
        <v>OK</v>
      </c>
      <c r="F36" s="20" t="n">
        <f aca="false">Stock_Seguridad!W36</f>
        <v>4.2464085707329</v>
      </c>
      <c r="G36" s="21" t="n">
        <f aca="false">Stock_Seguridad!T36</f>
        <v>57756</v>
      </c>
      <c r="H36" s="21" t="n">
        <f aca="false">Stock_Seguridad!R36</f>
        <v>14461.3431128841</v>
      </c>
      <c r="I36" s="21" t="n">
        <f aca="false">Stock_Seguridad!S36</f>
        <v>46495.9431128841</v>
      </c>
      <c r="J36" s="21" t="n">
        <f aca="false">Stock_Seguridad!U36</f>
        <v>78276</v>
      </c>
      <c r="K36" s="22" t="n">
        <v>46320</v>
      </c>
      <c r="L36" s="23" t="n">
        <v>0</v>
      </c>
      <c r="M36" s="23" t="n">
        <v>72</v>
      </c>
      <c r="N36" s="23" t="n">
        <v>0</v>
      </c>
      <c r="O36" s="24" t="n">
        <v>0.0477003144793374</v>
      </c>
      <c r="P36" s="24" t="n">
        <f aca="false">IF(ISNUMBER(Stock_Seguridad!N36),Stock_Seguridad!N36,"")</f>
        <v>0.238317757009346</v>
      </c>
      <c r="Q36" s="24" t="n">
        <f aca="false">IF(AND(ISNUMBER(O36),ISNUMBER(P36)),P36-O36,"")</f>
        <v>0.190617442530008</v>
      </c>
      <c r="R36" s="23" t="n">
        <f aca="false">MAX(0,G36-N(L36))</f>
        <v>57756</v>
      </c>
      <c r="S36" s="23" t="n">
        <f aca="false">SUMIFS(Cadenas_vs_FCST!$D$17:$D$2437,Cadenas_vs_FCST!$A$17:$A$2437,A36)</f>
        <v>174120</v>
      </c>
      <c r="T36" s="23" t="n">
        <f aca="false">SUMIFS(Cadenas_vs_FCST!$E$17:$E$2437,Cadenas_vs_FCST!$A$17:$A$2437,A36)</f>
        <v>145442.721180175</v>
      </c>
      <c r="U36" s="24" t="n">
        <f aca="false">IF(T36&gt;0,S36/T36-1,"")</f>
        <v>0.197172320396148</v>
      </c>
      <c r="V36" s="3" t="str">
        <f aca="false">IF(OR(E36="BAJO SS",E36="BAJO SS (XLIB CUBRE)"),"SÍ","")</f>
        <v/>
      </c>
      <c r="W36" s="3" t="str">
        <f aca="false">IF(AND(V36="",N(L36)&gt;=Parametros!$B$17,G36&gt;=H36,R36&lt;H36),"SÍ","")</f>
        <v/>
      </c>
      <c r="X36" s="3" t="str">
        <f aca="false">IF(OR(E36="SOBRE MAX VENDIBLE",N(N36)&gt;=Parametros!$B$17,N(M36)&gt;=Parametros!$B$17),"SÍ","")</f>
        <v/>
      </c>
      <c r="Y36" s="3" t="str">
        <f aca="false">IF(AND(ISNUMBER(U36),MAX(S36,T36)&gt;=Parametros!$B$15,ABS(N(U36))&gt;Parametros!$B$14),"SÍ","")</f>
        <v/>
      </c>
      <c r="Z36" s="3" t="n">
        <f aca="false">COUNTIF(V36:Y36,"SÍ")</f>
        <v>0</v>
      </c>
      <c r="AA36" s="3" t="n">
        <f aca="false">(3*(V36="SÍ")+2*(W36="SÍ")+2*(X36="SÍ")+(Y36="SÍ"))*IF(LEFT(D36,1)="A",3,IF(OR(LEFT(D36,1)="B",D36="SIN HIST"),2,1))</f>
        <v>0</v>
      </c>
      <c r="AB36" s="3" t="str">
        <f aca="false">IF(AA36&gt;=9,"1-ALTA",IF(AA36&gt;=4,"2-MEDIA",IF(AA36&gt;0,"3-BAJA","")))</f>
        <v/>
      </c>
      <c r="AC36" s="3" t="str">
        <f aca="false">IF(E36="BAJO SS","Stock + XLIB bajo el SS: riesgo real de quiebre, adelantar producción. ","")&amp;IF(E36="BAJO SS (XLIB CUBRE)","Disponible bajo el SS; depende de liberar "&amp;TEXT(J36,"#,##0")&amp;" kg"&amp;IF(ISNUMBER(K36)," el "&amp;TEXT(K36,"dd-mm"),"")&amp;". ","")&amp;IF(W36="SÍ","Stock parece sano pero "&amp;TEXT(L36,"#,##0")&amp;" kg no pasan filtro "&amp;Stock_Seguridad!O36&amp;": sin ellos queda bajo el SS para esa cadena. ","")&amp;IF(E36="SOBRE MAX VENDIBLE","Sobrestock vs vida útil: frenar producción/activar venta. ","")&amp;IF(N(N36)&gt;=Parametros!$B$17,TEXT(N36,"#,##0")&amp;" kg ya no los acepta ninguna cadena: venta intermedia/liquidación. ","")&amp;IF(N(M36)&gt;=Parametros!$B$17,TEXT(M36,"#,##0")&amp;" kg a punto de salir del filtro: despachar primero (FEFO). ","")&amp;IF(Y36="SÍ","Pedidos "&amp;IF(N(U36)&gt;0,"sobre","bajo")&amp;" FCST "&amp;TEXT(ABS(N(U36)),"0%")&amp;": revisar forecast con KAM.","")</f>
        <v/>
      </c>
    </row>
    <row r="37" customFormat="false" ht="15" hidden="false" customHeight="false" outlineLevel="0" collapsed="false">
      <c r="A37" s="18" t="n">
        <f aca="false">Stock_Seguridad!A37</f>
        <v>30000514</v>
      </c>
      <c r="B37" s="18" t="str">
        <f aca="false">Stock_Seguridad!B37</f>
        <v>LECHE LONCO PROTEIN MILK CAPP 12X1LT</v>
      </c>
      <c r="C37" s="18" t="str">
        <f aca="false">Stock_Seguridad!C37</f>
        <v>LECHES LIQUIDAS</v>
      </c>
      <c r="D37" s="18" t="str">
        <f aca="false">Stock_Seguridad!F37</f>
        <v>AX</v>
      </c>
      <c r="E37" s="19" t="str">
        <f aca="false">Stock_Seguridad!X37</f>
        <v>BAJO P.REORDEN</v>
      </c>
      <c r="F37" s="20" t="n">
        <f aca="false">Stock_Seguridad!W37</f>
        <v>1.1256679200475</v>
      </c>
      <c r="G37" s="21" t="n">
        <f aca="false">Stock_Seguridad!T37</f>
        <v>31284</v>
      </c>
      <c r="H37" s="21" t="n">
        <f aca="false">Stock_Seguridad!R37</f>
        <v>14942.2807464746</v>
      </c>
      <c r="I37" s="21" t="n">
        <f aca="false">Stock_Seguridad!S37</f>
        <v>42733.7807464746</v>
      </c>
      <c r="J37" s="21" t="n">
        <f aca="false">Stock_Seguridad!U37</f>
        <v>0</v>
      </c>
      <c r="K37" s="22"/>
      <c r="L37" s="23" t="n">
        <v>2976</v>
      </c>
      <c r="M37" s="23" t="n">
        <v>3672</v>
      </c>
      <c r="N37" s="23" t="n">
        <v>0</v>
      </c>
      <c r="O37" s="24" t="n">
        <v>0.0885895465026903</v>
      </c>
      <c r="P37" s="24" t="n">
        <f aca="false">IF(ISNUMBER(Stock_Seguridad!N37),Stock_Seguridad!N37,"")</f>
        <v>0.21875</v>
      </c>
      <c r="Q37" s="24" t="n">
        <f aca="false">IF(AND(ISNUMBER(O37),ISNUMBER(P37)),P37-O37,"")</f>
        <v>0.13016045349731</v>
      </c>
      <c r="R37" s="23" t="n">
        <f aca="false">MAX(0,G37-N(L37))</f>
        <v>28308</v>
      </c>
      <c r="S37" s="23" t="n">
        <f aca="false">SUMIFS(Cadenas_vs_FCST!$D$17:$D$2437,Cadenas_vs_FCST!$A$17:$A$2437,A37)</f>
        <v>93684</v>
      </c>
      <c r="T37" s="23" t="n">
        <f aca="false">SUMIFS(Cadenas_vs_FCST!$E$17:$E$2437,Cadenas_vs_FCST!$A$17:$A$2437,A37)</f>
        <v>78905.3768299531</v>
      </c>
      <c r="U37" s="24" t="n">
        <f aca="false">IF(T37&gt;0,S37/T37-1,"")</f>
        <v>0.187295514751751</v>
      </c>
      <c r="V37" s="3" t="str">
        <f aca="false">IF(OR(E37="BAJO SS",E37="BAJO SS (XLIB CUBRE)"),"SÍ","")</f>
        <v/>
      </c>
      <c r="W37" s="3" t="str">
        <f aca="false">IF(AND(V37="",N(L37)&gt;=Parametros!$B$17,G37&gt;=H37,R37&lt;H37),"SÍ","")</f>
        <v/>
      </c>
      <c r="X37" s="3" t="str">
        <f aca="false">IF(OR(E37="SOBRE MAX VENDIBLE",N(N37)&gt;=Parametros!$B$17,N(M37)&gt;=Parametros!$B$17),"SÍ","")</f>
        <v>SÍ</v>
      </c>
      <c r="Y37" s="3" t="str">
        <f aca="false">IF(AND(ISNUMBER(U37),MAX(S37,T37)&gt;=Parametros!$B$15,ABS(N(U37))&gt;Parametros!$B$14),"SÍ","")</f>
        <v/>
      </c>
      <c r="Z37" s="3" t="n">
        <f aca="false">COUNTIF(V37:Y37,"SÍ")</f>
        <v>1</v>
      </c>
      <c r="AA37" s="3" t="n">
        <f aca="false">(3*(V37="SÍ")+2*(W37="SÍ")+2*(X37="SÍ")+(Y37="SÍ"))*IF(LEFT(D37,1)="A",3,IF(OR(LEFT(D37,1)="B",D37="SIN HIST"),2,1))</f>
        <v>6</v>
      </c>
      <c r="AB37" s="3" t="str">
        <f aca="false">IF(AA37&gt;=9,"1-ALTA",IF(AA37&gt;=4,"2-MEDIA",IF(AA37&gt;0,"3-BAJA","")))</f>
        <v>2-MEDIA</v>
      </c>
      <c r="AC37" s="3" t="str">
        <f aca="false">IF(E37="BAJO SS","Stock + XLIB bajo el SS: riesgo real de quiebre, adelantar producción. ","")&amp;IF(E37="BAJO SS (XLIB CUBRE)","Disponible bajo el SS; depende de liberar "&amp;TEXT(J37,"#,##0")&amp;" kg"&amp;IF(ISNUMBER(K37)," el "&amp;TEXT(K37,"dd-mm"),"")&amp;". ","")&amp;IF(W37="SÍ","Stock parece sano pero "&amp;TEXT(L37,"#,##0")&amp;" kg no pasan filtro "&amp;Stock_Seguridad!O37&amp;": sin ellos queda bajo el SS para esa cadena. ","")&amp;IF(E37="SOBRE MAX VENDIBLE","Sobrestock vs vida útil: frenar producción/activar venta. ","")&amp;IF(N(N37)&gt;=Parametros!$B$17,TEXT(N37,"#,##0")&amp;" kg ya no los acepta ninguna cadena: venta intermedia/liquidación. ","")&amp;IF(N(M37)&gt;=Parametros!$B$17,TEXT(M37,"#,##0")&amp;" kg a punto de salir del filtro: despachar primero (FEFO). ","")&amp;IF(Y37="SÍ","Pedidos "&amp;IF(N(U37)&gt;0,"sobre","bajo")&amp;" FCST "&amp;TEXT(ABS(N(U37)),"0%")&amp;": revisar forecast con KAM.","")</f>
        <v>3,672 kg a punto de salir del filtro: despachar primero (FEFO). </v>
      </c>
    </row>
    <row r="38" customFormat="false" ht="15" hidden="false" customHeight="false" outlineLevel="0" collapsed="false">
      <c r="A38" s="18" t="n">
        <f aca="false">Stock_Seguridad!A38</f>
        <v>30001871</v>
      </c>
      <c r="B38" s="18" t="str">
        <f aca="false">Stock_Seguridad!B38</f>
        <v>MARGARINA SUREÑA 12X450GR</v>
      </c>
      <c r="C38" s="18" t="str">
        <f aca="false">Stock_Seguridad!C38</f>
        <v>MARGARINAS</v>
      </c>
      <c r="D38" s="18" t="str">
        <f aca="false">Stock_Seguridad!F38</f>
        <v>AX</v>
      </c>
      <c r="E38" s="19" t="str">
        <f aca="false">Stock_Seguridad!X38</f>
        <v>OK</v>
      </c>
      <c r="F38" s="20" t="n">
        <f aca="false">Stock_Seguridad!W38</f>
        <v>2.73540659340659</v>
      </c>
      <c r="G38" s="21" t="n">
        <f aca="false">Stock_Seguridad!T38</f>
        <v>74676.6</v>
      </c>
      <c r="H38" s="21" t="n">
        <f aca="false">Stock_Seguridad!R38</f>
        <v>16366.5729632677</v>
      </c>
      <c r="I38" s="21" t="n">
        <f aca="false">Stock_Seguridad!S38</f>
        <v>43666.5729632677</v>
      </c>
      <c r="J38" s="21" t="n">
        <f aca="false">Stock_Seguridad!U38</f>
        <v>0</v>
      </c>
      <c r="K38" s="22"/>
      <c r="L38" s="23" t="n">
        <v>0</v>
      </c>
      <c r="M38" s="23" t="n">
        <v>453.6</v>
      </c>
      <c r="N38" s="23" t="n">
        <v>0</v>
      </c>
      <c r="O38" s="24" t="n">
        <v>0.0677337479210355</v>
      </c>
      <c r="P38" s="24" t="n">
        <f aca="false">IF(ISNUMBER(Stock_Seguridad!N38),Stock_Seguridad!N38,"")</f>
        <v>0.239130434782609</v>
      </c>
      <c r="Q38" s="24" t="n">
        <f aca="false">IF(AND(ISNUMBER(O38),ISNUMBER(P38)),P38-O38,"")</f>
        <v>0.171396686861573</v>
      </c>
      <c r="R38" s="23" t="n">
        <f aca="false">MAX(0,G38-N(L38))</f>
        <v>74676.6</v>
      </c>
      <c r="S38" s="23" t="n">
        <f aca="false">SUMIFS(Cadenas_vs_FCST!$D$17:$D$2437,Cadenas_vs_FCST!$A$17:$A$2437,A38)</f>
        <v>129027.6</v>
      </c>
      <c r="T38" s="23" t="n">
        <f aca="false">SUMIFS(Cadenas_vs_FCST!$E$17:$E$2437,Cadenas_vs_FCST!$A$17:$A$2437,A38)</f>
        <v>127684.318009513</v>
      </c>
      <c r="U38" s="24" t="n">
        <f aca="false">IF(T38&gt;0,S38/T38-1,"")</f>
        <v>0.0105203364941586</v>
      </c>
      <c r="V38" s="3" t="str">
        <f aca="false">IF(OR(E38="BAJO SS",E38="BAJO SS (XLIB CUBRE)"),"SÍ","")</f>
        <v/>
      </c>
      <c r="W38" s="3" t="str">
        <f aca="false">IF(AND(V38="",N(L38)&gt;=Parametros!$B$17,G38&gt;=H38,R38&lt;H38),"SÍ","")</f>
        <v/>
      </c>
      <c r="X38" s="3" t="str">
        <f aca="false">IF(OR(E38="SOBRE MAX VENDIBLE",N(N38)&gt;=Parametros!$B$17,N(M38)&gt;=Parametros!$B$17),"SÍ","")</f>
        <v/>
      </c>
      <c r="Y38" s="3" t="str">
        <f aca="false">IF(AND(ISNUMBER(U38),MAX(S38,T38)&gt;=Parametros!$B$15,ABS(N(U38))&gt;Parametros!$B$14),"SÍ","")</f>
        <v/>
      </c>
      <c r="Z38" s="3" t="n">
        <f aca="false">COUNTIF(V38:Y38,"SÍ")</f>
        <v>0</v>
      </c>
      <c r="AA38" s="3" t="n">
        <f aca="false">(3*(V38="SÍ")+2*(W38="SÍ")+2*(X38="SÍ")+(Y38="SÍ"))*IF(LEFT(D38,1)="A",3,IF(OR(LEFT(D38,1)="B",D38="SIN HIST"),2,1))</f>
        <v>0</v>
      </c>
      <c r="AB38" s="3" t="str">
        <f aca="false">IF(AA38&gt;=9,"1-ALTA",IF(AA38&gt;=4,"2-MEDIA",IF(AA38&gt;0,"3-BAJA","")))</f>
        <v/>
      </c>
      <c r="AC38" s="3" t="str">
        <f aca="false">IF(E38="BAJO SS","Stock + XLIB bajo el SS: riesgo real de quiebre, adelantar producción. ","")&amp;IF(E38="BAJO SS (XLIB CUBRE)","Disponible bajo el SS; depende de liberar "&amp;TEXT(J38,"#,##0")&amp;" kg"&amp;IF(ISNUMBER(K38)," el "&amp;TEXT(K38,"dd-mm"),"")&amp;". ","")&amp;IF(W38="SÍ","Stock parece sano pero "&amp;TEXT(L38,"#,##0")&amp;" kg no pasan filtro "&amp;Stock_Seguridad!O38&amp;": sin ellos queda bajo el SS para esa cadena. ","")&amp;IF(E38="SOBRE MAX VENDIBLE","Sobrestock vs vida útil: frenar producción/activar venta. ","")&amp;IF(N(N38)&gt;=Parametros!$B$17,TEXT(N38,"#,##0")&amp;" kg ya no los acepta ninguna cadena: venta intermedia/liquidación. ","")&amp;IF(N(M38)&gt;=Parametros!$B$17,TEXT(M38,"#,##0")&amp;" kg a punto de salir del filtro: despachar primero (FEFO). ","")&amp;IF(Y38="SÍ","Pedidos "&amp;IF(N(U38)&gt;0,"sobre","bajo")&amp;" FCST "&amp;TEXT(ABS(N(U38)),"0%")&amp;": revisar forecast con KAM.","")</f>
        <v/>
      </c>
    </row>
    <row r="39" customFormat="false" ht="15" hidden="false" customHeight="false" outlineLevel="0" collapsed="false">
      <c r="A39" s="18" t="n">
        <f aca="false">Stock_Seguridad!A39</f>
        <v>30000643</v>
      </c>
      <c r="B39" s="18" t="str">
        <f aca="false">Stock_Seguridad!B39</f>
        <v>POROTOS WASIL 16X380GR</v>
      </c>
      <c r="C39" s="18" t="str">
        <f aca="false">Stock_Seguridad!C39</f>
        <v>CONSERVAS Y PLATOS LISTOS</v>
      </c>
      <c r="D39" s="18" t="str">
        <f aca="false">Stock_Seguridad!F39</f>
        <v>AX</v>
      </c>
      <c r="E39" s="19" t="str">
        <f aca="false">Stock_Seguridad!X39</f>
        <v>OK</v>
      </c>
      <c r="F39" s="20" t="n">
        <f aca="false">Stock_Seguridad!W39</f>
        <v>17.2537997039382</v>
      </c>
      <c r="G39" s="21" t="n">
        <f aca="false">Stock_Seguridad!T39</f>
        <v>470883.8</v>
      </c>
      <c r="H39" s="21" t="n">
        <f aca="false">Stock_Seguridad!R39</f>
        <v>17495.8214939421</v>
      </c>
      <c r="I39" s="21" t="n">
        <f aca="false">Stock_Seguridad!S39</f>
        <v>44787.4214939421</v>
      </c>
      <c r="J39" s="21" t="n">
        <f aca="false">Stock_Seguridad!U39</f>
        <v>0</v>
      </c>
      <c r="K39" s="22"/>
      <c r="L39" s="23" t="n">
        <v>0</v>
      </c>
      <c r="M39" s="23" t="n">
        <v>0</v>
      </c>
      <c r="N39" s="23" t="n">
        <v>0</v>
      </c>
      <c r="O39" s="24" t="n">
        <v>0.0774744304974431</v>
      </c>
      <c r="P39" s="24" t="n">
        <f aca="false">IF(ISNUMBER(Stock_Seguridad!N39),Stock_Seguridad!N39,"")</f>
        <v>0.329321663019694</v>
      </c>
      <c r="Q39" s="24" t="n">
        <f aca="false">IF(AND(ISNUMBER(O39),ISNUMBER(P39)),P39-O39,"")</f>
        <v>0.251847232522251</v>
      </c>
      <c r="R39" s="23" t="n">
        <f aca="false">MAX(0,G39-N(L39))</f>
        <v>470883.8</v>
      </c>
      <c r="S39" s="23" t="n">
        <f aca="false">SUMIFS(Cadenas_vs_FCST!$D$17:$D$2437,Cadenas_vs_FCST!$A$17:$A$2437,A39)</f>
        <v>126956.48</v>
      </c>
      <c r="T39" s="23" t="n">
        <f aca="false">SUMIFS(Cadenas_vs_FCST!$E$17:$E$2437,Cadenas_vs_FCST!$A$17:$A$2437,A39)</f>
        <v>114675.84</v>
      </c>
      <c r="U39" s="24" t="n">
        <f aca="false">IF(T39&gt;0,S39/T39-1,"")</f>
        <v>0.107090037448167</v>
      </c>
      <c r="V39" s="3" t="str">
        <f aca="false">IF(OR(E39="BAJO SS",E39="BAJO SS (XLIB CUBRE)"),"SÍ","")</f>
        <v/>
      </c>
      <c r="W39" s="3" t="str">
        <f aca="false">IF(AND(V39="",N(L39)&gt;=Parametros!$B$17,G39&gt;=H39,R39&lt;H39),"SÍ","")</f>
        <v/>
      </c>
      <c r="X39" s="3" t="str">
        <f aca="false">IF(OR(E39="SOBRE MAX VENDIBLE",N(N39)&gt;=Parametros!$B$17,N(M39)&gt;=Parametros!$B$17),"SÍ","")</f>
        <v/>
      </c>
      <c r="Y39" s="3" t="str">
        <f aca="false">IF(AND(ISNUMBER(U39),MAX(S39,T39)&gt;=Parametros!$B$15,ABS(N(U39))&gt;Parametros!$B$14),"SÍ","")</f>
        <v/>
      </c>
      <c r="Z39" s="3" t="n">
        <f aca="false">COUNTIF(V39:Y39,"SÍ")</f>
        <v>0</v>
      </c>
      <c r="AA39" s="3" t="n">
        <f aca="false">(3*(V39="SÍ")+2*(W39="SÍ")+2*(X39="SÍ")+(Y39="SÍ"))*IF(LEFT(D39,1)="A",3,IF(OR(LEFT(D39,1)="B",D39="SIN HIST"),2,1))</f>
        <v>0</v>
      </c>
      <c r="AB39" s="3" t="str">
        <f aca="false">IF(AA39&gt;=9,"1-ALTA",IF(AA39&gt;=4,"2-MEDIA",IF(AA39&gt;0,"3-BAJA","")))</f>
        <v/>
      </c>
      <c r="AC39" s="3" t="str">
        <f aca="false">IF(E39="BAJO SS","Stock + XLIB bajo el SS: riesgo real de quiebre, adelantar producción. ","")&amp;IF(E39="BAJO SS (XLIB CUBRE)","Disponible bajo el SS; depende de liberar "&amp;TEXT(J39,"#,##0")&amp;" kg"&amp;IF(ISNUMBER(K39)," el "&amp;TEXT(K39,"dd-mm"),"")&amp;". ","")&amp;IF(W39="SÍ","Stock parece sano pero "&amp;TEXT(L39,"#,##0")&amp;" kg no pasan filtro "&amp;Stock_Seguridad!O39&amp;": sin ellos queda bajo el SS para esa cadena. ","")&amp;IF(E39="SOBRE MAX VENDIBLE","Sobrestock vs vida útil: frenar producción/activar venta. ","")&amp;IF(N(N39)&gt;=Parametros!$B$17,TEXT(N39,"#,##0")&amp;" kg ya no los acepta ninguna cadena: venta intermedia/liquidación. ","")&amp;IF(N(M39)&gt;=Parametros!$B$17,TEXT(M39,"#,##0")&amp;" kg a punto de salir del filtro: despachar primero (FEFO). ","")&amp;IF(Y39="SÍ","Pedidos "&amp;IF(N(U39)&gt;0,"sobre","bajo")&amp;" FCST "&amp;TEXT(ABS(N(U39)),"0%")&amp;": revisar forecast con KAM.","")</f>
        <v/>
      </c>
    </row>
    <row r="40" customFormat="false" ht="15" hidden="false" customHeight="false" outlineLevel="0" collapsed="false">
      <c r="A40" s="18" t="n">
        <f aca="false">Stock_Seguridad!A40</f>
        <v>30000707</v>
      </c>
      <c r="B40" s="18" t="str">
        <f aca="false">Stock_Seguridad!B40</f>
        <v>PAPAS PRE FRITAS FDM 10X1KG</v>
      </c>
      <c r="C40" s="18" t="str">
        <f aca="false">Stock_Seguridad!C40</f>
        <v>FRUTAS Y HORTALIZAS CONGELADAS</v>
      </c>
      <c r="D40" s="18" t="str">
        <f aca="false">Stock_Seguridad!F40</f>
        <v>SIN HIST</v>
      </c>
      <c r="E40" s="19" t="str">
        <f aca="false">Stock_Seguridad!X40</f>
        <v>OK</v>
      </c>
      <c r="F40" s="20" t="n">
        <f aca="false">Stock_Seguridad!W40</f>
        <v>5.51776321860293</v>
      </c>
      <c r="G40" s="21" t="n">
        <f aca="false">Stock_Seguridad!T40</f>
        <v>149080</v>
      </c>
      <c r="H40" s="21" t="n">
        <f aca="false">Stock_Seguridad!R40</f>
        <v>13368.9590664548</v>
      </c>
      <c r="I40" s="21" t="n">
        <f aca="false">Stock_Seguridad!S40</f>
        <v>40461.4590664548</v>
      </c>
      <c r="J40" s="21" t="n">
        <f aca="false">Stock_Seguridad!U40</f>
        <v>410</v>
      </c>
      <c r="K40" s="22"/>
      <c r="L40" s="23" t="n">
        <v>0</v>
      </c>
      <c r="M40" s="23" t="n">
        <v>0</v>
      </c>
      <c r="N40" s="23" t="n">
        <v>0</v>
      </c>
      <c r="O40" s="24" t="n">
        <v>0.121880341880342</v>
      </c>
      <c r="P40" s="24" t="str">
        <f aca="false">IF(ISNUMBER(Stock_Seguridad!N40),Stock_Seguridad!N40,"")</f>
        <v/>
      </c>
      <c r="Q40" s="24" t="str">
        <f aca="false">IF(AND(ISNUMBER(O40),ISNUMBER(P40)),P40-O40,"")</f>
        <v/>
      </c>
      <c r="R40" s="23" t="n">
        <f aca="false">MAX(0,G40-N(L40))</f>
        <v>149080</v>
      </c>
      <c r="S40" s="23" t="n">
        <f aca="false">SUMIFS(Cadenas_vs_FCST!$D$17:$D$2437,Cadenas_vs_FCST!$A$17:$A$2437,A40)</f>
        <v>0</v>
      </c>
      <c r="T40" s="23" t="n">
        <f aca="false">SUMIFS(Cadenas_vs_FCST!$E$17:$E$2437,Cadenas_vs_FCST!$A$17:$A$2437,A40)</f>
        <v>0</v>
      </c>
      <c r="U40" s="24" t="str">
        <f aca="false">IF(T40&gt;0,S40/T40-1,"")</f>
        <v/>
      </c>
      <c r="V40" s="3" t="str">
        <f aca="false">IF(OR(E40="BAJO SS",E40="BAJO SS (XLIB CUBRE)"),"SÍ","")</f>
        <v/>
      </c>
      <c r="W40" s="3" t="str">
        <f aca="false">IF(AND(V40="",N(L40)&gt;=Parametros!$B$17,G40&gt;=H40,R40&lt;H40),"SÍ","")</f>
        <v/>
      </c>
      <c r="X40" s="3" t="str">
        <f aca="false">IF(OR(E40="SOBRE MAX VENDIBLE",N(N40)&gt;=Parametros!$B$17,N(M40)&gt;=Parametros!$B$17),"SÍ","")</f>
        <v/>
      </c>
      <c r="Y40" s="3" t="str">
        <f aca="false">IF(AND(ISNUMBER(U40),MAX(S40,T40)&gt;=Parametros!$B$15,ABS(N(U40))&gt;Parametros!$B$14),"SÍ","")</f>
        <v/>
      </c>
      <c r="Z40" s="3" t="n">
        <f aca="false">COUNTIF(V40:Y40,"SÍ")</f>
        <v>0</v>
      </c>
      <c r="AA40" s="3" t="n">
        <f aca="false">(3*(V40="SÍ")+2*(W40="SÍ")+2*(X40="SÍ")+(Y40="SÍ"))*IF(LEFT(D40,1)="A",3,IF(OR(LEFT(D40,1)="B",D40="SIN HIST"),2,1))</f>
        <v>0</v>
      </c>
      <c r="AB40" s="3" t="str">
        <f aca="false">IF(AA40&gt;=9,"1-ALTA",IF(AA40&gt;=4,"2-MEDIA",IF(AA40&gt;0,"3-BAJA","")))</f>
        <v/>
      </c>
      <c r="AC40" s="3" t="str">
        <f aca="false">IF(E40="BAJO SS","Stock + XLIB bajo el SS: riesgo real de quiebre, adelantar producción. ","")&amp;IF(E40="BAJO SS (XLIB CUBRE)","Disponible bajo el SS; depende de liberar "&amp;TEXT(J40,"#,##0")&amp;" kg"&amp;IF(ISNUMBER(K40)," el "&amp;TEXT(K40,"dd-mm"),"")&amp;". ","")&amp;IF(W40="SÍ","Stock parece sano pero "&amp;TEXT(L40,"#,##0")&amp;" kg no pasan filtro "&amp;Stock_Seguridad!O40&amp;": sin ellos queda bajo el SS para esa cadena. ","")&amp;IF(E40="SOBRE MAX VENDIBLE","Sobrestock vs vida útil: frenar producción/activar venta. ","")&amp;IF(N(N40)&gt;=Parametros!$B$17,TEXT(N40,"#,##0")&amp;" kg ya no los acepta ninguna cadena: venta intermedia/liquidación. ","")&amp;IF(N(M40)&gt;=Parametros!$B$17,TEXT(M40,"#,##0")&amp;" kg a punto de salir del filtro: despachar primero (FEFO). ","")&amp;IF(Y40="SÍ","Pedidos "&amp;IF(N(U40)&gt;0,"sobre","bajo")&amp;" FCST "&amp;TEXT(ABS(N(U40)),"0%")&amp;": revisar forecast con KAM.","")</f>
        <v/>
      </c>
    </row>
    <row r="41" customFormat="false" ht="15" hidden="false" customHeight="false" outlineLevel="0" collapsed="false">
      <c r="A41" s="18" t="n">
        <f aca="false">Stock_Seguridad!A41</f>
        <v>30001963</v>
      </c>
      <c r="B41" s="18" t="str">
        <f aca="false">Stock_Seguridad!B41</f>
        <v>MANJAR ARTESANAL LONCOLECHE 2X5KG</v>
      </c>
      <c r="C41" s="18" t="str">
        <f aca="false">Stock_Seguridad!C41</f>
        <v>MANJAR</v>
      </c>
      <c r="D41" s="18" t="str">
        <f aca="false">Stock_Seguridad!F41</f>
        <v>SIN HIST</v>
      </c>
      <c r="E41" s="19" t="str">
        <f aca="false">Stock_Seguridad!X41</f>
        <v>OK</v>
      </c>
      <c r="F41" s="20" t="n">
        <f aca="false">Stock_Seguridad!W41</f>
        <v>2.5657899656748</v>
      </c>
      <c r="G41" s="21" t="n">
        <f aca="false">Stock_Seguridad!T41</f>
        <v>38930</v>
      </c>
      <c r="H41" s="21" t="n">
        <f aca="false">Stock_Seguridad!R41</f>
        <v>13197.0883109747</v>
      </c>
      <c r="I41" s="21" t="n">
        <f aca="false">Stock_Seguridad!S41</f>
        <v>39941.2883109747</v>
      </c>
      <c r="J41" s="21" t="n">
        <f aca="false">Stock_Seguridad!U41</f>
        <v>29690</v>
      </c>
      <c r="K41" s="22" t="n">
        <v>46323</v>
      </c>
      <c r="L41" s="23" t="n">
        <v>0</v>
      </c>
      <c r="M41" s="23" t="n">
        <v>0</v>
      </c>
      <c r="N41" s="23" t="n">
        <v>0</v>
      </c>
      <c r="O41" s="24" t="n">
        <v>0.0467560477994754</v>
      </c>
      <c r="P41" s="24" t="n">
        <f aca="false">IF(ISNUMBER(Stock_Seguridad!N41),Stock_Seguridad!N41,"")</f>
        <v>0.309782608695652</v>
      </c>
      <c r="Q41" s="24" t="n">
        <f aca="false">IF(AND(ISNUMBER(O41),ISNUMBER(P41)),P41-O41,"")</f>
        <v>0.263026560896177</v>
      </c>
      <c r="R41" s="23" t="n">
        <f aca="false">MAX(0,G41-N(L41))</f>
        <v>38930</v>
      </c>
      <c r="S41" s="23" t="n">
        <f aca="false">SUMIFS(Cadenas_vs_FCST!$D$17:$D$2437,Cadenas_vs_FCST!$A$17:$A$2437,A41)</f>
        <v>0</v>
      </c>
      <c r="T41" s="23" t="n">
        <f aca="false">SUMIFS(Cadenas_vs_FCST!$E$17:$E$2437,Cadenas_vs_FCST!$A$17:$A$2437,A41)</f>
        <v>0</v>
      </c>
      <c r="U41" s="24" t="str">
        <f aca="false">IF(T41&gt;0,S41/T41-1,"")</f>
        <v/>
      </c>
      <c r="V41" s="3" t="str">
        <f aca="false">IF(OR(E41="BAJO SS",E41="BAJO SS (XLIB CUBRE)"),"SÍ","")</f>
        <v/>
      </c>
      <c r="W41" s="3" t="str">
        <f aca="false">IF(AND(V41="",N(L41)&gt;=Parametros!$B$17,G41&gt;=H41,R41&lt;H41),"SÍ","")</f>
        <v/>
      </c>
      <c r="X41" s="3" t="str">
        <f aca="false">IF(OR(E41="SOBRE MAX VENDIBLE",N(N41)&gt;=Parametros!$B$17,N(M41)&gt;=Parametros!$B$17),"SÍ","")</f>
        <v/>
      </c>
      <c r="Y41" s="3" t="str">
        <f aca="false">IF(AND(ISNUMBER(U41),MAX(S41,T41)&gt;=Parametros!$B$15,ABS(N(U41))&gt;Parametros!$B$14),"SÍ","")</f>
        <v/>
      </c>
      <c r="Z41" s="3" t="n">
        <f aca="false">COUNTIF(V41:Y41,"SÍ")</f>
        <v>0</v>
      </c>
      <c r="AA41" s="3" t="n">
        <f aca="false">(3*(V41="SÍ")+2*(W41="SÍ")+2*(X41="SÍ")+(Y41="SÍ"))*IF(LEFT(D41,1)="A",3,IF(OR(LEFT(D41,1)="B",D41="SIN HIST"),2,1))</f>
        <v>0</v>
      </c>
      <c r="AB41" s="3" t="str">
        <f aca="false">IF(AA41&gt;=9,"1-ALTA",IF(AA41&gt;=4,"2-MEDIA",IF(AA41&gt;0,"3-BAJA","")))</f>
        <v/>
      </c>
      <c r="AC41" s="3" t="str">
        <f aca="false">IF(E41="BAJO SS","Stock + XLIB bajo el SS: riesgo real de quiebre, adelantar producción. ","")&amp;IF(E41="BAJO SS (XLIB CUBRE)","Disponible bajo el SS; depende de liberar "&amp;TEXT(J41,"#,##0")&amp;" kg"&amp;IF(ISNUMBER(K41)," el "&amp;TEXT(K41,"dd-mm"),"")&amp;". ","")&amp;IF(W41="SÍ","Stock parece sano pero "&amp;TEXT(L41,"#,##0")&amp;" kg no pasan filtro "&amp;Stock_Seguridad!O41&amp;": sin ellos queda bajo el SS para esa cadena. ","")&amp;IF(E41="SOBRE MAX VENDIBLE","Sobrestock vs vida útil: frenar producción/activar venta. ","")&amp;IF(N(N41)&gt;=Parametros!$B$17,TEXT(N41,"#,##0")&amp;" kg ya no los acepta ninguna cadena: venta intermedia/liquidación. ","")&amp;IF(N(M41)&gt;=Parametros!$B$17,TEXT(M41,"#,##0")&amp;" kg a punto de salir del filtro: despachar primero (FEFO). ","")&amp;IF(Y41="SÍ","Pedidos "&amp;IF(N(U41)&gt;0,"sobre","bajo")&amp;" FCST "&amp;TEXT(ABS(N(U41)),"0%")&amp;": revisar forecast con KAM.","")</f>
        <v/>
      </c>
    </row>
    <row r="42" customFormat="false" ht="15" hidden="false" customHeight="false" outlineLevel="0" collapsed="false">
      <c r="A42" s="18" t="n">
        <f aca="false">Stock_Seguridad!A42</f>
        <v>30000708</v>
      </c>
      <c r="B42" s="18" t="str">
        <f aca="false">Stock_Seguridad!B42</f>
        <v>PAPAS DUQUESAS FDM 10X1KG</v>
      </c>
      <c r="C42" s="18" t="str">
        <f aca="false">Stock_Seguridad!C42</f>
        <v>FRUTAS Y HORTALIZAS CONGELADAS</v>
      </c>
      <c r="D42" s="18" t="str">
        <f aca="false">Stock_Seguridad!F42</f>
        <v>SIN HIST</v>
      </c>
      <c r="E42" s="19" t="str">
        <f aca="false">Stock_Seguridad!X42</f>
        <v>OK</v>
      </c>
      <c r="F42" s="20" t="n">
        <f aca="false">Stock_Seguridad!W42</f>
        <v>17.3577919892292</v>
      </c>
      <c r="G42" s="21" t="n">
        <f aca="false">Stock_Seguridad!T42</f>
        <v>91530</v>
      </c>
      <c r="H42" s="21" t="n">
        <f aca="false">Stock_Seguridad!R42</f>
        <v>13194.5223393166</v>
      </c>
      <c r="I42" s="21" t="n">
        <f aca="false">Stock_Seguridad!S42</f>
        <v>39933.5223393166</v>
      </c>
      <c r="J42" s="21" t="n">
        <f aca="false">Stock_Seguridad!U42</f>
        <v>372600</v>
      </c>
      <c r="K42" s="22"/>
      <c r="L42" s="23" t="n">
        <v>0</v>
      </c>
      <c r="M42" s="23" t="n">
        <v>0</v>
      </c>
      <c r="N42" s="23" t="n">
        <v>0</v>
      </c>
      <c r="O42" s="24" t="n">
        <v>0.228996062992126</v>
      </c>
      <c r="P42" s="24" t="str">
        <f aca="false">IF(ISNUMBER(Stock_Seguridad!N42),Stock_Seguridad!N42,"")</f>
        <v/>
      </c>
      <c r="Q42" s="24" t="str">
        <f aca="false">IF(AND(ISNUMBER(O42),ISNUMBER(P42)),P42-O42,"")</f>
        <v/>
      </c>
      <c r="R42" s="23" t="n">
        <f aca="false">MAX(0,G42-N(L42))</f>
        <v>91530</v>
      </c>
      <c r="S42" s="23" t="n">
        <f aca="false">SUMIFS(Cadenas_vs_FCST!$D$17:$D$2437,Cadenas_vs_FCST!$A$17:$A$2437,A42)</f>
        <v>0</v>
      </c>
      <c r="T42" s="23" t="n">
        <f aca="false">SUMIFS(Cadenas_vs_FCST!$E$17:$E$2437,Cadenas_vs_FCST!$A$17:$A$2437,A42)</f>
        <v>0</v>
      </c>
      <c r="U42" s="24" t="str">
        <f aca="false">IF(T42&gt;0,S42/T42-1,"")</f>
        <v/>
      </c>
      <c r="V42" s="3" t="str">
        <f aca="false">IF(OR(E42="BAJO SS",E42="BAJO SS (XLIB CUBRE)"),"SÍ","")</f>
        <v/>
      </c>
      <c r="W42" s="3" t="str">
        <f aca="false">IF(AND(V42="",N(L42)&gt;=Parametros!$B$17,G42&gt;=H42,R42&lt;H42),"SÍ","")</f>
        <v/>
      </c>
      <c r="X42" s="3" t="str">
        <f aca="false">IF(OR(E42="SOBRE MAX VENDIBLE",N(N42)&gt;=Parametros!$B$17,N(M42)&gt;=Parametros!$B$17),"SÍ","")</f>
        <v/>
      </c>
      <c r="Y42" s="3" t="str">
        <f aca="false">IF(AND(ISNUMBER(U42),MAX(S42,T42)&gt;=Parametros!$B$15,ABS(N(U42))&gt;Parametros!$B$14),"SÍ","")</f>
        <v/>
      </c>
      <c r="Z42" s="3" t="n">
        <f aca="false">COUNTIF(V42:Y42,"SÍ")</f>
        <v>0</v>
      </c>
      <c r="AA42" s="3" t="n">
        <f aca="false">(3*(V42="SÍ")+2*(W42="SÍ")+2*(X42="SÍ")+(Y42="SÍ"))*IF(LEFT(D42,1)="A",3,IF(OR(LEFT(D42,1)="B",D42="SIN HIST"),2,1))</f>
        <v>0</v>
      </c>
      <c r="AB42" s="3" t="str">
        <f aca="false">IF(AA42&gt;=9,"1-ALTA",IF(AA42&gt;=4,"2-MEDIA",IF(AA42&gt;0,"3-BAJA","")))</f>
        <v/>
      </c>
      <c r="AC42" s="3" t="str">
        <f aca="false">IF(E42="BAJO SS","Stock + XLIB bajo el SS: riesgo real de quiebre, adelantar producción. ","")&amp;IF(E42="BAJO SS (XLIB CUBRE)","Disponible bajo el SS; depende de liberar "&amp;TEXT(J42,"#,##0")&amp;" kg"&amp;IF(ISNUMBER(K42)," el "&amp;TEXT(K42,"dd-mm"),"")&amp;". ","")&amp;IF(W42="SÍ","Stock parece sano pero "&amp;TEXT(L42,"#,##0")&amp;" kg no pasan filtro "&amp;Stock_Seguridad!O42&amp;": sin ellos queda bajo el SS para esa cadena. ","")&amp;IF(E42="SOBRE MAX VENDIBLE","Sobrestock vs vida útil: frenar producción/activar venta. ","")&amp;IF(N(N42)&gt;=Parametros!$B$17,TEXT(N42,"#,##0")&amp;" kg ya no los acepta ninguna cadena: venta intermedia/liquidación. ","")&amp;IF(N(M42)&gt;=Parametros!$B$17,TEXT(M42,"#,##0")&amp;" kg a punto de salir del filtro: despachar primero (FEFO). ","")&amp;IF(Y42="SÍ","Pedidos "&amp;IF(N(U42)&gt;0,"sobre","bajo")&amp;" FCST "&amp;TEXT(ABS(N(U42)),"0%")&amp;": revisar forecast con KAM.","")</f>
        <v/>
      </c>
    </row>
    <row r="43" customFormat="false" ht="15" hidden="false" customHeight="false" outlineLevel="0" collapsed="false">
      <c r="A43" s="18" t="n">
        <f aca="false">Stock_Seguridad!A43</f>
        <v>30000639</v>
      </c>
      <c r="B43" s="18" t="str">
        <f aca="false">Stock_Seguridad!B43</f>
        <v>GARBANZOS WASIL 16X380GR</v>
      </c>
      <c r="C43" s="18" t="str">
        <f aca="false">Stock_Seguridad!C43</f>
        <v>CONSERVAS Y PLATOS LISTOS</v>
      </c>
      <c r="D43" s="18" t="str">
        <f aca="false">Stock_Seguridad!F43</f>
        <v>AX</v>
      </c>
      <c r="E43" s="19" t="str">
        <f aca="false">Stock_Seguridad!X43</f>
        <v>OK</v>
      </c>
      <c r="F43" s="20" t="n">
        <f aca="false">Stock_Seguridad!W43</f>
        <v>11.8522152103622</v>
      </c>
      <c r="G43" s="21" t="n">
        <f aca="false">Stock_Seguridad!T43</f>
        <v>311204.8</v>
      </c>
      <c r="H43" s="21" t="n">
        <f aca="false">Stock_Seguridad!R43</f>
        <v>10543.9660415671</v>
      </c>
      <c r="I43" s="21" t="n">
        <f aca="false">Stock_Seguridad!S43</f>
        <v>36801.0660415671</v>
      </c>
      <c r="J43" s="21" t="n">
        <f aca="false">Stock_Seguridad!U43</f>
        <v>0</v>
      </c>
      <c r="K43" s="22"/>
      <c r="L43" s="23" t="n">
        <v>0</v>
      </c>
      <c r="M43" s="23" t="n">
        <v>0</v>
      </c>
      <c r="N43" s="23" t="n">
        <v>0</v>
      </c>
      <c r="O43" s="24" t="n">
        <v>0.0314720078163166</v>
      </c>
      <c r="P43" s="24" t="n">
        <f aca="false">IF(ISNUMBER(Stock_Seguridad!N43),Stock_Seguridad!N43,"")</f>
        <v>0.463894967177243</v>
      </c>
      <c r="Q43" s="24" t="n">
        <f aca="false">IF(AND(ISNUMBER(O43),ISNUMBER(P43)),P43-O43,"")</f>
        <v>0.432422959360926</v>
      </c>
      <c r="R43" s="23" t="n">
        <f aca="false">MAX(0,G43-N(L43))</f>
        <v>311204.8</v>
      </c>
      <c r="S43" s="23" t="n">
        <f aca="false">SUMIFS(Cadenas_vs_FCST!$D$17:$D$2437,Cadenas_vs_FCST!$A$17:$A$2437,A43)</f>
        <v>120292.8</v>
      </c>
      <c r="T43" s="23" t="n">
        <f aca="false">SUMIFS(Cadenas_vs_FCST!$E$17:$E$2437,Cadenas_vs_FCST!$A$17:$A$2437,A43)</f>
        <v>114320.16</v>
      </c>
      <c r="U43" s="24" t="n">
        <f aca="false">IF(T43&gt;0,S43/T43-1,"")</f>
        <v>0.0522448534011848</v>
      </c>
      <c r="V43" s="3" t="str">
        <f aca="false">IF(OR(E43="BAJO SS",E43="BAJO SS (XLIB CUBRE)"),"SÍ","")</f>
        <v/>
      </c>
      <c r="W43" s="3" t="str">
        <f aca="false">IF(AND(V43="",N(L43)&gt;=Parametros!$B$17,G43&gt;=H43,R43&lt;H43),"SÍ","")</f>
        <v/>
      </c>
      <c r="X43" s="3" t="str">
        <f aca="false">IF(OR(E43="SOBRE MAX VENDIBLE",N(N43)&gt;=Parametros!$B$17,N(M43)&gt;=Parametros!$B$17),"SÍ","")</f>
        <v/>
      </c>
      <c r="Y43" s="3" t="str">
        <f aca="false">IF(AND(ISNUMBER(U43),MAX(S43,T43)&gt;=Parametros!$B$15,ABS(N(U43))&gt;Parametros!$B$14),"SÍ","")</f>
        <v/>
      </c>
      <c r="Z43" s="3" t="n">
        <f aca="false">COUNTIF(V43:Y43,"SÍ")</f>
        <v>0</v>
      </c>
      <c r="AA43" s="3" t="n">
        <f aca="false">(3*(V43="SÍ")+2*(W43="SÍ")+2*(X43="SÍ")+(Y43="SÍ"))*IF(LEFT(D43,1)="A",3,IF(OR(LEFT(D43,1)="B",D43="SIN HIST"),2,1))</f>
        <v>0</v>
      </c>
      <c r="AB43" s="3" t="str">
        <f aca="false">IF(AA43&gt;=9,"1-ALTA",IF(AA43&gt;=4,"2-MEDIA",IF(AA43&gt;0,"3-BAJA","")))</f>
        <v/>
      </c>
      <c r="AC43" s="3" t="str">
        <f aca="false">IF(E43="BAJO SS","Stock + XLIB bajo el SS: riesgo real de quiebre, adelantar producción. ","")&amp;IF(E43="BAJO SS (XLIB CUBRE)","Disponible bajo el SS; depende de liberar "&amp;TEXT(J43,"#,##0")&amp;" kg"&amp;IF(ISNUMBER(K43)," el "&amp;TEXT(K43,"dd-mm"),"")&amp;". ","")&amp;IF(W43="SÍ","Stock parece sano pero "&amp;TEXT(L43,"#,##0")&amp;" kg no pasan filtro "&amp;Stock_Seguridad!O43&amp;": sin ellos queda bajo el SS para esa cadena. ","")&amp;IF(E43="SOBRE MAX VENDIBLE","Sobrestock vs vida útil: frenar producción/activar venta. ","")&amp;IF(N(N43)&gt;=Parametros!$B$17,TEXT(N43,"#,##0")&amp;" kg ya no los acepta ninguna cadena: venta intermedia/liquidación. ","")&amp;IF(N(M43)&gt;=Parametros!$B$17,TEXT(M43,"#,##0")&amp;" kg a punto de salir del filtro: despachar primero (FEFO). ","")&amp;IF(Y43="SÍ","Pedidos "&amp;IF(N(U43)&gt;0,"sobre","bajo")&amp;" FCST "&amp;TEXT(ABS(N(U43)),"0%")&amp;": revisar forecast con KAM.","")</f>
        <v/>
      </c>
    </row>
    <row r="44" customFormat="false" ht="15" hidden="false" customHeight="false" outlineLevel="0" collapsed="false">
      <c r="A44" s="18" t="n">
        <f aca="false">Stock_Seguridad!A44</f>
        <v>30001050</v>
      </c>
      <c r="B44" s="18" t="str">
        <f aca="false">Stock_Seguridad!B44</f>
        <v>YOGURT CALAN DSCO NVA BOL 12X1KG</v>
      </c>
      <c r="C44" s="18" t="str">
        <f aca="false">Stock_Seguridad!C44</f>
        <v>YOGURT</v>
      </c>
      <c r="D44" s="18" t="str">
        <f aca="false">Stock_Seguridad!F44</f>
        <v>AX</v>
      </c>
      <c r="E44" s="19" t="str">
        <f aca="false">Stock_Seguridad!X44</f>
        <v>BAJO SS (XLIB CUBRE)</v>
      </c>
      <c r="F44" s="20" t="n">
        <f aca="false">Stock_Seguridad!W44</f>
        <v>1.57181945689913</v>
      </c>
      <c r="G44" s="21" t="n">
        <f aca="false">Stock_Seguridad!T44</f>
        <v>32184</v>
      </c>
      <c r="H44" s="21" t="n">
        <f aca="false">Stock_Seguridad!R44</f>
        <v>32599.3802138573</v>
      </c>
      <c r="I44" s="21" t="n">
        <f aca="false">Stock_Seguridad!S44</f>
        <v>58693.9802138573</v>
      </c>
      <c r="J44" s="21" t="n">
        <f aca="false">Stock_Seguridad!U44</f>
        <v>8832</v>
      </c>
      <c r="K44" s="22" t="n">
        <v>46317</v>
      </c>
      <c r="L44" s="23" t="n">
        <v>36</v>
      </c>
      <c r="M44" s="23" t="n">
        <v>1380</v>
      </c>
      <c r="N44" s="23" t="n">
        <v>36</v>
      </c>
      <c r="O44" s="24" t="n">
        <v>0.046501756440281</v>
      </c>
      <c r="P44" s="24" t="n">
        <f aca="false">IF(ISNUMBER(Stock_Seguridad!N44),Stock_Seguridad!N44,"")</f>
        <v>0.258064516129032</v>
      </c>
      <c r="Q44" s="24" t="n">
        <f aca="false">IF(AND(ISNUMBER(O44),ISNUMBER(P44)),P44-O44,"")</f>
        <v>0.211562759688751</v>
      </c>
      <c r="R44" s="23" t="n">
        <f aca="false">MAX(0,G44-N(L44))</f>
        <v>32148</v>
      </c>
      <c r="S44" s="23" t="n">
        <f aca="false">SUMIFS(Cadenas_vs_FCST!$D$17:$D$2437,Cadenas_vs_FCST!$A$17:$A$2437,A44)</f>
        <v>160680</v>
      </c>
      <c r="T44" s="23" t="n">
        <f aca="false">SUMIFS(Cadenas_vs_FCST!$E$17:$E$2437,Cadenas_vs_FCST!$A$17:$A$2437,A44)</f>
        <v>98679.2393831784</v>
      </c>
      <c r="U44" s="24" t="n">
        <f aca="false">IF(T44&gt;0,S44/T44-1,"")</f>
        <v>0.628306024695512</v>
      </c>
      <c r="V44" s="3" t="str">
        <f aca="false">IF(OR(E44="BAJO SS",E44="BAJO SS (XLIB CUBRE)"),"SÍ","")</f>
        <v>SÍ</v>
      </c>
      <c r="W44" s="3" t="str">
        <f aca="false">IF(AND(V44="",N(L44)&gt;=Parametros!$B$17,G44&gt;=H44,R44&lt;H44),"SÍ","")</f>
        <v/>
      </c>
      <c r="X44" s="3" t="str">
        <f aca="false">IF(OR(E44="SOBRE MAX VENDIBLE",N(N44)&gt;=Parametros!$B$17,N(M44)&gt;=Parametros!$B$17),"SÍ","")</f>
        <v>SÍ</v>
      </c>
      <c r="Y44" s="3" t="str">
        <f aca="false">IF(AND(ISNUMBER(U44),MAX(S44,T44)&gt;=Parametros!$B$15,ABS(N(U44))&gt;Parametros!$B$14),"SÍ","")</f>
        <v>SÍ</v>
      </c>
      <c r="Z44" s="3" t="n">
        <f aca="false">COUNTIF(V44:Y44,"SÍ")</f>
        <v>3</v>
      </c>
      <c r="AA44" s="3" t="n">
        <f aca="false">(3*(V44="SÍ")+2*(W44="SÍ")+2*(X44="SÍ")+(Y44="SÍ"))*IF(LEFT(D44,1)="A",3,IF(OR(LEFT(D44,1)="B",D44="SIN HIST"),2,1))</f>
        <v>18</v>
      </c>
      <c r="AB44" s="3" t="str">
        <f aca="false">IF(AA44&gt;=9,"1-ALTA",IF(AA44&gt;=4,"2-MEDIA",IF(AA44&gt;0,"3-BAJA","")))</f>
        <v>1-ALTA</v>
      </c>
      <c r="AC44" s="3" t="str">
        <f aca="false">IF(E44="BAJO SS","Stock + XLIB bajo el SS: riesgo real de quiebre, adelantar producción. ","")&amp;IF(E44="BAJO SS (XLIB CUBRE)","Disponible bajo el SS; depende de liberar "&amp;TEXT(J44,"#,##0")&amp;" kg"&amp;IF(ISNUMBER(K44)," el "&amp;TEXT(K44,"dd-mm"),"")&amp;". ","")&amp;IF(W44="SÍ","Stock parece sano pero "&amp;TEXT(L44,"#,##0")&amp;" kg no pasan filtro "&amp;Stock_Seguridad!O44&amp;": sin ellos queda bajo el SS para esa cadena. ","")&amp;IF(E44="SOBRE MAX VENDIBLE","Sobrestock vs vida útil: frenar producción/activar venta. ","")&amp;IF(N(N44)&gt;=Parametros!$B$17,TEXT(N44,"#,##0")&amp;" kg ya no los acepta ninguna cadena: venta intermedia/liquidación. ","")&amp;IF(N(M44)&gt;=Parametros!$B$17,TEXT(M44,"#,##0")&amp;" kg a punto de salir del filtro: despachar primero (FEFO). ","")&amp;IF(Y44="SÍ","Pedidos "&amp;IF(N(U44)&gt;0,"sobre","bajo")&amp;" FCST "&amp;TEXT(ABS(N(U44)),"0%")&amp;": revisar forecast con KAM.","")</f>
        <v>Disponible bajo el SS; depende de liberar 8,832 kg el 22-10. 1,380 kg a punto de salir del filtro: despachar primero (FEFO). Pedidos sobre FCST 63%: revisar forecast con KAM.</v>
      </c>
    </row>
    <row r="45" customFormat="false" ht="15" hidden="false" customHeight="false" outlineLevel="0" collapsed="false">
      <c r="A45" s="18" t="n">
        <f aca="false">Stock_Seguridad!A45</f>
        <v>30000626</v>
      </c>
      <c r="B45" s="18" t="str">
        <f aca="false">Stock_Seguridad!B45</f>
        <v>DURAZNOS CUBITOS WSL 16X380GR</v>
      </c>
      <c r="C45" s="18" t="str">
        <f aca="false">Stock_Seguridad!C45</f>
        <v>CONSERVAS Y PLATOS LISTOS</v>
      </c>
      <c r="D45" s="18" t="str">
        <f aca="false">Stock_Seguridad!F45</f>
        <v>AY</v>
      </c>
      <c r="E45" s="19" t="str">
        <f aca="false">Stock_Seguridad!X45</f>
        <v>OK</v>
      </c>
      <c r="F45" s="20" t="n">
        <f aca="false">Stock_Seguridad!W45</f>
        <v>22.8597215971814</v>
      </c>
      <c r="G45" s="21" t="n">
        <f aca="false">Stock_Seguridad!T45</f>
        <v>594313.9</v>
      </c>
      <c r="H45" s="21" t="n">
        <f aca="false">Stock_Seguridad!R45</f>
        <v>33630.7536595927</v>
      </c>
      <c r="I45" s="21" t="n">
        <f aca="false">Stock_Seguridad!S45</f>
        <v>59629.0536595927</v>
      </c>
      <c r="J45" s="21" t="n">
        <f aca="false">Stock_Seguridad!U45</f>
        <v>0</v>
      </c>
      <c r="K45" s="22"/>
      <c r="L45" s="23" t="n">
        <v>0</v>
      </c>
      <c r="M45" s="23" t="n">
        <v>0</v>
      </c>
      <c r="N45" s="23" t="n">
        <v>0</v>
      </c>
      <c r="O45" s="24" t="n">
        <v>0.238152782182573</v>
      </c>
      <c r="P45" s="24" t="n">
        <f aca="false">IF(ISNUMBER(Stock_Seguridad!N45),Stock_Seguridad!N45,"")</f>
        <v>0.468627450980392</v>
      </c>
      <c r="Q45" s="24" t="n">
        <f aca="false">IF(AND(ISNUMBER(O45),ISNUMBER(P45)),P45-O45,"")</f>
        <v>0.230474668797819</v>
      </c>
      <c r="R45" s="23" t="n">
        <f aca="false">MAX(0,G45-N(L45))</f>
        <v>594313.9</v>
      </c>
      <c r="S45" s="23" t="n">
        <f aca="false">SUMIFS(Cadenas_vs_FCST!$D$17:$D$2437,Cadenas_vs_FCST!$A$17:$A$2437,A45)</f>
        <v>92069.44</v>
      </c>
      <c r="T45" s="23" t="n">
        <f aca="false">SUMIFS(Cadenas_vs_FCST!$E$17:$E$2437,Cadenas_vs_FCST!$A$17:$A$2437,A45)</f>
        <v>102514.96</v>
      </c>
      <c r="U45" s="24" t="n">
        <f aca="false">IF(T45&gt;0,S45/T45-1,"")</f>
        <v>-0.101892640839932</v>
      </c>
      <c r="V45" s="3" t="str">
        <f aca="false">IF(OR(E45="BAJO SS",E45="BAJO SS (XLIB CUBRE)"),"SÍ","")</f>
        <v/>
      </c>
      <c r="W45" s="3" t="str">
        <f aca="false">IF(AND(V45="",N(L45)&gt;=Parametros!$B$17,G45&gt;=H45,R45&lt;H45),"SÍ","")</f>
        <v/>
      </c>
      <c r="X45" s="3" t="str">
        <f aca="false">IF(OR(E45="SOBRE MAX VENDIBLE",N(N45)&gt;=Parametros!$B$17,N(M45)&gt;=Parametros!$B$17),"SÍ","")</f>
        <v/>
      </c>
      <c r="Y45" s="3" t="str">
        <f aca="false">IF(AND(ISNUMBER(U45),MAX(S45,T45)&gt;=Parametros!$B$15,ABS(N(U45))&gt;Parametros!$B$14),"SÍ","")</f>
        <v/>
      </c>
      <c r="Z45" s="3" t="n">
        <f aca="false">COUNTIF(V45:Y45,"SÍ")</f>
        <v>0</v>
      </c>
      <c r="AA45" s="3" t="n">
        <f aca="false">(3*(V45="SÍ")+2*(W45="SÍ")+2*(X45="SÍ")+(Y45="SÍ"))*IF(LEFT(D45,1)="A",3,IF(OR(LEFT(D45,1)="B",D45="SIN HIST"),2,1))</f>
        <v>0</v>
      </c>
      <c r="AB45" s="3" t="str">
        <f aca="false">IF(AA45&gt;=9,"1-ALTA",IF(AA45&gt;=4,"2-MEDIA",IF(AA45&gt;0,"3-BAJA","")))</f>
        <v/>
      </c>
      <c r="AC45" s="3" t="str">
        <f aca="false">IF(E45="BAJO SS","Stock + XLIB bajo el SS: riesgo real de quiebre, adelantar producción. ","")&amp;IF(E45="BAJO SS (XLIB CUBRE)","Disponible bajo el SS; depende de liberar "&amp;TEXT(J45,"#,##0")&amp;" kg"&amp;IF(ISNUMBER(K45)," el "&amp;TEXT(K45,"dd-mm"),"")&amp;". ","")&amp;IF(W45="SÍ","Stock parece sano pero "&amp;TEXT(L45,"#,##0")&amp;" kg no pasan filtro "&amp;Stock_Seguridad!O45&amp;": sin ellos queda bajo el SS para esa cadena. ","")&amp;IF(E45="SOBRE MAX VENDIBLE","Sobrestock vs vida útil: frenar producción/activar venta. ","")&amp;IF(N(N45)&gt;=Parametros!$B$17,TEXT(N45,"#,##0")&amp;" kg ya no los acepta ninguna cadena: venta intermedia/liquidación. ","")&amp;IF(N(M45)&gt;=Parametros!$B$17,TEXT(M45,"#,##0")&amp;" kg a punto de salir del filtro: despachar primero (FEFO). ","")&amp;IF(Y45="SÍ","Pedidos "&amp;IF(N(U45)&gt;0,"sobre","bajo")&amp;" FCST "&amp;TEXT(ABS(N(U45)),"0%")&amp;": revisar forecast con KAM.","")</f>
        <v/>
      </c>
    </row>
    <row r="46" customFormat="false" ht="15" hidden="false" customHeight="false" outlineLevel="0" collapsed="false">
      <c r="A46" s="18" t="n">
        <f aca="false">Stock_Seguridad!A46</f>
        <v>30001753</v>
      </c>
      <c r="B46" s="18" t="str">
        <f aca="false">Stock_Seguridad!B46</f>
        <v>MERMELADA WATTS MORA 24X225GR</v>
      </c>
      <c r="C46" s="18" t="str">
        <f aca="false">Stock_Seguridad!C46</f>
        <v>MERMELADAS</v>
      </c>
      <c r="D46" s="18" t="str">
        <f aca="false">Stock_Seguridad!F46</f>
        <v>AX</v>
      </c>
      <c r="E46" s="19" t="str">
        <f aca="false">Stock_Seguridad!X46</f>
        <v>BAJO P.REORDEN</v>
      </c>
      <c r="F46" s="20" t="n">
        <f aca="false">Stock_Seguridad!W46</f>
        <v>1.19978071830645</v>
      </c>
      <c r="G46" s="21" t="n">
        <f aca="false">Stock_Seguridad!T46</f>
        <v>30148.2</v>
      </c>
      <c r="H46" s="21" t="n">
        <f aca="false">Stock_Seguridad!R46</f>
        <v>10740.9563489196</v>
      </c>
      <c r="I46" s="21" t="n">
        <f aca="false">Stock_Seguridad!S46</f>
        <v>35914.0563489196</v>
      </c>
      <c r="J46" s="21" t="n">
        <f aca="false">Stock_Seguridad!U46</f>
        <v>54</v>
      </c>
      <c r="K46" s="22" t="n">
        <v>46316</v>
      </c>
      <c r="L46" s="23" t="n">
        <v>54</v>
      </c>
      <c r="M46" s="23" t="n">
        <v>0</v>
      </c>
      <c r="N46" s="23" t="n">
        <v>0</v>
      </c>
      <c r="O46" s="24" t="n">
        <v>0.0354087486554321</v>
      </c>
      <c r="P46" s="24" t="n">
        <f aca="false">IF(ISNUMBER(Stock_Seguridad!N46),Stock_Seguridad!N46,"")</f>
        <v>0.32054794520548</v>
      </c>
      <c r="Q46" s="24" t="n">
        <f aca="false">IF(AND(ISNUMBER(O46),ISNUMBER(P46)),P46-O46,"")</f>
        <v>0.285139196550048</v>
      </c>
      <c r="R46" s="23" t="n">
        <f aca="false">MAX(0,G46-N(L46))</f>
        <v>30094.2</v>
      </c>
      <c r="S46" s="23" t="n">
        <f aca="false">SUMIFS(Cadenas_vs_FCST!$D$17:$D$2437,Cadenas_vs_FCST!$A$17:$A$2437,A46)</f>
        <v>88954.2</v>
      </c>
      <c r="T46" s="23" t="n">
        <f aca="false">SUMIFS(Cadenas_vs_FCST!$E$17:$E$2437,Cadenas_vs_FCST!$A$17:$A$2437,A46)</f>
        <v>80138.325</v>
      </c>
      <c r="U46" s="24" t="n">
        <f aca="false">IF(T46&gt;0,S46/T46-1,"")</f>
        <v>0.110008226401038</v>
      </c>
      <c r="V46" s="3" t="str">
        <f aca="false">IF(OR(E46="BAJO SS",E46="BAJO SS (XLIB CUBRE)"),"SÍ","")</f>
        <v/>
      </c>
      <c r="W46" s="3" t="str">
        <f aca="false">IF(AND(V46="",N(L46)&gt;=Parametros!$B$17,G46&gt;=H46,R46&lt;H46),"SÍ","")</f>
        <v/>
      </c>
      <c r="X46" s="3" t="str">
        <f aca="false">IF(OR(E46="SOBRE MAX VENDIBLE",N(N46)&gt;=Parametros!$B$17,N(M46)&gt;=Parametros!$B$17),"SÍ","")</f>
        <v/>
      </c>
      <c r="Y46" s="3" t="str">
        <f aca="false">IF(AND(ISNUMBER(U46),MAX(S46,T46)&gt;=Parametros!$B$15,ABS(N(U46))&gt;Parametros!$B$14),"SÍ","")</f>
        <v/>
      </c>
      <c r="Z46" s="3" t="n">
        <f aca="false">COUNTIF(V46:Y46,"SÍ")</f>
        <v>0</v>
      </c>
      <c r="AA46" s="3" t="n">
        <f aca="false">(3*(V46="SÍ")+2*(W46="SÍ")+2*(X46="SÍ")+(Y46="SÍ"))*IF(LEFT(D46,1)="A",3,IF(OR(LEFT(D46,1)="B",D46="SIN HIST"),2,1))</f>
        <v>0</v>
      </c>
      <c r="AB46" s="3" t="str">
        <f aca="false">IF(AA46&gt;=9,"1-ALTA",IF(AA46&gt;=4,"2-MEDIA",IF(AA46&gt;0,"3-BAJA","")))</f>
        <v/>
      </c>
      <c r="AC46" s="3" t="str">
        <f aca="false">IF(E46="BAJO SS","Stock + XLIB bajo el SS: riesgo real de quiebre, adelantar producción. ","")&amp;IF(E46="BAJO SS (XLIB CUBRE)","Disponible bajo el SS; depende de liberar "&amp;TEXT(J46,"#,##0")&amp;" kg"&amp;IF(ISNUMBER(K46)," el "&amp;TEXT(K46,"dd-mm"),"")&amp;". ","")&amp;IF(W46="SÍ","Stock parece sano pero "&amp;TEXT(L46,"#,##0")&amp;" kg no pasan filtro "&amp;Stock_Seguridad!O46&amp;": sin ellos queda bajo el SS para esa cadena. ","")&amp;IF(E46="SOBRE MAX VENDIBLE","Sobrestock vs vida útil: frenar producción/activar venta. ","")&amp;IF(N(N46)&gt;=Parametros!$B$17,TEXT(N46,"#,##0")&amp;" kg ya no los acepta ninguna cadena: venta intermedia/liquidación. ","")&amp;IF(N(M46)&gt;=Parametros!$B$17,TEXT(M46,"#,##0")&amp;" kg a punto de salir del filtro: despachar primero (FEFO). ","")&amp;IF(Y46="SÍ","Pedidos "&amp;IF(N(U46)&gt;0,"sobre","bajo")&amp;" FCST "&amp;TEXT(ABS(N(U46)),"0%")&amp;": revisar forecast con KAM.","")</f>
        <v/>
      </c>
    </row>
    <row r="47" customFormat="false" ht="15" hidden="false" customHeight="false" outlineLevel="0" collapsed="false">
      <c r="A47" s="18" t="n">
        <f aca="false">Stock_Seguridad!A47</f>
        <v>30000305</v>
      </c>
      <c r="B47" s="18" t="str">
        <f aca="false">Stock_Seguridad!B47</f>
        <v>YOGU YOGU FRUTILLA 30X200GR</v>
      </c>
      <c r="C47" s="18" t="str">
        <f aca="false">Stock_Seguridad!C47</f>
        <v>LECHES LIQUIDAS</v>
      </c>
      <c r="D47" s="18" t="str">
        <f aca="false">Stock_Seguridad!F47</f>
        <v>AX</v>
      </c>
      <c r="E47" s="19" t="str">
        <f aca="false">Stock_Seguridad!X47</f>
        <v>OK</v>
      </c>
      <c r="F47" s="20" t="n">
        <f aca="false">Stock_Seguridad!W47</f>
        <v>3.8535217987714</v>
      </c>
      <c r="G47" s="21" t="n">
        <f aca="false">Stock_Seguridad!T47</f>
        <v>96918</v>
      </c>
      <c r="H47" s="21" t="n">
        <f aca="false">Stock_Seguridad!R47</f>
        <v>6844.43210254454</v>
      </c>
      <c r="I47" s="21" t="n">
        <f aca="false">Stock_Seguridad!S47</f>
        <v>31994.9321025445</v>
      </c>
      <c r="J47" s="21" t="n">
        <f aca="false">Stock_Seguridad!U47</f>
        <v>0</v>
      </c>
      <c r="K47" s="22"/>
      <c r="L47" s="23" t="n">
        <v>960</v>
      </c>
      <c r="M47" s="23" t="n">
        <v>41184</v>
      </c>
      <c r="N47" s="23" t="n">
        <v>0</v>
      </c>
      <c r="O47" s="24" t="n">
        <v>0.130090320169428</v>
      </c>
      <c r="P47" s="24" t="n">
        <f aca="false">IF(ISNUMBER(Stock_Seguridad!N47),Stock_Seguridad!N47,"")</f>
        <v>0.220408163265306</v>
      </c>
      <c r="Q47" s="24" t="n">
        <f aca="false">IF(AND(ISNUMBER(O47),ISNUMBER(P47)),P47-O47,"")</f>
        <v>0.0903178430958779</v>
      </c>
      <c r="R47" s="23" t="n">
        <f aca="false">MAX(0,G47-N(L47))</f>
        <v>95958</v>
      </c>
      <c r="S47" s="23" t="n">
        <f aca="false">SUMIFS(Cadenas_vs_FCST!$D$17:$D$2437,Cadenas_vs_FCST!$A$17:$A$2437,A47)</f>
        <v>83280</v>
      </c>
      <c r="T47" s="23" t="n">
        <f aca="false">SUMIFS(Cadenas_vs_FCST!$E$17:$E$2437,Cadenas_vs_FCST!$A$17:$A$2437,A47)</f>
        <v>85037.8051594348</v>
      </c>
      <c r="U47" s="24" t="n">
        <f aca="false">IF(T47&gt;0,S47/T47-1,"")</f>
        <v>-0.0206708669883842</v>
      </c>
      <c r="V47" s="3" t="str">
        <f aca="false">IF(OR(E47="BAJO SS",E47="BAJO SS (XLIB CUBRE)"),"SÍ","")</f>
        <v/>
      </c>
      <c r="W47" s="3" t="str">
        <f aca="false">IF(AND(V47="",N(L47)&gt;=Parametros!$B$17,G47&gt;=H47,R47&lt;H47),"SÍ","")</f>
        <v/>
      </c>
      <c r="X47" s="3" t="str">
        <f aca="false">IF(OR(E47="SOBRE MAX VENDIBLE",N(N47)&gt;=Parametros!$B$17,N(M47)&gt;=Parametros!$B$17),"SÍ","")</f>
        <v>SÍ</v>
      </c>
      <c r="Y47" s="3" t="str">
        <f aca="false">IF(AND(ISNUMBER(U47),MAX(S47,T47)&gt;=Parametros!$B$15,ABS(N(U47))&gt;Parametros!$B$14),"SÍ","")</f>
        <v/>
      </c>
      <c r="Z47" s="3" t="n">
        <f aca="false">COUNTIF(V47:Y47,"SÍ")</f>
        <v>1</v>
      </c>
      <c r="AA47" s="3" t="n">
        <f aca="false">(3*(V47="SÍ")+2*(W47="SÍ")+2*(X47="SÍ")+(Y47="SÍ"))*IF(LEFT(D47,1)="A",3,IF(OR(LEFT(D47,1)="B",D47="SIN HIST"),2,1))</f>
        <v>6</v>
      </c>
      <c r="AB47" s="3" t="str">
        <f aca="false">IF(AA47&gt;=9,"1-ALTA",IF(AA47&gt;=4,"2-MEDIA",IF(AA47&gt;0,"3-BAJA","")))</f>
        <v>2-MEDIA</v>
      </c>
      <c r="AC47" s="3" t="str">
        <f aca="false">IF(E47="BAJO SS","Stock + XLIB bajo el SS: riesgo real de quiebre, adelantar producción. ","")&amp;IF(E47="BAJO SS (XLIB CUBRE)","Disponible bajo el SS; depende de liberar "&amp;TEXT(J47,"#,##0")&amp;" kg"&amp;IF(ISNUMBER(K47)," el "&amp;TEXT(K47,"dd-mm"),"")&amp;". ","")&amp;IF(W47="SÍ","Stock parece sano pero "&amp;TEXT(L47,"#,##0")&amp;" kg no pasan filtro "&amp;Stock_Seguridad!O47&amp;": sin ellos queda bajo el SS para esa cadena. ","")&amp;IF(E47="SOBRE MAX VENDIBLE","Sobrestock vs vida útil: frenar producción/activar venta. ","")&amp;IF(N(N47)&gt;=Parametros!$B$17,TEXT(N47,"#,##0")&amp;" kg ya no los acepta ninguna cadena: venta intermedia/liquidación. ","")&amp;IF(N(M47)&gt;=Parametros!$B$17,TEXT(M47,"#,##0")&amp;" kg a punto de salir del filtro: despachar primero (FEFO). ","")&amp;IF(Y47="SÍ","Pedidos "&amp;IF(N(U47)&gt;0,"sobre","bajo")&amp;" FCST "&amp;TEXT(ABS(N(U47)),"0%")&amp;": revisar forecast con KAM.","")</f>
        <v>41,184 kg a punto de salir del filtro: despachar primero (FEFO). </v>
      </c>
    </row>
    <row r="48" customFormat="false" ht="15" hidden="false" customHeight="false" outlineLevel="0" collapsed="false">
      <c r="A48" s="18" t="n">
        <f aca="false">Stock_Seguridad!A48</f>
        <v>30001042</v>
      </c>
      <c r="B48" s="18" t="str">
        <f aca="false">Stock_Seguridad!B48</f>
        <v>YOGURT CALAN VAINILLA UNIV 48X110GR</v>
      </c>
      <c r="C48" s="18" t="str">
        <f aca="false">Stock_Seguridad!C48</f>
        <v>YOGURT</v>
      </c>
      <c r="D48" s="18" t="str">
        <f aca="false">Stock_Seguridad!F48</f>
        <v>AX</v>
      </c>
      <c r="E48" s="19" t="str">
        <f aca="false">Stock_Seguridad!X48</f>
        <v>BAJO P.REORDEN</v>
      </c>
      <c r="F48" s="20" t="n">
        <f aca="false">Stock_Seguridad!W48</f>
        <v>1.38021850488234</v>
      </c>
      <c r="G48" s="21" t="n">
        <f aca="false">Stock_Seguridad!T48</f>
        <v>19525.4</v>
      </c>
      <c r="H48" s="21" t="n">
        <f aca="false">Stock_Seguridad!R48</f>
        <v>12026.7295432928</v>
      </c>
      <c r="I48" s="21" t="n">
        <f aca="false">Stock_Seguridad!S48</f>
        <v>37014.7295432928</v>
      </c>
      <c r="J48" s="21" t="n">
        <f aca="false">Stock_Seguridad!U48</f>
        <v>14963.5</v>
      </c>
      <c r="K48" s="22" t="n">
        <v>46317</v>
      </c>
      <c r="L48" s="23" t="n">
        <v>0</v>
      </c>
      <c r="M48" s="23" t="n">
        <v>0</v>
      </c>
      <c r="N48" s="23" t="n">
        <v>0</v>
      </c>
      <c r="O48" s="24" t="n">
        <v>0.0649930609097918</v>
      </c>
      <c r="P48" s="24" t="n">
        <f aca="false">IF(ISNUMBER(Stock_Seguridad!N48),Stock_Seguridad!N48,"")</f>
        <v>0.32258064516129</v>
      </c>
      <c r="Q48" s="24" t="n">
        <f aca="false">IF(AND(ISNUMBER(O48),ISNUMBER(P48)),P48-O48,"")</f>
        <v>0.257587584251499</v>
      </c>
      <c r="R48" s="23" t="n">
        <f aca="false">MAX(0,G48-N(L48))</f>
        <v>19525.4</v>
      </c>
      <c r="S48" s="23" t="n">
        <f aca="false">SUMIFS(Cadenas_vs_FCST!$D$17:$D$2437,Cadenas_vs_FCST!$A$17:$A$2437,A48)</f>
        <v>68719.2</v>
      </c>
      <c r="T48" s="23" t="n">
        <f aca="false">SUMIFS(Cadenas_vs_FCST!$E$17:$E$2437,Cadenas_vs_FCST!$A$17:$A$2437,A48)</f>
        <v>87692.8020328373</v>
      </c>
      <c r="U48" s="24" t="n">
        <f aca="false">IF(T48&gt;0,S48/T48-1,"")</f>
        <v>-0.216364417523487</v>
      </c>
      <c r="V48" s="3" t="str">
        <f aca="false">IF(OR(E48="BAJO SS",E48="BAJO SS (XLIB CUBRE)"),"SÍ","")</f>
        <v/>
      </c>
      <c r="W48" s="3" t="str">
        <f aca="false">IF(AND(V48="",N(L48)&gt;=Parametros!$B$17,G48&gt;=H48,R48&lt;H48),"SÍ","")</f>
        <v/>
      </c>
      <c r="X48" s="3" t="str">
        <f aca="false">IF(OR(E48="SOBRE MAX VENDIBLE",N(N48)&gt;=Parametros!$B$17,N(M48)&gt;=Parametros!$B$17),"SÍ","")</f>
        <v/>
      </c>
      <c r="Y48" s="3" t="str">
        <f aca="false">IF(AND(ISNUMBER(U48),MAX(S48,T48)&gt;=Parametros!$B$15,ABS(N(U48))&gt;Parametros!$B$14),"SÍ","")</f>
        <v>SÍ</v>
      </c>
      <c r="Z48" s="3" t="n">
        <f aca="false">COUNTIF(V48:Y48,"SÍ")</f>
        <v>1</v>
      </c>
      <c r="AA48" s="3" t="n">
        <f aca="false">(3*(V48="SÍ")+2*(W48="SÍ")+2*(X48="SÍ")+(Y48="SÍ"))*IF(LEFT(D48,1)="A",3,IF(OR(LEFT(D48,1)="B",D48="SIN HIST"),2,1))</f>
        <v>3</v>
      </c>
      <c r="AB48" s="3" t="str">
        <f aca="false">IF(AA48&gt;=9,"1-ALTA",IF(AA48&gt;=4,"2-MEDIA",IF(AA48&gt;0,"3-BAJA","")))</f>
        <v>3-BAJA</v>
      </c>
      <c r="AC48" s="3" t="str">
        <f aca="false">IF(E48="BAJO SS","Stock + XLIB bajo el SS: riesgo real de quiebre, adelantar producción. ","")&amp;IF(E48="BAJO SS (XLIB CUBRE)","Disponible bajo el SS; depende de liberar "&amp;TEXT(J48,"#,##0")&amp;" kg"&amp;IF(ISNUMBER(K48)," el "&amp;TEXT(K48,"dd-mm"),"")&amp;". ","")&amp;IF(W48="SÍ","Stock parece sano pero "&amp;TEXT(L48,"#,##0")&amp;" kg no pasan filtro "&amp;Stock_Seguridad!O48&amp;": sin ellos queda bajo el SS para esa cadena. ","")&amp;IF(E48="SOBRE MAX VENDIBLE","Sobrestock vs vida útil: frenar producción/activar venta. ","")&amp;IF(N(N48)&gt;=Parametros!$B$17,TEXT(N48,"#,##0")&amp;" kg ya no los acepta ninguna cadena: venta intermedia/liquidación. ","")&amp;IF(N(M48)&gt;=Parametros!$B$17,TEXT(M48,"#,##0")&amp;" kg a punto de salir del filtro: despachar primero (FEFO). ","")&amp;IF(Y48="SÍ","Pedidos "&amp;IF(N(U48)&gt;0,"sobre","bajo")&amp;" FCST "&amp;TEXT(ABS(N(U48)),"0%")&amp;": revisar forecast con KAM.","")</f>
        <v>Pedidos bajo FCST 22%: revisar forecast con KAM.</v>
      </c>
    </row>
    <row r="49" customFormat="false" ht="15" hidden="false" customHeight="false" outlineLevel="0" collapsed="false">
      <c r="A49" s="18" t="n">
        <f aca="false">Stock_Seguridad!A49</f>
        <v>30000728</v>
      </c>
      <c r="B49" s="18" t="str">
        <f aca="false">Stock_Seguridad!B49</f>
        <v>PAPA PREFRITA 9X9 FM 4X2,5KG</v>
      </c>
      <c r="C49" s="18" t="str">
        <f aca="false">Stock_Seguridad!C49</f>
        <v>FRUTAS Y HORTALIZAS CONGELADAS</v>
      </c>
      <c r="D49" s="18" t="str">
        <f aca="false">Stock_Seguridad!F49</f>
        <v>SIN HIST</v>
      </c>
      <c r="E49" s="19" t="str">
        <f aca="false">Stock_Seguridad!X49</f>
        <v>OK</v>
      </c>
      <c r="F49" s="20" t="n">
        <f aca="false">Stock_Seguridad!W49</f>
        <v>15.9456316086917</v>
      </c>
      <c r="G49" s="21" t="n">
        <f aca="false">Stock_Seguridad!T49</f>
        <v>358340</v>
      </c>
      <c r="H49" s="21" t="n">
        <f aca="false">Stock_Seguridad!R49</f>
        <v>12049.5068325232</v>
      </c>
      <c r="I49" s="21" t="n">
        <f aca="false">Stock_Seguridad!S49</f>
        <v>36468.1068325232</v>
      </c>
      <c r="J49" s="21" t="n">
        <f aca="false">Stock_Seguridad!U49</f>
        <v>31030</v>
      </c>
      <c r="K49" s="22"/>
      <c r="L49" s="23" t="n">
        <v>0</v>
      </c>
      <c r="M49" s="23" t="n">
        <v>0</v>
      </c>
      <c r="N49" s="23" t="n">
        <v>0</v>
      </c>
      <c r="O49" s="24" t="n">
        <v>0.181197511664075</v>
      </c>
      <c r="P49" s="24" t="str">
        <f aca="false">IF(ISNUMBER(Stock_Seguridad!N49),Stock_Seguridad!N49,"")</f>
        <v/>
      </c>
      <c r="Q49" s="24" t="str">
        <f aca="false">IF(AND(ISNUMBER(O49),ISNUMBER(P49)),P49-O49,"")</f>
        <v/>
      </c>
      <c r="R49" s="23" t="n">
        <f aca="false">MAX(0,G49-N(L49))</f>
        <v>358340</v>
      </c>
      <c r="S49" s="23" t="n">
        <f aca="false">SUMIFS(Cadenas_vs_FCST!$D$17:$D$2437,Cadenas_vs_FCST!$A$17:$A$2437,A49)</f>
        <v>0</v>
      </c>
      <c r="T49" s="23" t="n">
        <f aca="false">SUMIFS(Cadenas_vs_FCST!$E$17:$E$2437,Cadenas_vs_FCST!$A$17:$A$2437,A49)</f>
        <v>0</v>
      </c>
      <c r="U49" s="24" t="str">
        <f aca="false">IF(T49&gt;0,S49/T49-1,"")</f>
        <v/>
      </c>
      <c r="V49" s="3" t="str">
        <f aca="false">IF(OR(E49="BAJO SS",E49="BAJO SS (XLIB CUBRE)"),"SÍ","")</f>
        <v/>
      </c>
      <c r="W49" s="3" t="str">
        <f aca="false">IF(AND(V49="",N(L49)&gt;=Parametros!$B$17,G49&gt;=H49,R49&lt;H49),"SÍ","")</f>
        <v/>
      </c>
      <c r="X49" s="3" t="str">
        <f aca="false">IF(OR(E49="SOBRE MAX VENDIBLE",N(N49)&gt;=Parametros!$B$17,N(M49)&gt;=Parametros!$B$17),"SÍ","")</f>
        <v/>
      </c>
      <c r="Y49" s="3" t="str">
        <f aca="false">IF(AND(ISNUMBER(U49),MAX(S49,T49)&gt;=Parametros!$B$15,ABS(N(U49))&gt;Parametros!$B$14),"SÍ","")</f>
        <v/>
      </c>
      <c r="Z49" s="3" t="n">
        <f aca="false">COUNTIF(V49:Y49,"SÍ")</f>
        <v>0</v>
      </c>
      <c r="AA49" s="3" t="n">
        <f aca="false">(3*(V49="SÍ")+2*(W49="SÍ")+2*(X49="SÍ")+(Y49="SÍ"))*IF(LEFT(D49,1)="A",3,IF(OR(LEFT(D49,1)="B",D49="SIN HIST"),2,1))</f>
        <v>0</v>
      </c>
      <c r="AB49" s="3" t="str">
        <f aca="false">IF(AA49&gt;=9,"1-ALTA",IF(AA49&gt;=4,"2-MEDIA",IF(AA49&gt;0,"3-BAJA","")))</f>
        <v/>
      </c>
      <c r="AC49" s="3" t="str">
        <f aca="false">IF(E49="BAJO SS","Stock + XLIB bajo el SS: riesgo real de quiebre, adelantar producción. ","")&amp;IF(E49="BAJO SS (XLIB CUBRE)","Disponible bajo el SS; depende de liberar "&amp;TEXT(J49,"#,##0")&amp;" kg"&amp;IF(ISNUMBER(K49)," el "&amp;TEXT(K49,"dd-mm"),"")&amp;". ","")&amp;IF(W49="SÍ","Stock parece sano pero "&amp;TEXT(L49,"#,##0")&amp;" kg no pasan filtro "&amp;Stock_Seguridad!O49&amp;": sin ellos queda bajo el SS para esa cadena. ","")&amp;IF(E49="SOBRE MAX VENDIBLE","Sobrestock vs vida útil: frenar producción/activar venta. ","")&amp;IF(N(N49)&gt;=Parametros!$B$17,TEXT(N49,"#,##0")&amp;" kg ya no los acepta ninguna cadena: venta intermedia/liquidación. ","")&amp;IF(N(M49)&gt;=Parametros!$B$17,TEXT(M49,"#,##0")&amp;" kg a punto de salir del filtro: despachar primero (FEFO). ","")&amp;IF(Y49="SÍ","Pedidos "&amp;IF(N(U49)&gt;0,"sobre","bajo")&amp;" FCST "&amp;TEXT(ABS(N(U49)),"0%")&amp;": revisar forecast con KAM.","")</f>
        <v/>
      </c>
    </row>
    <row r="50" customFormat="false" ht="15" hidden="false" customHeight="false" outlineLevel="0" collapsed="false">
      <c r="A50" s="18" t="n">
        <f aca="false">Stock_Seguridad!A50</f>
        <v>30002329</v>
      </c>
      <c r="B50" s="18" t="str">
        <f aca="false">Stock_Seguridad!B50</f>
        <v>LECHE LONCO PROTEIN CAPPUCCINO 30X200ML</v>
      </c>
      <c r="C50" s="18" t="str">
        <f aca="false">Stock_Seguridad!C50</f>
        <v>LECHES LIQUIDAS</v>
      </c>
      <c r="D50" s="18" t="str">
        <f aca="false">Stock_Seguridad!F50</f>
        <v>AX</v>
      </c>
      <c r="E50" s="19" t="str">
        <f aca="false">Stock_Seguridad!X50</f>
        <v>OK</v>
      </c>
      <c r="F50" s="20" t="n">
        <f aca="false">Stock_Seguridad!W50</f>
        <v>3.60942520528383</v>
      </c>
      <c r="G50" s="21" t="n">
        <f aca="false">Stock_Seguridad!T50</f>
        <v>86946</v>
      </c>
      <c r="H50" s="21" t="n">
        <f aca="false">Stock_Seguridad!R50</f>
        <v>11825.1547116507</v>
      </c>
      <c r="I50" s="21" t="n">
        <f aca="false">Stock_Seguridad!S50</f>
        <v>35913.7547116507</v>
      </c>
      <c r="J50" s="21" t="n">
        <f aca="false">Stock_Seguridad!U50</f>
        <v>0</v>
      </c>
      <c r="K50" s="22"/>
      <c r="L50" s="23" t="n">
        <v>0</v>
      </c>
      <c r="M50" s="23" t="n">
        <v>0</v>
      </c>
      <c r="N50" s="23" t="n">
        <v>0</v>
      </c>
      <c r="O50" s="24" t="n">
        <v>0.106720723207508</v>
      </c>
      <c r="P50" s="24" t="str">
        <f aca="false">IF(ISNUMBER(Stock_Seguridad!N50),Stock_Seguridad!N50,"")</f>
        <v/>
      </c>
      <c r="Q50" s="24" t="str">
        <f aca="false">IF(AND(ISNUMBER(O50),ISNUMBER(P50)),P50-O50,"")</f>
        <v/>
      </c>
      <c r="R50" s="23" t="n">
        <f aca="false">MAX(0,G50-N(L50))</f>
        <v>86946</v>
      </c>
      <c r="S50" s="23" t="n">
        <f aca="false">SUMIFS(Cadenas_vs_FCST!$D$17:$D$2437,Cadenas_vs_FCST!$A$17:$A$2437,A50)</f>
        <v>83460</v>
      </c>
      <c r="T50" s="23" t="n">
        <f aca="false">SUMIFS(Cadenas_vs_FCST!$E$17:$E$2437,Cadenas_vs_FCST!$A$17:$A$2437,A50)</f>
        <v>81679.086939072</v>
      </c>
      <c r="U50" s="24" t="n">
        <f aca="false">IF(T50&gt;0,S50/T50-1,"")</f>
        <v>0.0218037826776447</v>
      </c>
      <c r="V50" s="3" t="str">
        <f aca="false">IF(OR(E50="BAJO SS",E50="BAJO SS (XLIB CUBRE)"),"SÍ","")</f>
        <v/>
      </c>
      <c r="W50" s="3" t="str">
        <f aca="false">IF(AND(V50="",N(L50)&gt;=Parametros!$B$17,G50&gt;=H50,R50&lt;H50),"SÍ","")</f>
        <v/>
      </c>
      <c r="X50" s="3" t="str">
        <f aca="false">IF(OR(E50="SOBRE MAX VENDIBLE",N(N50)&gt;=Parametros!$B$17,N(M50)&gt;=Parametros!$B$17),"SÍ","")</f>
        <v/>
      </c>
      <c r="Y50" s="3" t="str">
        <f aca="false">IF(AND(ISNUMBER(U50),MAX(S50,T50)&gt;=Parametros!$B$15,ABS(N(U50))&gt;Parametros!$B$14),"SÍ","")</f>
        <v/>
      </c>
      <c r="Z50" s="3" t="n">
        <f aca="false">COUNTIF(V50:Y50,"SÍ")</f>
        <v>0</v>
      </c>
      <c r="AA50" s="3" t="n">
        <f aca="false">(3*(V50="SÍ")+2*(W50="SÍ")+2*(X50="SÍ")+(Y50="SÍ"))*IF(LEFT(D50,1)="A",3,IF(OR(LEFT(D50,1)="B",D50="SIN HIST"),2,1))</f>
        <v>0</v>
      </c>
      <c r="AB50" s="3" t="str">
        <f aca="false">IF(AA50&gt;=9,"1-ALTA",IF(AA50&gt;=4,"2-MEDIA",IF(AA50&gt;0,"3-BAJA","")))</f>
        <v/>
      </c>
      <c r="AC50" s="3" t="str">
        <f aca="false">IF(E50="BAJO SS","Stock + XLIB bajo el SS: riesgo real de quiebre, adelantar producción. ","")&amp;IF(E50="BAJO SS (XLIB CUBRE)","Disponible bajo el SS; depende de liberar "&amp;TEXT(J50,"#,##0")&amp;" kg"&amp;IF(ISNUMBER(K50)," el "&amp;TEXT(K50,"dd-mm"),"")&amp;". ","")&amp;IF(W50="SÍ","Stock parece sano pero "&amp;TEXT(L50,"#,##0")&amp;" kg no pasan filtro "&amp;Stock_Seguridad!O50&amp;": sin ellos queda bajo el SS para esa cadena. ","")&amp;IF(E50="SOBRE MAX VENDIBLE","Sobrestock vs vida útil: frenar producción/activar venta. ","")&amp;IF(N(N50)&gt;=Parametros!$B$17,TEXT(N50,"#,##0")&amp;" kg ya no los acepta ninguna cadena: venta intermedia/liquidación. ","")&amp;IF(N(M50)&gt;=Parametros!$B$17,TEXT(M50,"#,##0")&amp;" kg a punto de salir del filtro: despachar primero (FEFO). ","")&amp;IF(Y50="SÍ","Pedidos "&amp;IF(N(U50)&gt;0,"sobre","bajo")&amp;" FCST "&amp;TEXT(ABS(N(U50)),"0%")&amp;": revisar forecast con KAM.","")</f>
        <v/>
      </c>
    </row>
    <row r="51" customFormat="false" ht="15" hidden="false" customHeight="false" outlineLevel="0" collapsed="false">
      <c r="A51" s="18" t="n">
        <f aca="false">Stock_Seguridad!A51</f>
        <v>30000537</v>
      </c>
      <c r="B51" s="18" t="str">
        <f aca="false">Stock_Seguridad!B51</f>
        <v>PREPARADO HELADO PREMIUM BOCADO 1X10LT</v>
      </c>
      <c r="C51" s="18" t="str">
        <f aca="false">Stock_Seguridad!C51</f>
        <v>PREPARADOS DE HELADO</v>
      </c>
      <c r="D51" s="18" t="str">
        <f aca="false">Stock_Seguridad!F51</f>
        <v>SIN HIST</v>
      </c>
      <c r="E51" s="19" t="str">
        <f aca="false">Stock_Seguridad!X51</f>
        <v>OK</v>
      </c>
      <c r="F51" s="20" t="n">
        <f aca="false">Stock_Seguridad!W51</f>
        <v>2.25649755044424</v>
      </c>
      <c r="G51" s="21" t="n">
        <f aca="false">Stock_Seguridad!T51</f>
        <v>32310</v>
      </c>
      <c r="H51" s="21" t="n">
        <f aca="false">Stock_Seguridad!R51</f>
        <v>11885.3833376259</v>
      </c>
      <c r="I51" s="21" t="n">
        <f aca="false">Stock_Seguridad!S51</f>
        <v>35971.3833376259</v>
      </c>
      <c r="J51" s="21" t="n">
        <f aca="false">Stock_Seguridad!U51</f>
        <v>22040</v>
      </c>
      <c r="K51" s="22" t="n">
        <v>46320</v>
      </c>
      <c r="L51" s="23" t="n">
        <v>540</v>
      </c>
      <c r="M51" s="23" t="n">
        <v>1690</v>
      </c>
      <c r="N51" s="23" t="n">
        <v>540</v>
      </c>
      <c r="O51" s="24" t="n">
        <v>0.0437957681692732</v>
      </c>
      <c r="P51" s="24" t="n">
        <f aca="false">IF(ISNUMBER(Stock_Seguridad!N51),Stock_Seguridad!N51,"")</f>
        <v>0.271739130434783</v>
      </c>
      <c r="Q51" s="24" t="n">
        <f aca="false">IF(AND(ISNUMBER(O51),ISNUMBER(P51)),P51-O51,"")</f>
        <v>0.227943362265509</v>
      </c>
      <c r="R51" s="23" t="n">
        <f aca="false">MAX(0,G51-N(L51))</f>
        <v>31770</v>
      </c>
      <c r="S51" s="23" t="n">
        <f aca="false">SUMIFS(Cadenas_vs_FCST!$D$17:$D$2437,Cadenas_vs_FCST!$A$17:$A$2437,A51)</f>
        <v>0</v>
      </c>
      <c r="T51" s="23" t="n">
        <f aca="false">SUMIFS(Cadenas_vs_FCST!$E$17:$E$2437,Cadenas_vs_FCST!$A$17:$A$2437,A51)</f>
        <v>0</v>
      </c>
      <c r="U51" s="24" t="str">
        <f aca="false">IF(T51&gt;0,S51/T51-1,"")</f>
        <v/>
      </c>
      <c r="V51" s="3" t="str">
        <f aca="false">IF(OR(E51="BAJO SS",E51="BAJO SS (XLIB CUBRE)"),"SÍ","")</f>
        <v/>
      </c>
      <c r="W51" s="3" t="str">
        <f aca="false">IF(AND(V51="",N(L51)&gt;=Parametros!$B$17,G51&gt;=H51,R51&lt;H51),"SÍ","")</f>
        <v/>
      </c>
      <c r="X51" s="3" t="str">
        <f aca="false">IF(OR(E51="SOBRE MAX VENDIBLE",N(N51)&gt;=Parametros!$B$17,N(M51)&gt;=Parametros!$B$17),"SÍ","")</f>
        <v>SÍ</v>
      </c>
      <c r="Y51" s="3" t="str">
        <f aca="false">IF(AND(ISNUMBER(U51),MAX(S51,T51)&gt;=Parametros!$B$15,ABS(N(U51))&gt;Parametros!$B$14),"SÍ","")</f>
        <v/>
      </c>
      <c r="Z51" s="3" t="n">
        <f aca="false">COUNTIF(V51:Y51,"SÍ")</f>
        <v>1</v>
      </c>
      <c r="AA51" s="3" t="n">
        <f aca="false">(3*(V51="SÍ")+2*(W51="SÍ")+2*(X51="SÍ")+(Y51="SÍ"))*IF(LEFT(D51,1)="A",3,IF(OR(LEFT(D51,1)="B",D51="SIN HIST"),2,1))</f>
        <v>4</v>
      </c>
      <c r="AB51" s="3" t="str">
        <f aca="false">IF(AA51&gt;=9,"1-ALTA",IF(AA51&gt;=4,"2-MEDIA",IF(AA51&gt;0,"3-BAJA","")))</f>
        <v>2-MEDIA</v>
      </c>
      <c r="AC51" s="3" t="str">
        <f aca="false">IF(E51="BAJO SS","Stock + XLIB bajo el SS: riesgo real de quiebre, adelantar producción. ","")&amp;IF(E51="BAJO SS (XLIB CUBRE)","Disponible bajo el SS; depende de liberar "&amp;TEXT(J51,"#,##0")&amp;" kg"&amp;IF(ISNUMBER(K51)," el "&amp;TEXT(K51,"dd-mm"),"")&amp;". ","")&amp;IF(W51="SÍ","Stock parece sano pero "&amp;TEXT(L51,"#,##0")&amp;" kg no pasan filtro "&amp;Stock_Seguridad!O51&amp;": sin ellos queda bajo el SS para esa cadena. ","")&amp;IF(E51="SOBRE MAX VENDIBLE","Sobrestock vs vida útil: frenar producción/activar venta. ","")&amp;IF(N(N51)&gt;=Parametros!$B$17,TEXT(N51,"#,##0")&amp;" kg ya no los acepta ninguna cadena: venta intermedia/liquidación. ","")&amp;IF(N(M51)&gt;=Parametros!$B$17,TEXT(M51,"#,##0")&amp;" kg a punto de salir del filtro: despachar primero (FEFO). ","")&amp;IF(Y51="SÍ","Pedidos "&amp;IF(N(U51)&gt;0,"sobre","bajo")&amp;" FCST "&amp;TEXT(ABS(N(U51)),"0%")&amp;": revisar forecast con KAM.","")</f>
        <v>540 kg ya no los acepta ninguna cadena: venta intermedia/liquidación. 1,690 kg a punto de salir del filtro: despachar primero (FEFO). </v>
      </c>
    </row>
    <row r="52" customFormat="false" ht="15" hidden="false" customHeight="false" outlineLevel="0" collapsed="false">
      <c r="A52" s="18" t="n">
        <f aca="false">Stock_Seguridad!A52</f>
        <v>30000302</v>
      </c>
      <c r="B52" s="18" t="str">
        <f aca="false">Stock_Seguridad!B52</f>
        <v>MANTEQUILLA CALO 20X250GR</v>
      </c>
      <c r="C52" s="18" t="str">
        <f aca="false">Stock_Seguridad!C52</f>
        <v>MANTEQUILLAS</v>
      </c>
      <c r="D52" s="18" t="str">
        <f aca="false">Stock_Seguridad!F52</f>
        <v>AX</v>
      </c>
      <c r="E52" s="19" t="str">
        <f aca="false">Stock_Seguridad!X52</f>
        <v>OK</v>
      </c>
      <c r="F52" s="20" t="n">
        <f aca="false">Stock_Seguridad!W52</f>
        <v>5.1795603149186</v>
      </c>
      <c r="G52" s="21" t="n">
        <f aca="false">Stock_Seguridad!T52</f>
        <v>124210</v>
      </c>
      <c r="H52" s="21" t="n">
        <f aca="false">Stock_Seguridad!R52</f>
        <v>17641.3276054625</v>
      </c>
      <c r="I52" s="21" t="n">
        <f aca="false">Stock_Seguridad!S52</f>
        <v>41622.1276054625</v>
      </c>
      <c r="J52" s="21" t="n">
        <f aca="false">Stock_Seguridad!U52</f>
        <v>0</v>
      </c>
      <c r="K52" s="22"/>
      <c r="L52" s="23" t="n">
        <v>25</v>
      </c>
      <c r="M52" s="23" t="n">
        <v>18375</v>
      </c>
      <c r="N52" s="23" t="n">
        <v>0</v>
      </c>
      <c r="O52" s="24" t="n">
        <v>0.151510125206329</v>
      </c>
      <c r="P52" s="24" t="n">
        <f aca="false">IF(ISNUMBER(Stock_Seguridad!N52),Stock_Seguridad!N52,"")</f>
        <v>0.315217391304348</v>
      </c>
      <c r="Q52" s="24" t="n">
        <f aca="false">IF(AND(ISNUMBER(O52),ISNUMBER(P52)),P52-O52,"")</f>
        <v>0.163707266098019</v>
      </c>
      <c r="R52" s="23" t="n">
        <f aca="false">MAX(0,G52-N(L52))</f>
        <v>124185</v>
      </c>
      <c r="S52" s="23" t="n">
        <f aca="false">SUMIFS(Cadenas_vs_FCST!$D$17:$D$2437,Cadenas_vs_FCST!$A$17:$A$2437,A52)</f>
        <v>91855</v>
      </c>
      <c r="T52" s="23" t="n">
        <f aca="false">SUMIFS(Cadenas_vs_FCST!$E$17:$E$2437,Cadenas_vs_FCST!$A$17:$A$2437,A52)</f>
        <v>115700.694712557</v>
      </c>
      <c r="U52" s="24" t="n">
        <f aca="false">IF(T52&gt;0,S52/T52-1,"")</f>
        <v>-0.206098111785745</v>
      </c>
      <c r="V52" s="3" t="str">
        <f aca="false">IF(OR(E52="BAJO SS",E52="BAJO SS (XLIB CUBRE)"),"SÍ","")</f>
        <v/>
      </c>
      <c r="W52" s="3" t="str">
        <f aca="false">IF(AND(V52="",N(L52)&gt;=Parametros!$B$17,G52&gt;=H52,R52&lt;H52),"SÍ","")</f>
        <v/>
      </c>
      <c r="X52" s="3" t="str">
        <f aca="false">IF(OR(E52="SOBRE MAX VENDIBLE",N(N52)&gt;=Parametros!$B$17,N(M52)&gt;=Parametros!$B$17),"SÍ","")</f>
        <v>SÍ</v>
      </c>
      <c r="Y52" s="3" t="str">
        <f aca="false">IF(AND(ISNUMBER(U52),MAX(S52,T52)&gt;=Parametros!$B$15,ABS(N(U52))&gt;Parametros!$B$14),"SÍ","")</f>
        <v>SÍ</v>
      </c>
      <c r="Z52" s="3" t="n">
        <f aca="false">COUNTIF(V52:Y52,"SÍ")</f>
        <v>2</v>
      </c>
      <c r="AA52" s="3" t="n">
        <f aca="false">(3*(V52="SÍ")+2*(W52="SÍ")+2*(X52="SÍ")+(Y52="SÍ"))*IF(LEFT(D52,1)="A",3,IF(OR(LEFT(D52,1)="B",D52="SIN HIST"),2,1))</f>
        <v>9</v>
      </c>
      <c r="AB52" s="3" t="str">
        <f aca="false">IF(AA52&gt;=9,"1-ALTA",IF(AA52&gt;=4,"2-MEDIA",IF(AA52&gt;0,"3-BAJA","")))</f>
        <v>1-ALTA</v>
      </c>
      <c r="AC52" s="3" t="str">
        <f aca="false">IF(E52="BAJO SS","Stock + XLIB bajo el SS: riesgo real de quiebre, adelantar producción. ","")&amp;IF(E52="BAJO SS (XLIB CUBRE)","Disponible bajo el SS; depende de liberar "&amp;TEXT(J52,"#,##0")&amp;" kg"&amp;IF(ISNUMBER(K52)," el "&amp;TEXT(K52,"dd-mm"),"")&amp;". ","")&amp;IF(W52="SÍ","Stock parece sano pero "&amp;TEXT(L52,"#,##0")&amp;" kg no pasan filtro "&amp;Stock_Seguridad!O52&amp;": sin ellos queda bajo el SS para esa cadena. ","")&amp;IF(E52="SOBRE MAX VENDIBLE","Sobrestock vs vida útil: frenar producción/activar venta. ","")&amp;IF(N(N52)&gt;=Parametros!$B$17,TEXT(N52,"#,##0")&amp;" kg ya no los acepta ninguna cadena: venta intermedia/liquidación. ","")&amp;IF(N(M52)&gt;=Parametros!$B$17,TEXT(M52,"#,##0")&amp;" kg a punto de salir del filtro: despachar primero (FEFO). ","")&amp;IF(Y52="SÍ","Pedidos "&amp;IF(N(U52)&gt;0,"sobre","bajo")&amp;" FCST "&amp;TEXT(ABS(N(U52)),"0%")&amp;": revisar forecast con KAM.","")</f>
        <v>18,375 kg a punto de salir del filtro: despachar primero (FEFO). Pedidos bajo FCST 21%: revisar forecast con KAM.</v>
      </c>
    </row>
    <row r="53" customFormat="false" ht="15" hidden="false" customHeight="false" outlineLevel="0" collapsed="false">
      <c r="A53" s="18" t="n">
        <f aca="false">Stock_Seguridad!A53</f>
        <v>30001364</v>
      </c>
      <c r="B53" s="18" t="str">
        <f aca="false">Stock_Seguridad!B53</f>
        <v>ACEITE CRISTAL VEGETAL 12X900ML</v>
      </c>
      <c r="C53" s="18" t="str">
        <f aca="false">Stock_Seguridad!C53</f>
        <v>ACEITES</v>
      </c>
      <c r="D53" s="18" t="str">
        <f aca="false">Stock_Seguridad!F53</f>
        <v>AX</v>
      </c>
      <c r="E53" s="19" t="str">
        <f aca="false">Stock_Seguridad!X53</f>
        <v>OK</v>
      </c>
      <c r="F53" s="20" t="n">
        <f aca="false">Stock_Seguridad!W53</f>
        <v>2.139644723093</v>
      </c>
      <c r="G53" s="21" t="n">
        <f aca="false">Stock_Seguridad!T53</f>
        <v>51191</v>
      </c>
      <c r="H53" s="21" t="n">
        <f aca="false">Stock_Seguridad!R53</f>
        <v>12841.7875343886</v>
      </c>
      <c r="I53" s="21" t="n">
        <f aca="false">Stock_Seguridad!S53</f>
        <v>36766.7875343886</v>
      </c>
      <c r="J53" s="21" t="n">
        <f aca="false">Stock_Seguridad!U53</f>
        <v>0</v>
      </c>
      <c r="K53" s="22"/>
      <c r="L53" s="23" t="n">
        <v>79.52</v>
      </c>
      <c r="M53" s="23" t="n">
        <v>0</v>
      </c>
      <c r="N53" s="23" t="n">
        <v>79.52</v>
      </c>
      <c r="O53" s="24" t="n">
        <v>0.0774035087719298</v>
      </c>
      <c r="P53" s="24" t="n">
        <f aca="false">IF(ISNUMBER(Stock_Seguridad!N53),Stock_Seguridad!N53,"")</f>
        <v>0.346575342465753</v>
      </c>
      <c r="Q53" s="24" t="n">
        <f aca="false">IF(AND(ISNUMBER(O53),ISNUMBER(P53)),P53-O53,"")</f>
        <v>0.269171833693824</v>
      </c>
      <c r="R53" s="23" t="n">
        <f aca="false">MAX(0,G53-N(L53))</f>
        <v>51111.48</v>
      </c>
      <c r="S53" s="23" t="n">
        <f aca="false">SUMIFS(Cadenas_vs_FCST!$D$17:$D$2437,Cadenas_vs_FCST!$A$17:$A$2437,A53)</f>
        <v>94151.68</v>
      </c>
      <c r="T53" s="23" t="n">
        <f aca="false">SUMIFS(Cadenas_vs_FCST!$E$17:$E$2437,Cadenas_vs_FCST!$A$17:$A$2437,A53)</f>
        <v>85650</v>
      </c>
      <c r="U53" s="24" t="n">
        <f aca="false">IF(T53&gt;0,S53/T53-1,"")</f>
        <v>0.0992607122008171</v>
      </c>
      <c r="V53" s="3" t="str">
        <f aca="false">IF(OR(E53="BAJO SS",E53="BAJO SS (XLIB CUBRE)"),"SÍ","")</f>
        <v/>
      </c>
      <c r="W53" s="3" t="str">
        <f aca="false">IF(AND(V53="",N(L53)&gt;=Parametros!$B$17,G53&gt;=H53,R53&lt;H53),"SÍ","")</f>
        <v/>
      </c>
      <c r="X53" s="3" t="str">
        <f aca="false">IF(OR(E53="SOBRE MAX VENDIBLE",N(N53)&gt;=Parametros!$B$17,N(M53)&gt;=Parametros!$B$17),"SÍ","")</f>
        <v/>
      </c>
      <c r="Y53" s="3" t="str">
        <f aca="false">IF(AND(ISNUMBER(U53),MAX(S53,T53)&gt;=Parametros!$B$15,ABS(N(U53))&gt;Parametros!$B$14),"SÍ","")</f>
        <v/>
      </c>
      <c r="Z53" s="3" t="n">
        <f aca="false">COUNTIF(V53:Y53,"SÍ")</f>
        <v>0</v>
      </c>
      <c r="AA53" s="3" t="n">
        <f aca="false">(3*(V53="SÍ")+2*(W53="SÍ")+2*(X53="SÍ")+(Y53="SÍ"))*IF(LEFT(D53,1)="A",3,IF(OR(LEFT(D53,1)="B",D53="SIN HIST"),2,1))</f>
        <v>0</v>
      </c>
      <c r="AB53" s="3" t="str">
        <f aca="false">IF(AA53&gt;=9,"1-ALTA",IF(AA53&gt;=4,"2-MEDIA",IF(AA53&gt;0,"3-BAJA","")))</f>
        <v/>
      </c>
      <c r="AC53" s="3" t="str">
        <f aca="false">IF(E53="BAJO SS","Stock + XLIB bajo el SS: riesgo real de quiebre, adelantar producción. ","")&amp;IF(E53="BAJO SS (XLIB CUBRE)","Disponible bajo el SS; depende de liberar "&amp;TEXT(J53,"#,##0")&amp;" kg"&amp;IF(ISNUMBER(K53)," el "&amp;TEXT(K53,"dd-mm"),"")&amp;". ","")&amp;IF(W53="SÍ","Stock parece sano pero "&amp;TEXT(L53,"#,##0")&amp;" kg no pasan filtro "&amp;Stock_Seguridad!O53&amp;": sin ellos queda bajo el SS para esa cadena. ","")&amp;IF(E53="SOBRE MAX VENDIBLE","Sobrestock vs vida útil: frenar producción/activar venta. ","")&amp;IF(N(N53)&gt;=Parametros!$B$17,TEXT(N53,"#,##0")&amp;" kg ya no los acepta ninguna cadena: venta intermedia/liquidación. ","")&amp;IF(N(M53)&gt;=Parametros!$B$17,TEXT(M53,"#,##0")&amp;" kg a punto de salir del filtro: despachar primero (FEFO). ","")&amp;IF(Y53="SÍ","Pedidos "&amp;IF(N(U53)&gt;0,"sobre","bajo")&amp;" FCST "&amp;TEXT(ABS(N(U53)),"0%")&amp;": revisar forecast con KAM.","")</f>
        <v/>
      </c>
    </row>
    <row r="54" customFormat="false" ht="15" hidden="false" customHeight="false" outlineLevel="0" collapsed="false">
      <c r="A54" s="18" t="n">
        <f aca="false">Stock_Seguridad!A54</f>
        <v>30000384</v>
      </c>
      <c r="B54" s="18" t="str">
        <f aca="false">Stock_Seguridad!B54</f>
        <v>CREMA S/LAC LONCO 30X200ML</v>
      </c>
      <c r="C54" s="18" t="str">
        <f aca="false">Stock_Seguridad!C54</f>
        <v>CREMA</v>
      </c>
      <c r="D54" s="18" t="str">
        <f aca="false">Stock_Seguridad!F54</f>
        <v>AX</v>
      </c>
      <c r="E54" s="19" t="str">
        <f aca="false">Stock_Seguridad!X54</f>
        <v>OK</v>
      </c>
      <c r="F54" s="20" t="n">
        <f aca="false">Stock_Seguridad!W54</f>
        <v>2.38230303538136</v>
      </c>
      <c r="G54" s="21" t="n">
        <f aca="false">Stock_Seguridad!T54</f>
        <v>56862</v>
      </c>
      <c r="H54" s="21" t="n">
        <f aca="false">Stock_Seguridad!R54</f>
        <v>15904.194985845</v>
      </c>
      <c r="I54" s="21" t="n">
        <f aca="false">Stock_Seguridad!S54</f>
        <v>39772.694985845</v>
      </c>
      <c r="J54" s="21" t="n">
        <f aca="false">Stock_Seguridad!U54</f>
        <v>0</v>
      </c>
      <c r="K54" s="22"/>
      <c r="L54" s="23" t="n">
        <v>48</v>
      </c>
      <c r="M54" s="23" t="n">
        <v>168</v>
      </c>
      <c r="N54" s="23" t="n">
        <v>0</v>
      </c>
      <c r="O54" s="24" t="n">
        <v>0.105908946868068</v>
      </c>
      <c r="P54" s="24" t="n">
        <f aca="false">IF(ISNUMBER(Stock_Seguridad!N54),Stock_Seguridad!N54,"")</f>
        <v>0.259259259259259</v>
      </c>
      <c r="Q54" s="24" t="n">
        <f aca="false">IF(AND(ISNUMBER(O54),ISNUMBER(P54)),P54-O54,"")</f>
        <v>0.153350312391191</v>
      </c>
      <c r="R54" s="23" t="n">
        <f aca="false">MAX(0,G54-N(L54))</f>
        <v>56814</v>
      </c>
      <c r="S54" s="23" t="n">
        <f aca="false">SUMIFS(Cadenas_vs_FCST!$D$17:$D$2437,Cadenas_vs_FCST!$A$17:$A$2437,A54)</f>
        <v>80772</v>
      </c>
      <c r="T54" s="23" t="n">
        <f aca="false">SUMIFS(Cadenas_vs_FCST!$E$17:$E$2437,Cadenas_vs_FCST!$A$17:$A$2437,A54)</f>
        <v>72959.844472687</v>
      </c>
      <c r="U54" s="24" t="n">
        <f aca="false">IF(T54&gt;0,S54/T54-1,"")</f>
        <v>0.107074728349202</v>
      </c>
      <c r="V54" s="3" t="str">
        <f aca="false">IF(OR(E54="BAJO SS",E54="BAJO SS (XLIB CUBRE)"),"SÍ","")</f>
        <v/>
      </c>
      <c r="W54" s="3" t="str">
        <f aca="false">IF(AND(V54="",N(L54)&gt;=Parametros!$B$17,G54&gt;=H54,R54&lt;H54),"SÍ","")</f>
        <v/>
      </c>
      <c r="X54" s="3" t="str">
        <f aca="false">IF(OR(E54="SOBRE MAX VENDIBLE",N(N54)&gt;=Parametros!$B$17,N(M54)&gt;=Parametros!$B$17),"SÍ","")</f>
        <v/>
      </c>
      <c r="Y54" s="3" t="str">
        <f aca="false">IF(AND(ISNUMBER(U54),MAX(S54,T54)&gt;=Parametros!$B$15,ABS(N(U54))&gt;Parametros!$B$14),"SÍ","")</f>
        <v/>
      </c>
      <c r="Z54" s="3" t="n">
        <f aca="false">COUNTIF(V54:Y54,"SÍ")</f>
        <v>0</v>
      </c>
      <c r="AA54" s="3" t="n">
        <f aca="false">(3*(V54="SÍ")+2*(W54="SÍ")+2*(X54="SÍ")+(Y54="SÍ"))*IF(LEFT(D54,1)="A",3,IF(OR(LEFT(D54,1)="B",D54="SIN HIST"),2,1))</f>
        <v>0</v>
      </c>
      <c r="AB54" s="3" t="str">
        <f aca="false">IF(AA54&gt;=9,"1-ALTA",IF(AA54&gt;=4,"2-MEDIA",IF(AA54&gt;0,"3-BAJA","")))</f>
        <v/>
      </c>
      <c r="AC54" s="3" t="str">
        <f aca="false">IF(E54="BAJO SS","Stock + XLIB bajo el SS: riesgo real de quiebre, adelantar producción. ","")&amp;IF(E54="BAJO SS (XLIB CUBRE)","Disponible bajo el SS; depende de liberar "&amp;TEXT(J54,"#,##0")&amp;" kg"&amp;IF(ISNUMBER(K54)," el "&amp;TEXT(K54,"dd-mm"),"")&amp;". ","")&amp;IF(W54="SÍ","Stock parece sano pero "&amp;TEXT(L54,"#,##0")&amp;" kg no pasan filtro "&amp;Stock_Seguridad!O54&amp;": sin ellos queda bajo el SS para esa cadena. ","")&amp;IF(E54="SOBRE MAX VENDIBLE","Sobrestock vs vida útil: frenar producción/activar venta. ","")&amp;IF(N(N54)&gt;=Parametros!$B$17,TEXT(N54,"#,##0")&amp;" kg ya no los acepta ninguna cadena: venta intermedia/liquidación. ","")&amp;IF(N(M54)&gt;=Parametros!$B$17,TEXT(M54,"#,##0")&amp;" kg a punto de salir del filtro: despachar primero (FEFO). ","")&amp;IF(Y54="SÍ","Pedidos "&amp;IF(N(U54)&gt;0,"sobre","bajo")&amp;" FCST "&amp;TEXT(ABS(N(U54)),"0%")&amp;": revisar forecast con KAM.","")</f>
        <v/>
      </c>
    </row>
    <row r="55" customFormat="false" ht="15" hidden="false" customHeight="false" outlineLevel="0" collapsed="false">
      <c r="A55" s="18" t="n">
        <f aca="false">Stock_Seguridad!A55</f>
        <v>30000340</v>
      </c>
      <c r="B55" s="18" t="str">
        <f aca="false">Stock_Seguridad!B55</f>
        <v>PREPARADO HELADO BASE 12X1LT</v>
      </c>
      <c r="C55" s="18" t="str">
        <f aca="false">Stock_Seguridad!C55</f>
        <v>PREPARADOS DE HELADO</v>
      </c>
      <c r="D55" s="18" t="str">
        <f aca="false">Stock_Seguridad!F55</f>
        <v>SIN HIST</v>
      </c>
      <c r="E55" s="19" t="str">
        <f aca="false">Stock_Seguridad!X55</f>
        <v>OK</v>
      </c>
      <c r="F55" s="20" t="n">
        <f aca="false">Stock_Seguridad!W55</f>
        <v>5.25460669704775</v>
      </c>
      <c r="G55" s="21" t="n">
        <f aca="false">Stock_Seguridad!T55</f>
        <v>57516</v>
      </c>
      <c r="H55" s="21" t="n">
        <f aca="false">Stock_Seguridad!R55</f>
        <v>11705.2225198659</v>
      </c>
      <c r="I55" s="21" t="n">
        <f aca="false">Stock_Seguridad!S55</f>
        <v>35426.122519866</v>
      </c>
      <c r="J55" s="21" t="n">
        <f aca="false">Stock_Seguridad!U55</f>
        <v>67128</v>
      </c>
      <c r="K55" s="22" t="n">
        <v>46319</v>
      </c>
      <c r="L55" s="23" t="n">
        <v>1704</v>
      </c>
      <c r="M55" s="23" t="n">
        <v>13284</v>
      </c>
      <c r="N55" s="23" t="n">
        <v>0</v>
      </c>
      <c r="O55" s="24" t="n">
        <v>0.0601675170886685</v>
      </c>
      <c r="P55" s="24" t="n">
        <f aca="false">IF(ISNUMBER(Stock_Seguridad!N55),Stock_Seguridad!N55,"")</f>
        <v>0.253061224489796</v>
      </c>
      <c r="Q55" s="24" t="n">
        <f aca="false">IF(AND(ISNUMBER(O55),ISNUMBER(P55)),P55-O55,"")</f>
        <v>0.192893707401128</v>
      </c>
      <c r="R55" s="23" t="n">
        <f aca="false">MAX(0,G55-N(L55))</f>
        <v>55812</v>
      </c>
      <c r="S55" s="23" t="n">
        <f aca="false">SUMIFS(Cadenas_vs_FCST!$D$17:$D$2437,Cadenas_vs_FCST!$A$17:$A$2437,A55)</f>
        <v>0</v>
      </c>
      <c r="T55" s="23" t="n">
        <f aca="false">SUMIFS(Cadenas_vs_FCST!$E$17:$E$2437,Cadenas_vs_FCST!$A$17:$A$2437,A55)</f>
        <v>0</v>
      </c>
      <c r="U55" s="24" t="str">
        <f aca="false">IF(T55&gt;0,S55/T55-1,"")</f>
        <v/>
      </c>
      <c r="V55" s="3" t="str">
        <f aca="false">IF(OR(E55="BAJO SS",E55="BAJO SS (XLIB CUBRE)"),"SÍ","")</f>
        <v/>
      </c>
      <c r="W55" s="3" t="str">
        <f aca="false">IF(AND(V55="",N(L55)&gt;=Parametros!$B$17,G55&gt;=H55,R55&lt;H55),"SÍ","")</f>
        <v/>
      </c>
      <c r="X55" s="3" t="str">
        <f aca="false">IF(OR(E55="SOBRE MAX VENDIBLE",N(N55)&gt;=Parametros!$B$17,N(M55)&gt;=Parametros!$B$17),"SÍ","")</f>
        <v>SÍ</v>
      </c>
      <c r="Y55" s="3" t="str">
        <f aca="false">IF(AND(ISNUMBER(U55),MAX(S55,T55)&gt;=Parametros!$B$15,ABS(N(U55))&gt;Parametros!$B$14),"SÍ","")</f>
        <v/>
      </c>
      <c r="Z55" s="3" t="n">
        <f aca="false">COUNTIF(V55:Y55,"SÍ")</f>
        <v>1</v>
      </c>
      <c r="AA55" s="3" t="n">
        <f aca="false">(3*(V55="SÍ")+2*(W55="SÍ")+2*(X55="SÍ")+(Y55="SÍ"))*IF(LEFT(D55,1)="A",3,IF(OR(LEFT(D55,1)="B",D55="SIN HIST"),2,1))</f>
        <v>4</v>
      </c>
      <c r="AB55" s="3" t="str">
        <f aca="false">IF(AA55&gt;=9,"1-ALTA",IF(AA55&gt;=4,"2-MEDIA",IF(AA55&gt;0,"3-BAJA","")))</f>
        <v>2-MEDIA</v>
      </c>
      <c r="AC55" s="3" t="str">
        <f aca="false">IF(E55="BAJO SS","Stock + XLIB bajo el SS: riesgo real de quiebre, adelantar producción. ","")&amp;IF(E55="BAJO SS (XLIB CUBRE)","Disponible bajo el SS; depende de liberar "&amp;TEXT(J55,"#,##0")&amp;" kg"&amp;IF(ISNUMBER(K55)," el "&amp;TEXT(K55,"dd-mm"),"")&amp;". ","")&amp;IF(W55="SÍ","Stock parece sano pero "&amp;TEXT(L55,"#,##0")&amp;" kg no pasan filtro "&amp;Stock_Seguridad!O55&amp;": sin ellos queda bajo el SS para esa cadena. ","")&amp;IF(E55="SOBRE MAX VENDIBLE","Sobrestock vs vida útil: frenar producción/activar venta. ","")&amp;IF(N(N55)&gt;=Parametros!$B$17,TEXT(N55,"#,##0")&amp;" kg ya no los acepta ninguna cadena: venta intermedia/liquidación. ","")&amp;IF(N(M55)&gt;=Parametros!$B$17,TEXT(M55,"#,##0")&amp;" kg a punto de salir del filtro: despachar primero (FEFO). ","")&amp;IF(Y55="SÍ","Pedidos "&amp;IF(N(U55)&gt;0,"sobre","bajo")&amp;" FCST "&amp;TEXT(ABS(N(U55)),"0%")&amp;": revisar forecast con KAM.","")</f>
        <v>13,284 kg a punto de salir del filtro: despachar primero (FEFO). </v>
      </c>
    </row>
    <row r="56" customFormat="false" ht="15" hidden="false" customHeight="false" outlineLevel="0" collapsed="false">
      <c r="A56" s="18" t="n">
        <f aca="false">Stock_Seguridad!A56</f>
        <v>30001970</v>
      </c>
      <c r="B56" s="18" t="str">
        <f aca="false">Stock_Seguridad!B56</f>
        <v>CREMA LACTEA PASTEURIZADA LONCO 9X1L</v>
      </c>
      <c r="C56" s="18" t="str">
        <f aca="false">Stock_Seguridad!C56</f>
        <v>CREMA</v>
      </c>
      <c r="D56" s="18" t="str">
        <f aca="false">Stock_Seguridad!F56</f>
        <v>SIN HIST</v>
      </c>
      <c r="E56" s="19" t="str">
        <f aca="false">Stock_Seguridad!X56</f>
        <v>OK</v>
      </c>
      <c r="F56" s="20" t="n">
        <f aca="false">Stock_Seguridad!W56</f>
        <v>1.68266977412184</v>
      </c>
      <c r="G56" s="21" t="n">
        <f aca="false">Stock_Seguridad!T56</f>
        <v>24705</v>
      </c>
      <c r="H56" s="21" t="n">
        <f aca="false">Stock_Seguridad!R56</f>
        <v>11475.7654389062</v>
      </c>
      <c r="I56" s="21" t="n">
        <f aca="false">Stock_Seguridad!S56</f>
        <v>34731.6654389062</v>
      </c>
      <c r="J56" s="21" t="n">
        <f aca="false">Stock_Seguridad!U56</f>
        <v>14427</v>
      </c>
      <c r="K56" s="22" t="n">
        <v>46319</v>
      </c>
      <c r="L56" s="23" t="n">
        <v>4869</v>
      </c>
      <c r="M56" s="23" t="n">
        <v>0</v>
      </c>
      <c r="N56" s="23" t="n">
        <v>27</v>
      </c>
      <c r="O56" s="24" t="n">
        <v>0.0971826126954922</v>
      </c>
      <c r="P56" s="24" t="n">
        <f aca="false">IF(ISNUMBER(Stock_Seguridad!N56),Stock_Seguridad!N56,"")</f>
        <v>0.1875</v>
      </c>
      <c r="Q56" s="24" t="n">
        <f aca="false">IF(AND(ISNUMBER(O56),ISNUMBER(P56)),P56-O56,"")</f>
        <v>0.0903173873045078</v>
      </c>
      <c r="R56" s="23" t="n">
        <f aca="false">MAX(0,G56-N(L56))</f>
        <v>19836</v>
      </c>
      <c r="S56" s="23" t="n">
        <f aca="false">SUMIFS(Cadenas_vs_FCST!$D$17:$D$2437,Cadenas_vs_FCST!$A$17:$A$2437,A56)</f>
        <v>0</v>
      </c>
      <c r="T56" s="23" t="n">
        <f aca="false">SUMIFS(Cadenas_vs_FCST!$E$17:$E$2437,Cadenas_vs_FCST!$A$17:$A$2437,A56)</f>
        <v>0</v>
      </c>
      <c r="U56" s="24" t="str">
        <f aca="false">IF(T56&gt;0,S56/T56-1,"")</f>
        <v/>
      </c>
      <c r="V56" s="3" t="str">
        <f aca="false">IF(OR(E56="BAJO SS",E56="BAJO SS (XLIB CUBRE)"),"SÍ","")</f>
        <v/>
      </c>
      <c r="W56" s="3" t="str">
        <f aca="false">IF(AND(V56="",N(L56)&gt;=Parametros!$B$17,G56&gt;=H56,R56&lt;H56),"SÍ","")</f>
        <v/>
      </c>
      <c r="X56" s="3" t="str">
        <f aca="false">IF(OR(E56="SOBRE MAX VENDIBLE",N(N56)&gt;=Parametros!$B$17,N(M56)&gt;=Parametros!$B$17),"SÍ","")</f>
        <v/>
      </c>
      <c r="Y56" s="3" t="str">
        <f aca="false">IF(AND(ISNUMBER(U56),MAX(S56,T56)&gt;=Parametros!$B$15,ABS(N(U56))&gt;Parametros!$B$14),"SÍ","")</f>
        <v/>
      </c>
      <c r="Z56" s="3" t="n">
        <f aca="false">COUNTIF(V56:Y56,"SÍ")</f>
        <v>0</v>
      </c>
      <c r="AA56" s="3" t="n">
        <f aca="false">(3*(V56="SÍ")+2*(W56="SÍ")+2*(X56="SÍ")+(Y56="SÍ"))*IF(LEFT(D56,1)="A",3,IF(OR(LEFT(D56,1)="B",D56="SIN HIST"),2,1))</f>
        <v>0</v>
      </c>
      <c r="AB56" s="3" t="str">
        <f aca="false">IF(AA56&gt;=9,"1-ALTA",IF(AA56&gt;=4,"2-MEDIA",IF(AA56&gt;0,"3-BAJA","")))</f>
        <v/>
      </c>
      <c r="AC56" s="3" t="str">
        <f aca="false">IF(E56="BAJO SS","Stock + XLIB bajo el SS: riesgo real de quiebre, adelantar producción. ","")&amp;IF(E56="BAJO SS (XLIB CUBRE)","Disponible bajo el SS; depende de liberar "&amp;TEXT(J56,"#,##0")&amp;" kg"&amp;IF(ISNUMBER(K56)," el "&amp;TEXT(K56,"dd-mm"),"")&amp;". ","")&amp;IF(W56="SÍ","Stock parece sano pero "&amp;TEXT(L56,"#,##0")&amp;" kg no pasan filtro "&amp;Stock_Seguridad!O56&amp;": sin ellos queda bajo el SS para esa cadena. ","")&amp;IF(E56="SOBRE MAX VENDIBLE","Sobrestock vs vida útil: frenar producción/activar venta. ","")&amp;IF(N(N56)&gt;=Parametros!$B$17,TEXT(N56,"#,##0")&amp;" kg ya no los acepta ninguna cadena: venta intermedia/liquidación. ","")&amp;IF(N(M56)&gt;=Parametros!$B$17,TEXT(M56,"#,##0")&amp;" kg a punto de salir del filtro: despachar primero (FEFO). ","")&amp;IF(Y56="SÍ","Pedidos "&amp;IF(N(U56)&gt;0,"sobre","bajo")&amp;" FCST "&amp;TEXT(ABS(N(U56)),"0%")&amp;": revisar forecast con KAM.","")</f>
        <v/>
      </c>
    </row>
    <row r="57" customFormat="false" ht="15" hidden="false" customHeight="false" outlineLevel="0" collapsed="false">
      <c r="A57" s="18" t="n">
        <f aca="false">Stock_Seguridad!A57</f>
        <v>30002099</v>
      </c>
      <c r="B57" s="18" t="str">
        <f aca="false">Stock_Seguridad!B57</f>
        <v>NECTAR WATTS TUTTIFLLA SIXPACK 30X200ML</v>
      </c>
      <c r="C57" s="18" t="str">
        <f aca="false">Stock_Seguridad!C57</f>
        <v>JUGOS Y NECTARES</v>
      </c>
      <c r="D57" s="18" t="str">
        <f aca="false">Stock_Seguridad!F57</f>
        <v>AY</v>
      </c>
      <c r="E57" s="19" t="str">
        <f aca="false">Stock_Seguridad!X57</f>
        <v>OK</v>
      </c>
      <c r="F57" s="20" t="n">
        <f aca="false">Stock_Seguridad!W57</f>
        <v>6.80479188495026</v>
      </c>
      <c r="G57" s="21" t="n">
        <f aca="false">Stock_Seguridad!T57</f>
        <v>146766</v>
      </c>
      <c r="H57" s="21" t="n">
        <f aca="false">Stock_Seguridad!R57</f>
        <v>52827.6810894469</v>
      </c>
      <c r="I57" s="21" t="n">
        <f aca="false">Stock_Seguridad!S57</f>
        <v>74397.4810894469</v>
      </c>
      <c r="J57" s="21" t="n">
        <f aca="false">Stock_Seguridad!U57</f>
        <v>12</v>
      </c>
      <c r="K57" s="22" t="n">
        <v>46317</v>
      </c>
      <c r="L57" s="23" t="n">
        <v>198</v>
      </c>
      <c r="M57" s="23" t="n">
        <v>0</v>
      </c>
      <c r="N57" s="23" t="n">
        <v>0</v>
      </c>
      <c r="O57" s="24" t="n">
        <v>0.047139353309079</v>
      </c>
      <c r="P57" s="24" t="n">
        <f aca="false">IF(ISNUMBER(Stock_Seguridad!N57),Stock_Seguridad!N57,"")</f>
        <v>0.194444444444444</v>
      </c>
      <c r="Q57" s="24" t="n">
        <f aca="false">IF(AND(ISNUMBER(O57),ISNUMBER(P57)),P57-O57,"")</f>
        <v>0.147305091135365</v>
      </c>
      <c r="R57" s="23" t="n">
        <f aca="false">MAX(0,G57-N(L57))</f>
        <v>146568</v>
      </c>
      <c r="S57" s="23" t="n">
        <f aca="false">SUMIFS(Cadenas_vs_FCST!$D$17:$D$2437,Cadenas_vs_FCST!$A$17:$A$2437,A57)</f>
        <v>119580</v>
      </c>
      <c r="T57" s="23" t="n">
        <f aca="false">SUMIFS(Cadenas_vs_FCST!$E$17:$E$2437,Cadenas_vs_FCST!$A$17:$A$2437,A57)</f>
        <v>127888.803001032</v>
      </c>
      <c r="U57" s="24" t="n">
        <f aca="false">IF(T57&gt;0,S57/T57-1,"")</f>
        <v>-0.0649689637095489</v>
      </c>
      <c r="V57" s="3" t="str">
        <f aca="false">IF(OR(E57="BAJO SS",E57="BAJO SS (XLIB CUBRE)"),"SÍ","")</f>
        <v/>
      </c>
      <c r="W57" s="3" t="str">
        <f aca="false">IF(AND(V57="",N(L57)&gt;=Parametros!$B$17,G57&gt;=H57,R57&lt;H57),"SÍ","")</f>
        <v/>
      </c>
      <c r="X57" s="3" t="str">
        <f aca="false">IF(OR(E57="SOBRE MAX VENDIBLE",N(N57)&gt;=Parametros!$B$17,N(M57)&gt;=Parametros!$B$17),"SÍ","")</f>
        <v/>
      </c>
      <c r="Y57" s="3" t="str">
        <f aca="false">IF(AND(ISNUMBER(U57),MAX(S57,T57)&gt;=Parametros!$B$15,ABS(N(U57))&gt;Parametros!$B$14),"SÍ","")</f>
        <v/>
      </c>
      <c r="Z57" s="3" t="n">
        <f aca="false">COUNTIF(V57:Y57,"SÍ")</f>
        <v>0</v>
      </c>
      <c r="AA57" s="3" t="n">
        <f aca="false">(3*(V57="SÍ")+2*(W57="SÍ")+2*(X57="SÍ")+(Y57="SÍ"))*IF(LEFT(D57,1)="A",3,IF(OR(LEFT(D57,1)="B",D57="SIN HIST"),2,1))</f>
        <v>0</v>
      </c>
      <c r="AB57" s="3" t="str">
        <f aca="false">IF(AA57&gt;=9,"1-ALTA",IF(AA57&gt;=4,"2-MEDIA",IF(AA57&gt;0,"3-BAJA","")))</f>
        <v/>
      </c>
      <c r="AC57" s="3" t="str">
        <f aca="false">IF(E57="BAJO SS","Stock + XLIB bajo el SS: riesgo real de quiebre, adelantar producción. ","")&amp;IF(E57="BAJO SS (XLIB CUBRE)","Disponible bajo el SS; depende de liberar "&amp;TEXT(J57,"#,##0")&amp;" kg"&amp;IF(ISNUMBER(K57)," el "&amp;TEXT(K57,"dd-mm"),"")&amp;". ","")&amp;IF(W57="SÍ","Stock parece sano pero "&amp;TEXT(L57,"#,##0")&amp;" kg no pasan filtro "&amp;Stock_Seguridad!O57&amp;": sin ellos queda bajo el SS para esa cadena. ","")&amp;IF(E57="SOBRE MAX VENDIBLE","Sobrestock vs vida útil: frenar producción/activar venta. ","")&amp;IF(N(N57)&gt;=Parametros!$B$17,TEXT(N57,"#,##0")&amp;" kg ya no los acepta ninguna cadena: venta intermedia/liquidación. ","")&amp;IF(N(M57)&gt;=Parametros!$B$17,TEXT(M57,"#,##0")&amp;" kg a punto de salir del filtro: despachar primero (FEFO). ","")&amp;IF(Y57="SÍ","Pedidos "&amp;IF(N(U57)&gt;0,"sobre","bajo")&amp;" FCST "&amp;TEXT(ABS(N(U57)),"0%")&amp;": revisar forecast con KAM.","")</f>
        <v/>
      </c>
    </row>
    <row r="58" customFormat="false" ht="15" hidden="false" customHeight="false" outlineLevel="0" collapsed="false">
      <c r="A58" s="18" t="n">
        <f aca="false">Stock_Seguridad!A58</f>
        <v>30000716</v>
      </c>
      <c r="B58" s="18" t="str">
        <f aca="false">Stock_Seguridad!B58</f>
        <v>CHOCLO IQF 8X2KG</v>
      </c>
      <c r="C58" s="18" t="str">
        <f aca="false">Stock_Seguridad!C58</f>
        <v>FRUTAS Y HORTALIZAS CONGELADAS</v>
      </c>
      <c r="D58" s="18" t="str">
        <f aca="false">Stock_Seguridad!F58</f>
        <v>SIN HIST</v>
      </c>
      <c r="E58" s="19" t="str">
        <f aca="false">Stock_Seguridad!X58</f>
        <v>OK</v>
      </c>
      <c r="F58" s="20" t="n">
        <f aca="false">Stock_Seguridad!W58</f>
        <v>16.8705506875233</v>
      </c>
      <c r="G58" s="21" t="n">
        <f aca="false">Stock_Seguridad!T58</f>
        <v>353104</v>
      </c>
      <c r="H58" s="21" t="n">
        <f aca="false">Stock_Seguridad!R58</f>
        <v>10328.1346148459</v>
      </c>
      <c r="I58" s="21" t="n">
        <f aca="false">Stock_Seguridad!S58</f>
        <v>31258.3346148459</v>
      </c>
      <c r="J58" s="21" t="n">
        <f aca="false">Stock_Seguridad!U58</f>
        <v>0</v>
      </c>
      <c r="K58" s="22"/>
      <c r="L58" s="23" t="n">
        <v>0</v>
      </c>
      <c r="M58" s="23" t="n">
        <v>0</v>
      </c>
      <c r="N58" s="23" t="n">
        <v>0</v>
      </c>
      <c r="O58" s="24" t="n">
        <v>0.100086093615479</v>
      </c>
      <c r="P58" s="24" t="str">
        <f aca="false">IF(ISNUMBER(Stock_Seguridad!N58),Stock_Seguridad!N58,"")</f>
        <v/>
      </c>
      <c r="Q58" s="24" t="str">
        <f aca="false">IF(AND(ISNUMBER(O58),ISNUMBER(P58)),P58-O58,"")</f>
        <v/>
      </c>
      <c r="R58" s="23" t="n">
        <f aca="false">MAX(0,G58-N(L58))</f>
        <v>353104</v>
      </c>
      <c r="S58" s="23" t="n">
        <f aca="false">SUMIFS(Cadenas_vs_FCST!$D$17:$D$2437,Cadenas_vs_FCST!$A$17:$A$2437,A58)</f>
        <v>0</v>
      </c>
      <c r="T58" s="23" t="n">
        <f aca="false">SUMIFS(Cadenas_vs_FCST!$E$17:$E$2437,Cadenas_vs_FCST!$A$17:$A$2437,A58)</f>
        <v>0</v>
      </c>
      <c r="U58" s="24" t="str">
        <f aca="false">IF(T58&gt;0,S58/T58-1,"")</f>
        <v/>
      </c>
      <c r="V58" s="3" t="str">
        <f aca="false">IF(OR(E58="BAJO SS",E58="BAJO SS (XLIB CUBRE)"),"SÍ","")</f>
        <v/>
      </c>
      <c r="W58" s="3" t="str">
        <f aca="false">IF(AND(V58="",N(L58)&gt;=Parametros!$B$17,G58&gt;=H58,R58&lt;H58),"SÍ","")</f>
        <v/>
      </c>
      <c r="X58" s="3" t="str">
        <f aca="false">IF(OR(E58="SOBRE MAX VENDIBLE",N(N58)&gt;=Parametros!$B$17,N(M58)&gt;=Parametros!$B$17),"SÍ","")</f>
        <v/>
      </c>
      <c r="Y58" s="3" t="str">
        <f aca="false">IF(AND(ISNUMBER(U58),MAX(S58,T58)&gt;=Parametros!$B$15,ABS(N(U58))&gt;Parametros!$B$14),"SÍ","")</f>
        <v/>
      </c>
      <c r="Z58" s="3" t="n">
        <f aca="false">COUNTIF(V58:Y58,"SÍ")</f>
        <v>0</v>
      </c>
      <c r="AA58" s="3" t="n">
        <f aca="false">(3*(V58="SÍ")+2*(W58="SÍ")+2*(X58="SÍ")+(Y58="SÍ"))*IF(LEFT(D58,1)="A",3,IF(OR(LEFT(D58,1)="B",D58="SIN HIST"),2,1))</f>
        <v>0</v>
      </c>
      <c r="AB58" s="3" t="str">
        <f aca="false">IF(AA58&gt;=9,"1-ALTA",IF(AA58&gt;=4,"2-MEDIA",IF(AA58&gt;0,"3-BAJA","")))</f>
        <v/>
      </c>
      <c r="AC58" s="3" t="str">
        <f aca="false">IF(E58="BAJO SS","Stock + XLIB bajo el SS: riesgo real de quiebre, adelantar producción. ","")&amp;IF(E58="BAJO SS (XLIB CUBRE)","Disponible bajo el SS; depende de liberar "&amp;TEXT(J58,"#,##0")&amp;" kg"&amp;IF(ISNUMBER(K58)," el "&amp;TEXT(K58,"dd-mm"),"")&amp;". ","")&amp;IF(W58="SÍ","Stock parece sano pero "&amp;TEXT(L58,"#,##0")&amp;" kg no pasan filtro "&amp;Stock_Seguridad!O58&amp;": sin ellos queda bajo el SS para esa cadena. ","")&amp;IF(E58="SOBRE MAX VENDIBLE","Sobrestock vs vida útil: frenar producción/activar venta. ","")&amp;IF(N(N58)&gt;=Parametros!$B$17,TEXT(N58,"#,##0")&amp;" kg ya no los acepta ninguna cadena: venta intermedia/liquidación. ","")&amp;IF(N(M58)&gt;=Parametros!$B$17,TEXT(M58,"#,##0")&amp;" kg a punto de salir del filtro: despachar primero (FEFO). ","")&amp;IF(Y58="SÍ","Pedidos "&amp;IF(N(U58)&gt;0,"sobre","bajo")&amp;" FCST "&amp;TEXT(ABS(N(U58)),"0%")&amp;": revisar forecast con KAM.","")</f>
        <v/>
      </c>
    </row>
    <row r="59" customFormat="false" ht="15" hidden="false" customHeight="false" outlineLevel="0" collapsed="false">
      <c r="A59" s="18" t="n">
        <f aca="false">Stock_Seguridad!A59</f>
        <v>30001055</v>
      </c>
      <c r="B59" s="18" t="str">
        <f aca="false">Stock_Seguridad!B59</f>
        <v>YOGURT LONCO PROTEIN NAT 24X140GR</v>
      </c>
      <c r="C59" s="18" t="str">
        <f aca="false">Stock_Seguridad!C59</f>
        <v>YOGURT</v>
      </c>
      <c r="D59" s="18" t="str">
        <f aca="false">Stock_Seguridad!F59</f>
        <v>AX</v>
      </c>
      <c r="E59" s="19" t="str">
        <f aca="false">Stock_Seguridad!X59</f>
        <v>BAJO SS</v>
      </c>
      <c r="F59" s="20" t="n">
        <f aca="false">Stock_Seguridad!W59</f>
        <v>0.599015729035993</v>
      </c>
      <c r="G59" s="21" t="n">
        <f aca="false">Stock_Seguridad!T59</f>
        <v>12415.2</v>
      </c>
      <c r="H59" s="21" t="n">
        <f aca="false">Stock_Seguridad!R59</f>
        <v>16326.5060487084</v>
      </c>
      <c r="I59" s="21" t="n">
        <f aca="false">Stock_Seguridad!S59</f>
        <v>37052.5060487084</v>
      </c>
      <c r="J59" s="21" t="n">
        <f aca="false">Stock_Seguridad!U59</f>
        <v>0</v>
      </c>
      <c r="K59" s="22"/>
      <c r="L59" s="23" t="n">
        <v>440.16</v>
      </c>
      <c r="M59" s="23" t="n">
        <v>238.56</v>
      </c>
      <c r="N59" s="23" t="n">
        <v>36.96</v>
      </c>
      <c r="O59" s="24" t="n">
        <v>0.0921980413492927</v>
      </c>
      <c r="P59" s="24" t="n">
        <f aca="false">IF(ISNUMBER(Stock_Seguridad!N59),Stock_Seguridad!N59,"")</f>
        <v>0.3</v>
      </c>
      <c r="Q59" s="24" t="n">
        <f aca="false">IF(AND(ISNUMBER(O59),ISNUMBER(P59)),P59-O59,"")</f>
        <v>0.207801958650707</v>
      </c>
      <c r="R59" s="23" t="n">
        <f aca="false">MAX(0,G59-N(L59))</f>
        <v>11975.04</v>
      </c>
      <c r="S59" s="23" t="n">
        <f aca="false">SUMIFS(Cadenas_vs_FCST!$D$17:$D$2437,Cadenas_vs_FCST!$A$17:$A$2437,A59)</f>
        <v>106236.48</v>
      </c>
      <c r="T59" s="23" t="n">
        <f aca="false">SUMIFS(Cadenas_vs_FCST!$E$17:$E$2437,Cadenas_vs_FCST!$A$17:$A$2437,A59)</f>
        <v>103622.175940896</v>
      </c>
      <c r="U59" s="24" t="n">
        <f aca="false">IF(T59&gt;0,S59/T59-1,"")</f>
        <v>0.0252291947680676</v>
      </c>
      <c r="V59" s="3" t="str">
        <f aca="false">IF(OR(E59="BAJO SS",E59="BAJO SS (XLIB CUBRE)"),"SÍ","")</f>
        <v>SÍ</v>
      </c>
      <c r="W59" s="3" t="str">
        <f aca="false">IF(AND(V59="",N(L59)&gt;=Parametros!$B$17,G59&gt;=H59,R59&lt;H59),"SÍ","")</f>
        <v/>
      </c>
      <c r="X59" s="3" t="str">
        <f aca="false">IF(OR(E59="SOBRE MAX VENDIBLE",N(N59)&gt;=Parametros!$B$17,N(M59)&gt;=Parametros!$B$17),"SÍ","")</f>
        <v/>
      </c>
      <c r="Y59" s="3" t="str">
        <f aca="false">IF(AND(ISNUMBER(U59),MAX(S59,T59)&gt;=Parametros!$B$15,ABS(N(U59))&gt;Parametros!$B$14),"SÍ","")</f>
        <v/>
      </c>
      <c r="Z59" s="3" t="n">
        <f aca="false">COUNTIF(V59:Y59,"SÍ")</f>
        <v>1</v>
      </c>
      <c r="AA59" s="3" t="n">
        <f aca="false">(3*(V59="SÍ")+2*(W59="SÍ")+2*(X59="SÍ")+(Y59="SÍ"))*IF(LEFT(D59,1)="A",3,IF(OR(LEFT(D59,1)="B",D59="SIN HIST"),2,1))</f>
        <v>9</v>
      </c>
      <c r="AB59" s="3" t="str">
        <f aca="false">IF(AA59&gt;=9,"1-ALTA",IF(AA59&gt;=4,"2-MEDIA",IF(AA59&gt;0,"3-BAJA","")))</f>
        <v>1-ALTA</v>
      </c>
      <c r="AC59" s="3" t="str">
        <f aca="false">IF(E59="BAJO SS","Stock + XLIB bajo el SS: riesgo real de quiebre, adelantar producción. ","")&amp;IF(E59="BAJO SS (XLIB CUBRE)","Disponible bajo el SS; depende de liberar "&amp;TEXT(J59,"#,##0")&amp;" kg"&amp;IF(ISNUMBER(K59)," el "&amp;TEXT(K59,"dd-mm"),"")&amp;". ","")&amp;IF(W59="SÍ","Stock parece sano pero "&amp;TEXT(L59,"#,##0")&amp;" kg no pasan filtro "&amp;Stock_Seguridad!O59&amp;": sin ellos queda bajo el SS para esa cadena. ","")&amp;IF(E59="SOBRE MAX VENDIBLE","Sobrestock vs vida útil: frenar producción/activar venta. ","")&amp;IF(N(N59)&gt;=Parametros!$B$17,TEXT(N59,"#,##0")&amp;" kg ya no los acepta ninguna cadena: venta intermedia/liquidación. ","")&amp;IF(N(M59)&gt;=Parametros!$B$17,TEXT(M59,"#,##0")&amp;" kg a punto de salir del filtro: despachar primero (FEFO). ","")&amp;IF(Y59="SÍ","Pedidos "&amp;IF(N(U59)&gt;0,"sobre","bajo")&amp;" FCST "&amp;TEXT(ABS(N(U59)),"0%")&amp;": revisar forecast con KAM.","")</f>
        <v>Stock + XLIB bajo el SS: riesgo real de quiebre, adelantar producción. </v>
      </c>
    </row>
    <row r="60" customFormat="false" ht="15" hidden="false" customHeight="false" outlineLevel="0" collapsed="false">
      <c r="A60" s="18" t="n">
        <f aca="false">Stock_Seguridad!A60</f>
        <v>30000336</v>
      </c>
      <c r="B60" s="18" t="str">
        <f aca="false">Stock_Seguridad!B60</f>
        <v>PREPARADO HELADO FRUTILLA 12X1LT</v>
      </c>
      <c r="C60" s="18" t="str">
        <f aca="false">Stock_Seguridad!C60</f>
        <v>PREPARADOS DE HELADO</v>
      </c>
      <c r="D60" s="18" t="str">
        <f aca="false">Stock_Seguridad!F60</f>
        <v>SIN HIST</v>
      </c>
      <c r="E60" s="19" t="str">
        <f aca="false">Stock_Seguridad!X60</f>
        <v>OK</v>
      </c>
      <c r="F60" s="20" t="n">
        <f aca="false">Stock_Seguridad!W60</f>
        <v>6.15447762287993</v>
      </c>
      <c r="G60" s="21" t="n">
        <f aca="false">Stock_Seguridad!T60</f>
        <v>125952</v>
      </c>
      <c r="H60" s="21" t="n">
        <f aca="false">Stock_Seguridad!R60</f>
        <v>10098.6281882774</v>
      </c>
      <c r="I60" s="21" t="n">
        <f aca="false">Stock_Seguridad!S60</f>
        <v>30563.7281882774</v>
      </c>
      <c r="J60" s="21" t="n">
        <f aca="false">Stock_Seguridad!U60</f>
        <v>0</v>
      </c>
      <c r="K60" s="22"/>
      <c r="L60" s="23" t="n">
        <v>0</v>
      </c>
      <c r="M60" s="23" t="n">
        <v>2628</v>
      </c>
      <c r="N60" s="23" t="n">
        <v>0</v>
      </c>
      <c r="O60" s="24" t="n">
        <v>0.0802391387195122</v>
      </c>
      <c r="P60" s="24" t="n">
        <f aca="false">IF(ISNUMBER(Stock_Seguridad!N60),Stock_Seguridad!N60,"")</f>
        <v>0.253061224489796</v>
      </c>
      <c r="Q60" s="24" t="n">
        <f aca="false">IF(AND(ISNUMBER(O60),ISNUMBER(P60)),P60-O60,"")</f>
        <v>0.172822085770284</v>
      </c>
      <c r="R60" s="23" t="n">
        <f aca="false">MAX(0,G60-N(L60))</f>
        <v>125952</v>
      </c>
      <c r="S60" s="23" t="n">
        <f aca="false">SUMIFS(Cadenas_vs_FCST!$D$17:$D$2437,Cadenas_vs_FCST!$A$17:$A$2437,A60)</f>
        <v>0</v>
      </c>
      <c r="T60" s="23" t="n">
        <f aca="false">SUMIFS(Cadenas_vs_FCST!$E$17:$E$2437,Cadenas_vs_FCST!$A$17:$A$2437,A60)</f>
        <v>0</v>
      </c>
      <c r="U60" s="24" t="str">
        <f aca="false">IF(T60&gt;0,S60/T60-1,"")</f>
        <v/>
      </c>
      <c r="V60" s="3" t="str">
        <f aca="false">IF(OR(E60="BAJO SS",E60="BAJO SS (XLIB CUBRE)"),"SÍ","")</f>
        <v/>
      </c>
      <c r="W60" s="3" t="str">
        <f aca="false">IF(AND(V60="",N(L60)&gt;=Parametros!$B$17,G60&gt;=H60,R60&lt;H60),"SÍ","")</f>
        <v/>
      </c>
      <c r="X60" s="3" t="str">
        <f aca="false">IF(OR(E60="SOBRE MAX VENDIBLE",N(N60)&gt;=Parametros!$B$17,N(M60)&gt;=Parametros!$B$17),"SÍ","")</f>
        <v>SÍ</v>
      </c>
      <c r="Y60" s="3" t="str">
        <f aca="false">IF(AND(ISNUMBER(U60),MAX(S60,T60)&gt;=Parametros!$B$15,ABS(N(U60))&gt;Parametros!$B$14),"SÍ","")</f>
        <v/>
      </c>
      <c r="Z60" s="3" t="n">
        <f aca="false">COUNTIF(V60:Y60,"SÍ")</f>
        <v>1</v>
      </c>
      <c r="AA60" s="3" t="n">
        <f aca="false">(3*(V60="SÍ")+2*(W60="SÍ")+2*(X60="SÍ")+(Y60="SÍ"))*IF(LEFT(D60,1)="A",3,IF(OR(LEFT(D60,1)="B",D60="SIN HIST"),2,1))</f>
        <v>4</v>
      </c>
      <c r="AB60" s="3" t="str">
        <f aca="false">IF(AA60&gt;=9,"1-ALTA",IF(AA60&gt;=4,"2-MEDIA",IF(AA60&gt;0,"3-BAJA","")))</f>
        <v>2-MEDIA</v>
      </c>
      <c r="AC60" s="3" t="str">
        <f aca="false">IF(E60="BAJO SS","Stock + XLIB bajo el SS: riesgo real de quiebre, adelantar producción. ","")&amp;IF(E60="BAJO SS (XLIB CUBRE)","Disponible bajo el SS; depende de liberar "&amp;TEXT(J60,"#,##0")&amp;" kg"&amp;IF(ISNUMBER(K60)," el "&amp;TEXT(K60,"dd-mm"),"")&amp;". ","")&amp;IF(W60="SÍ","Stock parece sano pero "&amp;TEXT(L60,"#,##0")&amp;" kg no pasan filtro "&amp;Stock_Seguridad!O60&amp;": sin ellos queda bajo el SS para esa cadena. ","")&amp;IF(E60="SOBRE MAX VENDIBLE","Sobrestock vs vida útil: frenar producción/activar venta. ","")&amp;IF(N(N60)&gt;=Parametros!$B$17,TEXT(N60,"#,##0")&amp;" kg ya no los acepta ninguna cadena: venta intermedia/liquidación. ","")&amp;IF(N(M60)&gt;=Parametros!$B$17,TEXT(M60,"#,##0")&amp;" kg a punto de salir del filtro: despachar primero (FEFO). ","")&amp;IF(Y60="SÍ","Pedidos "&amp;IF(N(U60)&gt;0,"sobre","bajo")&amp;" FCST "&amp;TEXT(ABS(N(U60)),"0%")&amp;": revisar forecast con KAM.","")</f>
        <v>2,628 kg a punto de salir del filtro: despachar primero (FEFO). </v>
      </c>
    </row>
    <row r="61" customFormat="false" ht="15" hidden="false" customHeight="false" outlineLevel="0" collapsed="false">
      <c r="A61" s="18" t="n">
        <f aca="false">Stock_Seguridad!A61</f>
        <v>30001861</v>
      </c>
      <c r="B61" s="18" t="str">
        <f aca="false">Stock_Seguridad!B61</f>
        <v>MARGARINA SUREÑA 6X900GR</v>
      </c>
      <c r="C61" s="18" t="str">
        <f aca="false">Stock_Seguridad!C61</f>
        <v>MARGARINAS</v>
      </c>
      <c r="D61" s="18" t="str">
        <f aca="false">Stock_Seguridad!F61</f>
        <v>AX</v>
      </c>
      <c r="E61" s="19" t="str">
        <f aca="false">Stock_Seguridad!X61</f>
        <v>OK</v>
      </c>
      <c r="F61" s="20" t="n">
        <f aca="false">Stock_Seguridad!W61</f>
        <v>4.69702950607771</v>
      </c>
      <c r="G61" s="21" t="n">
        <f aca="false">Stock_Seguridad!T61</f>
        <v>94478.4</v>
      </c>
      <c r="H61" s="21" t="n">
        <f aca="false">Stock_Seguridad!R61</f>
        <v>25808.7670669515</v>
      </c>
      <c r="I61" s="21" t="n">
        <f aca="false">Stock_Seguridad!S61</f>
        <v>45923.2670669515</v>
      </c>
      <c r="J61" s="21" t="n">
        <f aca="false">Stock_Seguridad!U61</f>
        <v>0</v>
      </c>
      <c r="K61" s="22"/>
      <c r="L61" s="23" t="n">
        <v>0</v>
      </c>
      <c r="M61" s="23" t="n">
        <v>1663.2</v>
      </c>
      <c r="N61" s="23" t="n">
        <v>0</v>
      </c>
      <c r="O61" s="24" t="n">
        <v>0.0864660493827161</v>
      </c>
      <c r="P61" s="24" t="n">
        <f aca="false">IF(ISNUMBER(Stock_Seguridad!N61),Stock_Seguridad!N61,"")</f>
        <v>0.239130434782609</v>
      </c>
      <c r="Q61" s="24" t="n">
        <f aca="false">IF(AND(ISNUMBER(O61),ISNUMBER(P61)),P61-O61,"")</f>
        <v>0.152664385399893</v>
      </c>
      <c r="R61" s="23" t="n">
        <f aca="false">MAX(0,G61-N(L61))</f>
        <v>94478.4</v>
      </c>
      <c r="S61" s="23" t="n">
        <f aca="false">SUMIFS(Cadenas_vs_FCST!$D$17:$D$2437,Cadenas_vs_FCST!$A$17:$A$2437,A61)</f>
        <v>77544</v>
      </c>
      <c r="T61" s="23" t="n">
        <f aca="false">SUMIFS(Cadenas_vs_FCST!$E$17:$E$2437,Cadenas_vs_FCST!$A$17:$A$2437,A61)</f>
        <v>93484.1130126787</v>
      </c>
      <c r="U61" s="24" t="n">
        <f aca="false">IF(T61&gt;0,S61/T61-1,"")</f>
        <v>-0.17051146445083</v>
      </c>
      <c r="V61" s="3" t="str">
        <f aca="false">IF(OR(E61="BAJO SS",E61="BAJO SS (XLIB CUBRE)"),"SÍ","")</f>
        <v/>
      </c>
      <c r="W61" s="3" t="str">
        <f aca="false">IF(AND(V61="",N(L61)&gt;=Parametros!$B$17,G61&gt;=H61,R61&lt;H61),"SÍ","")</f>
        <v/>
      </c>
      <c r="X61" s="3" t="str">
        <f aca="false">IF(OR(E61="SOBRE MAX VENDIBLE",N(N61)&gt;=Parametros!$B$17,N(M61)&gt;=Parametros!$B$17),"SÍ","")</f>
        <v>SÍ</v>
      </c>
      <c r="Y61" s="3" t="str">
        <f aca="false">IF(AND(ISNUMBER(U61),MAX(S61,T61)&gt;=Parametros!$B$15,ABS(N(U61))&gt;Parametros!$B$14),"SÍ","")</f>
        <v/>
      </c>
      <c r="Z61" s="3" t="n">
        <f aca="false">COUNTIF(V61:Y61,"SÍ")</f>
        <v>1</v>
      </c>
      <c r="AA61" s="3" t="n">
        <f aca="false">(3*(V61="SÍ")+2*(W61="SÍ")+2*(X61="SÍ")+(Y61="SÍ"))*IF(LEFT(D61,1)="A",3,IF(OR(LEFT(D61,1)="B",D61="SIN HIST"),2,1))</f>
        <v>6</v>
      </c>
      <c r="AB61" s="3" t="str">
        <f aca="false">IF(AA61&gt;=9,"1-ALTA",IF(AA61&gt;=4,"2-MEDIA",IF(AA61&gt;0,"3-BAJA","")))</f>
        <v>2-MEDIA</v>
      </c>
      <c r="AC61" s="3" t="str">
        <f aca="false">IF(E61="BAJO SS","Stock + XLIB bajo el SS: riesgo real de quiebre, adelantar producción. ","")&amp;IF(E61="BAJO SS (XLIB CUBRE)","Disponible bajo el SS; depende de liberar "&amp;TEXT(J61,"#,##0")&amp;" kg"&amp;IF(ISNUMBER(K61)," el "&amp;TEXT(K61,"dd-mm"),"")&amp;". ","")&amp;IF(W61="SÍ","Stock parece sano pero "&amp;TEXT(L61,"#,##0")&amp;" kg no pasan filtro "&amp;Stock_Seguridad!O61&amp;": sin ellos queda bajo el SS para esa cadena. ","")&amp;IF(E61="SOBRE MAX VENDIBLE","Sobrestock vs vida útil: frenar producción/activar venta. ","")&amp;IF(N(N61)&gt;=Parametros!$B$17,TEXT(N61,"#,##0")&amp;" kg ya no los acepta ninguna cadena: venta intermedia/liquidación. ","")&amp;IF(N(M61)&gt;=Parametros!$B$17,TEXT(M61,"#,##0")&amp;" kg a punto de salir del filtro: despachar primero (FEFO). ","")&amp;IF(Y61="SÍ","Pedidos "&amp;IF(N(U61)&gt;0,"sobre","bajo")&amp;" FCST "&amp;TEXT(ABS(N(U61)),"0%")&amp;": revisar forecast con KAM.","")</f>
        <v>1,663 kg a punto de salir del filtro: despachar primero (FEFO). </v>
      </c>
    </row>
    <row r="62" customFormat="false" ht="15" hidden="false" customHeight="false" outlineLevel="0" collapsed="false">
      <c r="A62" s="18" t="n">
        <f aca="false">Stock_Seguridad!A62</f>
        <v>30001041</v>
      </c>
      <c r="B62" s="18" t="str">
        <f aca="false">Stock_Seguridad!B62</f>
        <v>YOGURT CALAN FRUTILLA UNIV 48X110GR</v>
      </c>
      <c r="C62" s="18" t="str">
        <f aca="false">Stock_Seguridad!C62</f>
        <v>YOGURT</v>
      </c>
      <c r="D62" s="18" t="str">
        <f aca="false">Stock_Seguridad!F62</f>
        <v>AX</v>
      </c>
      <c r="E62" s="19" t="str">
        <f aca="false">Stock_Seguridad!X62</f>
        <v>BAJO SS (XLIB CUBRE)</v>
      </c>
      <c r="F62" s="20" t="n">
        <f aca="false">Stock_Seguridad!W62</f>
        <v>1.14877612953461</v>
      </c>
      <c r="G62" s="21" t="n">
        <f aca="false">Stock_Seguridad!T62</f>
        <v>15412.3</v>
      </c>
      <c r="H62" s="21" t="n">
        <f aca="false">Stock_Seguridad!R62</f>
        <v>16716.0341135148</v>
      </c>
      <c r="I62" s="21" t="n">
        <f aca="false">Stock_Seguridad!S62</f>
        <v>36750.8341135148</v>
      </c>
      <c r="J62" s="21" t="n">
        <f aca="false">Stock_Seguridad!U62</f>
        <v>7603.2</v>
      </c>
      <c r="K62" s="22" t="n">
        <v>46318</v>
      </c>
      <c r="L62" s="23" t="n">
        <v>543.84</v>
      </c>
      <c r="M62" s="23" t="n">
        <v>0</v>
      </c>
      <c r="N62" s="23" t="n">
        <v>543.84</v>
      </c>
      <c r="O62" s="24" t="n">
        <v>0.0707519666820916</v>
      </c>
      <c r="P62" s="24" t="n">
        <f aca="false">IF(ISNUMBER(Stock_Seguridad!N62),Stock_Seguridad!N62,"")</f>
        <v>0.32258064516129</v>
      </c>
      <c r="Q62" s="24" t="n">
        <f aca="false">IF(AND(ISNUMBER(O62),ISNUMBER(P62)),P62-O62,"")</f>
        <v>0.251828678479199</v>
      </c>
      <c r="R62" s="23" t="n">
        <f aca="false">MAX(0,G62-N(L62))</f>
        <v>14868.46</v>
      </c>
      <c r="S62" s="23" t="n">
        <f aca="false">SUMIFS(Cadenas_vs_FCST!$D$17:$D$2437,Cadenas_vs_FCST!$A$17:$A$2437,A62)</f>
        <v>61665.12</v>
      </c>
      <c r="T62" s="23" t="n">
        <f aca="false">SUMIFS(Cadenas_vs_FCST!$E$17:$E$2437,Cadenas_vs_FCST!$A$17:$A$2437,A62)</f>
        <v>76613.3996214757</v>
      </c>
      <c r="U62" s="24" t="n">
        <f aca="false">IF(T62&gt;0,S62/T62-1,"")</f>
        <v>-0.195113122447649</v>
      </c>
      <c r="V62" s="3" t="str">
        <f aca="false">IF(OR(E62="BAJO SS",E62="BAJO SS (XLIB CUBRE)"),"SÍ","")</f>
        <v>SÍ</v>
      </c>
      <c r="W62" s="3" t="str">
        <f aca="false">IF(AND(V62="",N(L62)&gt;=Parametros!$B$17,G62&gt;=H62,R62&lt;H62),"SÍ","")</f>
        <v/>
      </c>
      <c r="X62" s="3" t="str">
        <f aca="false">IF(OR(E62="SOBRE MAX VENDIBLE",N(N62)&gt;=Parametros!$B$17,N(M62)&gt;=Parametros!$B$17),"SÍ","")</f>
        <v>SÍ</v>
      </c>
      <c r="Y62" s="3" t="str">
        <f aca="false">IF(AND(ISNUMBER(U62),MAX(S62,T62)&gt;=Parametros!$B$15,ABS(N(U62))&gt;Parametros!$B$14),"SÍ","")</f>
        <v/>
      </c>
      <c r="Z62" s="3" t="n">
        <f aca="false">COUNTIF(V62:Y62,"SÍ")</f>
        <v>2</v>
      </c>
      <c r="AA62" s="3" t="n">
        <f aca="false">(3*(V62="SÍ")+2*(W62="SÍ")+2*(X62="SÍ")+(Y62="SÍ"))*IF(LEFT(D62,1)="A",3,IF(OR(LEFT(D62,1)="B",D62="SIN HIST"),2,1))</f>
        <v>15</v>
      </c>
      <c r="AB62" s="3" t="str">
        <f aca="false">IF(AA62&gt;=9,"1-ALTA",IF(AA62&gt;=4,"2-MEDIA",IF(AA62&gt;0,"3-BAJA","")))</f>
        <v>1-ALTA</v>
      </c>
      <c r="AC62" s="3" t="str">
        <f aca="false">IF(E62="BAJO SS","Stock + XLIB bajo el SS: riesgo real de quiebre, adelantar producción. ","")&amp;IF(E62="BAJO SS (XLIB CUBRE)","Disponible bajo el SS; depende de liberar "&amp;TEXT(J62,"#,##0")&amp;" kg"&amp;IF(ISNUMBER(K62)," el "&amp;TEXT(K62,"dd-mm"),"")&amp;". ","")&amp;IF(W62="SÍ","Stock parece sano pero "&amp;TEXT(L62,"#,##0")&amp;" kg no pasan filtro "&amp;Stock_Seguridad!O62&amp;": sin ellos queda bajo el SS para esa cadena. ","")&amp;IF(E62="SOBRE MAX VENDIBLE","Sobrestock vs vida útil: frenar producción/activar venta. ","")&amp;IF(N(N62)&gt;=Parametros!$B$17,TEXT(N62,"#,##0")&amp;" kg ya no los acepta ninguna cadena: venta intermedia/liquidación. ","")&amp;IF(N(M62)&gt;=Parametros!$B$17,TEXT(M62,"#,##0")&amp;" kg a punto de salir del filtro: despachar primero (FEFO). ","")&amp;IF(Y62="SÍ","Pedidos "&amp;IF(N(U62)&gt;0,"sobre","bajo")&amp;" FCST "&amp;TEXT(ABS(N(U62)),"0%")&amp;": revisar forecast con KAM.","")</f>
        <v>Disponible bajo el SS; depende de liberar 7,603 kg el 23-10. 544 kg ya no los acepta ninguna cadena: venta intermedia/liquidación. </v>
      </c>
    </row>
    <row r="63" customFormat="false" ht="15" hidden="false" customHeight="false" outlineLevel="0" collapsed="false">
      <c r="A63" s="18" t="n">
        <f aca="false">Stock_Seguridad!A63</f>
        <v>30001751</v>
      </c>
      <c r="B63" s="18" t="str">
        <f aca="false">Stock_Seguridad!B63</f>
        <v>MERMELADA WATTS DURAZNO 24X225GR</v>
      </c>
      <c r="C63" s="18" t="str">
        <f aca="false">Stock_Seguridad!C63</f>
        <v>MERMELADAS</v>
      </c>
      <c r="D63" s="18" t="str">
        <f aca="false">Stock_Seguridad!F63</f>
        <v>AX</v>
      </c>
      <c r="E63" s="19" t="str">
        <f aca="false">Stock_Seguridad!X63</f>
        <v>OK</v>
      </c>
      <c r="F63" s="20" t="n">
        <f aca="false">Stock_Seguridad!W63</f>
        <v>4.19607270530185</v>
      </c>
      <c r="G63" s="21" t="n">
        <f aca="false">Stock_Seguridad!T63</f>
        <v>77257.8</v>
      </c>
      <c r="H63" s="21" t="n">
        <f aca="false">Stock_Seguridad!R63</f>
        <v>9550.16006214883</v>
      </c>
      <c r="I63" s="21" t="n">
        <f aca="false">Stock_Seguridad!S63</f>
        <v>29411.1600621488</v>
      </c>
      <c r="J63" s="21" t="n">
        <f aca="false">Stock_Seguridad!U63</f>
        <v>6080.4</v>
      </c>
      <c r="K63" s="22" t="n">
        <v>46317</v>
      </c>
      <c r="L63" s="23" t="n">
        <v>0</v>
      </c>
      <c r="M63" s="23" t="n">
        <v>432</v>
      </c>
      <c r="N63" s="23" t="n">
        <v>0</v>
      </c>
      <c r="O63" s="24" t="n">
        <v>0.0429252009333679</v>
      </c>
      <c r="P63" s="24" t="n">
        <f aca="false">IF(ISNUMBER(Stock_Seguridad!N63),Stock_Seguridad!N63,"")</f>
        <v>0.32054794520548</v>
      </c>
      <c r="Q63" s="24" t="n">
        <f aca="false">IF(AND(ISNUMBER(O63),ISNUMBER(P63)),P63-O63,"")</f>
        <v>0.277622744272112</v>
      </c>
      <c r="R63" s="23" t="n">
        <f aca="false">MAX(0,G63-N(L63))</f>
        <v>77257.8</v>
      </c>
      <c r="S63" s="23" t="n">
        <f aca="false">SUMIFS(Cadenas_vs_FCST!$D$17:$D$2437,Cadenas_vs_FCST!$A$17:$A$2437,A63)</f>
        <v>71209.8</v>
      </c>
      <c r="T63" s="23" t="n">
        <f aca="false">SUMIFS(Cadenas_vs_FCST!$E$17:$E$2437,Cadenas_vs_FCST!$A$17:$A$2437,A63)</f>
        <v>61126.4945652174</v>
      </c>
      <c r="U63" s="24" t="n">
        <f aca="false">IF(T63&gt;0,S63/T63-1,"")</f>
        <v>0.16495801872009</v>
      </c>
      <c r="V63" s="3" t="str">
        <f aca="false">IF(OR(E63="BAJO SS",E63="BAJO SS (XLIB CUBRE)"),"SÍ","")</f>
        <v/>
      </c>
      <c r="W63" s="3" t="str">
        <f aca="false">IF(AND(V63="",N(L63)&gt;=Parametros!$B$17,G63&gt;=H63,R63&lt;H63),"SÍ","")</f>
        <v/>
      </c>
      <c r="X63" s="3" t="str">
        <f aca="false">IF(OR(E63="SOBRE MAX VENDIBLE",N(N63)&gt;=Parametros!$B$17,N(M63)&gt;=Parametros!$B$17),"SÍ","")</f>
        <v/>
      </c>
      <c r="Y63" s="3" t="str">
        <f aca="false">IF(AND(ISNUMBER(U63),MAX(S63,T63)&gt;=Parametros!$B$15,ABS(N(U63))&gt;Parametros!$B$14),"SÍ","")</f>
        <v/>
      </c>
      <c r="Z63" s="3" t="n">
        <f aca="false">COUNTIF(V63:Y63,"SÍ")</f>
        <v>0</v>
      </c>
      <c r="AA63" s="3" t="n">
        <f aca="false">(3*(V63="SÍ")+2*(W63="SÍ")+2*(X63="SÍ")+(Y63="SÍ"))*IF(LEFT(D63,1)="A",3,IF(OR(LEFT(D63,1)="B",D63="SIN HIST"),2,1))</f>
        <v>0</v>
      </c>
      <c r="AB63" s="3" t="str">
        <f aca="false">IF(AA63&gt;=9,"1-ALTA",IF(AA63&gt;=4,"2-MEDIA",IF(AA63&gt;0,"3-BAJA","")))</f>
        <v/>
      </c>
      <c r="AC63" s="3" t="str">
        <f aca="false">IF(E63="BAJO SS","Stock + XLIB bajo el SS: riesgo real de quiebre, adelantar producción. ","")&amp;IF(E63="BAJO SS (XLIB CUBRE)","Disponible bajo el SS; depende de liberar "&amp;TEXT(J63,"#,##0")&amp;" kg"&amp;IF(ISNUMBER(K63)," el "&amp;TEXT(K63,"dd-mm"),"")&amp;". ","")&amp;IF(W63="SÍ","Stock parece sano pero "&amp;TEXT(L63,"#,##0")&amp;" kg no pasan filtro "&amp;Stock_Seguridad!O63&amp;": sin ellos queda bajo el SS para esa cadena. ","")&amp;IF(E63="SOBRE MAX VENDIBLE","Sobrestock vs vida útil: frenar producción/activar venta. ","")&amp;IF(N(N63)&gt;=Parametros!$B$17,TEXT(N63,"#,##0")&amp;" kg ya no los acepta ninguna cadena: venta intermedia/liquidación. ","")&amp;IF(N(M63)&gt;=Parametros!$B$17,TEXT(M63,"#,##0")&amp;" kg a punto de salir del filtro: despachar primero (FEFO). ","")&amp;IF(Y63="SÍ","Pedidos "&amp;IF(N(U63)&gt;0,"sobre","bajo")&amp;" FCST "&amp;TEXT(ABS(N(U63)),"0%")&amp;": revisar forecast con KAM.","")</f>
        <v/>
      </c>
    </row>
    <row r="64" customFormat="false" ht="15" hidden="false" customHeight="false" outlineLevel="0" collapsed="false">
      <c r="A64" s="18" t="n">
        <f aca="false">Stock_Seguridad!A64</f>
        <v>30000114</v>
      </c>
      <c r="B64" s="18" t="str">
        <f aca="false">Stock_Seguridad!B64</f>
        <v>MANTECA CRUCINA PANADERA 10X1KG</v>
      </c>
      <c r="C64" s="18" t="str">
        <f aca="false">Stock_Seguridad!C64</f>
        <v>MANTECAS</v>
      </c>
      <c r="D64" s="18" t="str">
        <f aca="false">Stock_Seguridad!F64</f>
        <v>SIN HIST</v>
      </c>
      <c r="E64" s="19" t="str">
        <f aca="false">Stock_Seguridad!X64</f>
        <v>OK</v>
      </c>
      <c r="F64" s="20" t="n">
        <f aca="false">Stock_Seguridad!W64</f>
        <v>1.76850533440641</v>
      </c>
      <c r="G64" s="21" t="n">
        <f aca="false">Stock_Seguridad!T64</f>
        <v>28160</v>
      </c>
      <c r="H64" s="21" t="n">
        <f aca="false">Stock_Seguridad!R64</f>
        <v>9564.95542901296</v>
      </c>
      <c r="I64" s="21" t="n">
        <f aca="false">Stock_Seguridad!S64</f>
        <v>28948.555429013</v>
      </c>
      <c r="J64" s="21" t="n">
        <f aca="false">Stock_Seguridad!U64</f>
        <v>6120</v>
      </c>
      <c r="K64" s="22" t="n">
        <v>46318</v>
      </c>
      <c r="L64" s="23" t="n">
        <v>0</v>
      </c>
      <c r="M64" s="23" t="n">
        <v>2020</v>
      </c>
      <c r="N64" s="23" t="n">
        <v>0</v>
      </c>
      <c r="O64" s="24" t="n">
        <v>0.0538780274292384</v>
      </c>
      <c r="P64" s="24" t="n">
        <f aca="false">IF(ISNUMBER(Stock_Seguridad!N64),Stock_Seguridad!N64,"")</f>
        <v>0.244565217391304</v>
      </c>
      <c r="Q64" s="24" t="n">
        <f aca="false">IF(AND(ISNUMBER(O64),ISNUMBER(P64)),P64-O64,"")</f>
        <v>0.190687189962066</v>
      </c>
      <c r="R64" s="23" t="n">
        <f aca="false">MAX(0,G64-N(L64))</f>
        <v>28160</v>
      </c>
      <c r="S64" s="23" t="n">
        <f aca="false">SUMIFS(Cadenas_vs_FCST!$D$17:$D$2437,Cadenas_vs_FCST!$A$17:$A$2437,A64)</f>
        <v>0</v>
      </c>
      <c r="T64" s="23" t="n">
        <f aca="false">SUMIFS(Cadenas_vs_FCST!$E$17:$E$2437,Cadenas_vs_FCST!$A$17:$A$2437,A64)</f>
        <v>0</v>
      </c>
      <c r="U64" s="24" t="str">
        <f aca="false">IF(T64&gt;0,S64/T64-1,"")</f>
        <v/>
      </c>
      <c r="V64" s="3" t="str">
        <f aca="false">IF(OR(E64="BAJO SS",E64="BAJO SS (XLIB CUBRE)"),"SÍ","")</f>
        <v/>
      </c>
      <c r="W64" s="3" t="str">
        <f aca="false">IF(AND(V64="",N(L64)&gt;=Parametros!$B$17,G64&gt;=H64,R64&lt;H64),"SÍ","")</f>
        <v/>
      </c>
      <c r="X64" s="3" t="str">
        <f aca="false">IF(OR(E64="SOBRE MAX VENDIBLE",N(N64)&gt;=Parametros!$B$17,N(M64)&gt;=Parametros!$B$17),"SÍ","")</f>
        <v>SÍ</v>
      </c>
      <c r="Y64" s="3" t="str">
        <f aca="false">IF(AND(ISNUMBER(U64),MAX(S64,T64)&gt;=Parametros!$B$15,ABS(N(U64))&gt;Parametros!$B$14),"SÍ","")</f>
        <v/>
      </c>
      <c r="Z64" s="3" t="n">
        <f aca="false">COUNTIF(V64:Y64,"SÍ")</f>
        <v>1</v>
      </c>
      <c r="AA64" s="3" t="n">
        <f aca="false">(3*(V64="SÍ")+2*(W64="SÍ")+2*(X64="SÍ")+(Y64="SÍ"))*IF(LEFT(D64,1)="A",3,IF(OR(LEFT(D64,1)="B",D64="SIN HIST"),2,1))</f>
        <v>4</v>
      </c>
      <c r="AB64" s="3" t="str">
        <f aca="false">IF(AA64&gt;=9,"1-ALTA",IF(AA64&gt;=4,"2-MEDIA",IF(AA64&gt;0,"3-BAJA","")))</f>
        <v>2-MEDIA</v>
      </c>
      <c r="AC64" s="3" t="str">
        <f aca="false">IF(E64="BAJO SS","Stock + XLIB bajo el SS: riesgo real de quiebre, adelantar producción. ","")&amp;IF(E64="BAJO SS (XLIB CUBRE)","Disponible bajo el SS; depende de liberar "&amp;TEXT(J64,"#,##0")&amp;" kg"&amp;IF(ISNUMBER(K64)," el "&amp;TEXT(K64,"dd-mm"),"")&amp;". ","")&amp;IF(W64="SÍ","Stock parece sano pero "&amp;TEXT(L64,"#,##0")&amp;" kg no pasan filtro "&amp;Stock_Seguridad!O64&amp;": sin ellos queda bajo el SS para esa cadena. ","")&amp;IF(E64="SOBRE MAX VENDIBLE","Sobrestock vs vida útil: frenar producción/activar venta. ","")&amp;IF(N(N64)&gt;=Parametros!$B$17,TEXT(N64,"#,##0")&amp;" kg ya no los acepta ninguna cadena: venta intermedia/liquidación. ","")&amp;IF(N(M64)&gt;=Parametros!$B$17,TEXT(M64,"#,##0")&amp;" kg a punto de salir del filtro: despachar primero (FEFO). ","")&amp;IF(Y64="SÍ","Pedidos "&amp;IF(N(U64)&gt;0,"sobre","bajo")&amp;" FCST "&amp;TEXT(ABS(N(U64)),"0%")&amp;": revisar forecast con KAM.","")</f>
        <v>2,020 kg a punto de salir del filtro: despachar primero (FEFO). </v>
      </c>
    </row>
    <row r="65" customFormat="false" ht="15" hidden="false" customHeight="false" outlineLevel="0" collapsed="false">
      <c r="A65" s="18" t="n">
        <f aca="false">Stock_Seguridad!A65</f>
        <v>30000118</v>
      </c>
      <c r="B65" s="18" t="str">
        <f aca="false">Stock_Seguridad!B65</f>
        <v>MANTECA CRUCINA 20X1KG</v>
      </c>
      <c r="C65" s="18" t="str">
        <f aca="false">Stock_Seguridad!C65</f>
        <v>MANTECAS</v>
      </c>
      <c r="D65" s="18" t="str">
        <f aca="false">Stock_Seguridad!F65</f>
        <v>SIN HIST</v>
      </c>
      <c r="E65" s="19" t="str">
        <f aca="false">Stock_Seguridad!X65</f>
        <v>OK</v>
      </c>
      <c r="F65" s="20" t="n">
        <f aca="false">Stock_Seguridad!W65</f>
        <v>4.37284718138285</v>
      </c>
      <c r="G65" s="21" t="n">
        <f aca="false">Stock_Seguridad!T65</f>
        <v>83280</v>
      </c>
      <c r="H65" s="21" t="n">
        <f aca="false">Stock_Seguridad!R65</f>
        <v>9397.77250636961</v>
      </c>
      <c r="I65" s="21" t="n">
        <f aca="false">Stock_Seguridad!S65</f>
        <v>28442.5725063696</v>
      </c>
      <c r="J65" s="21" t="n">
        <f aca="false">Stock_Seguridad!U65</f>
        <v>0</v>
      </c>
      <c r="K65" s="22"/>
      <c r="L65" s="23" t="n">
        <v>0</v>
      </c>
      <c r="M65" s="23" t="n">
        <v>220</v>
      </c>
      <c r="N65" s="23" t="n">
        <v>0</v>
      </c>
      <c r="O65" s="24" t="n">
        <v>0.081097502401537</v>
      </c>
      <c r="P65" s="24" t="n">
        <f aca="false">IF(ISNUMBER(Stock_Seguridad!N65),Stock_Seguridad!N65,"")</f>
        <v>0.244565217391304</v>
      </c>
      <c r="Q65" s="24" t="n">
        <f aca="false">IF(AND(ISNUMBER(O65),ISNUMBER(P65)),P65-O65,"")</f>
        <v>0.163467714989767</v>
      </c>
      <c r="R65" s="23" t="n">
        <f aca="false">MAX(0,G65-N(L65))</f>
        <v>83280</v>
      </c>
      <c r="S65" s="23" t="n">
        <f aca="false">SUMIFS(Cadenas_vs_FCST!$D$17:$D$2437,Cadenas_vs_FCST!$A$17:$A$2437,A65)</f>
        <v>0</v>
      </c>
      <c r="T65" s="23" t="n">
        <f aca="false">SUMIFS(Cadenas_vs_FCST!$E$17:$E$2437,Cadenas_vs_FCST!$A$17:$A$2437,A65)</f>
        <v>0</v>
      </c>
      <c r="U65" s="24" t="str">
        <f aca="false">IF(T65&gt;0,S65/T65-1,"")</f>
        <v/>
      </c>
      <c r="V65" s="3" t="str">
        <f aca="false">IF(OR(E65="BAJO SS",E65="BAJO SS (XLIB CUBRE)"),"SÍ","")</f>
        <v/>
      </c>
      <c r="W65" s="3" t="str">
        <f aca="false">IF(AND(V65="",N(L65)&gt;=Parametros!$B$17,G65&gt;=H65,R65&lt;H65),"SÍ","")</f>
        <v/>
      </c>
      <c r="X65" s="3" t="str">
        <f aca="false">IF(OR(E65="SOBRE MAX VENDIBLE",N(N65)&gt;=Parametros!$B$17,N(M65)&gt;=Parametros!$B$17),"SÍ","")</f>
        <v/>
      </c>
      <c r="Y65" s="3" t="str">
        <f aca="false">IF(AND(ISNUMBER(U65),MAX(S65,T65)&gt;=Parametros!$B$15,ABS(N(U65))&gt;Parametros!$B$14),"SÍ","")</f>
        <v/>
      </c>
      <c r="Z65" s="3" t="n">
        <f aca="false">COUNTIF(V65:Y65,"SÍ")</f>
        <v>0</v>
      </c>
      <c r="AA65" s="3" t="n">
        <f aca="false">(3*(V65="SÍ")+2*(W65="SÍ")+2*(X65="SÍ")+(Y65="SÍ"))*IF(LEFT(D65,1)="A",3,IF(OR(LEFT(D65,1)="B",D65="SIN HIST"),2,1))</f>
        <v>0</v>
      </c>
      <c r="AB65" s="3" t="str">
        <f aca="false">IF(AA65&gt;=9,"1-ALTA",IF(AA65&gt;=4,"2-MEDIA",IF(AA65&gt;0,"3-BAJA","")))</f>
        <v/>
      </c>
      <c r="AC65" s="3" t="str">
        <f aca="false">IF(E65="BAJO SS","Stock + XLIB bajo el SS: riesgo real de quiebre, adelantar producción. ","")&amp;IF(E65="BAJO SS (XLIB CUBRE)","Disponible bajo el SS; depende de liberar "&amp;TEXT(J65,"#,##0")&amp;" kg"&amp;IF(ISNUMBER(K65)," el "&amp;TEXT(K65,"dd-mm"),"")&amp;". ","")&amp;IF(W65="SÍ","Stock parece sano pero "&amp;TEXT(L65,"#,##0")&amp;" kg no pasan filtro "&amp;Stock_Seguridad!O65&amp;": sin ellos queda bajo el SS para esa cadena. ","")&amp;IF(E65="SOBRE MAX VENDIBLE","Sobrestock vs vida útil: frenar producción/activar venta. ","")&amp;IF(N(N65)&gt;=Parametros!$B$17,TEXT(N65,"#,##0")&amp;" kg ya no los acepta ninguna cadena: venta intermedia/liquidación. ","")&amp;IF(N(M65)&gt;=Parametros!$B$17,TEXT(M65,"#,##0")&amp;" kg a punto de salir del filtro: despachar primero (FEFO). ","")&amp;IF(Y65="SÍ","Pedidos "&amp;IF(N(U65)&gt;0,"sobre","bajo")&amp;" FCST "&amp;TEXT(ABS(N(U65)),"0%")&amp;": revisar forecast con KAM.","")</f>
        <v/>
      </c>
    </row>
    <row r="66" customFormat="false" ht="15" hidden="false" customHeight="false" outlineLevel="0" collapsed="false">
      <c r="A66" s="18" t="n">
        <f aca="false">Stock_Seguridad!A66</f>
        <v>30002066</v>
      </c>
      <c r="B66" s="18" t="str">
        <f aca="false">Stock_Seguridad!B66</f>
        <v>LECHE FRUTILLA LONCOLECHE 12X1LT</v>
      </c>
      <c r="C66" s="18" t="str">
        <f aca="false">Stock_Seguridad!C66</f>
        <v>LECHES LIQUIDAS</v>
      </c>
      <c r="D66" s="18" t="str">
        <f aca="false">Stock_Seguridad!F66</f>
        <v>AX</v>
      </c>
      <c r="E66" s="19" t="str">
        <f aca="false">Stock_Seguridad!X66</f>
        <v>BAJO SS</v>
      </c>
      <c r="F66" s="20" t="n">
        <f aca="false">Stock_Seguridad!W66</f>
        <v>1.83357879234168</v>
      </c>
      <c r="G66" s="21" t="n">
        <f aca="false">Stock_Seguridad!T66</f>
        <v>34860</v>
      </c>
      <c r="H66" s="21" t="n">
        <f aca="false">Stock_Seguridad!R66</f>
        <v>41008.1387967941</v>
      </c>
      <c r="I66" s="21" t="n">
        <f aca="false">Stock_Seguridad!S66</f>
        <v>60020.1387967941</v>
      </c>
      <c r="J66" s="21" t="n">
        <f aca="false">Stock_Seguridad!U66</f>
        <v>0</v>
      </c>
      <c r="K66" s="22"/>
      <c r="L66" s="23" t="n">
        <v>492</v>
      </c>
      <c r="M66" s="23" t="n">
        <v>0</v>
      </c>
      <c r="N66" s="23" t="n">
        <v>36</v>
      </c>
      <c r="O66" s="24" t="n">
        <v>0.0373115318416523</v>
      </c>
      <c r="P66" s="24" t="n">
        <f aca="false">IF(ISNUMBER(Stock_Seguridad!N66),Stock_Seguridad!N66,"")</f>
        <v>0.238317757009346</v>
      </c>
      <c r="Q66" s="24" t="n">
        <f aca="false">IF(AND(ISNUMBER(O66),ISNUMBER(P66)),P66-O66,"")</f>
        <v>0.201006225167693</v>
      </c>
      <c r="R66" s="23" t="n">
        <f aca="false">MAX(0,G66-N(L66))</f>
        <v>34368</v>
      </c>
      <c r="S66" s="23" t="n">
        <f aca="false">SUMIFS(Cadenas_vs_FCST!$D$17:$D$2437,Cadenas_vs_FCST!$A$17:$A$2437,A66)</f>
        <v>108816</v>
      </c>
      <c r="T66" s="23" t="n">
        <f aca="false">SUMIFS(Cadenas_vs_FCST!$E$17:$E$2437,Cadenas_vs_FCST!$A$17:$A$2437,A66)</f>
        <v>38172.5695669944</v>
      </c>
      <c r="U66" s="24" t="n">
        <f aca="false">IF(T66&gt;0,S66/T66-1,"")</f>
        <v>1.85063335359239</v>
      </c>
      <c r="V66" s="3" t="str">
        <f aca="false">IF(OR(E66="BAJO SS",E66="BAJO SS (XLIB CUBRE)"),"SÍ","")</f>
        <v>SÍ</v>
      </c>
      <c r="W66" s="3" t="str">
        <f aca="false">IF(AND(V66="",N(L66)&gt;=Parametros!$B$17,G66&gt;=H66,R66&lt;H66),"SÍ","")</f>
        <v/>
      </c>
      <c r="X66" s="3" t="str">
        <f aca="false">IF(OR(E66="SOBRE MAX VENDIBLE",N(N66)&gt;=Parametros!$B$17,N(M66)&gt;=Parametros!$B$17),"SÍ","")</f>
        <v/>
      </c>
      <c r="Y66" s="3" t="str">
        <f aca="false">IF(AND(ISNUMBER(U66),MAX(S66,T66)&gt;=Parametros!$B$15,ABS(N(U66))&gt;Parametros!$B$14),"SÍ","")</f>
        <v>SÍ</v>
      </c>
      <c r="Z66" s="3" t="n">
        <f aca="false">COUNTIF(V66:Y66,"SÍ")</f>
        <v>2</v>
      </c>
      <c r="AA66" s="3" t="n">
        <f aca="false">(3*(V66="SÍ")+2*(W66="SÍ")+2*(X66="SÍ")+(Y66="SÍ"))*IF(LEFT(D66,1)="A",3,IF(OR(LEFT(D66,1)="B",D66="SIN HIST"),2,1))</f>
        <v>12</v>
      </c>
      <c r="AB66" s="3" t="str">
        <f aca="false">IF(AA66&gt;=9,"1-ALTA",IF(AA66&gt;=4,"2-MEDIA",IF(AA66&gt;0,"3-BAJA","")))</f>
        <v>1-ALTA</v>
      </c>
      <c r="AC66" s="3" t="str">
        <f aca="false">IF(E66="BAJO SS","Stock + XLIB bajo el SS: riesgo real de quiebre, adelantar producción. ","")&amp;IF(E66="BAJO SS (XLIB CUBRE)","Disponible bajo el SS; depende de liberar "&amp;TEXT(J66,"#,##0")&amp;" kg"&amp;IF(ISNUMBER(K66)," el "&amp;TEXT(K66,"dd-mm"),"")&amp;". ","")&amp;IF(W66="SÍ","Stock parece sano pero "&amp;TEXT(L66,"#,##0")&amp;" kg no pasan filtro "&amp;Stock_Seguridad!O66&amp;": sin ellos queda bajo el SS para esa cadena. ","")&amp;IF(E66="SOBRE MAX VENDIBLE","Sobrestock vs vida útil: frenar producción/activar venta. ","")&amp;IF(N(N66)&gt;=Parametros!$B$17,TEXT(N66,"#,##0")&amp;" kg ya no los acepta ninguna cadena: venta intermedia/liquidación. ","")&amp;IF(N(M66)&gt;=Parametros!$B$17,TEXT(M66,"#,##0")&amp;" kg a punto de salir del filtro: despachar primero (FEFO). ","")&amp;IF(Y66="SÍ","Pedidos "&amp;IF(N(U66)&gt;0,"sobre","bajo")&amp;" FCST "&amp;TEXT(ABS(N(U66)),"0%")&amp;": revisar forecast con KAM.","")</f>
        <v>Stock + XLIB bajo el SS: riesgo real de quiebre, adelantar producción. Pedidos sobre FCST 185%: revisar forecast con KAM.</v>
      </c>
    </row>
    <row r="67" customFormat="false" ht="15" hidden="false" customHeight="false" outlineLevel="0" collapsed="false">
      <c r="A67" s="18" t="n">
        <f aca="false">Stock_Seguridad!A67</f>
        <v>30000466</v>
      </c>
      <c r="B67" s="18" t="str">
        <f aca="false">Stock_Seguridad!B67</f>
        <v>QUESO LAS PARCELAS PIEZA 4X3KG</v>
      </c>
      <c r="C67" s="18" t="str">
        <f aca="false">Stock_Seguridad!C67</f>
        <v>QUESOS</v>
      </c>
      <c r="D67" s="18" t="str">
        <f aca="false">Stock_Seguridad!F67</f>
        <v>AX</v>
      </c>
      <c r="E67" s="19" t="str">
        <f aca="false">Stock_Seguridad!X67</f>
        <v>BAJO P.REORDEN</v>
      </c>
      <c r="F67" s="20" t="n">
        <f aca="false">Stock_Seguridad!W67</f>
        <v>0.840634920634921</v>
      </c>
      <c r="G67" s="21" t="n">
        <f aca="false">Stock_Seguridad!T67</f>
        <v>15888</v>
      </c>
      <c r="H67" s="21" t="n">
        <f aca="false">Stock_Seguridad!R67</f>
        <v>13266.4898817701</v>
      </c>
      <c r="I67" s="21" t="n">
        <f aca="false">Stock_Seguridad!S67</f>
        <v>32166.4898817701</v>
      </c>
      <c r="J67" s="21" t="n">
        <f aca="false">Stock_Seguridad!U67</f>
        <v>0</v>
      </c>
      <c r="K67" s="22"/>
      <c r="L67" s="23" t="n">
        <v>0</v>
      </c>
      <c r="M67" s="23" t="n">
        <v>0</v>
      </c>
      <c r="N67" s="23" t="n">
        <v>0</v>
      </c>
      <c r="O67" s="24" t="n">
        <v>0.0245543806646526</v>
      </c>
      <c r="P67" s="24" t="n">
        <f aca="false">IF(ISNUMBER(Stock_Seguridad!N67),Stock_Seguridad!N67,"")</f>
        <v>0.288372093023256</v>
      </c>
      <c r="Q67" s="24" t="n">
        <f aca="false">IF(AND(ISNUMBER(O67),ISNUMBER(P67)),P67-O67,"")</f>
        <v>0.263817712358603</v>
      </c>
      <c r="R67" s="23" t="n">
        <f aca="false">MAX(0,G67-N(L67))</f>
        <v>15888</v>
      </c>
      <c r="S67" s="23" t="n">
        <f aca="false">SUMIFS(Cadenas_vs_FCST!$D$17:$D$2437,Cadenas_vs_FCST!$A$17:$A$2437,A67)</f>
        <v>67788</v>
      </c>
      <c r="T67" s="23" t="n">
        <f aca="false">SUMIFS(Cadenas_vs_FCST!$E$17:$E$2437,Cadenas_vs_FCST!$A$17:$A$2437,A67)</f>
        <v>84289.314767016</v>
      </c>
      <c r="U67" s="24" t="n">
        <f aca="false">IF(T67&gt;0,S67/T67-1,"")</f>
        <v>-0.195769947977715</v>
      </c>
      <c r="V67" s="3" t="str">
        <f aca="false">IF(OR(E67="BAJO SS",E67="BAJO SS (XLIB CUBRE)"),"SÍ","")</f>
        <v/>
      </c>
      <c r="W67" s="3" t="str">
        <f aca="false">IF(AND(V67="",N(L67)&gt;=Parametros!$B$17,G67&gt;=H67,R67&lt;H67),"SÍ","")</f>
        <v/>
      </c>
      <c r="X67" s="3" t="str">
        <f aca="false">IF(OR(E67="SOBRE MAX VENDIBLE",N(N67)&gt;=Parametros!$B$17,N(M67)&gt;=Parametros!$B$17),"SÍ","")</f>
        <v/>
      </c>
      <c r="Y67" s="3" t="str">
        <f aca="false">IF(AND(ISNUMBER(U67),MAX(S67,T67)&gt;=Parametros!$B$15,ABS(N(U67))&gt;Parametros!$B$14),"SÍ","")</f>
        <v/>
      </c>
      <c r="Z67" s="3" t="n">
        <f aca="false">COUNTIF(V67:Y67,"SÍ")</f>
        <v>0</v>
      </c>
      <c r="AA67" s="3" t="n">
        <f aca="false">(3*(V67="SÍ")+2*(W67="SÍ")+2*(X67="SÍ")+(Y67="SÍ"))*IF(LEFT(D67,1)="A",3,IF(OR(LEFT(D67,1)="B",D67="SIN HIST"),2,1))</f>
        <v>0</v>
      </c>
      <c r="AB67" s="3" t="str">
        <f aca="false">IF(AA67&gt;=9,"1-ALTA",IF(AA67&gt;=4,"2-MEDIA",IF(AA67&gt;0,"3-BAJA","")))</f>
        <v/>
      </c>
      <c r="AC67" s="3" t="str">
        <f aca="false">IF(E67="BAJO SS","Stock + XLIB bajo el SS: riesgo real de quiebre, adelantar producción. ","")&amp;IF(E67="BAJO SS (XLIB CUBRE)","Disponible bajo el SS; depende de liberar "&amp;TEXT(J67,"#,##0")&amp;" kg"&amp;IF(ISNUMBER(K67)," el "&amp;TEXT(K67,"dd-mm"),"")&amp;". ","")&amp;IF(W67="SÍ","Stock parece sano pero "&amp;TEXT(L67,"#,##0")&amp;" kg no pasan filtro "&amp;Stock_Seguridad!O67&amp;": sin ellos queda bajo el SS para esa cadena. ","")&amp;IF(E67="SOBRE MAX VENDIBLE","Sobrestock vs vida útil: frenar producción/activar venta. ","")&amp;IF(N(N67)&gt;=Parametros!$B$17,TEXT(N67,"#,##0")&amp;" kg ya no los acepta ninguna cadena: venta intermedia/liquidación. ","")&amp;IF(N(M67)&gt;=Parametros!$B$17,TEXT(M67,"#,##0")&amp;" kg a punto de salir del filtro: despachar primero (FEFO). ","")&amp;IF(Y67="SÍ","Pedidos "&amp;IF(N(U67)&gt;0,"sobre","bajo")&amp;" FCST "&amp;TEXT(ABS(N(U67)),"0%")&amp;": revisar forecast con KAM.","")</f>
        <v/>
      </c>
    </row>
    <row r="68" customFormat="false" ht="15" hidden="false" customHeight="false" outlineLevel="0" collapsed="false">
      <c r="A68" s="18" t="n">
        <f aca="false">Stock_Seguridad!A68</f>
        <v>30000103</v>
      </c>
      <c r="B68" s="18" t="str">
        <f aca="false">Stock_Seguridad!B68</f>
        <v>MARGARINA HORNITO HORNEO 20X1KG</v>
      </c>
      <c r="C68" s="18" t="str">
        <f aca="false">Stock_Seguridad!C68</f>
        <v>MARGARINAS</v>
      </c>
      <c r="D68" s="18" t="str">
        <f aca="false">Stock_Seguridad!F68</f>
        <v>SIN HIST</v>
      </c>
      <c r="E68" s="19" t="str">
        <f aca="false">Stock_Seguridad!X68</f>
        <v>BAJO SS</v>
      </c>
      <c r="F68" s="20" t="n">
        <f aca="false">Stock_Seguridad!W68</f>
        <v>0</v>
      </c>
      <c r="G68" s="21" t="n">
        <f aca="false">Stock_Seguridad!T68</f>
        <v>0</v>
      </c>
      <c r="H68" s="21" t="n">
        <f aca="false">Stock_Seguridad!R68</f>
        <v>9180.60248200321</v>
      </c>
      <c r="I68" s="21" t="n">
        <f aca="false">Stock_Seguridad!S68</f>
        <v>27785.3024820032</v>
      </c>
      <c r="J68" s="21" t="n">
        <f aca="false">Stock_Seguridad!U68</f>
        <v>0</v>
      </c>
      <c r="K68" s="22"/>
      <c r="L68" s="23"/>
      <c r="M68" s="23"/>
      <c r="N68" s="23"/>
      <c r="O68" s="24"/>
      <c r="P68" s="24" t="n">
        <f aca="false">IF(ISNUMBER(Stock_Seguridad!N68),Stock_Seguridad!N68,"")</f>
        <v>0.211956521739131</v>
      </c>
      <c r="Q68" s="24" t="str">
        <f aca="false">IF(AND(ISNUMBER(O68),ISNUMBER(P68)),P68-O68,"")</f>
        <v/>
      </c>
      <c r="R68" s="23" t="n">
        <f aca="false">MAX(0,G68-N(L68))</f>
        <v>0</v>
      </c>
      <c r="S68" s="23" t="n">
        <f aca="false">SUMIFS(Cadenas_vs_FCST!$D$17:$D$2437,Cadenas_vs_FCST!$A$17:$A$2437,A68)</f>
        <v>0</v>
      </c>
      <c r="T68" s="23" t="n">
        <f aca="false">SUMIFS(Cadenas_vs_FCST!$E$17:$E$2437,Cadenas_vs_FCST!$A$17:$A$2437,A68)</f>
        <v>0</v>
      </c>
      <c r="U68" s="24" t="str">
        <f aca="false">IF(T68&gt;0,S68/T68-1,"")</f>
        <v/>
      </c>
      <c r="V68" s="3" t="str">
        <f aca="false">IF(OR(E68="BAJO SS",E68="BAJO SS (XLIB CUBRE)"),"SÍ","")</f>
        <v>SÍ</v>
      </c>
      <c r="W68" s="3" t="str">
        <f aca="false">IF(AND(V68="",N(L68)&gt;=Parametros!$B$17,G68&gt;=H68,R68&lt;H68),"SÍ","")</f>
        <v/>
      </c>
      <c r="X68" s="3" t="str">
        <f aca="false">IF(OR(E68="SOBRE MAX VENDIBLE",N(N68)&gt;=Parametros!$B$17,N(M68)&gt;=Parametros!$B$17),"SÍ","")</f>
        <v/>
      </c>
      <c r="Y68" s="3" t="str">
        <f aca="false">IF(AND(ISNUMBER(U68),MAX(S68,T68)&gt;=Parametros!$B$15,ABS(N(U68))&gt;Parametros!$B$14),"SÍ","")</f>
        <v/>
      </c>
      <c r="Z68" s="3" t="n">
        <f aca="false">COUNTIF(V68:Y68,"SÍ")</f>
        <v>1</v>
      </c>
      <c r="AA68" s="3" t="n">
        <f aca="false">(3*(V68="SÍ")+2*(W68="SÍ")+2*(X68="SÍ")+(Y68="SÍ"))*IF(LEFT(D68,1)="A",3,IF(OR(LEFT(D68,1)="B",D68="SIN HIST"),2,1))</f>
        <v>6</v>
      </c>
      <c r="AB68" s="3" t="str">
        <f aca="false">IF(AA68&gt;=9,"1-ALTA",IF(AA68&gt;=4,"2-MEDIA",IF(AA68&gt;0,"3-BAJA","")))</f>
        <v>2-MEDIA</v>
      </c>
      <c r="AC68" s="3" t="str">
        <f aca="false">IF(E68="BAJO SS","Stock + XLIB bajo el SS: riesgo real de quiebre, adelantar producción. ","")&amp;IF(E68="BAJO SS (XLIB CUBRE)","Disponible bajo el SS; depende de liberar "&amp;TEXT(J68,"#,##0")&amp;" kg"&amp;IF(ISNUMBER(K68)," el "&amp;TEXT(K68,"dd-mm"),"")&amp;". ","")&amp;IF(W68="SÍ","Stock parece sano pero "&amp;TEXT(L68,"#,##0")&amp;" kg no pasan filtro "&amp;Stock_Seguridad!O68&amp;": sin ellos queda bajo el SS para esa cadena. ","")&amp;IF(E68="SOBRE MAX VENDIBLE","Sobrestock vs vida útil: frenar producción/activar venta. ","")&amp;IF(N(N68)&gt;=Parametros!$B$17,TEXT(N68,"#,##0")&amp;" kg ya no los acepta ninguna cadena: venta intermedia/liquidación. ","")&amp;IF(N(M68)&gt;=Parametros!$B$17,TEXT(M68,"#,##0")&amp;" kg a punto de salir del filtro: despachar primero (FEFO). ","")&amp;IF(Y68="SÍ","Pedidos "&amp;IF(N(U68)&gt;0,"sobre","bajo")&amp;" FCST "&amp;TEXT(ABS(N(U68)),"0%")&amp;": revisar forecast con KAM.","")</f>
        <v>Stock + XLIB bajo el SS: riesgo real de quiebre, adelantar producción. </v>
      </c>
    </row>
    <row r="69" customFormat="false" ht="15" hidden="false" customHeight="false" outlineLevel="0" collapsed="false">
      <c r="A69" s="18" t="n">
        <f aca="false">Stock_Seguridad!A69</f>
        <v>30002065</v>
      </c>
      <c r="B69" s="18" t="str">
        <f aca="false">Stock_Seguridad!B69</f>
        <v>LECHE CHOCOLATE LONCOLECHE 12X1LT</v>
      </c>
      <c r="C69" s="18" t="str">
        <f aca="false">Stock_Seguridad!C69</f>
        <v>LECHES LIQUIDAS</v>
      </c>
      <c r="D69" s="18" t="str">
        <f aca="false">Stock_Seguridad!F69</f>
        <v>AY</v>
      </c>
      <c r="E69" s="19" t="str">
        <f aca="false">Stock_Seguridad!X69</f>
        <v>BAJO P.REORDEN</v>
      </c>
      <c r="F69" s="20" t="n">
        <f aca="false">Stock_Seguridad!W69</f>
        <v>0.677845050075479</v>
      </c>
      <c r="G69" s="21" t="n">
        <f aca="false">Stock_Seguridad!T69</f>
        <v>11520</v>
      </c>
      <c r="H69" s="21" t="n">
        <f aca="false">Stock_Seguridad!R69</f>
        <v>10124.4257011323</v>
      </c>
      <c r="I69" s="21" t="n">
        <f aca="false">Stock_Seguridad!S69</f>
        <v>28606.5257011323</v>
      </c>
      <c r="J69" s="21" t="n">
        <f aca="false">Stock_Seguridad!U69</f>
        <v>1008</v>
      </c>
      <c r="K69" s="22" t="n">
        <v>46320</v>
      </c>
      <c r="L69" s="23" t="n">
        <v>0</v>
      </c>
      <c r="M69" s="23" t="n">
        <v>96</v>
      </c>
      <c r="N69" s="23" t="n">
        <v>0</v>
      </c>
      <c r="O69" s="24" t="n">
        <v>0.0710823754789272</v>
      </c>
      <c r="P69" s="24" t="n">
        <f aca="false">IF(ISNUMBER(Stock_Seguridad!N69),Stock_Seguridad!N69,"")</f>
        <v>0.238317757009346</v>
      </c>
      <c r="Q69" s="24" t="n">
        <f aca="false">IF(AND(ISNUMBER(O69),ISNUMBER(P69)),P69-O69,"")</f>
        <v>0.167235381530419</v>
      </c>
      <c r="R69" s="23" t="n">
        <f aca="false">MAX(0,G69-N(L69))</f>
        <v>11520</v>
      </c>
      <c r="S69" s="23" t="n">
        <f aca="false">SUMIFS(Cadenas_vs_FCST!$D$17:$D$2437,Cadenas_vs_FCST!$A$17:$A$2437,A69)</f>
        <v>28884</v>
      </c>
      <c r="T69" s="23" t="n">
        <f aca="false">SUMIFS(Cadenas_vs_FCST!$E$17:$E$2437,Cadenas_vs_FCST!$A$17:$A$2437,A69)</f>
        <v>31045.2349667435</v>
      </c>
      <c r="U69" s="24" t="n">
        <f aca="false">IF(T69&gt;0,S69/T69-1,"")</f>
        <v>-0.069615674323568</v>
      </c>
      <c r="V69" s="3" t="str">
        <f aca="false">IF(OR(E69="BAJO SS",E69="BAJO SS (XLIB CUBRE)"),"SÍ","")</f>
        <v/>
      </c>
      <c r="W69" s="3" t="str">
        <f aca="false">IF(AND(V69="",N(L69)&gt;=Parametros!$B$17,G69&gt;=H69,R69&lt;H69),"SÍ","")</f>
        <v/>
      </c>
      <c r="X69" s="3" t="str">
        <f aca="false">IF(OR(E69="SOBRE MAX VENDIBLE",N(N69)&gt;=Parametros!$B$17,N(M69)&gt;=Parametros!$B$17),"SÍ","")</f>
        <v/>
      </c>
      <c r="Y69" s="3" t="str">
        <f aca="false">IF(AND(ISNUMBER(U69),MAX(S69,T69)&gt;=Parametros!$B$15,ABS(N(U69))&gt;Parametros!$B$14),"SÍ","")</f>
        <v/>
      </c>
      <c r="Z69" s="3" t="n">
        <f aca="false">COUNTIF(V69:Y69,"SÍ")</f>
        <v>0</v>
      </c>
      <c r="AA69" s="3" t="n">
        <f aca="false">(3*(V69="SÍ")+2*(W69="SÍ")+2*(X69="SÍ")+(Y69="SÍ"))*IF(LEFT(D69,1)="A",3,IF(OR(LEFT(D69,1)="B",D69="SIN HIST"),2,1))</f>
        <v>0</v>
      </c>
      <c r="AB69" s="3" t="str">
        <f aca="false">IF(AA69&gt;=9,"1-ALTA",IF(AA69&gt;=4,"2-MEDIA",IF(AA69&gt;0,"3-BAJA","")))</f>
        <v/>
      </c>
      <c r="AC69" s="3" t="str">
        <f aca="false">IF(E69="BAJO SS","Stock + XLIB bajo el SS: riesgo real de quiebre, adelantar producción. ","")&amp;IF(E69="BAJO SS (XLIB CUBRE)","Disponible bajo el SS; depende de liberar "&amp;TEXT(J69,"#,##0")&amp;" kg"&amp;IF(ISNUMBER(K69)," el "&amp;TEXT(K69,"dd-mm"),"")&amp;". ","")&amp;IF(W69="SÍ","Stock parece sano pero "&amp;TEXT(L69,"#,##0")&amp;" kg no pasan filtro "&amp;Stock_Seguridad!O69&amp;": sin ellos queda bajo el SS para esa cadena. ","")&amp;IF(E69="SOBRE MAX VENDIBLE","Sobrestock vs vida útil: frenar producción/activar venta. ","")&amp;IF(N(N69)&gt;=Parametros!$B$17,TEXT(N69,"#,##0")&amp;" kg ya no los acepta ninguna cadena: venta intermedia/liquidación. ","")&amp;IF(N(M69)&gt;=Parametros!$B$17,TEXT(M69,"#,##0")&amp;" kg a punto de salir del filtro: despachar primero (FEFO). ","")&amp;IF(Y69="SÍ","Pedidos "&amp;IF(N(U69)&gt;0,"sobre","bajo")&amp;" FCST "&amp;TEXT(ABS(N(U69)),"0%")&amp;": revisar forecast con KAM.","")</f>
        <v/>
      </c>
    </row>
    <row r="70" customFormat="false" ht="15" hidden="false" customHeight="false" outlineLevel="0" collapsed="false">
      <c r="A70" s="18" t="n">
        <f aca="false">Stock_Seguridad!A70</f>
        <v>30000401</v>
      </c>
      <c r="B70" s="18" t="str">
        <f aca="false">Stock_Seguridad!B70</f>
        <v>LECHE LONCO FRUTILLA 30X200ML</v>
      </c>
      <c r="C70" s="18" t="str">
        <f aca="false">Stock_Seguridad!C70</f>
        <v>LECHES LIQUIDAS</v>
      </c>
      <c r="D70" s="18" t="str">
        <f aca="false">Stock_Seguridad!F70</f>
        <v>AY</v>
      </c>
      <c r="E70" s="19" t="str">
        <f aca="false">Stock_Seguridad!X70</f>
        <v>OK</v>
      </c>
      <c r="F70" s="20" t="n">
        <f aca="false">Stock_Seguridad!W70</f>
        <v>5.15762475606356</v>
      </c>
      <c r="G70" s="21" t="n">
        <f aca="false">Stock_Seguridad!T70</f>
        <v>91698</v>
      </c>
      <c r="H70" s="21" t="n">
        <f aca="false">Stock_Seguridad!R70</f>
        <v>47041.8350033473</v>
      </c>
      <c r="I70" s="21" t="n">
        <f aca="false">Stock_Seguridad!S70</f>
        <v>64976.8350033473</v>
      </c>
      <c r="J70" s="21" t="n">
        <f aca="false">Stock_Seguridad!U70</f>
        <v>804</v>
      </c>
      <c r="K70" s="22" t="n">
        <v>46313</v>
      </c>
      <c r="L70" s="23" t="n">
        <v>5064</v>
      </c>
      <c r="M70" s="23" t="n">
        <v>4008</v>
      </c>
      <c r="N70" s="23" t="n">
        <v>0</v>
      </c>
      <c r="O70" s="24" t="n">
        <v>0.0915082711644502</v>
      </c>
      <c r="P70" s="24" t="n">
        <f aca="false">IF(ISNUMBER(Stock_Seguridad!N70),Stock_Seguridad!N70,"")</f>
        <v>0.238317757009346</v>
      </c>
      <c r="Q70" s="24" t="n">
        <f aca="false">IF(AND(ISNUMBER(O70),ISNUMBER(P70)),P70-O70,"")</f>
        <v>0.146809485844896</v>
      </c>
      <c r="R70" s="23" t="n">
        <f aca="false">MAX(0,G70-N(L70))</f>
        <v>86634</v>
      </c>
      <c r="S70" s="23" t="n">
        <f aca="false">SUMIFS(Cadenas_vs_FCST!$D$17:$D$2437,Cadenas_vs_FCST!$A$17:$A$2437,A70)</f>
        <v>140712</v>
      </c>
      <c r="T70" s="23" t="n">
        <f aca="false">SUMIFS(Cadenas_vs_FCST!$E$17:$E$2437,Cadenas_vs_FCST!$A$17:$A$2437,A70)</f>
        <v>122422.750411381</v>
      </c>
      <c r="U70" s="24" t="n">
        <f aca="false">IF(T70&gt;0,S70/T70-1,"")</f>
        <v>0.149394205955687</v>
      </c>
      <c r="V70" s="3" t="str">
        <f aca="false">IF(OR(E70="BAJO SS",E70="BAJO SS (XLIB CUBRE)"),"SÍ","")</f>
        <v/>
      </c>
      <c r="W70" s="3" t="str">
        <f aca="false">IF(AND(V70="",N(L70)&gt;=Parametros!$B$17,G70&gt;=H70,R70&lt;H70),"SÍ","")</f>
        <v/>
      </c>
      <c r="X70" s="3" t="str">
        <f aca="false">IF(OR(E70="SOBRE MAX VENDIBLE",N(N70)&gt;=Parametros!$B$17,N(M70)&gt;=Parametros!$B$17),"SÍ","")</f>
        <v>SÍ</v>
      </c>
      <c r="Y70" s="3" t="str">
        <f aca="false">IF(AND(ISNUMBER(U70),MAX(S70,T70)&gt;=Parametros!$B$15,ABS(N(U70))&gt;Parametros!$B$14),"SÍ","")</f>
        <v/>
      </c>
      <c r="Z70" s="3" t="n">
        <f aca="false">COUNTIF(V70:Y70,"SÍ")</f>
        <v>1</v>
      </c>
      <c r="AA70" s="3" t="n">
        <f aca="false">(3*(V70="SÍ")+2*(W70="SÍ")+2*(X70="SÍ")+(Y70="SÍ"))*IF(LEFT(D70,1)="A",3,IF(OR(LEFT(D70,1)="B",D70="SIN HIST"),2,1))</f>
        <v>6</v>
      </c>
      <c r="AB70" s="3" t="str">
        <f aca="false">IF(AA70&gt;=9,"1-ALTA",IF(AA70&gt;=4,"2-MEDIA",IF(AA70&gt;0,"3-BAJA","")))</f>
        <v>2-MEDIA</v>
      </c>
      <c r="AC70" s="3" t="str">
        <f aca="false">IF(E70="BAJO SS","Stock + XLIB bajo el SS: riesgo real de quiebre, adelantar producción. ","")&amp;IF(E70="BAJO SS (XLIB CUBRE)","Disponible bajo el SS; depende de liberar "&amp;TEXT(J70,"#,##0")&amp;" kg"&amp;IF(ISNUMBER(K70)," el "&amp;TEXT(K70,"dd-mm"),"")&amp;". ","")&amp;IF(W70="SÍ","Stock parece sano pero "&amp;TEXT(L70,"#,##0")&amp;" kg no pasan filtro "&amp;Stock_Seguridad!O70&amp;": sin ellos queda bajo el SS para esa cadena. ","")&amp;IF(E70="SOBRE MAX VENDIBLE","Sobrestock vs vida útil: frenar producción/activar venta. ","")&amp;IF(N(N70)&gt;=Parametros!$B$17,TEXT(N70,"#,##0")&amp;" kg ya no los acepta ninguna cadena: venta intermedia/liquidación. ","")&amp;IF(N(M70)&gt;=Parametros!$B$17,TEXT(M70,"#,##0")&amp;" kg a punto de salir del filtro: despachar primero (FEFO). ","")&amp;IF(Y70="SÍ","Pedidos "&amp;IF(N(U70)&gt;0,"sobre","bajo")&amp;" FCST "&amp;TEXT(ABS(N(U70)),"0%")&amp;": revisar forecast con KAM.","")</f>
        <v>4,008 kg a punto de salir del filtro: despachar primero (FEFO). </v>
      </c>
    </row>
    <row r="71" customFormat="false" ht="15" hidden="false" customHeight="false" outlineLevel="0" collapsed="false">
      <c r="A71" s="18" t="n">
        <f aca="false">Stock_Seguridad!A71</f>
        <v>30000516</v>
      </c>
      <c r="B71" s="18" t="str">
        <f aca="false">Stock_Seguridad!B71</f>
        <v>LECHE LONCO PROTEIN MILK CHOCO 12X1LT</v>
      </c>
      <c r="C71" s="18" t="str">
        <f aca="false">Stock_Seguridad!C71</f>
        <v>LECHES LIQUIDAS</v>
      </c>
      <c r="D71" s="18" t="str">
        <f aca="false">Stock_Seguridad!F71</f>
        <v>AX</v>
      </c>
      <c r="E71" s="19" t="str">
        <f aca="false">Stock_Seguridad!X71</f>
        <v>OK</v>
      </c>
      <c r="F71" s="20" t="n">
        <f aca="false">Stock_Seguridad!W71</f>
        <v>3.11293046689377</v>
      </c>
      <c r="G71" s="21" t="n">
        <f aca="false">Stock_Seguridad!T71</f>
        <v>54372</v>
      </c>
      <c r="H71" s="21" t="n">
        <f aca="false">Stock_Seguridad!R71</f>
        <v>5946.86117191186</v>
      </c>
      <c r="I71" s="21" t="n">
        <f aca="false">Stock_Seguridad!S71</f>
        <v>23413.3611719119</v>
      </c>
      <c r="J71" s="21" t="n">
        <f aca="false">Stock_Seguridad!U71</f>
        <v>0</v>
      </c>
      <c r="K71" s="22"/>
      <c r="L71" s="23" t="n">
        <v>24</v>
      </c>
      <c r="M71" s="23" t="n">
        <v>14388</v>
      </c>
      <c r="N71" s="23" t="n">
        <v>12</v>
      </c>
      <c r="O71" s="24" t="n">
        <v>0.106303819827777</v>
      </c>
      <c r="P71" s="24" t="n">
        <f aca="false">IF(ISNUMBER(Stock_Seguridad!N71),Stock_Seguridad!N71,"")</f>
        <v>0.259259259259259</v>
      </c>
      <c r="Q71" s="24" t="n">
        <f aca="false">IF(AND(ISNUMBER(O71),ISNUMBER(P71)),P71-O71,"")</f>
        <v>0.152955439431483</v>
      </c>
      <c r="R71" s="23" t="n">
        <f aca="false">MAX(0,G71-N(L71))</f>
        <v>54348</v>
      </c>
      <c r="S71" s="23" t="n">
        <f aca="false">SUMIFS(Cadenas_vs_FCST!$D$17:$D$2437,Cadenas_vs_FCST!$A$17:$A$2437,A71)</f>
        <v>51792</v>
      </c>
      <c r="T71" s="23" t="n">
        <f aca="false">SUMIFS(Cadenas_vs_FCST!$E$17:$E$2437,Cadenas_vs_FCST!$A$17:$A$2437,A71)</f>
        <v>52663.7659017021</v>
      </c>
      <c r="U71" s="24" t="n">
        <f aca="false">IF(T71&gt;0,S71/T71-1,"")</f>
        <v>-0.0165534288476304</v>
      </c>
      <c r="V71" s="3" t="str">
        <f aca="false">IF(OR(E71="BAJO SS",E71="BAJO SS (XLIB CUBRE)"),"SÍ","")</f>
        <v/>
      </c>
      <c r="W71" s="3" t="str">
        <f aca="false">IF(AND(V71="",N(L71)&gt;=Parametros!$B$17,G71&gt;=H71,R71&lt;H71),"SÍ","")</f>
        <v/>
      </c>
      <c r="X71" s="3" t="str">
        <f aca="false">IF(OR(E71="SOBRE MAX VENDIBLE",N(N71)&gt;=Parametros!$B$17,N(M71)&gt;=Parametros!$B$17),"SÍ","")</f>
        <v>SÍ</v>
      </c>
      <c r="Y71" s="3" t="str">
        <f aca="false">IF(AND(ISNUMBER(U71),MAX(S71,T71)&gt;=Parametros!$B$15,ABS(N(U71))&gt;Parametros!$B$14),"SÍ","")</f>
        <v/>
      </c>
      <c r="Z71" s="3" t="n">
        <f aca="false">COUNTIF(V71:Y71,"SÍ")</f>
        <v>1</v>
      </c>
      <c r="AA71" s="3" t="n">
        <f aca="false">(3*(V71="SÍ")+2*(W71="SÍ")+2*(X71="SÍ")+(Y71="SÍ"))*IF(LEFT(D71,1)="A",3,IF(OR(LEFT(D71,1)="B",D71="SIN HIST"),2,1))</f>
        <v>6</v>
      </c>
      <c r="AB71" s="3" t="str">
        <f aca="false">IF(AA71&gt;=9,"1-ALTA",IF(AA71&gt;=4,"2-MEDIA",IF(AA71&gt;0,"3-BAJA","")))</f>
        <v>2-MEDIA</v>
      </c>
      <c r="AC71" s="3" t="str">
        <f aca="false">IF(E71="BAJO SS","Stock + XLIB bajo el SS: riesgo real de quiebre, adelantar producción. ","")&amp;IF(E71="BAJO SS (XLIB CUBRE)","Disponible bajo el SS; depende de liberar "&amp;TEXT(J71,"#,##0")&amp;" kg"&amp;IF(ISNUMBER(K71)," el "&amp;TEXT(K71,"dd-mm"),"")&amp;". ","")&amp;IF(W71="SÍ","Stock parece sano pero "&amp;TEXT(L71,"#,##0")&amp;" kg no pasan filtro "&amp;Stock_Seguridad!O71&amp;": sin ellos queda bajo el SS para esa cadena. ","")&amp;IF(E71="SOBRE MAX VENDIBLE","Sobrestock vs vida útil: frenar producción/activar venta. ","")&amp;IF(N(N71)&gt;=Parametros!$B$17,TEXT(N71,"#,##0")&amp;" kg ya no los acepta ninguna cadena: venta intermedia/liquidación. ","")&amp;IF(N(M71)&gt;=Parametros!$B$17,TEXT(M71,"#,##0")&amp;" kg a punto de salir del filtro: despachar primero (FEFO). ","")&amp;IF(Y71="SÍ","Pedidos "&amp;IF(N(U71)&gt;0,"sobre","bajo")&amp;" FCST "&amp;TEXT(ABS(N(U71)),"0%")&amp;": revisar forecast con KAM.","")</f>
        <v>14,388 kg a punto de salir del filtro: despachar primero (FEFO). </v>
      </c>
    </row>
    <row r="72" customFormat="false" ht="15" hidden="false" customHeight="false" outlineLevel="0" collapsed="false">
      <c r="A72" s="18" t="n">
        <f aca="false">Stock_Seguridad!A72</f>
        <v>30000122</v>
      </c>
      <c r="B72" s="18" t="str">
        <f aca="false">Stock_Seguridad!B72</f>
        <v>MARGARINA CONDESA HORNEO CZ 1X20KG</v>
      </c>
      <c r="C72" s="18" t="str">
        <f aca="false">Stock_Seguridad!C72</f>
        <v>MARGARINAS</v>
      </c>
      <c r="D72" s="18" t="str">
        <f aca="false">Stock_Seguridad!F72</f>
        <v>SIN HIST</v>
      </c>
      <c r="E72" s="19" t="str">
        <f aca="false">Stock_Seguridad!X72</f>
        <v>OK</v>
      </c>
      <c r="F72" s="20" t="n">
        <f aca="false">Stock_Seguridad!W72</f>
        <v>12.4573584299876</v>
      </c>
      <c r="G72" s="21" t="n">
        <f aca="false">Stock_Seguridad!T72</f>
        <v>191600</v>
      </c>
      <c r="H72" s="21" t="n">
        <f aca="false">Stock_Seguridad!R72</f>
        <v>8606.81174277746</v>
      </c>
      <c r="I72" s="21" t="n">
        <f aca="false">Stock_Seguridad!S72</f>
        <v>26048.7117427775</v>
      </c>
      <c r="J72" s="21" t="n">
        <f aca="false">Stock_Seguridad!U72</f>
        <v>25680</v>
      </c>
      <c r="K72" s="22" t="n">
        <v>46317</v>
      </c>
      <c r="L72" s="23" t="n">
        <v>0</v>
      </c>
      <c r="M72" s="23" t="n">
        <v>0</v>
      </c>
      <c r="N72" s="23" t="n">
        <v>0</v>
      </c>
      <c r="O72" s="24" t="n">
        <v>0.105793446244477</v>
      </c>
      <c r="P72" s="24" t="str">
        <f aca="false">IF(ISNUMBER(Stock_Seguridad!N72),Stock_Seguridad!N72,"")</f>
        <v/>
      </c>
      <c r="Q72" s="24" t="str">
        <f aca="false">IF(AND(ISNUMBER(O72),ISNUMBER(P72)),P72-O72,"")</f>
        <v/>
      </c>
      <c r="R72" s="23" t="n">
        <f aca="false">MAX(0,G72-N(L72))</f>
        <v>191600</v>
      </c>
      <c r="S72" s="23" t="n">
        <f aca="false">SUMIFS(Cadenas_vs_FCST!$D$17:$D$2437,Cadenas_vs_FCST!$A$17:$A$2437,A72)</f>
        <v>0</v>
      </c>
      <c r="T72" s="23" t="n">
        <f aca="false">SUMIFS(Cadenas_vs_FCST!$E$17:$E$2437,Cadenas_vs_FCST!$A$17:$A$2437,A72)</f>
        <v>0</v>
      </c>
      <c r="U72" s="24" t="str">
        <f aca="false">IF(T72&gt;0,S72/T72-1,"")</f>
        <v/>
      </c>
      <c r="V72" s="3" t="str">
        <f aca="false">IF(OR(E72="BAJO SS",E72="BAJO SS (XLIB CUBRE)"),"SÍ","")</f>
        <v/>
      </c>
      <c r="W72" s="3" t="str">
        <f aca="false">IF(AND(V72="",N(L72)&gt;=Parametros!$B$17,G72&gt;=H72,R72&lt;H72),"SÍ","")</f>
        <v/>
      </c>
      <c r="X72" s="3" t="str">
        <f aca="false">IF(OR(E72="SOBRE MAX VENDIBLE",N(N72)&gt;=Parametros!$B$17,N(M72)&gt;=Parametros!$B$17),"SÍ","")</f>
        <v/>
      </c>
      <c r="Y72" s="3" t="str">
        <f aca="false">IF(AND(ISNUMBER(U72),MAX(S72,T72)&gt;=Parametros!$B$15,ABS(N(U72))&gt;Parametros!$B$14),"SÍ","")</f>
        <v/>
      </c>
      <c r="Z72" s="3" t="n">
        <f aca="false">COUNTIF(V72:Y72,"SÍ")</f>
        <v>0</v>
      </c>
      <c r="AA72" s="3" t="n">
        <f aca="false">(3*(V72="SÍ")+2*(W72="SÍ")+2*(X72="SÍ")+(Y72="SÍ"))*IF(LEFT(D72,1)="A",3,IF(OR(LEFT(D72,1)="B",D72="SIN HIST"),2,1))</f>
        <v>0</v>
      </c>
      <c r="AB72" s="3" t="str">
        <f aca="false">IF(AA72&gt;=9,"1-ALTA",IF(AA72&gt;=4,"2-MEDIA",IF(AA72&gt;0,"3-BAJA","")))</f>
        <v/>
      </c>
      <c r="AC72" s="3" t="str">
        <f aca="false">IF(E72="BAJO SS","Stock + XLIB bajo el SS: riesgo real de quiebre, adelantar producción. ","")&amp;IF(E72="BAJO SS (XLIB CUBRE)","Disponible bajo el SS; depende de liberar "&amp;TEXT(J72,"#,##0")&amp;" kg"&amp;IF(ISNUMBER(K72)," el "&amp;TEXT(K72,"dd-mm"),"")&amp;". ","")&amp;IF(W72="SÍ","Stock parece sano pero "&amp;TEXT(L72,"#,##0")&amp;" kg no pasan filtro "&amp;Stock_Seguridad!O72&amp;": sin ellos queda bajo el SS para esa cadena. ","")&amp;IF(E72="SOBRE MAX VENDIBLE","Sobrestock vs vida útil: frenar producción/activar venta. ","")&amp;IF(N(N72)&gt;=Parametros!$B$17,TEXT(N72,"#,##0")&amp;" kg ya no los acepta ninguna cadena: venta intermedia/liquidación. ","")&amp;IF(N(M72)&gt;=Parametros!$B$17,TEXT(M72,"#,##0")&amp;" kg a punto de salir del filtro: despachar primero (FEFO). ","")&amp;IF(Y72="SÍ","Pedidos "&amp;IF(N(U72)&gt;0,"sobre","bajo")&amp;" FCST "&amp;TEXT(ABS(N(U72)),"0%")&amp;": revisar forecast con KAM.","")</f>
        <v/>
      </c>
    </row>
    <row r="73" customFormat="false" ht="15" hidden="false" customHeight="false" outlineLevel="0" collapsed="false">
      <c r="A73" s="18" t="n">
        <f aca="false">Stock_Seguridad!A73</f>
        <v>30000715</v>
      </c>
      <c r="B73" s="18" t="str">
        <f aca="false">Stock_Seguridad!B73</f>
        <v>ENSALADA PRIMAVERA IQF 30X500GR</v>
      </c>
      <c r="C73" s="18" t="str">
        <f aca="false">Stock_Seguridad!C73</f>
        <v>FRUTAS Y HORTALIZAS CONGELADAS</v>
      </c>
      <c r="D73" s="18" t="str">
        <f aca="false">Stock_Seguridad!F73</f>
        <v>SIN HIST</v>
      </c>
      <c r="E73" s="19" t="str">
        <f aca="false">Stock_Seguridad!X73</f>
        <v>OK</v>
      </c>
      <c r="F73" s="20" t="n">
        <f aca="false">Stock_Seguridad!W73</f>
        <v>4.0307554354788</v>
      </c>
      <c r="G73" s="21" t="n">
        <f aca="false">Stock_Seguridad!T73</f>
        <v>69225</v>
      </c>
      <c r="H73" s="21" t="n">
        <f aca="false">Stock_Seguridad!R73</f>
        <v>8474.71354799699</v>
      </c>
      <c r="I73" s="21" t="n">
        <f aca="false">Stock_Seguridad!S73</f>
        <v>25648.913547997</v>
      </c>
      <c r="J73" s="21" t="n">
        <f aca="false">Stock_Seguridad!U73</f>
        <v>0</v>
      </c>
      <c r="K73" s="22"/>
      <c r="L73" s="23" t="n">
        <v>0</v>
      </c>
      <c r="M73" s="23" t="n">
        <v>0</v>
      </c>
      <c r="N73" s="23" t="n">
        <v>0</v>
      </c>
      <c r="O73" s="24" t="n">
        <v>0.0846240520043337</v>
      </c>
      <c r="P73" s="24" t="str">
        <f aca="false">IF(ISNUMBER(Stock_Seguridad!N73),Stock_Seguridad!N73,"")</f>
        <v/>
      </c>
      <c r="Q73" s="24" t="str">
        <f aca="false">IF(AND(ISNUMBER(O73),ISNUMBER(P73)),P73-O73,"")</f>
        <v/>
      </c>
      <c r="R73" s="23" t="n">
        <f aca="false">MAX(0,G73-N(L73))</f>
        <v>69225</v>
      </c>
      <c r="S73" s="23" t="n">
        <f aca="false">SUMIFS(Cadenas_vs_FCST!$D$17:$D$2437,Cadenas_vs_FCST!$A$17:$A$2437,A73)</f>
        <v>0</v>
      </c>
      <c r="T73" s="23" t="n">
        <f aca="false">SUMIFS(Cadenas_vs_FCST!$E$17:$E$2437,Cadenas_vs_FCST!$A$17:$A$2437,A73)</f>
        <v>0</v>
      </c>
      <c r="U73" s="24" t="str">
        <f aca="false">IF(T73&gt;0,S73/T73-1,"")</f>
        <v/>
      </c>
      <c r="V73" s="3" t="str">
        <f aca="false">IF(OR(E73="BAJO SS",E73="BAJO SS (XLIB CUBRE)"),"SÍ","")</f>
        <v/>
      </c>
      <c r="W73" s="3" t="str">
        <f aca="false">IF(AND(V73="",N(L73)&gt;=Parametros!$B$17,G73&gt;=H73,R73&lt;H73),"SÍ","")</f>
        <v/>
      </c>
      <c r="X73" s="3" t="str">
        <f aca="false">IF(OR(E73="SOBRE MAX VENDIBLE",N(N73)&gt;=Parametros!$B$17,N(M73)&gt;=Parametros!$B$17),"SÍ","")</f>
        <v/>
      </c>
      <c r="Y73" s="3" t="str">
        <f aca="false">IF(AND(ISNUMBER(U73),MAX(S73,T73)&gt;=Parametros!$B$15,ABS(N(U73))&gt;Parametros!$B$14),"SÍ","")</f>
        <v/>
      </c>
      <c r="Z73" s="3" t="n">
        <f aca="false">COUNTIF(V73:Y73,"SÍ")</f>
        <v>0</v>
      </c>
      <c r="AA73" s="3" t="n">
        <f aca="false">(3*(V73="SÍ")+2*(W73="SÍ")+2*(X73="SÍ")+(Y73="SÍ"))*IF(LEFT(D73,1)="A",3,IF(OR(LEFT(D73,1)="B",D73="SIN HIST"),2,1))</f>
        <v>0</v>
      </c>
      <c r="AB73" s="3" t="str">
        <f aca="false">IF(AA73&gt;=9,"1-ALTA",IF(AA73&gt;=4,"2-MEDIA",IF(AA73&gt;0,"3-BAJA","")))</f>
        <v/>
      </c>
      <c r="AC73" s="3" t="str">
        <f aca="false">IF(E73="BAJO SS","Stock + XLIB bajo el SS: riesgo real de quiebre, adelantar producción. ","")&amp;IF(E73="BAJO SS (XLIB CUBRE)","Disponible bajo el SS; depende de liberar "&amp;TEXT(J73,"#,##0")&amp;" kg"&amp;IF(ISNUMBER(K73)," el "&amp;TEXT(K73,"dd-mm"),"")&amp;". ","")&amp;IF(W73="SÍ","Stock parece sano pero "&amp;TEXT(L73,"#,##0")&amp;" kg no pasan filtro "&amp;Stock_Seguridad!O73&amp;": sin ellos queda bajo el SS para esa cadena. ","")&amp;IF(E73="SOBRE MAX VENDIBLE","Sobrestock vs vida útil: frenar producción/activar venta. ","")&amp;IF(N(N73)&gt;=Parametros!$B$17,TEXT(N73,"#,##0")&amp;" kg ya no los acepta ninguna cadena: venta intermedia/liquidación. ","")&amp;IF(N(M73)&gt;=Parametros!$B$17,TEXT(M73,"#,##0")&amp;" kg a punto de salir del filtro: despachar primero (FEFO). ","")&amp;IF(Y73="SÍ","Pedidos "&amp;IF(N(U73)&gt;0,"sobre","bajo")&amp;" FCST "&amp;TEXT(ABS(N(U73)),"0%")&amp;": revisar forecast con KAM.","")</f>
        <v/>
      </c>
    </row>
    <row r="74" customFormat="false" ht="15" hidden="false" customHeight="false" outlineLevel="0" collapsed="false">
      <c r="A74" s="18" t="n">
        <f aca="false">Stock_Seguridad!A74</f>
        <v>30000737</v>
      </c>
      <c r="B74" s="18" t="str">
        <f aca="false">Stock_Seguridad!B74</f>
        <v>ARVEJA IQF 30X500GR</v>
      </c>
      <c r="C74" s="18" t="str">
        <f aca="false">Stock_Seguridad!C74</f>
        <v>FRUTAS Y HORTALIZAS CONGELADAS</v>
      </c>
      <c r="D74" s="18" t="str">
        <f aca="false">Stock_Seguridad!F74</f>
        <v>SIN HIST</v>
      </c>
      <c r="E74" s="19" t="str">
        <f aca="false">Stock_Seguridad!X74</f>
        <v>OK</v>
      </c>
      <c r="F74" s="20" t="n">
        <f aca="false">Stock_Seguridad!W74</f>
        <v>6.77620230960386</v>
      </c>
      <c r="G74" s="21" t="n">
        <f aca="false">Stock_Seguridad!T74</f>
        <v>115890</v>
      </c>
      <c r="H74" s="21" t="n">
        <f aca="false">Stock_Seguridad!R74</f>
        <v>8439.33274648126</v>
      </c>
      <c r="I74" s="21" t="n">
        <f aca="false">Stock_Seguridad!S74</f>
        <v>25541.8327464813</v>
      </c>
      <c r="J74" s="21" t="n">
        <f aca="false">Stock_Seguridad!U74</f>
        <v>0</v>
      </c>
      <c r="K74" s="22"/>
      <c r="L74" s="23" t="n">
        <v>0</v>
      </c>
      <c r="M74" s="23" t="n">
        <v>0</v>
      </c>
      <c r="N74" s="23" t="n">
        <v>0</v>
      </c>
      <c r="O74" s="24" t="n">
        <v>0.0927799377916019</v>
      </c>
      <c r="P74" s="24" t="str">
        <f aca="false">IF(ISNUMBER(Stock_Seguridad!N74),Stock_Seguridad!N74,"")</f>
        <v/>
      </c>
      <c r="Q74" s="24" t="str">
        <f aca="false">IF(AND(ISNUMBER(O74),ISNUMBER(P74)),P74-O74,"")</f>
        <v/>
      </c>
      <c r="R74" s="23" t="n">
        <f aca="false">MAX(0,G74-N(L74))</f>
        <v>115890</v>
      </c>
      <c r="S74" s="23" t="n">
        <f aca="false">SUMIFS(Cadenas_vs_FCST!$D$17:$D$2437,Cadenas_vs_FCST!$A$17:$A$2437,A74)</f>
        <v>0</v>
      </c>
      <c r="T74" s="23" t="n">
        <f aca="false">SUMIFS(Cadenas_vs_FCST!$E$17:$E$2437,Cadenas_vs_FCST!$A$17:$A$2437,A74)</f>
        <v>0</v>
      </c>
      <c r="U74" s="24" t="str">
        <f aca="false">IF(T74&gt;0,S74/T74-1,"")</f>
        <v/>
      </c>
      <c r="V74" s="3" t="str">
        <f aca="false">IF(OR(E74="BAJO SS",E74="BAJO SS (XLIB CUBRE)"),"SÍ","")</f>
        <v/>
      </c>
      <c r="W74" s="3" t="str">
        <f aca="false">IF(AND(V74="",N(L74)&gt;=Parametros!$B$17,G74&gt;=H74,R74&lt;H74),"SÍ","")</f>
        <v/>
      </c>
      <c r="X74" s="3" t="str">
        <f aca="false">IF(OR(E74="SOBRE MAX VENDIBLE",N(N74)&gt;=Parametros!$B$17,N(M74)&gt;=Parametros!$B$17),"SÍ","")</f>
        <v/>
      </c>
      <c r="Y74" s="3" t="str">
        <f aca="false">IF(AND(ISNUMBER(U74),MAX(S74,T74)&gt;=Parametros!$B$15,ABS(N(U74))&gt;Parametros!$B$14),"SÍ","")</f>
        <v/>
      </c>
      <c r="Z74" s="3" t="n">
        <f aca="false">COUNTIF(V74:Y74,"SÍ")</f>
        <v>0</v>
      </c>
      <c r="AA74" s="3" t="n">
        <f aca="false">(3*(V74="SÍ")+2*(W74="SÍ")+2*(X74="SÍ")+(Y74="SÍ"))*IF(LEFT(D74,1)="A",3,IF(OR(LEFT(D74,1)="B",D74="SIN HIST"),2,1))</f>
        <v>0</v>
      </c>
      <c r="AB74" s="3" t="str">
        <f aca="false">IF(AA74&gt;=9,"1-ALTA",IF(AA74&gt;=4,"2-MEDIA",IF(AA74&gt;0,"3-BAJA","")))</f>
        <v/>
      </c>
      <c r="AC74" s="3" t="str">
        <f aca="false">IF(E74="BAJO SS","Stock + XLIB bajo el SS: riesgo real de quiebre, adelantar producción. ","")&amp;IF(E74="BAJO SS (XLIB CUBRE)","Disponible bajo el SS; depende de liberar "&amp;TEXT(J74,"#,##0")&amp;" kg"&amp;IF(ISNUMBER(K74)," el "&amp;TEXT(K74,"dd-mm"),"")&amp;". ","")&amp;IF(W74="SÍ","Stock parece sano pero "&amp;TEXT(L74,"#,##0")&amp;" kg no pasan filtro "&amp;Stock_Seguridad!O74&amp;": sin ellos queda bajo el SS para esa cadena. ","")&amp;IF(E74="SOBRE MAX VENDIBLE","Sobrestock vs vida útil: frenar producción/activar venta. ","")&amp;IF(N(N74)&gt;=Parametros!$B$17,TEXT(N74,"#,##0")&amp;" kg ya no los acepta ninguna cadena: venta intermedia/liquidación. ","")&amp;IF(N(M74)&gt;=Parametros!$B$17,TEXT(M74,"#,##0")&amp;" kg a punto de salir del filtro: despachar primero (FEFO). ","")&amp;IF(Y74="SÍ","Pedidos "&amp;IF(N(U74)&gt;0,"sobre","bajo")&amp;" FCST "&amp;TEXT(ABS(N(U74)),"0%")&amp;": revisar forecast con KAM.","")</f>
        <v/>
      </c>
    </row>
    <row r="75" customFormat="false" ht="15" hidden="false" customHeight="false" outlineLevel="0" collapsed="false">
      <c r="A75" s="18" t="n">
        <f aca="false">Stock_Seguridad!A75</f>
        <v>30002315</v>
      </c>
      <c r="B75" s="18" t="str">
        <f aca="false">Stock_Seguridad!B75</f>
        <v>LECHE LONCO FULL PRO DESCR 12X1LT</v>
      </c>
      <c r="C75" s="18" t="str">
        <f aca="false">Stock_Seguridad!C75</f>
        <v>LECHES LIQUIDAS</v>
      </c>
      <c r="D75" s="18" t="str">
        <f aca="false">Stock_Seguridad!F75</f>
        <v>AX</v>
      </c>
      <c r="E75" s="19" t="str">
        <f aca="false">Stock_Seguridad!X75</f>
        <v>BAJO SS (XLIB CUBRE)</v>
      </c>
      <c r="F75" s="20" t="n">
        <f aca="false">Stock_Seguridad!W75</f>
        <v>3.19917182786871</v>
      </c>
      <c r="G75" s="21" t="n">
        <f aca="false">Stock_Seguridad!T75</f>
        <v>2268</v>
      </c>
      <c r="H75" s="21" t="n">
        <f aca="false">Stock_Seguridad!R75</f>
        <v>16055.1703321539</v>
      </c>
      <c r="I75" s="21" t="n">
        <f aca="false">Stock_Seguridad!S75</f>
        <v>32863.2703321539</v>
      </c>
      <c r="J75" s="21" t="n">
        <f aca="false">Stock_Seguridad!U75</f>
        <v>51504</v>
      </c>
      <c r="K75" s="22" t="n">
        <v>46317</v>
      </c>
      <c r="L75" s="23" t="n">
        <v>0</v>
      </c>
      <c r="M75" s="23" t="n">
        <v>0</v>
      </c>
      <c r="N75" s="23" t="n">
        <v>0</v>
      </c>
      <c r="O75" s="24" t="n">
        <v>0.039122963624191</v>
      </c>
      <c r="P75" s="24" t="str">
        <f aca="false">IF(ISNUMBER(Stock_Seguridad!N75),Stock_Seguridad!N75,"")</f>
        <v/>
      </c>
      <c r="Q75" s="24" t="str">
        <f aca="false">IF(AND(ISNUMBER(O75),ISNUMBER(P75)),P75-O75,"")</f>
        <v/>
      </c>
      <c r="R75" s="23" t="n">
        <f aca="false">MAX(0,G75-N(L75))</f>
        <v>2268</v>
      </c>
      <c r="S75" s="23" t="n">
        <f aca="false">SUMIFS(Cadenas_vs_FCST!$D$17:$D$2437,Cadenas_vs_FCST!$A$17:$A$2437,A75)</f>
        <v>73680</v>
      </c>
      <c r="T75" s="23" t="n">
        <f aca="false">SUMIFS(Cadenas_vs_FCST!$E$17:$E$2437,Cadenas_vs_FCST!$A$17:$A$2437,A75)</f>
        <v>53368.4179562293</v>
      </c>
      <c r="U75" s="24" t="n">
        <f aca="false">IF(T75&gt;0,S75/T75-1,"")</f>
        <v>0.380591796077401</v>
      </c>
      <c r="V75" s="3" t="str">
        <f aca="false">IF(OR(E75="BAJO SS",E75="BAJO SS (XLIB CUBRE)"),"SÍ","")</f>
        <v>SÍ</v>
      </c>
      <c r="W75" s="3" t="str">
        <f aca="false">IF(AND(V75="",N(L75)&gt;=Parametros!$B$17,G75&gt;=H75,R75&lt;H75),"SÍ","")</f>
        <v/>
      </c>
      <c r="X75" s="3" t="str">
        <f aca="false">IF(OR(E75="SOBRE MAX VENDIBLE",N(N75)&gt;=Parametros!$B$17,N(M75)&gt;=Parametros!$B$17),"SÍ","")</f>
        <v/>
      </c>
      <c r="Y75" s="3" t="str">
        <f aca="false">IF(AND(ISNUMBER(U75),MAX(S75,T75)&gt;=Parametros!$B$15,ABS(N(U75))&gt;Parametros!$B$14),"SÍ","")</f>
        <v>SÍ</v>
      </c>
      <c r="Z75" s="3" t="n">
        <f aca="false">COUNTIF(V75:Y75,"SÍ")</f>
        <v>2</v>
      </c>
      <c r="AA75" s="3" t="n">
        <f aca="false">(3*(V75="SÍ")+2*(W75="SÍ")+2*(X75="SÍ")+(Y75="SÍ"))*IF(LEFT(D75,1)="A",3,IF(OR(LEFT(D75,1)="B",D75="SIN HIST"),2,1))</f>
        <v>12</v>
      </c>
      <c r="AB75" s="3" t="str">
        <f aca="false">IF(AA75&gt;=9,"1-ALTA",IF(AA75&gt;=4,"2-MEDIA",IF(AA75&gt;0,"3-BAJA","")))</f>
        <v>1-ALTA</v>
      </c>
      <c r="AC75" s="3" t="str">
        <f aca="false">IF(E75="BAJO SS","Stock + XLIB bajo el SS: riesgo real de quiebre, adelantar producción. ","")&amp;IF(E75="BAJO SS (XLIB CUBRE)","Disponible bajo el SS; depende de liberar "&amp;TEXT(J75,"#,##0")&amp;" kg"&amp;IF(ISNUMBER(K75)," el "&amp;TEXT(K75,"dd-mm"),"")&amp;". ","")&amp;IF(W75="SÍ","Stock parece sano pero "&amp;TEXT(L75,"#,##0")&amp;" kg no pasan filtro "&amp;Stock_Seguridad!O75&amp;": sin ellos queda bajo el SS para esa cadena. ","")&amp;IF(E75="SOBRE MAX VENDIBLE","Sobrestock vs vida útil: frenar producción/activar venta. ","")&amp;IF(N(N75)&gt;=Parametros!$B$17,TEXT(N75,"#,##0")&amp;" kg ya no los acepta ninguna cadena: venta intermedia/liquidación. ","")&amp;IF(N(M75)&gt;=Parametros!$B$17,TEXT(M75,"#,##0")&amp;" kg a punto de salir del filtro: despachar primero (FEFO). ","")&amp;IF(Y75="SÍ","Pedidos "&amp;IF(N(U75)&gt;0,"sobre","bajo")&amp;" FCST "&amp;TEXT(ABS(N(U75)),"0%")&amp;": revisar forecast con KAM.","")</f>
        <v>Disponible bajo el SS; depende de liberar 51,504 kg el 22-10. Pedidos sobre FCST 38%: revisar forecast con KAM.</v>
      </c>
    </row>
    <row r="76" customFormat="false" ht="15" hidden="false" customHeight="false" outlineLevel="0" collapsed="false">
      <c r="A76" s="18" t="n">
        <f aca="false">Stock_Seguridad!A76</f>
        <v>30000254</v>
      </c>
      <c r="B76" s="18" t="str">
        <f aca="false">Stock_Seguridad!B76</f>
        <v>NECTAR WATTS NJA LIGHT SIXPACK 30X200ML</v>
      </c>
      <c r="C76" s="18" t="str">
        <f aca="false">Stock_Seguridad!C76</f>
        <v>JUGOS Y NECTARES</v>
      </c>
      <c r="D76" s="18" t="str">
        <f aca="false">Stock_Seguridad!F76</f>
        <v>AX</v>
      </c>
      <c r="E76" s="19" t="str">
        <f aca="false">Stock_Seguridad!X76</f>
        <v>OK</v>
      </c>
      <c r="F76" s="20" t="n">
        <f aca="false">Stock_Seguridad!W76</f>
        <v>4.91689173267596</v>
      </c>
      <c r="G76" s="21" t="n">
        <f aca="false">Stock_Seguridad!T76</f>
        <v>81378</v>
      </c>
      <c r="H76" s="21" t="n">
        <f aca="false">Stock_Seguridad!R76</f>
        <v>11571.6798934817</v>
      </c>
      <c r="I76" s="21" t="n">
        <f aca="false">Stock_Seguridad!S76</f>
        <v>28122.3798934817</v>
      </c>
      <c r="J76" s="21" t="n">
        <f aca="false">Stock_Seguridad!U76</f>
        <v>0</v>
      </c>
      <c r="K76" s="22"/>
      <c r="L76" s="23" t="n">
        <v>126</v>
      </c>
      <c r="M76" s="23" t="n">
        <v>108</v>
      </c>
      <c r="N76" s="23" t="n">
        <v>0</v>
      </c>
      <c r="O76" s="24" t="n">
        <v>0.050925100312082</v>
      </c>
      <c r="P76" s="24" t="n">
        <f aca="false">IF(ISNUMBER(Stock_Seguridad!N76),Stock_Seguridad!N76,"")</f>
        <v>0.316363636363636</v>
      </c>
      <c r="Q76" s="24" t="n">
        <f aca="false">IF(AND(ISNUMBER(O76),ISNUMBER(P76)),P76-O76,"")</f>
        <v>0.265438536051554</v>
      </c>
      <c r="R76" s="23" t="n">
        <f aca="false">MAX(0,G76-N(L76))</f>
        <v>81252</v>
      </c>
      <c r="S76" s="23" t="n">
        <f aca="false">SUMIFS(Cadenas_vs_FCST!$D$17:$D$2437,Cadenas_vs_FCST!$A$17:$A$2437,A76)</f>
        <v>50724</v>
      </c>
      <c r="T76" s="23" t="n">
        <f aca="false">SUMIFS(Cadenas_vs_FCST!$E$17:$E$2437,Cadenas_vs_FCST!$A$17:$A$2437,A76)</f>
        <v>61200.6640080137</v>
      </c>
      <c r="U76" s="24" t="n">
        <f aca="false">IF(T76&gt;0,S76/T76-1,"")</f>
        <v>-0.171185463063634</v>
      </c>
      <c r="V76" s="3" t="str">
        <f aca="false">IF(OR(E76="BAJO SS",E76="BAJO SS (XLIB CUBRE)"),"SÍ","")</f>
        <v/>
      </c>
      <c r="W76" s="3" t="str">
        <f aca="false">IF(AND(V76="",N(L76)&gt;=Parametros!$B$17,G76&gt;=H76,R76&lt;H76),"SÍ","")</f>
        <v/>
      </c>
      <c r="X76" s="3" t="str">
        <f aca="false">IF(OR(E76="SOBRE MAX VENDIBLE",N(N76)&gt;=Parametros!$B$17,N(M76)&gt;=Parametros!$B$17),"SÍ","")</f>
        <v/>
      </c>
      <c r="Y76" s="3" t="str">
        <f aca="false">IF(AND(ISNUMBER(U76),MAX(S76,T76)&gt;=Parametros!$B$15,ABS(N(U76))&gt;Parametros!$B$14),"SÍ","")</f>
        <v/>
      </c>
      <c r="Z76" s="3" t="n">
        <f aca="false">COUNTIF(V76:Y76,"SÍ")</f>
        <v>0</v>
      </c>
      <c r="AA76" s="3" t="n">
        <f aca="false">(3*(V76="SÍ")+2*(W76="SÍ")+2*(X76="SÍ")+(Y76="SÍ"))*IF(LEFT(D76,1)="A",3,IF(OR(LEFT(D76,1)="B",D76="SIN HIST"),2,1))</f>
        <v>0</v>
      </c>
      <c r="AB76" s="3" t="str">
        <f aca="false">IF(AA76&gt;=9,"1-ALTA",IF(AA76&gt;=4,"2-MEDIA",IF(AA76&gt;0,"3-BAJA","")))</f>
        <v/>
      </c>
      <c r="AC76" s="3" t="str">
        <f aca="false">IF(E76="BAJO SS","Stock + XLIB bajo el SS: riesgo real de quiebre, adelantar producción. ","")&amp;IF(E76="BAJO SS (XLIB CUBRE)","Disponible bajo el SS; depende de liberar "&amp;TEXT(J76,"#,##0")&amp;" kg"&amp;IF(ISNUMBER(K76)," el "&amp;TEXT(K76,"dd-mm"),"")&amp;". ","")&amp;IF(W76="SÍ","Stock parece sano pero "&amp;TEXT(L76,"#,##0")&amp;" kg no pasan filtro "&amp;Stock_Seguridad!O76&amp;": sin ellos queda bajo el SS para esa cadena. ","")&amp;IF(E76="SOBRE MAX VENDIBLE","Sobrestock vs vida útil: frenar producción/activar venta. ","")&amp;IF(N(N76)&gt;=Parametros!$B$17,TEXT(N76,"#,##0")&amp;" kg ya no los acepta ninguna cadena: venta intermedia/liquidación. ","")&amp;IF(N(M76)&gt;=Parametros!$B$17,TEXT(M76,"#,##0")&amp;" kg a punto de salir del filtro: despachar primero (FEFO). ","")&amp;IF(Y76="SÍ","Pedidos "&amp;IF(N(U76)&gt;0,"sobre","bajo")&amp;" FCST "&amp;TEXT(ABS(N(U76)),"0%")&amp;": revisar forecast con KAM.","")</f>
        <v/>
      </c>
    </row>
    <row r="77" customFormat="false" ht="15" hidden="false" customHeight="false" outlineLevel="0" collapsed="false">
      <c r="A77" s="18" t="n">
        <f aca="false">Stock_Seguridad!A77</f>
        <v>30001074</v>
      </c>
      <c r="B77" s="18" t="str">
        <f aca="false">Stock_Seguridad!B77</f>
        <v>YOGURT GRIEGO OIKOS NAT END 48X110GR</v>
      </c>
      <c r="C77" s="18" t="str">
        <f aca="false">Stock_Seguridad!C77</f>
        <v>YOGURT</v>
      </c>
      <c r="D77" s="18" t="str">
        <f aca="false">Stock_Seguridad!F77</f>
        <v>AX</v>
      </c>
      <c r="E77" s="19" t="str">
        <f aca="false">Stock_Seguridad!X77</f>
        <v>BAJO SS</v>
      </c>
      <c r="F77" s="20" t="n">
        <f aca="false">Stock_Seguridad!W77</f>
        <v>0.978369818464227</v>
      </c>
      <c r="G77" s="21" t="n">
        <f aca="false">Stock_Seguridad!T77</f>
        <v>16125.1</v>
      </c>
      <c r="H77" s="21" t="n">
        <f aca="false">Stock_Seguridad!R77</f>
        <v>21265.0103879954</v>
      </c>
      <c r="I77" s="21" t="n">
        <f aca="false">Stock_Seguridad!S77</f>
        <v>37746.6103879954</v>
      </c>
      <c r="J77" s="21" t="n">
        <f aca="false">Stock_Seguridad!U77</f>
        <v>0</v>
      </c>
      <c r="K77" s="22"/>
      <c r="L77" s="23" t="n">
        <v>116.16</v>
      </c>
      <c r="M77" s="23" t="n">
        <v>174.24</v>
      </c>
      <c r="N77" s="23" t="n">
        <v>116.16</v>
      </c>
      <c r="O77" s="24" t="n">
        <v>0.109381782308451</v>
      </c>
      <c r="P77" s="24" t="n">
        <f aca="false">IF(ISNUMBER(Stock_Seguridad!N77),Stock_Seguridad!N77,"")</f>
        <v>0.298245614035088</v>
      </c>
      <c r="Q77" s="24" t="n">
        <f aca="false">IF(AND(ISNUMBER(O77),ISNUMBER(P77)),P77-O77,"")</f>
        <v>0.188863831726637</v>
      </c>
      <c r="R77" s="23" t="n">
        <f aca="false">MAX(0,G77-N(L77))</f>
        <v>16008.94</v>
      </c>
      <c r="S77" s="23" t="n">
        <f aca="false">SUMIFS(Cadenas_vs_FCST!$D$17:$D$2437,Cadenas_vs_FCST!$A$17:$A$2437,A77)</f>
        <v>54500.16</v>
      </c>
      <c r="T77" s="23" t="n">
        <f aca="false">SUMIFS(Cadenas_vs_FCST!$E$17:$E$2437,Cadenas_vs_FCST!$A$17:$A$2437,A77)</f>
        <v>74575.9629486474</v>
      </c>
      <c r="U77" s="24" t="n">
        <f aca="false">IF(T77&gt;0,S77/T77-1,"")</f>
        <v>-0.269199379463213</v>
      </c>
      <c r="V77" s="3" t="str">
        <f aca="false">IF(OR(E77="BAJO SS",E77="BAJO SS (XLIB CUBRE)"),"SÍ","")</f>
        <v>SÍ</v>
      </c>
      <c r="W77" s="3" t="str">
        <f aca="false">IF(AND(V77="",N(L77)&gt;=Parametros!$B$17,G77&gt;=H77,R77&lt;H77),"SÍ","")</f>
        <v/>
      </c>
      <c r="X77" s="3" t="str">
        <f aca="false">IF(OR(E77="SOBRE MAX VENDIBLE",N(N77)&gt;=Parametros!$B$17,N(M77)&gt;=Parametros!$B$17),"SÍ","")</f>
        <v/>
      </c>
      <c r="Y77" s="3" t="str">
        <f aca="false">IF(AND(ISNUMBER(U77),MAX(S77,T77)&gt;=Parametros!$B$15,ABS(N(U77))&gt;Parametros!$B$14),"SÍ","")</f>
        <v>SÍ</v>
      </c>
      <c r="Z77" s="3" t="n">
        <f aca="false">COUNTIF(V77:Y77,"SÍ")</f>
        <v>2</v>
      </c>
      <c r="AA77" s="3" t="n">
        <f aca="false">(3*(V77="SÍ")+2*(W77="SÍ")+2*(X77="SÍ")+(Y77="SÍ"))*IF(LEFT(D77,1)="A",3,IF(OR(LEFT(D77,1)="B",D77="SIN HIST"),2,1))</f>
        <v>12</v>
      </c>
      <c r="AB77" s="3" t="str">
        <f aca="false">IF(AA77&gt;=9,"1-ALTA",IF(AA77&gt;=4,"2-MEDIA",IF(AA77&gt;0,"3-BAJA","")))</f>
        <v>1-ALTA</v>
      </c>
      <c r="AC77" s="3" t="str">
        <f aca="false">IF(E77="BAJO SS","Stock + XLIB bajo el SS: riesgo real de quiebre, adelantar producción. ","")&amp;IF(E77="BAJO SS (XLIB CUBRE)","Disponible bajo el SS; depende de liberar "&amp;TEXT(J77,"#,##0")&amp;" kg"&amp;IF(ISNUMBER(K77)," el "&amp;TEXT(K77,"dd-mm"),"")&amp;". ","")&amp;IF(W77="SÍ","Stock parece sano pero "&amp;TEXT(L77,"#,##0")&amp;" kg no pasan filtro "&amp;Stock_Seguridad!O77&amp;": sin ellos queda bajo el SS para esa cadena. ","")&amp;IF(E77="SOBRE MAX VENDIBLE","Sobrestock vs vida útil: frenar producción/activar venta. ","")&amp;IF(N(N77)&gt;=Parametros!$B$17,TEXT(N77,"#,##0")&amp;" kg ya no los acepta ninguna cadena: venta intermedia/liquidación. ","")&amp;IF(N(M77)&gt;=Parametros!$B$17,TEXT(M77,"#,##0")&amp;" kg a punto de salir del filtro: despachar primero (FEFO). ","")&amp;IF(Y77="SÍ","Pedidos "&amp;IF(N(U77)&gt;0,"sobre","bajo")&amp;" FCST "&amp;TEXT(ABS(N(U77)),"0%")&amp;": revisar forecast con KAM.","")</f>
        <v>Stock + XLIB bajo el SS: riesgo real de quiebre, adelantar producción. Pedidos bajo FCST 27%: revisar forecast con KAM.</v>
      </c>
    </row>
    <row r="78" customFormat="false" ht="15" hidden="false" customHeight="false" outlineLevel="0" collapsed="false">
      <c r="A78" s="18" t="n">
        <f aca="false">Stock_Seguridad!A78</f>
        <v>30000206</v>
      </c>
      <c r="B78" s="18" t="str">
        <f aca="false">Stock_Seguridad!B78</f>
        <v>NECTAR WATTS MZNA LIGHT 30X200ML</v>
      </c>
      <c r="C78" s="18" t="str">
        <f aca="false">Stock_Seguridad!C78</f>
        <v>JUGOS Y NECTARES</v>
      </c>
      <c r="D78" s="18" t="str">
        <f aca="false">Stock_Seguridad!F78</f>
        <v>AX</v>
      </c>
      <c r="E78" s="19" t="str">
        <f aca="false">Stock_Seguridad!X78</f>
        <v>OK</v>
      </c>
      <c r="F78" s="20" t="n">
        <f aca="false">Stock_Seguridad!W78</f>
        <v>4.2141231536939</v>
      </c>
      <c r="G78" s="21" t="n">
        <f aca="false">Stock_Seguridad!T78</f>
        <v>65364</v>
      </c>
      <c r="H78" s="21" t="n">
        <f aca="false">Stock_Seguridad!R78</f>
        <v>5450.83530611352</v>
      </c>
      <c r="I78" s="21" t="n">
        <f aca="false">Stock_Seguridad!S78</f>
        <v>20961.5353061135</v>
      </c>
      <c r="J78" s="21" t="n">
        <f aca="false">Stock_Seguridad!U78</f>
        <v>0</v>
      </c>
      <c r="K78" s="22"/>
      <c r="L78" s="23" t="n">
        <v>726</v>
      </c>
      <c r="M78" s="23" t="n">
        <v>8688</v>
      </c>
      <c r="N78" s="23" t="n">
        <v>36</v>
      </c>
      <c r="O78" s="24" t="n">
        <v>0.081144722324384</v>
      </c>
      <c r="P78" s="24" t="n">
        <f aca="false">IF(ISNUMBER(Stock_Seguridad!N78),Stock_Seguridad!N78,"")</f>
        <v>0.192727272727273</v>
      </c>
      <c r="Q78" s="24" t="n">
        <f aca="false">IF(AND(ISNUMBER(O78),ISNUMBER(P78)),P78-O78,"")</f>
        <v>0.111582550402889</v>
      </c>
      <c r="R78" s="23" t="n">
        <f aca="false">MAX(0,G78-N(L78))</f>
        <v>64638</v>
      </c>
      <c r="S78" s="23" t="n">
        <f aca="false">SUMIFS(Cadenas_vs_FCST!$D$17:$D$2437,Cadenas_vs_FCST!$A$17:$A$2437,A78)</f>
        <v>40806</v>
      </c>
      <c r="T78" s="23" t="n">
        <f aca="false">SUMIFS(Cadenas_vs_FCST!$E$17:$E$2437,Cadenas_vs_FCST!$A$17:$A$2437,A78)</f>
        <v>47482.5620332148</v>
      </c>
      <c r="U78" s="24" t="n">
        <f aca="false">IF(T78&gt;0,S78/T78-1,"")</f>
        <v>-0.140610821053516</v>
      </c>
      <c r="V78" s="3" t="str">
        <f aca="false">IF(OR(E78="BAJO SS",E78="BAJO SS (XLIB CUBRE)"),"SÍ","")</f>
        <v/>
      </c>
      <c r="W78" s="3" t="str">
        <f aca="false">IF(AND(V78="",N(L78)&gt;=Parametros!$B$17,G78&gt;=H78,R78&lt;H78),"SÍ","")</f>
        <v/>
      </c>
      <c r="X78" s="3" t="str">
        <f aca="false">IF(OR(E78="SOBRE MAX VENDIBLE",N(N78)&gt;=Parametros!$B$17,N(M78)&gt;=Parametros!$B$17),"SÍ","")</f>
        <v>SÍ</v>
      </c>
      <c r="Y78" s="3" t="str">
        <f aca="false">IF(AND(ISNUMBER(U78),MAX(S78,T78)&gt;=Parametros!$B$15,ABS(N(U78))&gt;Parametros!$B$14),"SÍ","")</f>
        <v/>
      </c>
      <c r="Z78" s="3" t="n">
        <f aca="false">COUNTIF(V78:Y78,"SÍ")</f>
        <v>1</v>
      </c>
      <c r="AA78" s="3" t="n">
        <f aca="false">(3*(V78="SÍ")+2*(W78="SÍ")+2*(X78="SÍ")+(Y78="SÍ"))*IF(LEFT(D78,1)="A",3,IF(OR(LEFT(D78,1)="B",D78="SIN HIST"),2,1))</f>
        <v>6</v>
      </c>
      <c r="AB78" s="3" t="str">
        <f aca="false">IF(AA78&gt;=9,"1-ALTA",IF(AA78&gt;=4,"2-MEDIA",IF(AA78&gt;0,"3-BAJA","")))</f>
        <v>2-MEDIA</v>
      </c>
      <c r="AC78" s="3" t="str">
        <f aca="false">IF(E78="BAJO SS","Stock + XLIB bajo el SS: riesgo real de quiebre, adelantar producción. ","")&amp;IF(E78="BAJO SS (XLIB CUBRE)","Disponible bajo el SS; depende de liberar "&amp;TEXT(J78,"#,##0")&amp;" kg"&amp;IF(ISNUMBER(K78)," el "&amp;TEXT(K78,"dd-mm"),"")&amp;". ","")&amp;IF(W78="SÍ","Stock parece sano pero "&amp;TEXT(L78,"#,##0")&amp;" kg no pasan filtro "&amp;Stock_Seguridad!O78&amp;": sin ellos queda bajo el SS para esa cadena. ","")&amp;IF(E78="SOBRE MAX VENDIBLE","Sobrestock vs vida útil: frenar producción/activar venta. ","")&amp;IF(N(N78)&gt;=Parametros!$B$17,TEXT(N78,"#,##0")&amp;" kg ya no los acepta ninguna cadena: venta intermedia/liquidación. ","")&amp;IF(N(M78)&gt;=Parametros!$B$17,TEXT(M78,"#,##0")&amp;" kg a punto de salir del filtro: despachar primero (FEFO). ","")&amp;IF(Y78="SÍ","Pedidos "&amp;IF(N(U78)&gt;0,"sobre","bajo")&amp;" FCST "&amp;TEXT(ABS(N(U78)),"0%")&amp;": revisar forecast con KAM.","")</f>
        <v>8,688 kg a punto de salir del filtro: despachar primero (FEFO). </v>
      </c>
    </row>
    <row r="79" customFormat="false" ht="15" hidden="false" customHeight="false" outlineLevel="0" collapsed="false">
      <c r="A79" s="18" t="n">
        <f aca="false">Stock_Seguridad!A79</f>
        <v>30001684</v>
      </c>
      <c r="B79" s="18" t="str">
        <f aca="false">Stock_Seguridad!B79</f>
        <v>NECTAR WATTS DZNO S/A 30X200ML</v>
      </c>
      <c r="C79" s="18" t="str">
        <f aca="false">Stock_Seguridad!C79</f>
        <v>JUGOS Y NECTARES</v>
      </c>
      <c r="D79" s="18" t="str">
        <f aca="false">Stock_Seguridad!F79</f>
        <v>AX</v>
      </c>
      <c r="E79" s="19" t="str">
        <f aca="false">Stock_Seguridad!X79</f>
        <v>OK</v>
      </c>
      <c r="F79" s="20" t="n">
        <f aca="false">Stock_Seguridad!W79</f>
        <v>5.00453732272032</v>
      </c>
      <c r="G79" s="21" t="n">
        <f aca="false">Stock_Seguridad!T79</f>
        <v>42978</v>
      </c>
      <c r="H79" s="21" t="n">
        <f aca="false">Stock_Seguridad!R79</f>
        <v>6684.49854615629</v>
      </c>
      <c r="I79" s="21" t="n">
        <f aca="false">Stock_Seguridad!S79</f>
        <v>22112.0985461563</v>
      </c>
      <c r="J79" s="21" t="n">
        <f aca="false">Stock_Seguridad!U79</f>
        <v>34230</v>
      </c>
      <c r="K79" s="22" t="n">
        <v>46317</v>
      </c>
      <c r="L79" s="23" t="n">
        <v>264</v>
      </c>
      <c r="M79" s="23" t="n">
        <v>16746</v>
      </c>
      <c r="N79" s="23" t="n">
        <v>0</v>
      </c>
      <c r="O79" s="24" t="n">
        <v>0.0691576573073034</v>
      </c>
      <c r="P79" s="24" t="n">
        <f aca="false">IF(ISNUMBER(Stock_Seguridad!N79),Stock_Seguridad!N79,"")</f>
        <v>0.192727272727273</v>
      </c>
      <c r="Q79" s="24" t="n">
        <f aca="false">IF(AND(ISNUMBER(O79),ISNUMBER(P79)),P79-O79,"")</f>
        <v>0.123569615419969</v>
      </c>
      <c r="R79" s="23" t="n">
        <f aca="false">MAX(0,G79-N(L79))</f>
        <v>42714</v>
      </c>
      <c r="S79" s="23" t="n">
        <f aca="false">SUMIFS(Cadenas_vs_FCST!$D$17:$D$2437,Cadenas_vs_FCST!$A$17:$A$2437,A79)</f>
        <v>55818</v>
      </c>
      <c r="T79" s="23" t="n">
        <f aca="false">SUMIFS(Cadenas_vs_FCST!$E$17:$E$2437,Cadenas_vs_FCST!$A$17:$A$2437,A79)</f>
        <v>63864.7470800718</v>
      </c>
      <c r="U79" s="24" t="n">
        <f aca="false">IF(T79&gt;0,S79/T79-1,"")</f>
        <v>-0.125996695328379</v>
      </c>
      <c r="V79" s="3" t="str">
        <f aca="false">IF(OR(E79="BAJO SS",E79="BAJO SS (XLIB CUBRE)"),"SÍ","")</f>
        <v/>
      </c>
      <c r="W79" s="3" t="str">
        <f aca="false">IF(AND(V79="",N(L79)&gt;=Parametros!$B$17,G79&gt;=H79,R79&lt;H79),"SÍ","")</f>
        <v/>
      </c>
      <c r="X79" s="3" t="str">
        <f aca="false">IF(OR(E79="SOBRE MAX VENDIBLE",N(N79)&gt;=Parametros!$B$17,N(M79)&gt;=Parametros!$B$17),"SÍ","")</f>
        <v>SÍ</v>
      </c>
      <c r="Y79" s="3" t="str">
        <f aca="false">IF(AND(ISNUMBER(U79),MAX(S79,T79)&gt;=Parametros!$B$15,ABS(N(U79))&gt;Parametros!$B$14),"SÍ","")</f>
        <v/>
      </c>
      <c r="Z79" s="3" t="n">
        <f aca="false">COUNTIF(V79:Y79,"SÍ")</f>
        <v>1</v>
      </c>
      <c r="AA79" s="3" t="n">
        <f aca="false">(3*(V79="SÍ")+2*(W79="SÍ")+2*(X79="SÍ")+(Y79="SÍ"))*IF(LEFT(D79,1)="A",3,IF(OR(LEFT(D79,1)="B",D79="SIN HIST"),2,1))</f>
        <v>6</v>
      </c>
      <c r="AB79" s="3" t="str">
        <f aca="false">IF(AA79&gt;=9,"1-ALTA",IF(AA79&gt;=4,"2-MEDIA",IF(AA79&gt;0,"3-BAJA","")))</f>
        <v>2-MEDIA</v>
      </c>
      <c r="AC79" s="3" t="str">
        <f aca="false">IF(E79="BAJO SS","Stock + XLIB bajo el SS: riesgo real de quiebre, adelantar producción. ","")&amp;IF(E79="BAJO SS (XLIB CUBRE)","Disponible bajo el SS; depende de liberar "&amp;TEXT(J79,"#,##0")&amp;" kg"&amp;IF(ISNUMBER(K79)," el "&amp;TEXT(K79,"dd-mm"),"")&amp;". ","")&amp;IF(W79="SÍ","Stock parece sano pero "&amp;TEXT(L79,"#,##0")&amp;" kg no pasan filtro "&amp;Stock_Seguridad!O79&amp;": sin ellos queda bajo el SS para esa cadena. ","")&amp;IF(E79="SOBRE MAX VENDIBLE","Sobrestock vs vida útil: frenar producción/activar venta. ","")&amp;IF(N(N79)&gt;=Parametros!$B$17,TEXT(N79,"#,##0")&amp;" kg ya no los acepta ninguna cadena: venta intermedia/liquidación. ","")&amp;IF(N(M79)&gt;=Parametros!$B$17,TEXT(M79,"#,##0")&amp;" kg a punto de salir del filtro: despachar primero (FEFO). ","")&amp;IF(Y79="SÍ","Pedidos "&amp;IF(N(U79)&gt;0,"sobre","bajo")&amp;" FCST "&amp;TEXT(ABS(N(U79)),"0%")&amp;": revisar forecast con KAM.","")</f>
        <v>16,746 kg a punto de salir del filtro: despachar primero (FEFO). </v>
      </c>
    </row>
    <row r="80" customFormat="false" ht="15" hidden="false" customHeight="false" outlineLevel="0" collapsed="false">
      <c r="A80" s="18" t="n">
        <f aca="false">Stock_Seguridad!A80</f>
        <v>30001400</v>
      </c>
      <c r="B80" s="18" t="str">
        <f aca="false">Stock_Seguridad!B80</f>
        <v>QUESO LPV LAM S/BORDE 12X470G</v>
      </c>
      <c r="C80" s="18" t="str">
        <f aca="false">Stock_Seguridad!C80</f>
        <v>QUESOS</v>
      </c>
      <c r="D80" s="18" t="str">
        <f aca="false">Stock_Seguridad!F80</f>
        <v>AX</v>
      </c>
      <c r="E80" s="19" t="str">
        <f aca="false">Stock_Seguridad!X80</f>
        <v>OK</v>
      </c>
      <c r="F80" s="20" t="n">
        <f aca="false">Stock_Seguridad!W80</f>
        <v>3.63938613861386</v>
      </c>
      <c r="G80" s="21" t="n">
        <f aca="false">Stock_Seguridad!T80</f>
        <v>41352.5</v>
      </c>
      <c r="H80" s="21" t="n">
        <f aca="false">Stock_Seguridad!R80</f>
        <v>8786.13403941805</v>
      </c>
      <c r="I80" s="21" t="n">
        <f aca="false">Stock_Seguridad!S80</f>
        <v>23936.1340394181</v>
      </c>
      <c r="J80" s="21" t="n">
        <f aca="false">Stock_Seguridad!U80</f>
        <v>13784.2</v>
      </c>
      <c r="K80" s="22" t="n">
        <v>46315</v>
      </c>
      <c r="L80" s="23" t="n">
        <v>45.12</v>
      </c>
      <c r="M80" s="23" t="n">
        <v>0</v>
      </c>
      <c r="N80" s="23" t="n">
        <v>39.48</v>
      </c>
      <c r="O80" s="24" t="n">
        <v>0.0438459177409454</v>
      </c>
      <c r="P80" s="24" t="n">
        <f aca="false">IF(ISNUMBER(Stock_Seguridad!N80),Stock_Seguridad!N80,"")</f>
        <v>0.315217391304348</v>
      </c>
      <c r="Q80" s="24" t="n">
        <f aca="false">IF(AND(ISNUMBER(O80),ISNUMBER(P80)),P80-O80,"")</f>
        <v>0.271371473563402</v>
      </c>
      <c r="R80" s="23" t="n">
        <f aca="false">MAX(0,G80-N(L80))</f>
        <v>41307.38</v>
      </c>
      <c r="S80" s="23" t="n">
        <f aca="false">SUMIFS(Cadenas_vs_FCST!$D$17:$D$2437,Cadenas_vs_FCST!$A$17:$A$2437,A80)</f>
        <v>65051.76</v>
      </c>
      <c r="T80" s="23" t="n">
        <f aca="false">SUMIFS(Cadenas_vs_FCST!$E$17:$E$2437,Cadenas_vs_FCST!$A$17:$A$2437,A80)</f>
        <v>61786.1386788224</v>
      </c>
      <c r="U80" s="24" t="n">
        <f aca="false">IF(T80&gt;0,S80/T80-1,"")</f>
        <v>0.0528536236606882</v>
      </c>
      <c r="V80" s="3" t="str">
        <f aca="false">IF(OR(E80="BAJO SS",E80="BAJO SS (XLIB CUBRE)"),"SÍ","")</f>
        <v/>
      </c>
      <c r="W80" s="3" t="str">
        <f aca="false">IF(AND(V80="",N(L80)&gt;=Parametros!$B$17,G80&gt;=H80,R80&lt;H80),"SÍ","")</f>
        <v/>
      </c>
      <c r="X80" s="3" t="str">
        <f aca="false">IF(OR(E80="SOBRE MAX VENDIBLE",N(N80)&gt;=Parametros!$B$17,N(M80)&gt;=Parametros!$B$17),"SÍ","")</f>
        <v/>
      </c>
      <c r="Y80" s="3" t="str">
        <f aca="false">IF(AND(ISNUMBER(U80),MAX(S80,T80)&gt;=Parametros!$B$15,ABS(N(U80))&gt;Parametros!$B$14),"SÍ","")</f>
        <v/>
      </c>
      <c r="Z80" s="3" t="n">
        <f aca="false">COUNTIF(V80:Y80,"SÍ")</f>
        <v>0</v>
      </c>
      <c r="AA80" s="3" t="n">
        <f aca="false">(3*(V80="SÍ")+2*(W80="SÍ")+2*(X80="SÍ")+(Y80="SÍ"))*IF(LEFT(D80,1)="A",3,IF(OR(LEFT(D80,1)="B",D80="SIN HIST"),2,1))</f>
        <v>0</v>
      </c>
      <c r="AB80" s="3" t="str">
        <f aca="false">IF(AA80&gt;=9,"1-ALTA",IF(AA80&gt;=4,"2-MEDIA",IF(AA80&gt;0,"3-BAJA","")))</f>
        <v/>
      </c>
      <c r="AC80" s="3" t="str">
        <f aca="false">IF(E80="BAJO SS","Stock + XLIB bajo el SS: riesgo real de quiebre, adelantar producción. ","")&amp;IF(E80="BAJO SS (XLIB CUBRE)","Disponible bajo el SS; depende de liberar "&amp;TEXT(J80,"#,##0")&amp;" kg"&amp;IF(ISNUMBER(K80)," el "&amp;TEXT(K80,"dd-mm"),"")&amp;". ","")&amp;IF(W80="SÍ","Stock parece sano pero "&amp;TEXT(L80,"#,##0")&amp;" kg no pasan filtro "&amp;Stock_Seguridad!O80&amp;": sin ellos queda bajo el SS para esa cadena. ","")&amp;IF(E80="SOBRE MAX VENDIBLE","Sobrestock vs vida útil: frenar producción/activar venta. ","")&amp;IF(N(N80)&gt;=Parametros!$B$17,TEXT(N80,"#,##0")&amp;" kg ya no los acepta ninguna cadena: venta intermedia/liquidación. ","")&amp;IF(N(M80)&gt;=Parametros!$B$17,TEXT(M80,"#,##0")&amp;" kg a punto de salir del filtro: despachar primero (FEFO). ","")&amp;IF(Y80="SÍ","Pedidos "&amp;IF(N(U80)&gt;0,"sobre","bajo")&amp;" FCST "&amp;TEXT(ABS(N(U80)),"0%")&amp;": revisar forecast con KAM.","")</f>
        <v/>
      </c>
    </row>
    <row r="81" customFormat="false" ht="15" hidden="false" customHeight="false" outlineLevel="0" collapsed="false">
      <c r="A81" s="18" t="n">
        <f aca="false">Stock_Seguridad!A81</f>
        <v>30001409</v>
      </c>
      <c r="B81" s="18" t="str">
        <f aca="false">Stock_Seguridad!B81</f>
        <v>LECHE POLVO CALO ENTERA INST 20X850GR</v>
      </c>
      <c r="C81" s="18" t="str">
        <f aca="false">Stock_Seguridad!C81</f>
        <v>LECHES EN POLVO</v>
      </c>
      <c r="D81" s="18" t="str">
        <f aca="false">Stock_Seguridad!F81</f>
        <v>AX</v>
      </c>
      <c r="E81" s="19" t="str">
        <f aca="false">Stock_Seguridad!X81</f>
        <v>OK</v>
      </c>
      <c r="F81" s="20" t="n">
        <f aca="false">Stock_Seguridad!W81</f>
        <v>5.38916542336181</v>
      </c>
      <c r="G81" s="21" t="n">
        <f aca="false">Stock_Seguridad!T81</f>
        <v>81634</v>
      </c>
      <c r="H81" s="21" t="n">
        <f aca="false">Stock_Seguridad!R81</f>
        <v>8565.58280379853</v>
      </c>
      <c r="I81" s="21" t="n">
        <f aca="false">Stock_Seguridad!S81</f>
        <v>23713.3828037985</v>
      </c>
      <c r="J81" s="21" t="n">
        <f aca="false">Stock_Seguridad!U81</f>
        <v>0</v>
      </c>
      <c r="K81" s="22"/>
      <c r="L81" s="23" t="n">
        <v>0</v>
      </c>
      <c r="M81" s="23" t="n">
        <v>0</v>
      </c>
      <c r="N81" s="23" t="n">
        <v>0</v>
      </c>
      <c r="O81" s="24" t="n">
        <v>0.0518446398659967</v>
      </c>
      <c r="P81" s="24" t="n">
        <f aca="false">IF(ISNUMBER(Stock_Seguridad!N81),Stock_Seguridad!N81,"")</f>
        <v>0.32054794520548</v>
      </c>
      <c r="Q81" s="24" t="n">
        <f aca="false">IF(AND(ISNUMBER(O81),ISNUMBER(P81)),P81-O81,"")</f>
        <v>0.268703305339483</v>
      </c>
      <c r="R81" s="23" t="n">
        <f aca="false">MAX(0,G81-N(L81))</f>
        <v>81634</v>
      </c>
      <c r="S81" s="23" t="n">
        <f aca="false">SUMIFS(Cadenas_vs_FCST!$D$17:$D$2437,Cadenas_vs_FCST!$A$17:$A$2437,A81)</f>
        <v>60299</v>
      </c>
      <c r="T81" s="23" t="n">
        <f aca="false">SUMIFS(Cadenas_vs_FCST!$E$17:$E$2437,Cadenas_vs_FCST!$A$17:$A$2437,A81)</f>
        <v>66053.3224823844</v>
      </c>
      <c r="U81" s="24" t="n">
        <f aca="false">IF(T81&gt;0,S81/T81-1,"")</f>
        <v>-0.0871163215736656</v>
      </c>
      <c r="V81" s="3" t="str">
        <f aca="false">IF(OR(E81="BAJO SS",E81="BAJO SS (XLIB CUBRE)"),"SÍ","")</f>
        <v/>
      </c>
      <c r="W81" s="3" t="str">
        <f aca="false">IF(AND(V81="",N(L81)&gt;=Parametros!$B$17,G81&gt;=H81,R81&lt;H81),"SÍ","")</f>
        <v/>
      </c>
      <c r="X81" s="3" t="str">
        <f aca="false">IF(OR(E81="SOBRE MAX VENDIBLE",N(N81)&gt;=Parametros!$B$17,N(M81)&gt;=Parametros!$B$17),"SÍ","")</f>
        <v/>
      </c>
      <c r="Y81" s="3" t="str">
        <f aca="false">IF(AND(ISNUMBER(U81),MAX(S81,T81)&gt;=Parametros!$B$15,ABS(N(U81))&gt;Parametros!$B$14),"SÍ","")</f>
        <v/>
      </c>
      <c r="Z81" s="3" t="n">
        <f aca="false">COUNTIF(V81:Y81,"SÍ")</f>
        <v>0</v>
      </c>
      <c r="AA81" s="3" t="n">
        <f aca="false">(3*(V81="SÍ")+2*(W81="SÍ")+2*(X81="SÍ")+(Y81="SÍ"))*IF(LEFT(D81,1)="A",3,IF(OR(LEFT(D81,1)="B",D81="SIN HIST"),2,1))</f>
        <v>0</v>
      </c>
      <c r="AB81" s="3" t="str">
        <f aca="false">IF(AA81&gt;=9,"1-ALTA",IF(AA81&gt;=4,"2-MEDIA",IF(AA81&gt;0,"3-BAJA","")))</f>
        <v/>
      </c>
      <c r="AC81" s="3" t="str">
        <f aca="false">IF(E81="BAJO SS","Stock + XLIB bajo el SS: riesgo real de quiebre, adelantar producción. ","")&amp;IF(E81="BAJO SS (XLIB CUBRE)","Disponible bajo el SS; depende de liberar "&amp;TEXT(J81,"#,##0")&amp;" kg"&amp;IF(ISNUMBER(K81)," el "&amp;TEXT(K81,"dd-mm"),"")&amp;". ","")&amp;IF(W81="SÍ","Stock parece sano pero "&amp;TEXT(L81,"#,##0")&amp;" kg no pasan filtro "&amp;Stock_Seguridad!O81&amp;": sin ellos queda bajo el SS para esa cadena. ","")&amp;IF(E81="SOBRE MAX VENDIBLE","Sobrestock vs vida útil: frenar producción/activar venta. ","")&amp;IF(N(N81)&gt;=Parametros!$B$17,TEXT(N81,"#,##0")&amp;" kg ya no los acepta ninguna cadena: venta intermedia/liquidación. ","")&amp;IF(N(M81)&gt;=Parametros!$B$17,TEXT(M81,"#,##0")&amp;" kg a punto de salir del filtro: despachar primero (FEFO). ","")&amp;IF(Y81="SÍ","Pedidos "&amp;IF(N(U81)&gt;0,"sobre","bajo")&amp;" FCST "&amp;TEXT(ABS(N(U81)),"0%")&amp;": revisar forecast con KAM.","")</f>
        <v/>
      </c>
    </row>
    <row r="82" customFormat="false" ht="15" hidden="false" customHeight="false" outlineLevel="0" collapsed="false">
      <c r="A82" s="18" t="n">
        <f aca="false">Stock_Seguridad!A82</f>
        <v>30000392</v>
      </c>
      <c r="B82" s="18" t="str">
        <f aca="false">Stock_Seguridad!B82</f>
        <v>MANJAR CALO DULCE RELLENO 2X6KG</v>
      </c>
      <c r="C82" s="18" t="str">
        <f aca="false">Stock_Seguridad!C82</f>
        <v>MANJAR</v>
      </c>
      <c r="D82" s="18" t="str">
        <f aca="false">Stock_Seguridad!F82</f>
        <v>SIN HIST</v>
      </c>
      <c r="E82" s="19" t="str">
        <f aca="false">Stock_Seguridad!X82</f>
        <v>OK</v>
      </c>
      <c r="F82" s="20" t="n">
        <f aca="false">Stock_Seguridad!W82</f>
        <v>3.29128159668702</v>
      </c>
      <c r="G82" s="21" t="n">
        <f aca="false">Stock_Seguridad!T82</f>
        <v>35472</v>
      </c>
      <c r="H82" s="21" t="n">
        <f aca="false">Stock_Seguridad!R82</f>
        <v>7459.23026432596</v>
      </c>
      <c r="I82" s="21" t="n">
        <f aca="false">Stock_Seguridad!S82</f>
        <v>22575.530264326</v>
      </c>
      <c r="J82" s="21" t="n">
        <f aca="false">Stock_Seguridad!U82</f>
        <v>14280</v>
      </c>
      <c r="K82" s="22" t="n">
        <v>46321</v>
      </c>
      <c r="L82" s="23" t="n">
        <v>156</v>
      </c>
      <c r="M82" s="23" t="n">
        <v>1632</v>
      </c>
      <c r="N82" s="23" t="n">
        <v>0</v>
      </c>
      <c r="O82" s="24" t="n">
        <v>0.071748673420164</v>
      </c>
      <c r="P82" s="24" t="n">
        <f aca="false">IF(ISNUMBER(Stock_Seguridad!N82),Stock_Seguridad!N82,"")</f>
        <v>0.271739130434783</v>
      </c>
      <c r="Q82" s="24" t="n">
        <f aca="false">IF(AND(ISNUMBER(O82),ISNUMBER(P82)),P82-O82,"")</f>
        <v>0.199990457014619</v>
      </c>
      <c r="R82" s="23" t="n">
        <f aca="false">MAX(0,G82-N(L82))</f>
        <v>35316</v>
      </c>
      <c r="S82" s="23" t="n">
        <f aca="false">SUMIFS(Cadenas_vs_FCST!$D$17:$D$2437,Cadenas_vs_FCST!$A$17:$A$2437,A82)</f>
        <v>0</v>
      </c>
      <c r="T82" s="23" t="n">
        <f aca="false">SUMIFS(Cadenas_vs_FCST!$E$17:$E$2437,Cadenas_vs_FCST!$A$17:$A$2437,A82)</f>
        <v>0</v>
      </c>
      <c r="U82" s="24" t="str">
        <f aca="false">IF(T82&gt;0,S82/T82-1,"")</f>
        <v/>
      </c>
      <c r="V82" s="3" t="str">
        <f aca="false">IF(OR(E82="BAJO SS",E82="BAJO SS (XLIB CUBRE)"),"SÍ","")</f>
        <v/>
      </c>
      <c r="W82" s="3" t="str">
        <f aca="false">IF(AND(V82="",N(L82)&gt;=Parametros!$B$17,G82&gt;=H82,R82&lt;H82),"SÍ","")</f>
        <v/>
      </c>
      <c r="X82" s="3" t="str">
        <f aca="false">IF(OR(E82="SOBRE MAX VENDIBLE",N(N82)&gt;=Parametros!$B$17,N(M82)&gt;=Parametros!$B$17),"SÍ","")</f>
        <v>SÍ</v>
      </c>
      <c r="Y82" s="3" t="str">
        <f aca="false">IF(AND(ISNUMBER(U82),MAX(S82,T82)&gt;=Parametros!$B$15,ABS(N(U82))&gt;Parametros!$B$14),"SÍ","")</f>
        <v/>
      </c>
      <c r="Z82" s="3" t="n">
        <f aca="false">COUNTIF(V82:Y82,"SÍ")</f>
        <v>1</v>
      </c>
      <c r="AA82" s="3" t="n">
        <f aca="false">(3*(V82="SÍ")+2*(W82="SÍ")+2*(X82="SÍ")+(Y82="SÍ"))*IF(LEFT(D82,1)="A",3,IF(OR(LEFT(D82,1)="B",D82="SIN HIST"),2,1))</f>
        <v>4</v>
      </c>
      <c r="AB82" s="3" t="str">
        <f aca="false">IF(AA82&gt;=9,"1-ALTA",IF(AA82&gt;=4,"2-MEDIA",IF(AA82&gt;0,"3-BAJA","")))</f>
        <v>2-MEDIA</v>
      </c>
      <c r="AC82" s="3" t="str">
        <f aca="false">IF(E82="BAJO SS","Stock + XLIB bajo el SS: riesgo real de quiebre, adelantar producción. ","")&amp;IF(E82="BAJO SS (XLIB CUBRE)","Disponible bajo el SS; depende de liberar "&amp;TEXT(J82,"#,##0")&amp;" kg"&amp;IF(ISNUMBER(K82)," el "&amp;TEXT(K82,"dd-mm"),"")&amp;". ","")&amp;IF(W82="SÍ","Stock parece sano pero "&amp;TEXT(L82,"#,##0")&amp;" kg no pasan filtro "&amp;Stock_Seguridad!O82&amp;": sin ellos queda bajo el SS para esa cadena. ","")&amp;IF(E82="SOBRE MAX VENDIBLE","Sobrestock vs vida útil: frenar producción/activar venta. ","")&amp;IF(N(N82)&gt;=Parametros!$B$17,TEXT(N82,"#,##0")&amp;" kg ya no los acepta ninguna cadena: venta intermedia/liquidación. ","")&amp;IF(N(M82)&gt;=Parametros!$B$17,TEXT(M82,"#,##0")&amp;" kg a punto de salir del filtro: despachar primero (FEFO). ","")&amp;IF(Y82="SÍ","Pedidos "&amp;IF(N(U82)&gt;0,"sobre","bajo")&amp;" FCST "&amp;TEXT(ABS(N(U82)),"0%")&amp;": revisar forecast con KAM.","")</f>
        <v>1,632 kg a punto de salir del filtro: despachar primero (FEFO). </v>
      </c>
    </row>
    <row r="83" customFormat="false" ht="15" hidden="false" customHeight="false" outlineLevel="0" collapsed="false">
      <c r="A83" s="18" t="n">
        <f aca="false">Stock_Seguridad!A83</f>
        <v>30000638</v>
      </c>
      <c r="B83" s="18" t="str">
        <f aca="false">Stock_Seguridad!B83</f>
        <v>LENTEJAS WASIL 16X380GR</v>
      </c>
      <c r="C83" s="18" t="str">
        <f aca="false">Stock_Seguridad!C83</f>
        <v>CONSERVAS Y PLATOS LISTOS</v>
      </c>
      <c r="D83" s="18" t="str">
        <f aca="false">Stock_Seguridad!F83</f>
        <v>AX</v>
      </c>
      <c r="E83" s="19" t="str">
        <f aca="false">Stock_Seguridad!X83</f>
        <v>OK</v>
      </c>
      <c r="F83" s="20" t="n">
        <f aca="false">Stock_Seguridad!W83</f>
        <v>16.5755504273275</v>
      </c>
      <c r="G83" s="21" t="n">
        <f aca="false">Stock_Seguridad!T83</f>
        <v>158414.4</v>
      </c>
      <c r="H83" s="21" t="n">
        <f aca="false">Stock_Seguridad!R83</f>
        <v>7486.60771162682</v>
      </c>
      <c r="I83" s="21" t="n">
        <f aca="false">Stock_Seguridad!S83</f>
        <v>22393.2077116268</v>
      </c>
      <c r="J83" s="21" t="n">
        <f aca="false">Stock_Seguridad!U83</f>
        <v>88670.7</v>
      </c>
      <c r="K83" s="22" t="n">
        <v>46317</v>
      </c>
      <c r="L83" s="23" t="n">
        <v>0</v>
      </c>
      <c r="M83" s="23" t="n">
        <v>747.84</v>
      </c>
      <c r="N83" s="23" t="n">
        <v>0</v>
      </c>
      <c r="O83" s="24" t="n">
        <v>0.06779215985432</v>
      </c>
      <c r="P83" s="24" t="n">
        <f aca="false">IF(ISNUMBER(Stock_Seguridad!N83),Stock_Seguridad!N83,"")</f>
        <v>0.198030634573304</v>
      </c>
      <c r="Q83" s="24" t="n">
        <f aca="false">IF(AND(ISNUMBER(O83),ISNUMBER(P83)),P83-O83,"")</f>
        <v>0.130238474718984</v>
      </c>
      <c r="R83" s="23" t="n">
        <f aca="false">MAX(0,G83-N(L83))</f>
        <v>158414.4</v>
      </c>
      <c r="S83" s="23" t="n">
        <f aca="false">SUMIFS(Cadenas_vs_FCST!$D$17:$D$2437,Cadenas_vs_FCST!$A$17:$A$2437,A83)</f>
        <v>54823.36</v>
      </c>
      <c r="T83" s="23" t="n">
        <f aca="false">SUMIFS(Cadenas_vs_FCST!$E$17:$E$2437,Cadenas_vs_FCST!$A$17:$A$2437,A83)</f>
        <v>62163.36</v>
      </c>
      <c r="U83" s="24" t="n">
        <f aca="false">IF(T83&gt;0,S83/T83-1,"")</f>
        <v>-0.11807598559666</v>
      </c>
      <c r="V83" s="3" t="str">
        <f aca="false">IF(OR(E83="BAJO SS",E83="BAJO SS (XLIB CUBRE)"),"SÍ","")</f>
        <v/>
      </c>
      <c r="W83" s="3" t="str">
        <f aca="false">IF(AND(V83="",N(L83)&gt;=Parametros!$B$17,G83&gt;=H83,R83&lt;H83),"SÍ","")</f>
        <v/>
      </c>
      <c r="X83" s="3" t="str">
        <f aca="false">IF(OR(E83="SOBRE MAX VENDIBLE",N(N83)&gt;=Parametros!$B$17,N(M83)&gt;=Parametros!$B$17),"SÍ","")</f>
        <v>SÍ</v>
      </c>
      <c r="Y83" s="3" t="str">
        <f aca="false">IF(AND(ISNUMBER(U83),MAX(S83,T83)&gt;=Parametros!$B$15,ABS(N(U83))&gt;Parametros!$B$14),"SÍ","")</f>
        <v/>
      </c>
      <c r="Z83" s="3" t="n">
        <f aca="false">COUNTIF(V83:Y83,"SÍ")</f>
        <v>1</v>
      </c>
      <c r="AA83" s="3" t="n">
        <f aca="false">(3*(V83="SÍ")+2*(W83="SÍ")+2*(X83="SÍ")+(Y83="SÍ"))*IF(LEFT(D83,1)="A",3,IF(OR(LEFT(D83,1)="B",D83="SIN HIST"),2,1))</f>
        <v>6</v>
      </c>
      <c r="AB83" s="3" t="str">
        <f aca="false">IF(AA83&gt;=9,"1-ALTA",IF(AA83&gt;=4,"2-MEDIA",IF(AA83&gt;0,"3-BAJA","")))</f>
        <v>2-MEDIA</v>
      </c>
      <c r="AC83" s="3" t="str">
        <f aca="false">IF(E83="BAJO SS","Stock + XLIB bajo el SS: riesgo real de quiebre, adelantar producción. ","")&amp;IF(E83="BAJO SS (XLIB CUBRE)","Disponible bajo el SS; depende de liberar "&amp;TEXT(J83,"#,##0")&amp;" kg"&amp;IF(ISNUMBER(K83)," el "&amp;TEXT(K83,"dd-mm"),"")&amp;". ","")&amp;IF(W83="SÍ","Stock parece sano pero "&amp;TEXT(L83,"#,##0")&amp;" kg no pasan filtro "&amp;Stock_Seguridad!O83&amp;": sin ellos queda bajo el SS para esa cadena. ","")&amp;IF(E83="SOBRE MAX VENDIBLE","Sobrestock vs vida útil: frenar producción/activar venta. ","")&amp;IF(N(N83)&gt;=Parametros!$B$17,TEXT(N83,"#,##0")&amp;" kg ya no los acepta ninguna cadena: venta intermedia/liquidación. ","")&amp;IF(N(M83)&gt;=Parametros!$B$17,TEXT(M83,"#,##0")&amp;" kg a punto de salir del filtro: despachar primero (FEFO). ","")&amp;IF(Y83="SÍ","Pedidos "&amp;IF(N(U83)&gt;0,"sobre","bajo")&amp;" FCST "&amp;TEXT(ABS(N(U83)),"0%")&amp;": revisar forecast con KAM.","")</f>
        <v>748 kg a punto de salir del filtro: despachar primero (FEFO). </v>
      </c>
    </row>
    <row r="84" customFormat="false" ht="15" hidden="false" customHeight="false" outlineLevel="0" collapsed="false">
      <c r="A84" s="18" t="n">
        <f aca="false">Stock_Seguridad!A84</f>
        <v>30001049</v>
      </c>
      <c r="B84" s="18" t="str">
        <f aca="false">Stock_Seguridad!B84</f>
        <v>YOGURT CALAN CHMYA NVA BOL 12X1KG</v>
      </c>
      <c r="C84" s="18" t="str">
        <f aca="false">Stock_Seguridad!C84</f>
        <v>YOGURT</v>
      </c>
      <c r="D84" s="18" t="str">
        <f aca="false">Stock_Seguridad!F84</f>
        <v>AX</v>
      </c>
      <c r="E84" s="19" t="str">
        <f aca="false">Stock_Seguridad!X84</f>
        <v>BAJO P.REORDEN</v>
      </c>
      <c r="F84" s="20" t="n">
        <f aca="false">Stock_Seguridad!W84</f>
        <v>1.54012418190972</v>
      </c>
      <c r="G84" s="21" t="n">
        <f aca="false">Stock_Seguridad!T84</f>
        <v>22944</v>
      </c>
      <c r="H84" s="21" t="n">
        <f aca="false">Stock_Seguridad!R84</f>
        <v>9312.48532186151</v>
      </c>
      <c r="I84" s="21" t="n">
        <f aca="false">Stock_Seguridad!S84</f>
        <v>24209.9853218615</v>
      </c>
      <c r="J84" s="21" t="n">
        <f aca="false">Stock_Seguridad!U84</f>
        <v>0</v>
      </c>
      <c r="K84" s="22"/>
      <c r="L84" s="23" t="n">
        <v>336</v>
      </c>
      <c r="M84" s="23" t="n">
        <v>2652</v>
      </c>
      <c r="N84" s="23" t="n">
        <v>336</v>
      </c>
      <c r="O84" s="24" t="n">
        <v>0.13161780104712</v>
      </c>
      <c r="P84" s="24" t="n">
        <f aca="false">IF(ISNUMBER(Stock_Seguridad!N84),Stock_Seguridad!N84,"")</f>
        <v>0.32258064516129</v>
      </c>
      <c r="Q84" s="24" t="n">
        <f aca="false">IF(AND(ISNUMBER(O84),ISNUMBER(P84)),P84-O84,"")</f>
        <v>0.19096284411417</v>
      </c>
      <c r="R84" s="23" t="n">
        <f aca="false">MAX(0,G84-N(L84))</f>
        <v>22608</v>
      </c>
      <c r="S84" s="23" t="n">
        <f aca="false">SUMIFS(Cadenas_vs_FCST!$D$17:$D$2437,Cadenas_vs_FCST!$A$17:$A$2437,A84)</f>
        <v>52404</v>
      </c>
      <c r="T84" s="23" t="n">
        <f aca="false">SUMIFS(Cadenas_vs_FCST!$E$17:$E$2437,Cadenas_vs_FCST!$A$17:$A$2437,A84)</f>
        <v>50602.0027282458</v>
      </c>
      <c r="U84" s="24" t="n">
        <f aca="false">IF(T84&gt;0,S84/T84-1,"")</f>
        <v>0.0356111848266494</v>
      </c>
      <c r="V84" s="3" t="str">
        <f aca="false">IF(OR(E84="BAJO SS",E84="BAJO SS (XLIB CUBRE)"),"SÍ","")</f>
        <v/>
      </c>
      <c r="W84" s="3" t="str">
        <f aca="false">IF(AND(V84="",N(L84)&gt;=Parametros!$B$17,G84&gt;=H84,R84&lt;H84),"SÍ","")</f>
        <v/>
      </c>
      <c r="X84" s="3" t="str">
        <f aca="false">IF(OR(E84="SOBRE MAX VENDIBLE",N(N84)&gt;=Parametros!$B$17,N(M84)&gt;=Parametros!$B$17),"SÍ","")</f>
        <v>SÍ</v>
      </c>
      <c r="Y84" s="3" t="str">
        <f aca="false">IF(AND(ISNUMBER(U84),MAX(S84,T84)&gt;=Parametros!$B$15,ABS(N(U84))&gt;Parametros!$B$14),"SÍ","")</f>
        <v/>
      </c>
      <c r="Z84" s="3" t="n">
        <f aca="false">COUNTIF(V84:Y84,"SÍ")</f>
        <v>1</v>
      </c>
      <c r="AA84" s="3" t="n">
        <f aca="false">(3*(V84="SÍ")+2*(W84="SÍ")+2*(X84="SÍ")+(Y84="SÍ"))*IF(LEFT(D84,1)="A",3,IF(OR(LEFT(D84,1)="B",D84="SIN HIST"),2,1))</f>
        <v>6</v>
      </c>
      <c r="AB84" s="3" t="str">
        <f aca="false">IF(AA84&gt;=9,"1-ALTA",IF(AA84&gt;=4,"2-MEDIA",IF(AA84&gt;0,"3-BAJA","")))</f>
        <v>2-MEDIA</v>
      </c>
      <c r="AC84" s="3" t="str">
        <f aca="false">IF(E84="BAJO SS","Stock + XLIB bajo el SS: riesgo real de quiebre, adelantar producción. ","")&amp;IF(E84="BAJO SS (XLIB CUBRE)","Disponible bajo el SS; depende de liberar "&amp;TEXT(J84,"#,##0")&amp;" kg"&amp;IF(ISNUMBER(K84)," el "&amp;TEXT(K84,"dd-mm"),"")&amp;". ","")&amp;IF(W84="SÍ","Stock parece sano pero "&amp;TEXT(L84,"#,##0")&amp;" kg no pasan filtro "&amp;Stock_Seguridad!O84&amp;": sin ellos queda bajo el SS para esa cadena. ","")&amp;IF(E84="SOBRE MAX VENDIBLE","Sobrestock vs vida útil: frenar producción/activar venta. ","")&amp;IF(N(N84)&gt;=Parametros!$B$17,TEXT(N84,"#,##0")&amp;" kg ya no los acepta ninguna cadena: venta intermedia/liquidación. ","")&amp;IF(N(M84)&gt;=Parametros!$B$17,TEXT(M84,"#,##0")&amp;" kg a punto de salir del filtro: despachar primero (FEFO). ","")&amp;IF(Y84="SÍ","Pedidos "&amp;IF(N(U84)&gt;0,"sobre","bajo")&amp;" FCST "&amp;TEXT(ABS(N(U84)),"0%")&amp;": revisar forecast con KAM.","")</f>
        <v>2,652 kg a punto de salir del filtro: despachar primero (FEFO). </v>
      </c>
    </row>
    <row r="85" customFormat="false" ht="15" hidden="false" customHeight="false" outlineLevel="0" collapsed="false">
      <c r="A85" s="18" t="n">
        <f aca="false">Stock_Seguridad!A85</f>
        <v>30000644</v>
      </c>
      <c r="B85" s="18" t="str">
        <f aca="false">Stock_Seguridad!B85</f>
        <v>DURAZNOS CUBITOS WASIL 16X500GR</v>
      </c>
      <c r="C85" s="18" t="str">
        <f aca="false">Stock_Seguridad!C85</f>
        <v>CONSERVAS Y PLATOS LISTOS</v>
      </c>
      <c r="D85" s="18" t="str">
        <f aca="false">Stock_Seguridad!F85</f>
        <v>AX</v>
      </c>
      <c r="E85" s="19" t="str">
        <f aca="false">Stock_Seguridad!X85</f>
        <v>OK</v>
      </c>
      <c r="F85" s="20" t="n">
        <f aca="false">Stock_Seguridad!W85</f>
        <v>6.35985285825524</v>
      </c>
      <c r="G85" s="21" t="n">
        <f aca="false">Stock_Seguridad!T85</f>
        <v>94744</v>
      </c>
      <c r="H85" s="21" t="n">
        <f aca="false">Stock_Seguridad!R85</f>
        <v>6482.00433225791</v>
      </c>
      <c r="I85" s="21" t="n">
        <f aca="false">Stock_Seguridad!S85</f>
        <v>21379.2043322579</v>
      </c>
      <c r="J85" s="21" t="n">
        <f aca="false">Stock_Seguridad!U85</f>
        <v>0</v>
      </c>
      <c r="K85" s="22"/>
      <c r="L85" s="23" t="n">
        <v>0</v>
      </c>
      <c r="M85" s="23" t="n">
        <v>0</v>
      </c>
      <c r="N85" s="23" t="n">
        <v>0</v>
      </c>
      <c r="O85" s="24" t="n">
        <v>0.221363060552318</v>
      </c>
      <c r="P85" s="24" t="n">
        <f aca="false">IF(ISNUMBER(Stock_Seguridad!N85),Stock_Seguridad!N85,"")</f>
        <v>0.468627450980392</v>
      </c>
      <c r="Q85" s="24" t="n">
        <f aca="false">IF(AND(ISNUMBER(O85),ISNUMBER(P85)),P85-O85,"")</f>
        <v>0.247264390428074</v>
      </c>
      <c r="R85" s="23" t="n">
        <f aca="false">MAX(0,G85-N(L85))</f>
        <v>94744</v>
      </c>
      <c r="S85" s="23" t="n">
        <f aca="false">SUMIFS(Cadenas_vs_FCST!$D$17:$D$2437,Cadenas_vs_FCST!$A$17:$A$2437,A85)</f>
        <v>62976</v>
      </c>
      <c r="T85" s="23" t="n">
        <f aca="false">SUMIFS(Cadenas_vs_FCST!$E$17:$E$2437,Cadenas_vs_FCST!$A$17:$A$2437,A85)</f>
        <v>63364.8</v>
      </c>
      <c r="U85" s="24" t="n">
        <f aca="false">IF(T85&gt;0,S85/T85-1,"")</f>
        <v>-0.00613589879554588</v>
      </c>
      <c r="V85" s="3" t="str">
        <f aca="false">IF(OR(E85="BAJO SS",E85="BAJO SS (XLIB CUBRE)"),"SÍ","")</f>
        <v/>
      </c>
      <c r="W85" s="3" t="str">
        <f aca="false">IF(AND(V85="",N(L85)&gt;=Parametros!$B$17,G85&gt;=H85,R85&lt;H85),"SÍ","")</f>
        <v/>
      </c>
      <c r="X85" s="3" t="str">
        <f aca="false">IF(OR(E85="SOBRE MAX VENDIBLE",N(N85)&gt;=Parametros!$B$17,N(M85)&gt;=Parametros!$B$17),"SÍ","")</f>
        <v/>
      </c>
      <c r="Y85" s="3" t="str">
        <f aca="false">IF(AND(ISNUMBER(U85),MAX(S85,T85)&gt;=Parametros!$B$15,ABS(N(U85))&gt;Parametros!$B$14),"SÍ","")</f>
        <v/>
      </c>
      <c r="Z85" s="3" t="n">
        <f aca="false">COUNTIF(V85:Y85,"SÍ")</f>
        <v>0</v>
      </c>
      <c r="AA85" s="3" t="n">
        <f aca="false">(3*(V85="SÍ")+2*(W85="SÍ")+2*(X85="SÍ")+(Y85="SÍ"))*IF(LEFT(D85,1)="A",3,IF(OR(LEFT(D85,1)="B",D85="SIN HIST"),2,1))</f>
        <v>0</v>
      </c>
      <c r="AB85" s="3" t="str">
        <f aca="false">IF(AA85&gt;=9,"1-ALTA",IF(AA85&gt;=4,"2-MEDIA",IF(AA85&gt;0,"3-BAJA","")))</f>
        <v/>
      </c>
      <c r="AC85" s="3" t="str">
        <f aca="false">IF(E85="BAJO SS","Stock + XLIB bajo el SS: riesgo real de quiebre, adelantar producción. ","")&amp;IF(E85="BAJO SS (XLIB CUBRE)","Disponible bajo el SS; depende de liberar "&amp;TEXT(J85,"#,##0")&amp;" kg"&amp;IF(ISNUMBER(K85)," el "&amp;TEXT(K85,"dd-mm"),"")&amp;". ","")&amp;IF(W85="SÍ","Stock parece sano pero "&amp;TEXT(L85,"#,##0")&amp;" kg no pasan filtro "&amp;Stock_Seguridad!O85&amp;": sin ellos queda bajo el SS para esa cadena. ","")&amp;IF(E85="SOBRE MAX VENDIBLE","Sobrestock vs vida útil: frenar producción/activar venta. ","")&amp;IF(N(N85)&gt;=Parametros!$B$17,TEXT(N85,"#,##0")&amp;" kg ya no los acepta ninguna cadena: venta intermedia/liquidación. ","")&amp;IF(N(M85)&gt;=Parametros!$B$17,TEXT(M85,"#,##0")&amp;" kg a punto de salir del filtro: despachar primero (FEFO). ","")&amp;IF(Y85="SÍ","Pedidos "&amp;IF(N(U85)&gt;0,"sobre","bajo")&amp;" FCST "&amp;TEXT(ABS(N(U85)),"0%")&amp;": revisar forecast con KAM.","")</f>
        <v/>
      </c>
    </row>
    <row r="86" customFormat="false" ht="15" hidden="false" customHeight="false" outlineLevel="0" collapsed="false">
      <c r="A86" s="18" t="n">
        <f aca="false">Stock_Seguridad!A86</f>
        <v>30000194</v>
      </c>
      <c r="B86" s="18" t="str">
        <f aca="false">Stock_Seguridad!B86</f>
        <v>DULCE MEMBRILLO WATTS 12X250GR</v>
      </c>
      <c r="C86" s="18" t="str">
        <f aca="false">Stock_Seguridad!C86</f>
        <v>DULCES</v>
      </c>
      <c r="D86" s="18" t="str">
        <f aca="false">Stock_Seguridad!F86</f>
        <v>AX</v>
      </c>
      <c r="E86" s="19" t="str">
        <f aca="false">Stock_Seguridad!X86</f>
        <v>OK</v>
      </c>
      <c r="F86" s="20" t="n">
        <f aca="false">Stock_Seguridad!W86</f>
        <v>3.59891553351128</v>
      </c>
      <c r="G86" s="21" t="n">
        <f aca="false">Stock_Seguridad!T86</f>
        <v>47241</v>
      </c>
      <c r="H86" s="21" t="n">
        <f aca="false">Stock_Seguridad!R86</f>
        <v>4962.09700884222</v>
      </c>
      <c r="I86" s="21" t="n">
        <f aca="false">Stock_Seguridad!S86</f>
        <v>19236.3970088422</v>
      </c>
      <c r="J86" s="21" t="n">
        <f aca="false">Stock_Seguridad!U86</f>
        <v>4131</v>
      </c>
      <c r="K86" s="22" t="n">
        <v>46315</v>
      </c>
      <c r="L86" s="23" t="n">
        <v>0</v>
      </c>
      <c r="M86" s="23" t="n">
        <v>0</v>
      </c>
      <c r="N86" s="23" t="n">
        <v>0</v>
      </c>
      <c r="O86" s="24" t="n">
        <v>0.0349821793748174</v>
      </c>
      <c r="P86" s="24" t="n">
        <f aca="false">IF(ISNUMBER(Stock_Seguridad!N86),Stock_Seguridad!N86,"")</f>
        <v>0.194520547945206</v>
      </c>
      <c r="Q86" s="24" t="n">
        <f aca="false">IF(AND(ISNUMBER(O86),ISNUMBER(P86)),P86-O86,"")</f>
        <v>0.159538368570388</v>
      </c>
      <c r="R86" s="23" t="n">
        <f aca="false">MAX(0,G86-N(L86))</f>
        <v>47241</v>
      </c>
      <c r="S86" s="23" t="n">
        <f aca="false">SUMIFS(Cadenas_vs_FCST!$D$17:$D$2437,Cadenas_vs_FCST!$A$17:$A$2437,A86)</f>
        <v>53619</v>
      </c>
      <c r="T86" s="23" t="n">
        <f aca="false">SUMIFS(Cadenas_vs_FCST!$E$17:$E$2437,Cadenas_vs_FCST!$A$17:$A$2437,A86)</f>
        <v>58915</v>
      </c>
      <c r="U86" s="24" t="n">
        <f aca="false">IF(T86&gt;0,S86/T86-1,"")</f>
        <v>-0.0898922176016295</v>
      </c>
      <c r="V86" s="3" t="str">
        <f aca="false">IF(OR(E86="BAJO SS",E86="BAJO SS (XLIB CUBRE)"),"SÍ","")</f>
        <v/>
      </c>
      <c r="W86" s="3" t="str">
        <f aca="false">IF(AND(V86="",N(L86)&gt;=Parametros!$B$17,G86&gt;=H86,R86&lt;H86),"SÍ","")</f>
        <v/>
      </c>
      <c r="X86" s="3" t="str">
        <f aca="false">IF(OR(E86="SOBRE MAX VENDIBLE",N(N86)&gt;=Parametros!$B$17,N(M86)&gt;=Parametros!$B$17),"SÍ","")</f>
        <v/>
      </c>
      <c r="Y86" s="3" t="str">
        <f aca="false">IF(AND(ISNUMBER(U86),MAX(S86,T86)&gt;=Parametros!$B$15,ABS(N(U86))&gt;Parametros!$B$14),"SÍ","")</f>
        <v/>
      </c>
      <c r="Z86" s="3" t="n">
        <f aca="false">COUNTIF(V86:Y86,"SÍ")</f>
        <v>0</v>
      </c>
      <c r="AA86" s="3" t="n">
        <f aca="false">(3*(V86="SÍ")+2*(W86="SÍ")+2*(X86="SÍ")+(Y86="SÍ"))*IF(LEFT(D86,1)="A",3,IF(OR(LEFT(D86,1)="B",D86="SIN HIST"),2,1))</f>
        <v>0</v>
      </c>
      <c r="AB86" s="3" t="str">
        <f aca="false">IF(AA86&gt;=9,"1-ALTA",IF(AA86&gt;=4,"2-MEDIA",IF(AA86&gt;0,"3-BAJA","")))</f>
        <v/>
      </c>
      <c r="AC86" s="3" t="str">
        <f aca="false">IF(E86="BAJO SS","Stock + XLIB bajo el SS: riesgo real de quiebre, adelantar producción. ","")&amp;IF(E86="BAJO SS (XLIB CUBRE)","Disponible bajo el SS; depende de liberar "&amp;TEXT(J86,"#,##0")&amp;" kg"&amp;IF(ISNUMBER(K86)," el "&amp;TEXT(K86,"dd-mm"),"")&amp;". ","")&amp;IF(W86="SÍ","Stock parece sano pero "&amp;TEXT(L86,"#,##0")&amp;" kg no pasan filtro "&amp;Stock_Seguridad!O86&amp;": sin ellos queda bajo el SS para esa cadena. ","")&amp;IF(E86="SOBRE MAX VENDIBLE","Sobrestock vs vida útil: frenar producción/activar venta. ","")&amp;IF(N(N86)&gt;=Parametros!$B$17,TEXT(N86,"#,##0")&amp;" kg ya no los acepta ninguna cadena: venta intermedia/liquidación. ","")&amp;IF(N(M86)&gt;=Parametros!$B$17,TEXT(M86,"#,##0")&amp;" kg a punto de salir del filtro: despachar primero (FEFO). ","")&amp;IF(Y86="SÍ","Pedidos "&amp;IF(N(U86)&gt;0,"sobre","bajo")&amp;" FCST "&amp;TEXT(ABS(N(U86)),"0%")&amp;": revisar forecast con KAM.","")</f>
        <v/>
      </c>
    </row>
    <row r="87" customFormat="false" ht="15" hidden="false" customHeight="false" outlineLevel="0" collapsed="false">
      <c r="A87" s="18" t="n">
        <f aca="false">Stock_Seguridad!A87</f>
        <v>30001597</v>
      </c>
      <c r="B87" s="18" t="str">
        <f aca="false">Stock_Seguridad!B87</f>
        <v>FRUTILLAS WASIL 16X500G</v>
      </c>
      <c r="C87" s="18" t="str">
        <f aca="false">Stock_Seguridad!C87</f>
        <v>CONSERVAS Y PLATOS LISTOS</v>
      </c>
      <c r="D87" s="18" t="str">
        <f aca="false">Stock_Seguridad!F87</f>
        <v>AX</v>
      </c>
      <c r="E87" s="19" t="str">
        <f aca="false">Stock_Seguridad!X87</f>
        <v>OK</v>
      </c>
      <c r="F87" s="20" t="n">
        <f aca="false">Stock_Seguridad!W87</f>
        <v>11.1131663854392</v>
      </c>
      <c r="G87" s="21" t="n">
        <f aca="false">Stock_Seguridad!T87</f>
        <v>13904</v>
      </c>
      <c r="H87" s="21" t="n">
        <f aca="false">Stock_Seguridad!R87</f>
        <v>9672.02970362572</v>
      </c>
      <c r="I87" s="21" t="n">
        <f aca="false">Stock_Seguridad!S87</f>
        <v>23836.1297036257</v>
      </c>
      <c r="J87" s="21" t="n">
        <f aca="false">Stock_Seguridad!U87</f>
        <v>143504</v>
      </c>
      <c r="K87" s="22" t="n">
        <v>46317</v>
      </c>
      <c r="L87" s="23" t="n">
        <v>768</v>
      </c>
      <c r="M87" s="23" t="n">
        <v>0</v>
      </c>
      <c r="N87" s="23" t="n">
        <v>0</v>
      </c>
      <c r="O87" s="24" t="n">
        <v>0.00617210531666158</v>
      </c>
      <c r="P87" s="24" t="n">
        <f aca="false">IF(ISNUMBER(Stock_Seguridad!N87),Stock_Seguridad!N87,"")</f>
        <v>0.454794520547945</v>
      </c>
      <c r="Q87" s="24" t="n">
        <f aca="false">IF(AND(ISNUMBER(O87),ISNUMBER(P87)),P87-O87,"")</f>
        <v>0.448622415231284</v>
      </c>
      <c r="R87" s="23" t="n">
        <f aca="false">MAX(0,G87-N(L87))</f>
        <v>13136</v>
      </c>
      <c r="S87" s="23" t="n">
        <f aca="false">SUMIFS(Cadenas_vs_FCST!$D$17:$D$2437,Cadenas_vs_FCST!$A$17:$A$2437,A87)</f>
        <v>55120</v>
      </c>
      <c r="T87" s="23" t="n">
        <f aca="false">SUMIFS(Cadenas_vs_FCST!$E$17:$E$2437,Cadenas_vs_FCST!$A$17:$A$2437,A87)</f>
        <v>54340</v>
      </c>
      <c r="U87" s="24" t="n">
        <f aca="false">IF(T87&gt;0,S87/T87-1,"")</f>
        <v>0.0143540669856459</v>
      </c>
      <c r="V87" s="3" t="str">
        <f aca="false">IF(OR(E87="BAJO SS",E87="BAJO SS (XLIB CUBRE)"),"SÍ","")</f>
        <v/>
      </c>
      <c r="W87" s="3" t="str">
        <f aca="false">IF(AND(V87="",N(L87)&gt;=Parametros!$B$17,G87&gt;=H87,R87&lt;H87),"SÍ","")</f>
        <v/>
      </c>
      <c r="X87" s="3" t="str">
        <f aca="false">IF(OR(E87="SOBRE MAX VENDIBLE",N(N87)&gt;=Parametros!$B$17,N(M87)&gt;=Parametros!$B$17),"SÍ","")</f>
        <v/>
      </c>
      <c r="Y87" s="3" t="str">
        <f aca="false">IF(AND(ISNUMBER(U87),MAX(S87,T87)&gt;=Parametros!$B$15,ABS(N(U87))&gt;Parametros!$B$14),"SÍ","")</f>
        <v/>
      </c>
      <c r="Z87" s="3" t="n">
        <f aca="false">COUNTIF(V87:Y87,"SÍ")</f>
        <v>0</v>
      </c>
      <c r="AA87" s="3" t="n">
        <f aca="false">(3*(V87="SÍ")+2*(W87="SÍ")+2*(X87="SÍ")+(Y87="SÍ"))*IF(LEFT(D87,1)="A",3,IF(OR(LEFT(D87,1)="B",D87="SIN HIST"),2,1))</f>
        <v>0</v>
      </c>
      <c r="AB87" s="3" t="str">
        <f aca="false">IF(AA87&gt;=9,"1-ALTA",IF(AA87&gt;=4,"2-MEDIA",IF(AA87&gt;0,"3-BAJA","")))</f>
        <v/>
      </c>
      <c r="AC87" s="3" t="str">
        <f aca="false">IF(E87="BAJO SS","Stock + XLIB bajo el SS: riesgo real de quiebre, adelantar producción. ","")&amp;IF(E87="BAJO SS (XLIB CUBRE)","Disponible bajo el SS; depende de liberar "&amp;TEXT(J87,"#,##0")&amp;" kg"&amp;IF(ISNUMBER(K87)," el "&amp;TEXT(K87,"dd-mm"),"")&amp;". ","")&amp;IF(W87="SÍ","Stock parece sano pero "&amp;TEXT(L87,"#,##0")&amp;" kg no pasan filtro "&amp;Stock_Seguridad!O87&amp;": sin ellos queda bajo el SS para esa cadena. ","")&amp;IF(E87="SOBRE MAX VENDIBLE","Sobrestock vs vida útil: frenar producción/activar venta. ","")&amp;IF(N(N87)&gt;=Parametros!$B$17,TEXT(N87,"#,##0")&amp;" kg ya no los acepta ninguna cadena: venta intermedia/liquidación. ","")&amp;IF(N(M87)&gt;=Parametros!$B$17,TEXT(M87,"#,##0")&amp;" kg a punto de salir del filtro: despachar primero (FEFO). ","")&amp;IF(Y87="SÍ","Pedidos "&amp;IF(N(U87)&gt;0,"sobre","bajo")&amp;" FCST "&amp;TEXT(ABS(N(U87)),"0%")&amp;": revisar forecast con KAM.","")</f>
        <v/>
      </c>
    </row>
    <row r="88" customFormat="false" ht="15" hidden="false" customHeight="false" outlineLevel="0" collapsed="false">
      <c r="A88" s="18" t="n">
        <f aca="false">Stock_Seguridad!A88</f>
        <v>30001056</v>
      </c>
      <c r="B88" s="18" t="str">
        <f aca="false">Stock_Seguridad!B88</f>
        <v>YOGURT LONCO PROTEIN FRUTILLA 24X140GR</v>
      </c>
      <c r="C88" s="18" t="str">
        <f aca="false">Stock_Seguridad!C88</f>
        <v>YOGURT</v>
      </c>
      <c r="D88" s="18" t="str">
        <f aca="false">Stock_Seguridad!F88</f>
        <v>AX</v>
      </c>
      <c r="E88" s="19" t="str">
        <f aca="false">Stock_Seguridad!X88</f>
        <v>BAJO P.REORDEN</v>
      </c>
      <c r="F88" s="20" t="n">
        <f aca="false">Stock_Seguridad!W88</f>
        <v>1.43253973860827</v>
      </c>
      <c r="G88" s="21" t="n">
        <f aca="false">Stock_Seguridad!T88</f>
        <v>20277.6</v>
      </c>
      <c r="H88" s="21" t="n">
        <f aca="false">Stock_Seguridad!R88</f>
        <v>13920.705974758</v>
      </c>
      <c r="I88" s="21" t="n">
        <f aca="false">Stock_Seguridad!S88</f>
        <v>28075.705974758</v>
      </c>
      <c r="J88" s="21" t="n">
        <f aca="false">Stock_Seguridad!U88</f>
        <v>0</v>
      </c>
      <c r="K88" s="22"/>
      <c r="L88" s="23" t="n">
        <v>0</v>
      </c>
      <c r="M88" s="23" t="n">
        <v>645.12</v>
      </c>
      <c r="N88" s="23" t="n">
        <v>0</v>
      </c>
      <c r="O88" s="24" t="n">
        <v>0.0748514522821577</v>
      </c>
      <c r="P88" s="24" t="n">
        <f aca="false">IF(ISNUMBER(Stock_Seguridad!N88),Stock_Seguridad!N88,"")</f>
        <v>0.3</v>
      </c>
      <c r="Q88" s="24" t="n">
        <f aca="false">IF(AND(ISNUMBER(O88),ISNUMBER(P88)),P88-O88,"")</f>
        <v>0.225148547717842</v>
      </c>
      <c r="R88" s="23" t="n">
        <f aca="false">MAX(0,G88-N(L88))</f>
        <v>20277.6</v>
      </c>
      <c r="S88" s="23" t="n">
        <f aca="false">SUMIFS(Cadenas_vs_FCST!$D$17:$D$2437,Cadenas_vs_FCST!$A$17:$A$2437,A88)</f>
        <v>76033.44</v>
      </c>
      <c r="T88" s="23" t="n">
        <f aca="false">SUMIFS(Cadenas_vs_FCST!$E$17:$E$2437,Cadenas_vs_FCST!$A$17:$A$2437,A88)</f>
        <v>79189.4850328539</v>
      </c>
      <c r="U88" s="24" t="n">
        <f aca="false">IF(T88&gt;0,S88/T88-1,"")</f>
        <v>-0.0398543446967048</v>
      </c>
      <c r="V88" s="3" t="str">
        <f aca="false">IF(OR(E88="BAJO SS",E88="BAJO SS (XLIB CUBRE)"),"SÍ","")</f>
        <v/>
      </c>
      <c r="W88" s="3" t="str">
        <f aca="false">IF(AND(V88="",N(L88)&gt;=Parametros!$B$17,G88&gt;=H88,R88&lt;H88),"SÍ","")</f>
        <v/>
      </c>
      <c r="X88" s="3" t="str">
        <f aca="false">IF(OR(E88="SOBRE MAX VENDIBLE",N(N88)&gt;=Parametros!$B$17,N(M88)&gt;=Parametros!$B$17),"SÍ","")</f>
        <v>SÍ</v>
      </c>
      <c r="Y88" s="3" t="str">
        <f aca="false">IF(AND(ISNUMBER(U88),MAX(S88,T88)&gt;=Parametros!$B$15,ABS(N(U88))&gt;Parametros!$B$14),"SÍ","")</f>
        <v/>
      </c>
      <c r="Z88" s="3" t="n">
        <f aca="false">COUNTIF(V88:Y88,"SÍ")</f>
        <v>1</v>
      </c>
      <c r="AA88" s="3" t="n">
        <f aca="false">(3*(V88="SÍ")+2*(W88="SÍ")+2*(X88="SÍ")+(Y88="SÍ"))*IF(LEFT(D88,1)="A",3,IF(OR(LEFT(D88,1)="B",D88="SIN HIST"),2,1))</f>
        <v>6</v>
      </c>
      <c r="AB88" s="3" t="str">
        <f aca="false">IF(AA88&gt;=9,"1-ALTA",IF(AA88&gt;=4,"2-MEDIA",IF(AA88&gt;0,"3-BAJA","")))</f>
        <v>2-MEDIA</v>
      </c>
      <c r="AC88" s="3" t="str">
        <f aca="false">IF(E88="BAJO SS","Stock + XLIB bajo el SS: riesgo real de quiebre, adelantar producción. ","")&amp;IF(E88="BAJO SS (XLIB CUBRE)","Disponible bajo el SS; depende de liberar "&amp;TEXT(J88,"#,##0")&amp;" kg"&amp;IF(ISNUMBER(K88)," el "&amp;TEXT(K88,"dd-mm"),"")&amp;". ","")&amp;IF(W88="SÍ","Stock parece sano pero "&amp;TEXT(L88,"#,##0")&amp;" kg no pasan filtro "&amp;Stock_Seguridad!O88&amp;": sin ellos queda bajo el SS para esa cadena. ","")&amp;IF(E88="SOBRE MAX VENDIBLE","Sobrestock vs vida útil: frenar producción/activar venta. ","")&amp;IF(N(N88)&gt;=Parametros!$B$17,TEXT(N88,"#,##0")&amp;" kg ya no los acepta ninguna cadena: venta intermedia/liquidación. ","")&amp;IF(N(M88)&gt;=Parametros!$B$17,TEXT(M88,"#,##0")&amp;" kg a punto de salir del filtro: despachar primero (FEFO). ","")&amp;IF(Y88="SÍ","Pedidos "&amp;IF(N(U88)&gt;0,"sobre","bajo")&amp;" FCST "&amp;TEXT(ABS(N(U88)),"0%")&amp;": revisar forecast con KAM.","")</f>
        <v>645 kg a punto de salir del filtro: despachar primero (FEFO). </v>
      </c>
    </row>
    <row r="89" customFormat="false" ht="15" hidden="false" customHeight="false" outlineLevel="0" collapsed="false">
      <c r="A89" s="18" t="n">
        <f aca="false">Stock_Seguridad!A89</f>
        <v>30001081</v>
      </c>
      <c r="B89" s="18" t="str">
        <f aca="false">Stock_Seguridad!B89</f>
        <v>YOGURT GRIEGO OIKOS TRZ FRUTILLA 48X110G</v>
      </c>
      <c r="C89" s="18" t="str">
        <f aca="false">Stock_Seguridad!C89</f>
        <v>YOGURT</v>
      </c>
      <c r="D89" s="18" t="str">
        <f aca="false">Stock_Seguridad!F89</f>
        <v>AX</v>
      </c>
      <c r="E89" s="19" t="str">
        <f aca="false">Stock_Seguridad!X89</f>
        <v>OK</v>
      </c>
      <c r="F89" s="20" t="n">
        <f aca="false">Stock_Seguridad!W89</f>
        <v>1.85944592267961</v>
      </c>
      <c r="G89" s="21" t="n">
        <f aca="false">Stock_Seguridad!T89</f>
        <v>25502.4</v>
      </c>
      <c r="H89" s="21" t="n">
        <f aca="false">Stock_Seguridad!R89</f>
        <v>8585.60026485106</v>
      </c>
      <c r="I89" s="21" t="n">
        <f aca="false">Stock_Seguridad!S89</f>
        <v>22641.4002648511</v>
      </c>
      <c r="J89" s="21" t="n">
        <f aca="false">Stock_Seguridad!U89</f>
        <v>633.6</v>
      </c>
      <c r="K89" s="22" t="n">
        <v>46316</v>
      </c>
      <c r="L89" s="23" t="n">
        <v>79.2</v>
      </c>
      <c r="M89" s="23" t="n">
        <v>5322.24</v>
      </c>
      <c r="N89" s="23" t="n">
        <v>0</v>
      </c>
      <c r="O89" s="24" t="n">
        <v>0.121378263509411</v>
      </c>
      <c r="P89" s="24" t="n">
        <f aca="false">IF(ISNUMBER(Stock_Seguridad!N89),Stock_Seguridad!N89,"")</f>
        <v>0.298245614035088</v>
      </c>
      <c r="Q89" s="24" t="n">
        <f aca="false">IF(AND(ISNUMBER(O89),ISNUMBER(P89)),P89-O89,"")</f>
        <v>0.176867350525677</v>
      </c>
      <c r="R89" s="23" t="n">
        <f aca="false">MAX(0,G89-N(L89))</f>
        <v>25423.2</v>
      </c>
      <c r="S89" s="23" t="n">
        <f aca="false">SUMIFS(Cadenas_vs_FCST!$D$17:$D$2437,Cadenas_vs_FCST!$A$17:$A$2437,A89)</f>
        <v>60519.36</v>
      </c>
      <c r="T89" s="23" t="n">
        <f aca="false">SUMIFS(Cadenas_vs_FCST!$E$17:$E$2437,Cadenas_vs_FCST!$A$17:$A$2437,A89)</f>
        <v>52540.2556766245</v>
      </c>
      <c r="U89" s="24" t="n">
        <f aca="false">IF(T89&gt;0,S89/T89-1,"")</f>
        <v>0.151866492094849</v>
      </c>
      <c r="V89" s="3" t="str">
        <f aca="false">IF(OR(E89="BAJO SS",E89="BAJO SS (XLIB CUBRE)"),"SÍ","")</f>
        <v/>
      </c>
      <c r="W89" s="3" t="str">
        <f aca="false">IF(AND(V89="",N(L89)&gt;=Parametros!$B$17,G89&gt;=H89,R89&lt;H89),"SÍ","")</f>
        <v/>
      </c>
      <c r="X89" s="3" t="str">
        <f aca="false">IF(OR(E89="SOBRE MAX VENDIBLE",N(N89)&gt;=Parametros!$B$17,N(M89)&gt;=Parametros!$B$17),"SÍ","")</f>
        <v>SÍ</v>
      </c>
      <c r="Y89" s="3" t="str">
        <f aca="false">IF(AND(ISNUMBER(U89),MAX(S89,T89)&gt;=Parametros!$B$15,ABS(N(U89))&gt;Parametros!$B$14),"SÍ","")</f>
        <v/>
      </c>
      <c r="Z89" s="3" t="n">
        <f aca="false">COUNTIF(V89:Y89,"SÍ")</f>
        <v>1</v>
      </c>
      <c r="AA89" s="3" t="n">
        <f aca="false">(3*(V89="SÍ")+2*(W89="SÍ")+2*(X89="SÍ")+(Y89="SÍ"))*IF(LEFT(D89,1)="A",3,IF(OR(LEFT(D89,1)="B",D89="SIN HIST"),2,1))</f>
        <v>6</v>
      </c>
      <c r="AB89" s="3" t="str">
        <f aca="false">IF(AA89&gt;=9,"1-ALTA",IF(AA89&gt;=4,"2-MEDIA",IF(AA89&gt;0,"3-BAJA","")))</f>
        <v>2-MEDIA</v>
      </c>
      <c r="AC89" s="3" t="str">
        <f aca="false">IF(E89="BAJO SS","Stock + XLIB bajo el SS: riesgo real de quiebre, adelantar producción. ","")&amp;IF(E89="BAJO SS (XLIB CUBRE)","Disponible bajo el SS; depende de liberar "&amp;TEXT(J89,"#,##0")&amp;" kg"&amp;IF(ISNUMBER(K89)," el "&amp;TEXT(K89,"dd-mm"),"")&amp;". ","")&amp;IF(W89="SÍ","Stock parece sano pero "&amp;TEXT(L89,"#,##0")&amp;" kg no pasan filtro "&amp;Stock_Seguridad!O89&amp;": sin ellos queda bajo el SS para esa cadena. ","")&amp;IF(E89="SOBRE MAX VENDIBLE","Sobrestock vs vida útil: frenar producción/activar venta. ","")&amp;IF(N(N89)&gt;=Parametros!$B$17,TEXT(N89,"#,##0")&amp;" kg ya no los acepta ninguna cadena: venta intermedia/liquidación. ","")&amp;IF(N(M89)&gt;=Parametros!$B$17,TEXT(M89,"#,##0")&amp;" kg a punto de salir del filtro: despachar primero (FEFO). ","")&amp;IF(Y89="SÍ","Pedidos "&amp;IF(N(U89)&gt;0,"sobre","bajo")&amp;" FCST "&amp;TEXT(ABS(N(U89)),"0%")&amp;": revisar forecast con KAM.","")</f>
        <v>5,322 kg a punto de salir del filtro: despachar primero (FEFO). </v>
      </c>
    </row>
    <row r="90" customFormat="false" ht="15" hidden="false" customHeight="false" outlineLevel="0" collapsed="false">
      <c r="A90" s="18" t="n">
        <f aca="false">Stock_Seguridad!A90</f>
        <v>30002330</v>
      </c>
      <c r="B90" s="18" t="str">
        <f aca="false">Stock_Seguridad!B90</f>
        <v>LECHE LONCO PROTEIN CHOCOLATE 30X200ML</v>
      </c>
      <c r="C90" s="18" t="str">
        <f aca="false">Stock_Seguridad!C90</f>
        <v>LECHES LIQUIDAS</v>
      </c>
      <c r="D90" s="18" t="str">
        <f aca="false">Stock_Seguridad!F90</f>
        <v>AX</v>
      </c>
      <c r="E90" s="19" t="str">
        <f aca="false">Stock_Seguridad!X90</f>
        <v>OK</v>
      </c>
      <c r="F90" s="20" t="n">
        <f aca="false">Stock_Seguridad!W90</f>
        <v>2.08016962264692</v>
      </c>
      <c r="G90" s="21" t="n">
        <f aca="false">Stock_Seguridad!T90</f>
        <v>29040</v>
      </c>
      <c r="H90" s="21" t="n">
        <f aca="false">Stock_Seguridad!R90</f>
        <v>12660.9561126103</v>
      </c>
      <c r="I90" s="21" t="n">
        <f aca="false">Stock_Seguridad!S90</f>
        <v>26621.3561126103</v>
      </c>
      <c r="J90" s="21" t="n">
        <f aca="false">Stock_Seguridad!U90</f>
        <v>0</v>
      </c>
      <c r="K90" s="22"/>
      <c r="L90" s="23" t="n">
        <v>0</v>
      </c>
      <c r="M90" s="23" t="n">
        <v>0</v>
      </c>
      <c r="N90" s="23" t="n">
        <v>0</v>
      </c>
      <c r="O90" s="24" t="n">
        <v>0.102776859504132</v>
      </c>
      <c r="P90" s="24" t="str">
        <f aca="false">IF(ISNUMBER(Stock_Seguridad!N90),Stock_Seguridad!N90,"")</f>
        <v/>
      </c>
      <c r="Q90" s="24" t="str">
        <f aca="false">IF(AND(ISNUMBER(O90),ISNUMBER(P90)),P90-O90,"")</f>
        <v/>
      </c>
      <c r="R90" s="23" t="n">
        <f aca="false">MAX(0,G90-N(L90))</f>
        <v>29040</v>
      </c>
      <c r="S90" s="23" t="n">
        <f aca="false">SUMIFS(Cadenas_vs_FCST!$D$17:$D$2437,Cadenas_vs_FCST!$A$17:$A$2437,A90)</f>
        <v>57954</v>
      </c>
      <c r="T90" s="23" t="n">
        <f aca="false">SUMIFS(Cadenas_vs_FCST!$E$17:$E$2437,Cadenas_vs_FCST!$A$17:$A$2437,A90)</f>
        <v>40869.7276297603</v>
      </c>
      <c r="U90" s="24" t="n">
        <f aca="false">IF(T90&gt;0,S90/T90-1,"")</f>
        <v>0.418017769166619</v>
      </c>
      <c r="V90" s="3" t="str">
        <f aca="false">IF(OR(E90="BAJO SS",E90="BAJO SS (XLIB CUBRE)"),"SÍ","")</f>
        <v/>
      </c>
      <c r="W90" s="3" t="str">
        <f aca="false">IF(AND(V90="",N(L90)&gt;=Parametros!$B$17,G90&gt;=H90,R90&lt;H90),"SÍ","")</f>
        <v/>
      </c>
      <c r="X90" s="3" t="str">
        <f aca="false">IF(OR(E90="SOBRE MAX VENDIBLE",N(N90)&gt;=Parametros!$B$17,N(M90)&gt;=Parametros!$B$17),"SÍ","")</f>
        <v/>
      </c>
      <c r="Y90" s="3" t="str">
        <f aca="false">IF(AND(ISNUMBER(U90),MAX(S90,T90)&gt;=Parametros!$B$15,ABS(N(U90))&gt;Parametros!$B$14),"SÍ","")</f>
        <v>SÍ</v>
      </c>
      <c r="Z90" s="3" t="n">
        <f aca="false">COUNTIF(V90:Y90,"SÍ")</f>
        <v>1</v>
      </c>
      <c r="AA90" s="3" t="n">
        <f aca="false">(3*(V90="SÍ")+2*(W90="SÍ")+2*(X90="SÍ")+(Y90="SÍ"))*IF(LEFT(D90,1)="A",3,IF(OR(LEFT(D90,1)="B",D90="SIN HIST"),2,1))</f>
        <v>3</v>
      </c>
      <c r="AB90" s="3" t="str">
        <f aca="false">IF(AA90&gt;=9,"1-ALTA",IF(AA90&gt;=4,"2-MEDIA",IF(AA90&gt;0,"3-BAJA","")))</f>
        <v>3-BAJA</v>
      </c>
      <c r="AC90" s="3" t="str">
        <f aca="false">IF(E90="BAJO SS","Stock + XLIB bajo el SS: riesgo real de quiebre, adelantar producción. ","")&amp;IF(E90="BAJO SS (XLIB CUBRE)","Disponible bajo el SS; depende de liberar "&amp;TEXT(J90,"#,##0")&amp;" kg"&amp;IF(ISNUMBER(K90)," el "&amp;TEXT(K90,"dd-mm"),"")&amp;". ","")&amp;IF(W90="SÍ","Stock parece sano pero "&amp;TEXT(L90,"#,##0")&amp;" kg no pasan filtro "&amp;Stock_Seguridad!O90&amp;": sin ellos queda bajo el SS para esa cadena. ","")&amp;IF(E90="SOBRE MAX VENDIBLE","Sobrestock vs vida útil: frenar producción/activar venta. ","")&amp;IF(N(N90)&gt;=Parametros!$B$17,TEXT(N90,"#,##0")&amp;" kg ya no los acepta ninguna cadena: venta intermedia/liquidación. ","")&amp;IF(N(M90)&gt;=Parametros!$B$17,TEXT(M90,"#,##0")&amp;" kg a punto de salir del filtro: despachar primero (FEFO). ","")&amp;IF(Y90="SÍ","Pedidos "&amp;IF(N(U90)&gt;0,"sobre","bajo")&amp;" FCST "&amp;TEXT(ABS(N(U90)),"0%")&amp;": revisar forecast con KAM.","")</f>
        <v>Pedidos sobre FCST 42%: revisar forecast con KAM.</v>
      </c>
    </row>
    <row r="91" customFormat="false" ht="15" hidden="false" customHeight="false" outlineLevel="0" collapsed="false">
      <c r="A91" s="18" t="n">
        <f aca="false">Stock_Seguridad!A91</f>
        <v>30000745</v>
      </c>
      <c r="B91" s="18" t="str">
        <f aca="false">Stock_Seguridad!B91</f>
        <v>POROTO VERDE C/F FM 4X2KG</v>
      </c>
      <c r="C91" s="18" t="str">
        <f aca="false">Stock_Seguridad!C91</f>
        <v>FRUTAS Y HORTALIZAS CONGELADAS</v>
      </c>
      <c r="D91" s="18" t="str">
        <f aca="false">Stock_Seguridad!F91</f>
        <v>SIN HIST</v>
      </c>
      <c r="E91" s="19" t="str">
        <f aca="false">Stock_Seguridad!X91</f>
        <v>OK</v>
      </c>
      <c r="F91" s="20" t="n">
        <f aca="false">Stock_Seguridad!W91</f>
        <v>13.3942021714982</v>
      </c>
      <c r="G91" s="21" t="n">
        <f aca="false">Stock_Seguridad!T91</f>
        <v>186896</v>
      </c>
      <c r="H91" s="21" t="n">
        <f aca="false">Stock_Seguridad!R91</f>
        <v>6885.43952510021</v>
      </c>
      <c r="I91" s="21" t="n">
        <f aca="false">Stock_Seguridad!S91</f>
        <v>20838.9395251002</v>
      </c>
      <c r="J91" s="21" t="n">
        <f aca="false">Stock_Seguridad!U91</f>
        <v>0</v>
      </c>
      <c r="K91" s="22"/>
      <c r="L91" s="23" t="n">
        <v>0</v>
      </c>
      <c r="M91" s="23" t="n">
        <v>0</v>
      </c>
      <c r="N91" s="23" t="n">
        <v>0</v>
      </c>
      <c r="O91" s="24" t="n">
        <v>0.0808899066860714</v>
      </c>
      <c r="P91" s="24" t="str">
        <f aca="false">IF(ISNUMBER(Stock_Seguridad!N91),Stock_Seguridad!N91,"")</f>
        <v/>
      </c>
      <c r="Q91" s="24" t="str">
        <f aca="false">IF(AND(ISNUMBER(O91),ISNUMBER(P91)),P91-O91,"")</f>
        <v/>
      </c>
      <c r="R91" s="23" t="n">
        <f aca="false">MAX(0,G91-N(L91))</f>
        <v>186896</v>
      </c>
      <c r="S91" s="23" t="n">
        <f aca="false">SUMIFS(Cadenas_vs_FCST!$D$17:$D$2437,Cadenas_vs_FCST!$A$17:$A$2437,A91)</f>
        <v>0</v>
      </c>
      <c r="T91" s="23" t="n">
        <f aca="false">SUMIFS(Cadenas_vs_FCST!$E$17:$E$2437,Cadenas_vs_FCST!$A$17:$A$2437,A91)</f>
        <v>0</v>
      </c>
      <c r="U91" s="24" t="str">
        <f aca="false">IF(T91&gt;0,S91/T91-1,"")</f>
        <v/>
      </c>
      <c r="V91" s="3" t="str">
        <f aca="false">IF(OR(E91="BAJO SS",E91="BAJO SS (XLIB CUBRE)"),"SÍ","")</f>
        <v/>
      </c>
      <c r="W91" s="3" t="str">
        <f aca="false">IF(AND(V91="",N(L91)&gt;=Parametros!$B$17,G91&gt;=H91,R91&lt;H91),"SÍ","")</f>
        <v/>
      </c>
      <c r="X91" s="3" t="str">
        <f aca="false">IF(OR(E91="SOBRE MAX VENDIBLE",N(N91)&gt;=Parametros!$B$17,N(M91)&gt;=Parametros!$B$17),"SÍ","")</f>
        <v/>
      </c>
      <c r="Y91" s="3" t="str">
        <f aca="false">IF(AND(ISNUMBER(U91),MAX(S91,T91)&gt;=Parametros!$B$15,ABS(N(U91))&gt;Parametros!$B$14),"SÍ","")</f>
        <v/>
      </c>
      <c r="Z91" s="3" t="n">
        <f aca="false">COUNTIF(V91:Y91,"SÍ")</f>
        <v>0</v>
      </c>
      <c r="AA91" s="3" t="n">
        <f aca="false">(3*(V91="SÍ")+2*(W91="SÍ")+2*(X91="SÍ")+(Y91="SÍ"))*IF(LEFT(D91,1)="A",3,IF(OR(LEFT(D91,1)="B",D91="SIN HIST"),2,1))</f>
        <v>0</v>
      </c>
      <c r="AB91" s="3" t="str">
        <f aca="false">IF(AA91&gt;=9,"1-ALTA",IF(AA91&gt;=4,"2-MEDIA",IF(AA91&gt;0,"3-BAJA","")))</f>
        <v/>
      </c>
      <c r="AC91" s="3" t="str">
        <f aca="false">IF(E91="BAJO SS","Stock + XLIB bajo el SS: riesgo real de quiebre, adelantar producción. ","")&amp;IF(E91="BAJO SS (XLIB CUBRE)","Disponible bajo el SS; depende de liberar "&amp;TEXT(J91,"#,##0")&amp;" kg"&amp;IF(ISNUMBER(K91)," el "&amp;TEXT(K91,"dd-mm"),"")&amp;". ","")&amp;IF(W91="SÍ","Stock parece sano pero "&amp;TEXT(L91,"#,##0")&amp;" kg no pasan filtro "&amp;Stock_Seguridad!O91&amp;": sin ellos queda bajo el SS para esa cadena. ","")&amp;IF(E91="SOBRE MAX VENDIBLE","Sobrestock vs vida útil: frenar producción/activar venta. ","")&amp;IF(N(N91)&gt;=Parametros!$B$17,TEXT(N91,"#,##0")&amp;" kg ya no los acepta ninguna cadena: venta intermedia/liquidación. ","")&amp;IF(N(M91)&gt;=Parametros!$B$17,TEXT(M91,"#,##0")&amp;" kg a punto de salir del filtro: despachar primero (FEFO). ","")&amp;IF(Y91="SÍ","Pedidos "&amp;IF(N(U91)&gt;0,"sobre","bajo")&amp;" FCST "&amp;TEXT(ABS(N(U91)),"0%")&amp;": revisar forecast con KAM.","")</f>
        <v/>
      </c>
    </row>
    <row r="92" customFormat="false" ht="15" hidden="false" customHeight="false" outlineLevel="0" collapsed="false">
      <c r="A92" s="18" t="n">
        <f aca="false">Stock_Seguridad!A92</f>
        <v>30000668</v>
      </c>
      <c r="B92" s="18" t="str">
        <f aca="false">Stock_Seguridad!B92</f>
        <v>POROTOS ROJOS WASIL 16X380GR</v>
      </c>
      <c r="C92" s="18" t="str">
        <f aca="false">Stock_Seguridad!C92</f>
        <v>CONSERVAS Y PLATOS LISTOS</v>
      </c>
      <c r="D92" s="18" t="str">
        <f aca="false">Stock_Seguridad!F92</f>
        <v>AX</v>
      </c>
      <c r="E92" s="19" t="str">
        <f aca="false">Stock_Seguridad!X92</f>
        <v>OK</v>
      </c>
      <c r="F92" s="20" t="n">
        <f aca="false">Stock_Seguridad!W92</f>
        <v>18.4174470469247</v>
      </c>
      <c r="G92" s="21" t="n">
        <f aca="false">Stock_Seguridad!T92</f>
        <v>245115.2</v>
      </c>
      <c r="H92" s="21" t="n">
        <f aca="false">Stock_Seguridad!R92</f>
        <v>3570.88528037374</v>
      </c>
      <c r="I92" s="21" t="n">
        <f aca="false">Stock_Seguridad!S92</f>
        <v>17314.1852803737</v>
      </c>
      <c r="J92" s="21" t="n">
        <f aca="false">Stock_Seguridad!U92</f>
        <v>8001.3</v>
      </c>
      <c r="K92" s="22" t="n">
        <v>46142</v>
      </c>
      <c r="L92" s="23" t="n">
        <v>0</v>
      </c>
      <c r="M92" s="23" t="n">
        <v>0</v>
      </c>
      <c r="N92" s="23" t="n">
        <v>0</v>
      </c>
      <c r="O92" s="24" t="n">
        <v>0.114492757104764</v>
      </c>
      <c r="P92" s="24" t="n">
        <f aca="false">IF(ISNUMBER(Stock_Seguridad!N92),Stock_Seguridad!N92,"")</f>
        <v>0.329321663019694</v>
      </c>
      <c r="Q92" s="24" t="n">
        <f aca="false">IF(AND(ISNUMBER(O92),ISNUMBER(P92)),P92-O92,"")</f>
        <v>0.21482890591493</v>
      </c>
      <c r="R92" s="23" t="n">
        <f aca="false">MAX(0,G92-N(L92))</f>
        <v>245115.2</v>
      </c>
      <c r="S92" s="23" t="n">
        <f aca="false">SUMIFS(Cadenas_vs_FCST!$D$17:$D$2437,Cadenas_vs_FCST!$A$17:$A$2437,A92)</f>
        <v>55516.48</v>
      </c>
      <c r="T92" s="23" t="n">
        <f aca="false">SUMIFS(Cadenas_vs_FCST!$E$17:$E$2437,Cadenas_vs_FCST!$A$17:$A$2437,A92)</f>
        <v>57773.2</v>
      </c>
      <c r="U92" s="24" t="n">
        <f aca="false">IF(T92&gt;0,S92/T92-1,"")</f>
        <v>-0.0390617102739678</v>
      </c>
      <c r="V92" s="3" t="str">
        <f aca="false">IF(OR(E92="BAJO SS",E92="BAJO SS (XLIB CUBRE)"),"SÍ","")</f>
        <v/>
      </c>
      <c r="W92" s="3" t="str">
        <f aca="false">IF(AND(V92="",N(L92)&gt;=Parametros!$B$17,G92&gt;=H92,R92&lt;H92),"SÍ","")</f>
        <v/>
      </c>
      <c r="X92" s="3" t="str">
        <f aca="false">IF(OR(E92="SOBRE MAX VENDIBLE",N(N92)&gt;=Parametros!$B$17,N(M92)&gt;=Parametros!$B$17),"SÍ","")</f>
        <v/>
      </c>
      <c r="Y92" s="3" t="str">
        <f aca="false">IF(AND(ISNUMBER(U92),MAX(S92,T92)&gt;=Parametros!$B$15,ABS(N(U92))&gt;Parametros!$B$14),"SÍ","")</f>
        <v/>
      </c>
      <c r="Z92" s="3" t="n">
        <f aca="false">COUNTIF(V92:Y92,"SÍ")</f>
        <v>0</v>
      </c>
      <c r="AA92" s="3" t="n">
        <f aca="false">(3*(V92="SÍ")+2*(W92="SÍ")+2*(X92="SÍ")+(Y92="SÍ"))*IF(LEFT(D92,1)="A",3,IF(OR(LEFT(D92,1)="B",D92="SIN HIST"),2,1))</f>
        <v>0</v>
      </c>
      <c r="AB92" s="3" t="str">
        <f aca="false">IF(AA92&gt;=9,"1-ALTA",IF(AA92&gt;=4,"2-MEDIA",IF(AA92&gt;0,"3-BAJA","")))</f>
        <v/>
      </c>
      <c r="AC92" s="3" t="str">
        <f aca="false">IF(E92="BAJO SS","Stock + XLIB bajo el SS: riesgo real de quiebre, adelantar producción. ","")&amp;IF(E92="BAJO SS (XLIB CUBRE)","Disponible bajo el SS; depende de liberar "&amp;TEXT(J92,"#,##0")&amp;" kg"&amp;IF(ISNUMBER(K92)," el "&amp;TEXT(K92,"dd-mm"),"")&amp;". ","")&amp;IF(W92="SÍ","Stock parece sano pero "&amp;TEXT(L92,"#,##0")&amp;" kg no pasan filtro "&amp;Stock_Seguridad!O92&amp;": sin ellos queda bajo el SS para esa cadena. ","")&amp;IF(E92="SOBRE MAX VENDIBLE","Sobrestock vs vida útil: frenar producción/activar venta. ","")&amp;IF(N(N92)&gt;=Parametros!$B$17,TEXT(N92,"#,##0")&amp;" kg ya no los acepta ninguna cadena: venta intermedia/liquidación. ","")&amp;IF(N(M92)&gt;=Parametros!$B$17,TEXT(M92,"#,##0")&amp;" kg a punto de salir del filtro: despachar primero (FEFO). ","")&amp;IF(Y92="SÍ","Pedidos "&amp;IF(N(U92)&gt;0,"sobre","bajo")&amp;" FCST "&amp;TEXT(ABS(N(U92)),"0%")&amp;": revisar forecast con KAM.","")</f>
        <v/>
      </c>
    </row>
    <row r="93" customFormat="false" ht="15" hidden="false" customHeight="false" outlineLevel="0" collapsed="false">
      <c r="A93" s="18" t="n">
        <f aca="false">Stock_Seguridad!A93</f>
        <v>30001080</v>
      </c>
      <c r="B93" s="18" t="str">
        <f aca="false">Stock_Seguridad!B93</f>
        <v>YOGURT GRIEGO OIKOS TRZ DURAZNO 48X110GR</v>
      </c>
      <c r="C93" s="18" t="str">
        <f aca="false">Stock_Seguridad!C93</f>
        <v>YOGURT</v>
      </c>
      <c r="D93" s="18" t="str">
        <f aca="false">Stock_Seguridad!F93</f>
        <v>AX</v>
      </c>
      <c r="E93" s="19" t="str">
        <f aca="false">Stock_Seguridad!X93</f>
        <v>BAJO P.REORDEN</v>
      </c>
      <c r="F93" s="20" t="n">
        <f aca="false">Stock_Seguridad!W93</f>
        <v>1.49878199985413</v>
      </c>
      <c r="G93" s="21" t="n">
        <f aca="false">Stock_Seguridad!T93</f>
        <v>20549.8</v>
      </c>
      <c r="H93" s="21" t="n">
        <f aca="false">Stock_Seguridad!R93</f>
        <v>7171.9050375464</v>
      </c>
      <c r="I93" s="21" t="n">
        <f aca="false">Stock_Seguridad!S93</f>
        <v>20882.9050375464</v>
      </c>
      <c r="J93" s="21" t="n">
        <f aca="false">Stock_Seguridad!U93</f>
        <v>0</v>
      </c>
      <c r="K93" s="22"/>
      <c r="L93" s="23" t="n">
        <v>42.24</v>
      </c>
      <c r="M93" s="23" t="n">
        <v>2090.88</v>
      </c>
      <c r="N93" s="23" t="n">
        <v>42.24</v>
      </c>
      <c r="O93" s="24" t="n">
        <v>0.117703398558188</v>
      </c>
      <c r="P93" s="24" t="n">
        <f aca="false">IF(ISNUMBER(Stock_Seguridad!N93),Stock_Seguridad!N93,"")</f>
        <v>0.298245614035088</v>
      </c>
      <c r="Q93" s="24" t="n">
        <f aca="false">IF(AND(ISNUMBER(O93),ISNUMBER(P93)),P93-O93,"")</f>
        <v>0.1805422154769</v>
      </c>
      <c r="R93" s="23" t="n">
        <f aca="false">MAX(0,G93-N(L93))</f>
        <v>20507.56</v>
      </c>
      <c r="S93" s="23" t="n">
        <f aca="false">SUMIFS(Cadenas_vs_FCST!$D$17:$D$2437,Cadenas_vs_FCST!$A$17:$A$2437,A93)</f>
        <v>45994.08</v>
      </c>
      <c r="T93" s="23" t="n">
        <f aca="false">SUMIFS(Cadenas_vs_FCST!$E$17:$E$2437,Cadenas_vs_FCST!$A$17:$A$2437,A93)</f>
        <v>48388.3037302845</v>
      </c>
      <c r="U93" s="24" t="n">
        <f aca="false">IF(T93&gt;0,S93/T93-1,"")</f>
        <v>-0.0494793895572335</v>
      </c>
      <c r="V93" s="3" t="str">
        <f aca="false">IF(OR(E93="BAJO SS",E93="BAJO SS (XLIB CUBRE)"),"SÍ","")</f>
        <v/>
      </c>
      <c r="W93" s="3" t="str">
        <f aca="false">IF(AND(V93="",N(L93)&gt;=Parametros!$B$17,G93&gt;=H93,R93&lt;H93),"SÍ","")</f>
        <v/>
      </c>
      <c r="X93" s="3" t="str">
        <f aca="false">IF(OR(E93="SOBRE MAX VENDIBLE",N(N93)&gt;=Parametros!$B$17,N(M93)&gt;=Parametros!$B$17),"SÍ","")</f>
        <v>SÍ</v>
      </c>
      <c r="Y93" s="3" t="str">
        <f aca="false">IF(AND(ISNUMBER(U93),MAX(S93,T93)&gt;=Parametros!$B$15,ABS(N(U93))&gt;Parametros!$B$14),"SÍ","")</f>
        <v/>
      </c>
      <c r="Z93" s="3" t="n">
        <f aca="false">COUNTIF(V93:Y93,"SÍ")</f>
        <v>1</v>
      </c>
      <c r="AA93" s="3" t="n">
        <f aca="false">(3*(V93="SÍ")+2*(W93="SÍ")+2*(X93="SÍ")+(Y93="SÍ"))*IF(LEFT(D93,1)="A",3,IF(OR(LEFT(D93,1)="B",D93="SIN HIST"),2,1))</f>
        <v>6</v>
      </c>
      <c r="AB93" s="3" t="str">
        <f aca="false">IF(AA93&gt;=9,"1-ALTA",IF(AA93&gt;=4,"2-MEDIA",IF(AA93&gt;0,"3-BAJA","")))</f>
        <v>2-MEDIA</v>
      </c>
      <c r="AC93" s="3" t="str">
        <f aca="false">IF(E93="BAJO SS","Stock + XLIB bajo el SS: riesgo real de quiebre, adelantar producción. ","")&amp;IF(E93="BAJO SS (XLIB CUBRE)","Disponible bajo el SS; depende de liberar "&amp;TEXT(J93,"#,##0")&amp;" kg"&amp;IF(ISNUMBER(K93)," el "&amp;TEXT(K93,"dd-mm"),"")&amp;". ","")&amp;IF(W93="SÍ","Stock parece sano pero "&amp;TEXT(L93,"#,##0")&amp;" kg no pasan filtro "&amp;Stock_Seguridad!O93&amp;": sin ellos queda bajo el SS para esa cadena. ","")&amp;IF(E93="SOBRE MAX VENDIBLE","Sobrestock vs vida útil: frenar producción/activar venta. ","")&amp;IF(N(N93)&gt;=Parametros!$B$17,TEXT(N93,"#,##0")&amp;" kg ya no los acepta ninguna cadena: venta intermedia/liquidación. ","")&amp;IF(N(M93)&gt;=Parametros!$B$17,TEXT(M93,"#,##0")&amp;" kg a punto de salir del filtro: despachar primero (FEFO). ","")&amp;IF(Y93="SÍ","Pedidos "&amp;IF(N(U93)&gt;0,"sobre","bajo")&amp;" FCST "&amp;TEXT(ABS(N(U93)),"0%")&amp;": revisar forecast con KAM.","")</f>
        <v>2,091 kg a punto de salir del filtro: despachar primero (FEFO). </v>
      </c>
    </row>
    <row r="94" customFormat="false" ht="15" hidden="false" customHeight="false" outlineLevel="0" collapsed="false">
      <c r="A94" s="18" t="n">
        <f aca="false">Stock_Seguridad!A94</f>
        <v>30001401</v>
      </c>
      <c r="B94" s="18" t="str">
        <f aca="false">Stock_Seguridad!B94</f>
        <v>MARGARINA CALO 12X450GR</v>
      </c>
      <c r="C94" s="18" t="str">
        <f aca="false">Stock_Seguridad!C94</f>
        <v>MARGARINAS</v>
      </c>
      <c r="D94" s="18" t="str">
        <f aca="false">Stock_Seguridad!F94</f>
        <v>AX</v>
      </c>
      <c r="E94" s="19" t="str">
        <f aca="false">Stock_Seguridad!X94</f>
        <v>OK</v>
      </c>
      <c r="F94" s="20" t="n">
        <f aca="false">Stock_Seguridad!W94</f>
        <v>3.52957168017422</v>
      </c>
      <c r="G94" s="21" t="n">
        <f aca="false">Stock_Seguridad!T94</f>
        <v>35785.8</v>
      </c>
      <c r="H94" s="21" t="n">
        <f aca="false">Stock_Seguridad!R94</f>
        <v>8447.16279867143</v>
      </c>
      <c r="I94" s="21" t="n">
        <f aca="false">Stock_Seguridad!S94</f>
        <v>22130.8627986714</v>
      </c>
      <c r="J94" s="21" t="n">
        <f aca="false">Stock_Seguridad!U94</f>
        <v>12511.8</v>
      </c>
      <c r="K94" s="22" t="n">
        <v>46316</v>
      </c>
      <c r="L94" s="23" t="n">
        <v>221.4</v>
      </c>
      <c r="M94" s="23" t="n">
        <v>16016.4</v>
      </c>
      <c r="N94" s="23" t="n">
        <v>0</v>
      </c>
      <c r="O94" s="24" t="n">
        <v>0.10685205908684</v>
      </c>
      <c r="P94" s="24" t="n">
        <f aca="false">IF(ISNUMBER(Stock_Seguridad!N94),Stock_Seguridad!N94,"")</f>
        <v>0.244565217391304</v>
      </c>
      <c r="Q94" s="24" t="n">
        <f aca="false">IF(AND(ISNUMBER(O94),ISNUMBER(P94)),P94-O94,"")</f>
        <v>0.137713158304465</v>
      </c>
      <c r="R94" s="23" t="n">
        <f aca="false">MAX(0,G94-N(L94))</f>
        <v>35564.4</v>
      </c>
      <c r="S94" s="23" t="n">
        <f aca="false">SUMIFS(Cadenas_vs_FCST!$D$17:$D$2437,Cadenas_vs_FCST!$A$17:$A$2437,A94)</f>
        <v>34414.2</v>
      </c>
      <c r="T94" s="23" t="n">
        <f aca="false">SUMIFS(Cadenas_vs_FCST!$E$17:$E$2437,Cadenas_vs_FCST!$A$17:$A$2437,A94)</f>
        <v>50818.4058207051</v>
      </c>
      <c r="U94" s="24" t="n">
        <f aca="false">IF(T94&gt;0,S94/T94-1,"")</f>
        <v>-0.32280048056961</v>
      </c>
      <c r="V94" s="3" t="str">
        <f aca="false">IF(OR(E94="BAJO SS",E94="BAJO SS (XLIB CUBRE)"),"SÍ","")</f>
        <v/>
      </c>
      <c r="W94" s="3" t="str">
        <f aca="false">IF(AND(V94="",N(L94)&gt;=Parametros!$B$17,G94&gt;=H94,R94&lt;H94),"SÍ","")</f>
        <v/>
      </c>
      <c r="X94" s="3" t="str">
        <f aca="false">IF(OR(E94="SOBRE MAX VENDIBLE",N(N94)&gt;=Parametros!$B$17,N(M94)&gt;=Parametros!$B$17),"SÍ","")</f>
        <v>SÍ</v>
      </c>
      <c r="Y94" s="3" t="str">
        <f aca="false">IF(AND(ISNUMBER(U94),MAX(S94,T94)&gt;=Parametros!$B$15,ABS(N(U94))&gt;Parametros!$B$14),"SÍ","")</f>
        <v>SÍ</v>
      </c>
      <c r="Z94" s="3" t="n">
        <f aca="false">COUNTIF(V94:Y94,"SÍ")</f>
        <v>2</v>
      </c>
      <c r="AA94" s="3" t="n">
        <f aca="false">(3*(V94="SÍ")+2*(W94="SÍ")+2*(X94="SÍ")+(Y94="SÍ"))*IF(LEFT(D94,1)="A",3,IF(OR(LEFT(D94,1)="B",D94="SIN HIST"),2,1))</f>
        <v>9</v>
      </c>
      <c r="AB94" s="3" t="str">
        <f aca="false">IF(AA94&gt;=9,"1-ALTA",IF(AA94&gt;=4,"2-MEDIA",IF(AA94&gt;0,"3-BAJA","")))</f>
        <v>1-ALTA</v>
      </c>
      <c r="AC94" s="3" t="str">
        <f aca="false">IF(E94="BAJO SS","Stock + XLIB bajo el SS: riesgo real de quiebre, adelantar producción. ","")&amp;IF(E94="BAJO SS (XLIB CUBRE)","Disponible bajo el SS; depende de liberar "&amp;TEXT(J94,"#,##0")&amp;" kg"&amp;IF(ISNUMBER(K94)," el "&amp;TEXT(K94,"dd-mm"),"")&amp;". ","")&amp;IF(W94="SÍ","Stock parece sano pero "&amp;TEXT(L94,"#,##0")&amp;" kg no pasan filtro "&amp;Stock_Seguridad!O94&amp;": sin ellos queda bajo el SS para esa cadena. ","")&amp;IF(E94="SOBRE MAX VENDIBLE","Sobrestock vs vida útil: frenar producción/activar venta. ","")&amp;IF(N(N94)&gt;=Parametros!$B$17,TEXT(N94,"#,##0")&amp;" kg ya no los acepta ninguna cadena: venta intermedia/liquidación. ","")&amp;IF(N(M94)&gt;=Parametros!$B$17,TEXT(M94,"#,##0")&amp;" kg a punto de salir del filtro: despachar primero (FEFO). ","")&amp;IF(Y94="SÍ","Pedidos "&amp;IF(N(U94)&gt;0,"sobre","bajo")&amp;" FCST "&amp;TEXT(ABS(N(U94)),"0%")&amp;": revisar forecast con KAM.","")</f>
        <v>16,016 kg a punto de salir del filtro: despachar primero (FEFO). Pedidos bajo FCST 32%: revisar forecast con KAM.</v>
      </c>
    </row>
    <row r="95" customFormat="false" ht="15" hidden="false" customHeight="false" outlineLevel="0" collapsed="false">
      <c r="A95" s="18" t="n">
        <f aca="false">Stock_Seguridad!A95</f>
        <v>30000551</v>
      </c>
      <c r="B95" s="18" t="str">
        <f aca="false">Stock_Seguridad!B95</f>
        <v>QUESO GAUDA CALO LAMINADO 12X467GR</v>
      </c>
      <c r="C95" s="18" t="str">
        <f aca="false">Stock_Seguridad!C95</f>
        <v>QUESOS</v>
      </c>
      <c r="D95" s="18" t="str">
        <f aca="false">Stock_Seguridad!F95</f>
        <v>AX</v>
      </c>
      <c r="E95" s="19" t="str">
        <f aca="false">Stock_Seguridad!X95</f>
        <v>OK</v>
      </c>
      <c r="F95" s="20" t="n">
        <f aca="false">Stock_Seguridad!W95</f>
        <v>3.3959557195572</v>
      </c>
      <c r="G95" s="21" t="n">
        <f aca="false">Stock_Seguridad!T95</f>
        <v>28800.8</v>
      </c>
      <c r="H95" s="21" t="n">
        <f aca="false">Stock_Seguridad!R95</f>
        <v>12789.3288168469</v>
      </c>
      <c r="I95" s="21" t="n">
        <f aca="false">Stock_Seguridad!S95</f>
        <v>26339.3288168469</v>
      </c>
      <c r="J95" s="21" t="n">
        <f aca="false">Stock_Seguridad!U95</f>
        <v>17214.4</v>
      </c>
      <c r="K95" s="22" t="n">
        <v>46319</v>
      </c>
      <c r="L95" s="23" t="n">
        <v>11.2</v>
      </c>
      <c r="M95" s="23" t="n">
        <v>168</v>
      </c>
      <c r="N95" s="23" t="n">
        <v>11.2</v>
      </c>
      <c r="O95" s="24" t="n">
        <v>0.0328810046330163</v>
      </c>
      <c r="P95" s="24" t="n">
        <f aca="false">IF(ISNUMBER(Stock_Seguridad!N95),Stock_Seguridad!N95,"")</f>
        <v>0.239130434782609</v>
      </c>
      <c r="Q95" s="24" t="n">
        <f aca="false">IF(AND(ISNUMBER(O95),ISNUMBER(P95)),P95-O95,"")</f>
        <v>0.206249430149592</v>
      </c>
      <c r="R95" s="23" t="n">
        <f aca="false">MAX(0,G95-N(L95))</f>
        <v>28789.6</v>
      </c>
      <c r="S95" s="23" t="n">
        <f aca="false">SUMIFS(Cadenas_vs_FCST!$D$17:$D$2437,Cadenas_vs_FCST!$A$17:$A$2437,A95)</f>
        <v>104344.8</v>
      </c>
      <c r="T95" s="23" t="n">
        <f aca="false">SUMIFS(Cadenas_vs_FCST!$E$17:$E$2437,Cadenas_vs_FCST!$A$17:$A$2437,A95)</f>
        <v>94425.7506549574</v>
      </c>
      <c r="U95" s="24" t="n">
        <f aca="false">IF(T95&gt;0,S95/T95-1,"")</f>
        <v>0.105046020563691</v>
      </c>
      <c r="V95" s="3" t="str">
        <f aca="false">IF(OR(E95="BAJO SS",E95="BAJO SS (XLIB CUBRE)"),"SÍ","")</f>
        <v/>
      </c>
      <c r="W95" s="3" t="str">
        <f aca="false">IF(AND(V95="",N(L95)&gt;=Parametros!$B$17,G95&gt;=H95,R95&lt;H95),"SÍ","")</f>
        <v/>
      </c>
      <c r="X95" s="3" t="str">
        <f aca="false">IF(OR(E95="SOBRE MAX VENDIBLE",N(N95)&gt;=Parametros!$B$17,N(M95)&gt;=Parametros!$B$17),"SÍ","")</f>
        <v/>
      </c>
      <c r="Y95" s="3" t="str">
        <f aca="false">IF(AND(ISNUMBER(U95),MAX(S95,T95)&gt;=Parametros!$B$15,ABS(N(U95))&gt;Parametros!$B$14),"SÍ","")</f>
        <v/>
      </c>
      <c r="Z95" s="3" t="n">
        <f aca="false">COUNTIF(V95:Y95,"SÍ")</f>
        <v>0</v>
      </c>
      <c r="AA95" s="3" t="n">
        <f aca="false">(3*(V95="SÍ")+2*(W95="SÍ")+2*(X95="SÍ")+(Y95="SÍ"))*IF(LEFT(D95,1)="A",3,IF(OR(LEFT(D95,1)="B",D95="SIN HIST"),2,1))</f>
        <v>0</v>
      </c>
      <c r="AB95" s="3" t="str">
        <f aca="false">IF(AA95&gt;=9,"1-ALTA",IF(AA95&gt;=4,"2-MEDIA",IF(AA95&gt;0,"3-BAJA","")))</f>
        <v/>
      </c>
      <c r="AC95" s="3" t="str">
        <f aca="false">IF(E95="BAJO SS","Stock + XLIB bajo el SS: riesgo real de quiebre, adelantar producción. ","")&amp;IF(E95="BAJO SS (XLIB CUBRE)","Disponible bajo el SS; depende de liberar "&amp;TEXT(J95,"#,##0")&amp;" kg"&amp;IF(ISNUMBER(K95)," el "&amp;TEXT(K95,"dd-mm"),"")&amp;". ","")&amp;IF(W95="SÍ","Stock parece sano pero "&amp;TEXT(L95,"#,##0")&amp;" kg no pasan filtro "&amp;Stock_Seguridad!O95&amp;": sin ellos queda bajo el SS para esa cadena. ","")&amp;IF(E95="SOBRE MAX VENDIBLE","Sobrestock vs vida útil: frenar producción/activar venta. ","")&amp;IF(N(N95)&gt;=Parametros!$B$17,TEXT(N95,"#,##0")&amp;" kg ya no los acepta ninguna cadena: venta intermedia/liquidación. ","")&amp;IF(N(M95)&gt;=Parametros!$B$17,TEXT(M95,"#,##0")&amp;" kg a punto de salir del filtro: despachar primero (FEFO). ","")&amp;IF(Y95="SÍ","Pedidos "&amp;IF(N(U95)&gt;0,"sobre","bajo")&amp;" FCST "&amp;TEXT(ABS(N(U95)),"0%")&amp;": revisar forecast con KAM.","")</f>
        <v/>
      </c>
    </row>
    <row r="96" customFormat="false" ht="15" hidden="false" customHeight="false" outlineLevel="0" collapsed="false">
      <c r="A96" s="18" t="n">
        <f aca="false">Stock_Seguridad!A96</f>
        <v>30000362</v>
      </c>
      <c r="B96" s="18" t="str">
        <f aca="false">Stock_Seguridad!B96</f>
        <v>MANJAR CALO DULCE CHILENO 2X6KG</v>
      </c>
      <c r="C96" s="18" t="str">
        <f aca="false">Stock_Seguridad!C96</f>
        <v>MANJAR</v>
      </c>
      <c r="D96" s="18" t="str">
        <f aca="false">Stock_Seguridad!F96</f>
        <v>SIN HIST</v>
      </c>
      <c r="E96" s="19" t="str">
        <f aca="false">Stock_Seguridad!X96</f>
        <v>OK</v>
      </c>
      <c r="F96" s="20" t="n">
        <f aca="false">Stock_Seguridad!W96</f>
        <v>4.01678479285905</v>
      </c>
      <c r="G96" s="21" t="n">
        <f aca="false">Stock_Seguridad!T96</f>
        <v>49140</v>
      </c>
      <c r="H96" s="21" t="n">
        <f aca="false">Stock_Seguridad!R96</f>
        <v>6655.93309853167</v>
      </c>
      <c r="I96" s="21" t="n">
        <f aca="false">Stock_Seguridad!S96</f>
        <v>20144.3330985317</v>
      </c>
      <c r="J96" s="21" t="n">
        <f aca="false">Stock_Seguridad!U96</f>
        <v>5040</v>
      </c>
      <c r="K96" s="22" t="n">
        <v>46327</v>
      </c>
      <c r="L96" s="23" t="n">
        <v>888</v>
      </c>
      <c r="M96" s="23" t="n">
        <v>0</v>
      </c>
      <c r="N96" s="23" t="n">
        <v>888</v>
      </c>
      <c r="O96" s="24" t="n">
        <v>0.0830859548072663</v>
      </c>
      <c r="P96" s="24" t="n">
        <f aca="false">IF(ISNUMBER(Stock_Seguridad!N96),Stock_Seguridad!N96,"")</f>
        <v>0.271739130434783</v>
      </c>
      <c r="Q96" s="24" t="n">
        <f aca="false">IF(AND(ISNUMBER(O96),ISNUMBER(P96)),P96-O96,"")</f>
        <v>0.188653175627516</v>
      </c>
      <c r="R96" s="23" t="n">
        <f aca="false">MAX(0,G96-N(L96))</f>
        <v>48252</v>
      </c>
      <c r="S96" s="23" t="n">
        <f aca="false">SUMIFS(Cadenas_vs_FCST!$D$17:$D$2437,Cadenas_vs_FCST!$A$17:$A$2437,A96)</f>
        <v>0</v>
      </c>
      <c r="T96" s="23" t="n">
        <f aca="false">SUMIFS(Cadenas_vs_FCST!$E$17:$E$2437,Cadenas_vs_FCST!$A$17:$A$2437,A96)</f>
        <v>0</v>
      </c>
      <c r="U96" s="24" t="str">
        <f aca="false">IF(T96&gt;0,S96/T96-1,"")</f>
        <v/>
      </c>
      <c r="V96" s="3" t="str">
        <f aca="false">IF(OR(E96="BAJO SS",E96="BAJO SS (XLIB CUBRE)"),"SÍ","")</f>
        <v/>
      </c>
      <c r="W96" s="3" t="str">
        <f aca="false">IF(AND(V96="",N(L96)&gt;=Parametros!$B$17,G96&gt;=H96,R96&lt;H96),"SÍ","")</f>
        <v/>
      </c>
      <c r="X96" s="3" t="str">
        <f aca="false">IF(OR(E96="SOBRE MAX VENDIBLE",N(N96)&gt;=Parametros!$B$17,N(M96)&gt;=Parametros!$B$17),"SÍ","")</f>
        <v>SÍ</v>
      </c>
      <c r="Y96" s="3" t="str">
        <f aca="false">IF(AND(ISNUMBER(U96),MAX(S96,T96)&gt;=Parametros!$B$15,ABS(N(U96))&gt;Parametros!$B$14),"SÍ","")</f>
        <v/>
      </c>
      <c r="Z96" s="3" t="n">
        <f aca="false">COUNTIF(V96:Y96,"SÍ")</f>
        <v>1</v>
      </c>
      <c r="AA96" s="3" t="n">
        <f aca="false">(3*(V96="SÍ")+2*(W96="SÍ")+2*(X96="SÍ")+(Y96="SÍ"))*IF(LEFT(D96,1)="A",3,IF(OR(LEFT(D96,1)="B",D96="SIN HIST"),2,1))</f>
        <v>4</v>
      </c>
      <c r="AB96" s="3" t="str">
        <f aca="false">IF(AA96&gt;=9,"1-ALTA",IF(AA96&gt;=4,"2-MEDIA",IF(AA96&gt;0,"3-BAJA","")))</f>
        <v>2-MEDIA</v>
      </c>
      <c r="AC96" s="3" t="str">
        <f aca="false">IF(E96="BAJO SS","Stock + XLIB bajo el SS: riesgo real de quiebre, adelantar producción. ","")&amp;IF(E96="BAJO SS (XLIB CUBRE)","Disponible bajo el SS; depende de liberar "&amp;TEXT(J96,"#,##0")&amp;" kg"&amp;IF(ISNUMBER(K96)," el "&amp;TEXT(K96,"dd-mm"),"")&amp;". ","")&amp;IF(W96="SÍ","Stock parece sano pero "&amp;TEXT(L96,"#,##0")&amp;" kg no pasan filtro "&amp;Stock_Seguridad!O96&amp;": sin ellos queda bajo el SS para esa cadena. ","")&amp;IF(E96="SOBRE MAX VENDIBLE","Sobrestock vs vida útil: frenar producción/activar venta. ","")&amp;IF(N(N96)&gt;=Parametros!$B$17,TEXT(N96,"#,##0")&amp;" kg ya no los acepta ninguna cadena: venta intermedia/liquidación. ","")&amp;IF(N(M96)&gt;=Parametros!$B$17,TEXT(M96,"#,##0")&amp;" kg a punto de salir del filtro: despachar primero (FEFO). ","")&amp;IF(Y96="SÍ","Pedidos "&amp;IF(N(U96)&gt;0,"sobre","bajo")&amp;" FCST "&amp;TEXT(ABS(N(U96)),"0%")&amp;": revisar forecast con KAM.","")</f>
        <v>888 kg ya no los acepta ninguna cadena: venta intermedia/liquidación. </v>
      </c>
    </row>
    <row r="97" customFormat="false" ht="15" hidden="false" customHeight="false" outlineLevel="0" collapsed="false">
      <c r="A97" s="18" t="n">
        <f aca="false">Stock_Seguridad!A97</f>
        <v>30002199</v>
      </c>
      <c r="B97" s="18" t="str">
        <f aca="false">Stock_Seguridad!B97</f>
        <v>YOG OIKOS NATURAL S/E BALDE 6X800GR</v>
      </c>
      <c r="C97" s="18" t="str">
        <f aca="false">Stock_Seguridad!C97</f>
        <v>YOGURT</v>
      </c>
      <c r="D97" s="18" t="str">
        <f aca="false">Stock_Seguridad!F97</f>
        <v>AX</v>
      </c>
      <c r="E97" s="19" t="str">
        <f aca="false">Stock_Seguridad!X97</f>
        <v>BAJO P.REORDEN</v>
      </c>
      <c r="F97" s="20" t="n">
        <f aca="false">Stock_Seguridad!W97</f>
        <v>1.14912112594001</v>
      </c>
      <c r="G97" s="21" t="n">
        <f aca="false">Stock_Seguridad!T97</f>
        <v>6350.4</v>
      </c>
      <c r="H97" s="21" t="n">
        <f aca="false">Stock_Seguridad!R97</f>
        <v>5156.41104692235</v>
      </c>
      <c r="I97" s="21" t="n">
        <f aca="false">Stock_Seguridad!S97</f>
        <v>18201.5110469224</v>
      </c>
      <c r="J97" s="21" t="n">
        <f aca="false">Stock_Seguridad!U97</f>
        <v>8640</v>
      </c>
      <c r="K97" s="22" t="n">
        <v>46319</v>
      </c>
      <c r="L97" s="23" t="n">
        <v>600</v>
      </c>
      <c r="M97" s="23" t="n">
        <v>0</v>
      </c>
      <c r="N97" s="23" t="n">
        <v>254.4</v>
      </c>
      <c r="O97" s="24" t="n">
        <v>0.0674223503041947</v>
      </c>
      <c r="P97" s="24" t="n">
        <f aca="false">IF(ISNUMBER(Stock_Seguridad!N97),Stock_Seguridad!N97,"")</f>
        <v>0.241379310344828</v>
      </c>
      <c r="Q97" s="24" t="n">
        <f aca="false">IF(AND(ISNUMBER(O97),ISNUMBER(P97)),P97-O97,"")</f>
        <v>0.173956960040633</v>
      </c>
      <c r="R97" s="23" t="n">
        <f aca="false">MAX(0,G97-N(L97))</f>
        <v>5750.4</v>
      </c>
      <c r="S97" s="23" t="n">
        <f aca="false">SUMIFS(Cadenas_vs_FCST!$D$17:$D$2437,Cadenas_vs_FCST!$A$17:$A$2437,A97)</f>
        <v>50894.4</v>
      </c>
      <c r="T97" s="23" t="n">
        <f aca="false">SUMIFS(Cadenas_vs_FCST!$E$17:$E$2437,Cadenas_vs_FCST!$A$17:$A$2437,A97)</f>
        <v>47521.4307943277</v>
      </c>
      <c r="U97" s="24" t="n">
        <f aca="false">IF(T97&gt;0,S97/T97-1,"")</f>
        <v>0.0709778546077546</v>
      </c>
      <c r="V97" s="3" t="str">
        <f aca="false">IF(OR(E97="BAJO SS",E97="BAJO SS (XLIB CUBRE)"),"SÍ","")</f>
        <v/>
      </c>
      <c r="W97" s="3" t="str">
        <f aca="false">IF(AND(V97="",N(L97)&gt;=Parametros!$B$17,G97&gt;=H97,R97&lt;H97),"SÍ","")</f>
        <v/>
      </c>
      <c r="X97" s="3" t="str">
        <f aca="false">IF(OR(E97="SOBRE MAX VENDIBLE",N(N97)&gt;=Parametros!$B$17,N(M97)&gt;=Parametros!$B$17),"SÍ","")</f>
        <v/>
      </c>
      <c r="Y97" s="3" t="str">
        <f aca="false">IF(AND(ISNUMBER(U97),MAX(S97,T97)&gt;=Parametros!$B$15,ABS(N(U97))&gt;Parametros!$B$14),"SÍ","")</f>
        <v/>
      </c>
      <c r="Z97" s="3" t="n">
        <f aca="false">COUNTIF(V97:Y97,"SÍ")</f>
        <v>0</v>
      </c>
      <c r="AA97" s="3" t="n">
        <f aca="false">(3*(V97="SÍ")+2*(W97="SÍ")+2*(X97="SÍ")+(Y97="SÍ"))*IF(LEFT(D97,1)="A",3,IF(OR(LEFT(D97,1)="B",D97="SIN HIST"),2,1))</f>
        <v>0</v>
      </c>
      <c r="AB97" s="3" t="str">
        <f aca="false">IF(AA97&gt;=9,"1-ALTA",IF(AA97&gt;=4,"2-MEDIA",IF(AA97&gt;0,"3-BAJA","")))</f>
        <v/>
      </c>
      <c r="AC97" s="3" t="str">
        <f aca="false">IF(E97="BAJO SS","Stock + XLIB bajo el SS: riesgo real de quiebre, adelantar producción. ","")&amp;IF(E97="BAJO SS (XLIB CUBRE)","Disponible bajo el SS; depende de liberar "&amp;TEXT(J97,"#,##0")&amp;" kg"&amp;IF(ISNUMBER(K97)," el "&amp;TEXT(K97,"dd-mm"),"")&amp;". ","")&amp;IF(W97="SÍ","Stock parece sano pero "&amp;TEXT(L97,"#,##0")&amp;" kg no pasan filtro "&amp;Stock_Seguridad!O97&amp;": sin ellos queda bajo el SS para esa cadena. ","")&amp;IF(E97="SOBRE MAX VENDIBLE","Sobrestock vs vida útil: frenar producción/activar venta. ","")&amp;IF(N(N97)&gt;=Parametros!$B$17,TEXT(N97,"#,##0")&amp;" kg ya no los acepta ninguna cadena: venta intermedia/liquidación. ","")&amp;IF(N(M97)&gt;=Parametros!$B$17,TEXT(M97,"#,##0")&amp;" kg a punto de salir del filtro: despachar primero (FEFO). ","")&amp;IF(Y97="SÍ","Pedidos "&amp;IF(N(U97)&gt;0,"sobre","bajo")&amp;" FCST "&amp;TEXT(ABS(N(U97)),"0%")&amp;": revisar forecast con KAM.","")</f>
        <v/>
      </c>
    </row>
    <row r="98" customFormat="false" ht="15" hidden="false" customHeight="false" outlineLevel="0" collapsed="false">
      <c r="A98" s="18" t="n">
        <f aca="false">Stock_Seguridad!A98</f>
        <v>30002177</v>
      </c>
      <c r="B98" s="18" t="str">
        <f aca="false">Stock_Seguridad!B98</f>
        <v>MANJAR LONCOLECHE BOLSA 10X920GR</v>
      </c>
      <c r="C98" s="18" t="str">
        <f aca="false">Stock_Seguridad!C98</f>
        <v>MANJAR</v>
      </c>
      <c r="D98" s="18" t="str">
        <f aca="false">Stock_Seguridad!F98</f>
        <v>AX</v>
      </c>
      <c r="E98" s="19" t="str">
        <f aca="false">Stock_Seguridad!X98</f>
        <v>SOBRE MAX VENDIBLE</v>
      </c>
      <c r="F98" s="20" t="n">
        <f aca="false">Stock_Seguridad!W98</f>
        <v>5.0768947303771</v>
      </c>
      <c r="G98" s="21" t="n">
        <f aca="false">Stock_Seguridad!T98</f>
        <v>66129.6</v>
      </c>
      <c r="H98" s="21" t="n">
        <f aca="false">Stock_Seguridad!R98</f>
        <v>7446.16056959165</v>
      </c>
      <c r="I98" s="21" t="n">
        <f aca="false">Stock_Seguridad!S98</f>
        <v>20471.7605695917</v>
      </c>
      <c r="J98" s="21" t="n">
        <f aca="false">Stock_Seguridad!U98</f>
        <v>0</v>
      </c>
      <c r="K98" s="22"/>
      <c r="L98" s="23" t="n">
        <v>3367.2</v>
      </c>
      <c r="M98" s="23" t="n">
        <v>9862.4</v>
      </c>
      <c r="N98" s="23" t="n">
        <v>0</v>
      </c>
      <c r="O98" s="24" t="n">
        <v>0.0830147468002226</v>
      </c>
      <c r="P98" s="24" t="n">
        <f aca="false">IF(ISNUMBER(Stock_Seguridad!N98),Stock_Seguridad!N98,"")</f>
        <v>0.190217391304348</v>
      </c>
      <c r="Q98" s="24" t="n">
        <f aca="false">IF(AND(ISNUMBER(O98),ISNUMBER(P98)),P98-O98,"")</f>
        <v>0.107202644504125</v>
      </c>
      <c r="R98" s="23" t="n">
        <f aca="false">MAX(0,G98-N(L98))</f>
        <v>62762.4</v>
      </c>
      <c r="S98" s="23" t="n">
        <f aca="false">SUMIFS(Cadenas_vs_FCST!$D$17:$D$2437,Cadenas_vs_FCST!$A$17:$A$2437,A98)</f>
        <v>46791.2</v>
      </c>
      <c r="T98" s="23" t="n">
        <f aca="false">SUMIFS(Cadenas_vs_FCST!$E$17:$E$2437,Cadenas_vs_FCST!$A$17:$A$2437,A98)</f>
        <v>48916.3982926305</v>
      </c>
      <c r="U98" s="24" t="n">
        <f aca="false">IF(T98&gt;0,S98/T98-1,"")</f>
        <v>-0.0434455186155992</v>
      </c>
      <c r="V98" s="3" t="str">
        <f aca="false">IF(OR(E98="BAJO SS",E98="BAJO SS (XLIB CUBRE)"),"SÍ","")</f>
        <v/>
      </c>
      <c r="W98" s="3" t="str">
        <f aca="false">IF(AND(V98="",N(L98)&gt;=Parametros!$B$17,G98&gt;=H98,R98&lt;H98),"SÍ","")</f>
        <v/>
      </c>
      <c r="X98" s="3" t="str">
        <f aca="false">IF(OR(E98="SOBRE MAX VENDIBLE",N(N98)&gt;=Parametros!$B$17,N(M98)&gt;=Parametros!$B$17),"SÍ","")</f>
        <v>SÍ</v>
      </c>
      <c r="Y98" s="3" t="str">
        <f aca="false">IF(AND(ISNUMBER(U98),MAX(S98,T98)&gt;=Parametros!$B$15,ABS(N(U98))&gt;Parametros!$B$14),"SÍ","")</f>
        <v/>
      </c>
      <c r="Z98" s="3" t="n">
        <f aca="false">COUNTIF(V98:Y98,"SÍ")</f>
        <v>1</v>
      </c>
      <c r="AA98" s="3" t="n">
        <f aca="false">(3*(V98="SÍ")+2*(W98="SÍ")+2*(X98="SÍ")+(Y98="SÍ"))*IF(LEFT(D98,1)="A",3,IF(OR(LEFT(D98,1)="B",D98="SIN HIST"),2,1))</f>
        <v>6</v>
      </c>
      <c r="AB98" s="3" t="str">
        <f aca="false">IF(AA98&gt;=9,"1-ALTA",IF(AA98&gt;=4,"2-MEDIA",IF(AA98&gt;0,"3-BAJA","")))</f>
        <v>2-MEDIA</v>
      </c>
      <c r="AC98" s="3" t="str">
        <f aca="false">IF(E98="BAJO SS","Stock + XLIB bajo el SS: riesgo real de quiebre, adelantar producción. ","")&amp;IF(E98="BAJO SS (XLIB CUBRE)","Disponible bajo el SS; depende de liberar "&amp;TEXT(J98,"#,##0")&amp;" kg"&amp;IF(ISNUMBER(K98)," el "&amp;TEXT(K98,"dd-mm"),"")&amp;". ","")&amp;IF(W98="SÍ","Stock parece sano pero "&amp;TEXT(L98,"#,##0")&amp;" kg no pasan filtro "&amp;Stock_Seguridad!O98&amp;": sin ellos queda bajo el SS para esa cadena. ","")&amp;IF(E98="SOBRE MAX VENDIBLE","Sobrestock vs vida útil: frenar producción/activar venta. ","")&amp;IF(N(N98)&gt;=Parametros!$B$17,TEXT(N98,"#,##0")&amp;" kg ya no los acepta ninguna cadena: venta intermedia/liquidación. ","")&amp;IF(N(M98)&gt;=Parametros!$B$17,TEXT(M98,"#,##0")&amp;" kg a punto de salir del filtro: despachar primero (FEFO). ","")&amp;IF(Y98="SÍ","Pedidos "&amp;IF(N(U98)&gt;0,"sobre","bajo")&amp;" FCST "&amp;TEXT(ABS(N(U98)),"0%")&amp;": revisar forecast con KAM.","")</f>
        <v>Sobrestock vs vida útil: frenar producción/activar venta. 9,862 kg a punto de salir del filtro: despachar primero (FEFO). </v>
      </c>
    </row>
    <row r="99" customFormat="false" ht="15" hidden="false" customHeight="false" outlineLevel="0" collapsed="false">
      <c r="A99" s="18" t="n">
        <f aca="false">Stock_Seguridad!A99</f>
        <v>30001750</v>
      </c>
      <c r="B99" s="18" t="str">
        <f aca="false">Stock_Seguridad!B99</f>
        <v>MERMELADA WATTS FRAMBUESA 24X225GR</v>
      </c>
      <c r="C99" s="18" t="str">
        <f aca="false">Stock_Seguridad!C99</f>
        <v>MERMELADAS</v>
      </c>
      <c r="D99" s="18" t="str">
        <f aca="false">Stock_Seguridad!F99</f>
        <v>AX</v>
      </c>
      <c r="E99" s="19" t="str">
        <f aca="false">Stock_Seguridad!X99</f>
        <v>OK</v>
      </c>
      <c r="F99" s="20" t="n">
        <f aca="false">Stock_Seguridad!W99</f>
        <v>2.44133973970238</v>
      </c>
      <c r="G99" s="21" t="n">
        <f aca="false">Stock_Seguridad!T99</f>
        <v>31401</v>
      </c>
      <c r="H99" s="21" t="n">
        <f aca="false">Stock_Seguridad!R99</f>
        <v>5707.89734825952</v>
      </c>
      <c r="I99" s="21" t="n">
        <f aca="false">Stock_Seguridad!S99</f>
        <v>18570.0973482595</v>
      </c>
      <c r="J99" s="21" t="n">
        <f aca="false">Stock_Seguridad!U99</f>
        <v>0</v>
      </c>
      <c r="K99" s="22"/>
      <c r="L99" s="23" t="n">
        <v>1058.4</v>
      </c>
      <c r="M99" s="23" t="n">
        <v>0</v>
      </c>
      <c r="N99" s="23" t="n">
        <v>0</v>
      </c>
      <c r="O99" s="24" t="n">
        <v>0.0831932483637616</v>
      </c>
      <c r="P99" s="24" t="n">
        <f aca="false">IF(ISNUMBER(Stock_Seguridad!N99),Stock_Seguridad!N99,"")</f>
        <v>0.32054794520548</v>
      </c>
      <c r="Q99" s="24" t="n">
        <f aca="false">IF(AND(ISNUMBER(O99),ISNUMBER(P99)),P99-O99,"")</f>
        <v>0.237354696841718</v>
      </c>
      <c r="R99" s="23" t="n">
        <f aca="false">MAX(0,G99-N(L99))</f>
        <v>30342.6</v>
      </c>
      <c r="S99" s="23" t="n">
        <f aca="false">SUMIFS(Cadenas_vs_FCST!$D$17:$D$2437,Cadenas_vs_FCST!$A$17:$A$2437,A99)</f>
        <v>44955</v>
      </c>
      <c r="T99" s="23" t="n">
        <f aca="false">SUMIFS(Cadenas_vs_FCST!$E$17:$E$2437,Cadenas_vs_FCST!$A$17:$A$2437,A99)</f>
        <v>43311.7380434783</v>
      </c>
      <c r="U99" s="24" t="n">
        <f aca="false">IF(T99&gt;0,S99/T99-1,"")</f>
        <v>0.0379403374409073</v>
      </c>
      <c r="V99" s="3" t="str">
        <f aca="false">IF(OR(E99="BAJO SS",E99="BAJO SS (XLIB CUBRE)"),"SÍ","")</f>
        <v/>
      </c>
      <c r="W99" s="3" t="str">
        <f aca="false">IF(AND(V99="",N(L99)&gt;=Parametros!$B$17,G99&gt;=H99,R99&lt;H99),"SÍ","")</f>
        <v/>
      </c>
      <c r="X99" s="3" t="str">
        <f aca="false">IF(OR(E99="SOBRE MAX VENDIBLE",N(N99)&gt;=Parametros!$B$17,N(M99)&gt;=Parametros!$B$17),"SÍ","")</f>
        <v/>
      </c>
      <c r="Y99" s="3" t="str">
        <f aca="false">IF(AND(ISNUMBER(U99),MAX(S99,T99)&gt;=Parametros!$B$15,ABS(N(U99))&gt;Parametros!$B$14),"SÍ","")</f>
        <v/>
      </c>
      <c r="Z99" s="3" t="n">
        <f aca="false">COUNTIF(V99:Y99,"SÍ")</f>
        <v>0</v>
      </c>
      <c r="AA99" s="3" t="n">
        <f aca="false">(3*(V99="SÍ")+2*(W99="SÍ")+2*(X99="SÍ")+(Y99="SÍ"))*IF(LEFT(D99,1)="A",3,IF(OR(LEFT(D99,1)="B",D99="SIN HIST"),2,1))</f>
        <v>0</v>
      </c>
      <c r="AB99" s="3" t="str">
        <f aca="false">IF(AA99&gt;=9,"1-ALTA",IF(AA99&gt;=4,"2-MEDIA",IF(AA99&gt;0,"3-BAJA","")))</f>
        <v/>
      </c>
      <c r="AC99" s="3" t="str">
        <f aca="false">IF(E99="BAJO SS","Stock + XLIB bajo el SS: riesgo real de quiebre, adelantar producción. ","")&amp;IF(E99="BAJO SS (XLIB CUBRE)","Disponible bajo el SS; depende de liberar "&amp;TEXT(J99,"#,##0")&amp;" kg"&amp;IF(ISNUMBER(K99)," el "&amp;TEXT(K99,"dd-mm"),"")&amp;". ","")&amp;IF(W99="SÍ","Stock parece sano pero "&amp;TEXT(L99,"#,##0")&amp;" kg no pasan filtro "&amp;Stock_Seguridad!O99&amp;": sin ellos queda bajo el SS para esa cadena. ","")&amp;IF(E99="SOBRE MAX VENDIBLE","Sobrestock vs vida útil: frenar producción/activar venta. ","")&amp;IF(N(N99)&gt;=Parametros!$B$17,TEXT(N99,"#,##0")&amp;" kg ya no los acepta ninguna cadena: venta intermedia/liquidación. ","")&amp;IF(N(M99)&gt;=Parametros!$B$17,TEXT(M99,"#,##0")&amp;" kg a punto de salir del filtro: despachar primero (FEFO). ","")&amp;IF(Y99="SÍ","Pedidos "&amp;IF(N(U99)&gt;0,"sobre","bajo")&amp;" FCST "&amp;TEXT(ABS(N(U99)),"0%")&amp;": revisar forecast con KAM.","")</f>
        <v/>
      </c>
    </row>
    <row r="100" customFormat="false" ht="15" hidden="false" customHeight="false" outlineLevel="0" collapsed="false">
      <c r="A100" s="18" t="n">
        <f aca="false">Stock_Seguridad!A100</f>
        <v>30002155</v>
      </c>
      <c r="B100" s="18" t="str">
        <f aca="false">Stock_Seguridad!B100</f>
        <v>YOGURT CALAN DAMASCO 48X110G</v>
      </c>
      <c r="C100" s="18" t="str">
        <f aca="false">Stock_Seguridad!C100</f>
        <v>YOGURT</v>
      </c>
      <c r="D100" s="18" t="str">
        <f aca="false">Stock_Seguridad!F100</f>
        <v>AX</v>
      </c>
      <c r="E100" s="19" t="str">
        <f aca="false">Stock_Seguridad!X100</f>
        <v>OK</v>
      </c>
      <c r="F100" s="20" t="n">
        <f aca="false">Stock_Seguridad!W100</f>
        <v>1.82715402658327</v>
      </c>
      <c r="G100" s="21" t="n">
        <f aca="false">Stock_Seguridad!T100</f>
        <v>21304.8</v>
      </c>
      <c r="H100" s="21" t="n">
        <f aca="false">Stock_Seguridad!R100</f>
        <v>7799.68317473558</v>
      </c>
      <c r="I100" s="21" t="n">
        <f aca="false">Stock_Seguridad!S100</f>
        <v>20589.6831747356</v>
      </c>
      <c r="J100" s="21" t="n">
        <f aca="false">Stock_Seguridad!U100</f>
        <v>2064.5</v>
      </c>
      <c r="K100" s="22" t="n">
        <v>46318</v>
      </c>
      <c r="L100" s="23" t="n">
        <v>52.8</v>
      </c>
      <c r="M100" s="23" t="n">
        <v>0</v>
      </c>
      <c r="N100" s="23" t="n">
        <v>0</v>
      </c>
      <c r="O100" s="24" t="n">
        <v>0.131046091278807</v>
      </c>
      <c r="P100" s="24" t="n">
        <f aca="false">IF(ISNUMBER(Stock_Seguridad!N100),Stock_Seguridad!N100,"")</f>
        <v>0.32258064516129</v>
      </c>
      <c r="Q100" s="24" t="n">
        <f aca="false">IF(AND(ISNUMBER(O100),ISNUMBER(P100)),P100-O100,"")</f>
        <v>0.191534553882483</v>
      </c>
      <c r="R100" s="23" t="n">
        <f aca="false">MAX(0,G100-N(L100))</f>
        <v>21252</v>
      </c>
      <c r="S100" s="23" t="n">
        <f aca="false">SUMIFS(Cadenas_vs_FCST!$D$17:$D$2437,Cadenas_vs_FCST!$A$17:$A$2437,A100)</f>
        <v>56158.08</v>
      </c>
      <c r="T100" s="23" t="n">
        <f aca="false">SUMIFS(Cadenas_vs_FCST!$E$17:$E$2437,Cadenas_vs_FCST!$A$17:$A$2437,A100)</f>
        <v>47216.1803868752</v>
      </c>
      <c r="U100" s="24" t="n">
        <f aca="false">IF(T100&gt;0,S100/T100-1,"")</f>
        <v>0.189382104606039</v>
      </c>
      <c r="V100" s="3" t="str">
        <f aca="false">IF(OR(E100="BAJO SS",E100="BAJO SS (XLIB CUBRE)"),"SÍ","")</f>
        <v/>
      </c>
      <c r="W100" s="3" t="str">
        <f aca="false">IF(AND(V100="",N(L100)&gt;=Parametros!$B$17,G100&gt;=H100,R100&lt;H100),"SÍ","")</f>
        <v/>
      </c>
      <c r="X100" s="3" t="str">
        <f aca="false">IF(OR(E100="SOBRE MAX VENDIBLE",N(N100)&gt;=Parametros!$B$17,N(M100)&gt;=Parametros!$B$17),"SÍ","")</f>
        <v/>
      </c>
      <c r="Y100" s="3" t="str">
        <f aca="false">IF(AND(ISNUMBER(U100),MAX(S100,T100)&gt;=Parametros!$B$15,ABS(N(U100))&gt;Parametros!$B$14),"SÍ","")</f>
        <v/>
      </c>
      <c r="Z100" s="3" t="n">
        <f aca="false">COUNTIF(V100:Y100,"SÍ")</f>
        <v>0</v>
      </c>
      <c r="AA100" s="3" t="n">
        <f aca="false">(3*(V100="SÍ")+2*(W100="SÍ")+2*(X100="SÍ")+(Y100="SÍ"))*IF(LEFT(D100,1)="A",3,IF(OR(LEFT(D100,1)="B",D100="SIN HIST"),2,1))</f>
        <v>0</v>
      </c>
      <c r="AB100" s="3" t="str">
        <f aca="false">IF(AA100&gt;=9,"1-ALTA",IF(AA100&gt;=4,"2-MEDIA",IF(AA100&gt;0,"3-BAJA","")))</f>
        <v/>
      </c>
      <c r="AC100" s="3" t="str">
        <f aca="false">IF(E100="BAJO SS","Stock + XLIB bajo el SS: riesgo real de quiebre, adelantar producción. ","")&amp;IF(E100="BAJO SS (XLIB CUBRE)","Disponible bajo el SS; depende de liberar "&amp;TEXT(J100,"#,##0")&amp;" kg"&amp;IF(ISNUMBER(K100)," el "&amp;TEXT(K100,"dd-mm"),"")&amp;". ","")&amp;IF(W100="SÍ","Stock parece sano pero "&amp;TEXT(L100,"#,##0")&amp;" kg no pasan filtro "&amp;Stock_Seguridad!O100&amp;": sin ellos queda bajo el SS para esa cadena. ","")&amp;IF(E100="SOBRE MAX VENDIBLE","Sobrestock vs vida útil: frenar producción/activar venta. ","")&amp;IF(N(N100)&gt;=Parametros!$B$17,TEXT(N100,"#,##0")&amp;" kg ya no los acepta ninguna cadena: venta intermedia/liquidación. ","")&amp;IF(N(M100)&gt;=Parametros!$B$17,TEXT(M100,"#,##0")&amp;" kg a punto de salir del filtro: despachar primero (FEFO). ","")&amp;IF(Y100="SÍ","Pedidos "&amp;IF(N(U100)&gt;0,"sobre","bajo")&amp;" FCST "&amp;TEXT(ABS(N(U100)),"0%")&amp;": revisar forecast con KAM.","")</f>
        <v/>
      </c>
    </row>
    <row r="101" customFormat="false" ht="15" hidden="false" customHeight="false" outlineLevel="0" collapsed="false">
      <c r="A101" s="18" t="n">
        <f aca="false">Stock_Seguridad!A101</f>
        <v>30000615</v>
      </c>
      <c r="B101" s="18" t="str">
        <f aca="false">Stock_Seguridad!B101</f>
        <v>PALMITOS RODAJAS WSL 24X400GR</v>
      </c>
      <c r="C101" s="18" t="str">
        <f aca="false">Stock_Seguridad!C101</f>
        <v>CONSERVAS Y PLATOS LISTOS</v>
      </c>
      <c r="D101" s="18" t="str">
        <f aca="false">Stock_Seguridad!F101</f>
        <v>AX</v>
      </c>
      <c r="E101" s="19" t="str">
        <f aca="false">Stock_Seguridad!X101</f>
        <v>OK</v>
      </c>
      <c r="F101" s="20" t="n">
        <f aca="false">Stock_Seguridad!W101</f>
        <v>17.7750846091861</v>
      </c>
      <c r="G101" s="21" t="n">
        <f aca="false">Stock_Seguridad!T101</f>
        <v>220588.8</v>
      </c>
      <c r="H101" s="21" t="n">
        <f aca="false">Stock_Seguridad!R101</f>
        <v>8487.58243372803</v>
      </c>
      <c r="I101" s="21" t="n">
        <f aca="false">Stock_Seguridad!S101</f>
        <v>20897.582433728</v>
      </c>
      <c r="J101" s="21" t="n">
        <f aca="false">Stock_Seguridad!U101</f>
        <v>0</v>
      </c>
      <c r="K101" s="22"/>
      <c r="L101" s="23" t="n">
        <v>0</v>
      </c>
      <c r="M101" s="23" t="n">
        <v>21120</v>
      </c>
      <c r="N101" s="23" t="n">
        <v>0</v>
      </c>
      <c r="O101" s="24" t="n">
        <v>0.118294020367308</v>
      </c>
      <c r="P101" s="24" t="n">
        <f aca="false">IF(ISNUMBER(Stock_Seguridad!N101),Stock_Seguridad!N101,"")</f>
        <v>0.462328767123288</v>
      </c>
      <c r="Q101" s="24" t="n">
        <f aca="false">IF(AND(ISNUMBER(O101),ISNUMBER(P101)),P101-O101,"")</f>
        <v>0.34403474675598</v>
      </c>
      <c r="R101" s="23" t="n">
        <f aca="false">MAX(0,G101-N(L101))</f>
        <v>220588.8</v>
      </c>
      <c r="S101" s="23" t="n">
        <f aca="false">SUMIFS(Cadenas_vs_FCST!$D$17:$D$2437,Cadenas_vs_FCST!$A$17:$A$2437,A101)</f>
        <v>50524.8</v>
      </c>
      <c r="T101" s="23" t="n">
        <f aca="false">SUMIFS(Cadenas_vs_FCST!$E$17:$E$2437,Cadenas_vs_FCST!$A$17:$A$2437,A101)</f>
        <v>47955.6</v>
      </c>
      <c r="U101" s="24" t="n">
        <f aca="false">IF(T101&gt;0,S101/T101-1,"")</f>
        <v>0.0535745564647299</v>
      </c>
      <c r="V101" s="3" t="str">
        <f aca="false">IF(OR(E101="BAJO SS",E101="BAJO SS (XLIB CUBRE)"),"SÍ","")</f>
        <v/>
      </c>
      <c r="W101" s="3" t="str">
        <f aca="false">IF(AND(V101="",N(L101)&gt;=Parametros!$B$17,G101&gt;=H101,R101&lt;H101),"SÍ","")</f>
        <v/>
      </c>
      <c r="X101" s="3" t="str">
        <f aca="false">IF(OR(E101="SOBRE MAX VENDIBLE",N(N101)&gt;=Parametros!$B$17,N(M101)&gt;=Parametros!$B$17),"SÍ","")</f>
        <v>SÍ</v>
      </c>
      <c r="Y101" s="3" t="str">
        <f aca="false">IF(AND(ISNUMBER(U101),MAX(S101,T101)&gt;=Parametros!$B$15,ABS(N(U101))&gt;Parametros!$B$14),"SÍ","")</f>
        <v/>
      </c>
      <c r="Z101" s="3" t="n">
        <f aca="false">COUNTIF(V101:Y101,"SÍ")</f>
        <v>1</v>
      </c>
      <c r="AA101" s="3" t="n">
        <f aca="false">(3*(V101="SÍ")+2*(W101="SÍ")+2*(X101="SÍ")+(Y101="SÍ"))*IF(LEFT(D101,1)="A",3,IF(OR(LEFT(D101,1)="B",D101="SIN HIST"),2,1))</f>
        <v>6</v>
      </c>
      <c r="AB101" s="3" t="str">
        <f aca="false">IF(AA101&gt;=9,"1-ALTA",IF(AA101&gt;=4,"2-MEDIA",IF(AA101&gt;0,"3-BAJA","")))</f>
        <v>2-MEDIA</v>
      </c>
      <c r="AC101" s="3" t="str">
        <f aca="false">IF(E101="BAJO SS","Stock + XLIB bajo el SS: riesgo real de quiebre, adelantar producción. ","")&amp;IF(E101="BAJO SS (XLIB CUBRE)","Disponible bajo el SS; depende de liberar "&amp;TEXT(J101,"#,##0")&amp;" kg"&amp;IF(ISNUMBER(K101)," el "&amp;TEXT(K101,"dd-mm"),"")&amp;". ","")&amp;IF(W101="SÍ","Stock parece sano pero "&amp;TEXT(L101,"#,##0")&amp;" kg no pasan filtro "&amp;Stock_Seguridad!O101&amp;": sin ellos queda bajo el SS para esa cadena. ","")&amp;IF(E101="SOBRE MAX VENDIBLE","Sobrestock vs vida útil: frenar producción/activar venta. ","")&amp;IF(N(N101)&gt;=Parametros!$B$17,TEXT(N101,"#,##0")&amp;" kg ya no los acepta ninguna cadena: venta intermedia/liquidación. ","")&amp;IF(N(M101)&gt;=Parametros!$B$17,TEXT(M101,"#,##0")&amp;" kg a punto de salir del filtro: despachar primero (FEFO). ","")&amp;IF(Y101="SÍ","Pedidos "&amp;IF(N(U101)&gt;0,"sobre","bajo")&amp;" FCST "&amp;TEXT(ABS(N(U101)),"0%")&amp;": revisar forecast con KAM.","")</f>
        <v>21,120 kg a punto de salir del filtro: despachar primero (FEFO). </v>
      </c>
    </row>
    <row r="102" customFormat="false" ht="15" hidden="false" customHeight="false" outlineLevel="0" collapsed="false">
      <c r="A102" s="18" t="n">
        <f aca="false">Stock_Seguridad!A102</f>
        <v>30000092</v>
      </c>
      <c r="B102" s="18" t="str">
        <f aca="false">Stock_Seguridad!B102</f>
        <v>MARGARINA CONDESA HORNEO INDUST 1X20KG</v>
      </c>
      <c r="C102" s="18" t="str">
        <f aca="false">Stock_Seguridad!C102</f>
        <v>MARGARINAS</v>
      </c>
      <c r="D102" s="18" t="str">
        <f aca="false">Stock_Seguridad!F102</f>
        <v>SIN HIST</v>
      </c>
      <c r="E102" s="19" t="str">
        <f aca="false">Stock_Seguridad!X102</f>
        <v>OK</v>
      </c>
      <c r="F102" s="20" t="n">
        <f aca="false">Stock_Seguridad!W102</f>
        <v>3.99331472707211</v>
      </c>
      <c r="G102" s="21" t="n">
        <f aca="false">Stock_Seguridad!T102</f>
        <v>20760</v>
      </c>
      <c r="H102" s="21" t="n">
        <f aca="false">Stock_Seguridad!R102</f>
        <v>6082.14235930592</v>
      </c>
      <c r="I102" s="21" t="n">
        <f aca="false">Stock_Seguridad!S102</f>
        <v>18407.7423593059</v>
      </c>
      <c r="J102" s="21" t="n">
        <f aca="false">Stock_Seguridad!U102</f>
        <v>28460</v>
      </c>
      <c r="K102" s="22" t="n">
        <v>46318</v>
      </c>
      <c r="L102" s="23" t="n">
        <v>1600</v>
      </c>
      <c r="M102" s="23" t="n">
        <v>840</v>
      </c>
      <c r="N102" s="23" t="n">
        <v>1600</v>
      </c>
      <c r="O102" s="24" t="n">
        <v>0.0764689150751727</v>
      </c>
      <c r="P102" s="24" t="n">
        <f aca="false">IF(ISNUMBER(Stock_Seguridad!N102),Stock_Seguridad!N102,"")</f>
        <v>0.220408163265306</v>
      </c>
      <c r="Q102" s="24" t="n">
        <f aca="false">IF(AND(ISNUMBER(O102),ISNUMBER(P102)),P102-O102,"")</f>
        <v>0.143939248190133</v>
      </c>
      <c r="R102" s="23" t="n">
        <f aca="false">MAX(0,G102-N(L102))</f>
        <v>19160</v>
      </c>
      <c r="S102" s="23" t="n">
        <f aca="false">SUMIFS(Cadenas_vs_FCST!$D$17:$D$2437,Cadenas_vs_FCST!$A$17:$A$2437,A102)</f>
        <v>0</v>
      </c>
      <c r="T102" s="23" t="n">
        <f aca="false">SUMIFS(Cadenas_vs_FCST!$E$17:$E$2437,Cadenas_vs_FCST!$A$17:$A$2437,A102)</f>
        <v>0</v>
      </c>
      <c r="U102" s="24" t="str">
        <f aca="false">IF(T102&gt;0,S102/T102-1,"")</f>
        <v/>
      </c>
      <c r="V102" s="3" t="str">
        <f aca="false">IF(OR(E102="BAJO SS",E102="BAJO SS (XLIB CUBRE)"),"SÍ","")</f>
        <v/>
      </c>
      <c r="W102" s="3" t="str">
        <f aca="false">IF(AND(V102="",N(L102)&gt;=Parametros!$B$17,G102&gt;=H102,R102&lt;H102),"SÍ","")</f>
        <v/>
      </c>
      <c r="X102" s="3" t="str">
        <f aca="false">IF(OR(E102="SOBRE MAX VENDIBLE",N(N102)&gt;=Parametros!$B$17,N(M102)&gt;=Parametros!$B$17),"SÍ","")</f>
        <v>SÍ</v>
      </c>
      <c r="Y102" s="3" t="str">
        <f aca="false">IF(AND(ISNUMBER(U102),MAX(S102,T102)&gt;=Parametros!$B$15,ABS(N(U102))&gt;Parametros!$B$14),"SÍ","")</f>
        <v/>
      </c>
      <c r="Z102" s="3" t="n">
        <f aca="false">COUNTIF(V102:Y102,"SÍ")</f>
        <v>1</v>
      </c>
      <c r="AA102" s="3" t="n">
        <f aca="false">(3*(V102="SÍ")+2*(W102="SÍ")+2*(X102="SÍ")+(Y102="SÍ"))*IF(LEFT(D102,1)="A",3,IF(OR(LEFT(D102,1)="B",D102="SIN HIST"),2,1))</f>
        <v>4</v>
      </c>
      <c r="AB102" s="3" t="str">
        <f aca="false">IF(AA102&gt;=9,"1-ALTA",IF(AA102&gt;=4,"2-MEDIA",IF(AA102&gt;0,"3-BAJA","")))</f>
        <v>2-MEDIA</v>
      </c>
      <c r="AC102" s="3" t="str">
        <f aca="false">IF(E102="BAJO SS","Stock + XLIB bajo el SS: riesgo real de quiebre, adelantar producción. ","")&amp;IF(E102="BAJO SS (XLIB CUBRE)","Disponible bajo el SS; depende de liberar "&amp;TEXT(J102,"#,##0")&amp;" kg"&amp;IF(ISNUMBER(K102)," el "&amp;TEXT(K102,"dd-mm"),"")&amp;". ","")&amp;IF(W102="SÍ","Stock parece sano pero "&amp;TEXT(L102,"#,##0")&amp;" kg no pasan filtro "&amp;Stock_Seguridad!O102&amp;": sin ellos queda bajo el SS para esa cadena. ","")&amp;IF(E102="SOBRE MAX VENDIBLE","Sobrestock vs vida útil: frenar producción/activar venta. ","")&amp;IF(N(N102)&gt;=Parametros!$B$17,TEXT(N102,"#,##0")&amp;" kg ya no los acepta ninguna cadena: venta intermedia/liquidación. ","")&amp;IF(N(M102)&gt;=Parametros!$B$17,TEXT(M102,"#,##0")&amp;" kg a punto de salir del filtro: despachar primero (FEFO). ","")&amp;IF(Y102="SÍ","Pedidos "&amp;IF(N(U102)&gt;0,"sobre","bajo")&amp;" FCST "&amp;TEXT(ABS(N(U102)),"0%")&amp;": revisar forecast con KAM.","")</f>
        <v>1,600 kg ya no los acepta ninguna cadena: venta intermedia/liquidación. 840 kg a punto de salir del filtro: despachar primero (FEFO). </v>
      </c>
    </row>
    <row r="103" customFormat="false" ht="15" hidden="false" customHeight="false" outlineLevel="0" collapsed="false">
      <c r="A103" s="18" t="n">
        <f aca="false">Stock_Seguridad!A103</f>
        <v>30000432</v>
      </c>
      <c r="B103" s="18" t="str">
        <f aca="false">Stock_Seguridad!B103</f>
        <v>PREPARADO HELADO G&amp;N BOCADO 1X10KG</v>
      </c>
      <c r="C103" s="18" t="str">
        <f aca="false">Stock_Seguridad!C103</f>
        <v>PREPARADOS DE HELADO</v>
      </c>
      <c r="D103" s="18" t="str">
        <f aca="false">Stock_Seguridad!F103</f>
        <v>SIN HIST</v>
      </c>
      <c r="E103" s="19" t="str">
        <f aca="false">Stock_Seguridad!X103</f>
        <v>OK</v>
      </c>
      <c r="F103" s="20" t="n">
        <f aca="false">Stock_Seguridad!W103</f>
        <v>5.88604978086496</v>
      </c>
      <c r="G103" s="21" t="n">
        <f aca="false">Stock_Seguridad!T103</f>
        <v>25410</v>
      </c>
      <c r="H103" s="21" t="n">
        <f aca="false">Stock_Seguridad!R103</f>
        <v>5967.36447321724</v>
      </c>
      <c r="I103" s="21" t="n">
        <f aca="false">Stock_Seguridad!S103</f>
        <v>18060.3644732172</v>
      </c>
      <c r="J103" s="21" t="n">
        <f aca="false">Stock_Seguridad!U103</f>
        <v>45770</v>
      </c>
      <c r="K103" s="22" t="n">
        <v>46321</v>
      </c>
      <c r="L103" s="23" t="n">
        <v>0</v>
      </c>
      <c r="M103" s="23" t="n">
        <v>0</v>
      </c>
      <c r="N103" s="23" t="n">
        <v>0</v>
      </c>
      <c r="O103" s="24" t="n">
        <v>0.0281316826111424</v>
      </c>
      <c r="P103" s="24" t="n">
        <f aca="false">IF(ISNUMBER(Stock_Seguridad!N103),Stock_Seguridad!N103,"")</f>
        <v>0.271739130434783</v>
      </c>
      <c r="Q103" s="24" t="n">
        <f aca="false">IF(AND(ISNUMBER(O103),ISNUMBER(P103)),P103-O103,"")</f>
        <v>0.24360744782364</v>
      </c>
      <c r="R103" s="23" t="n">
        <f aca="false">MAX(0,G103-N(L103))</f>
        <v>25410</v>
      </c>
      <c r="S103" s="23" t="n">
        <f aca="false">SUMIFS(Cadenas_vs_FCST!$D$17:$D$2437,Cadenas_vs_FCST!$A$17:$A$2437,A103)</f>
        <v>0</v>
      </c>
      <c r="T103" s="23" t="n">
        <f aca="false">SUMIFS(Cadenas_vs_FCST!$E$17:$E$2437,Cadenas_vs_FCST!$A$17:$A$2437,A103)</f>
        <v>0</v>
      </c>
      <c r="U103" s="24" t="str">
        <f aca="false">IF(T103&gt;0,S103/T103-1,"")</f>
        <v/>
      </c>
      <c r="V103" s="3" t="str">
        <f aca="false">IF(OR(E103="BAJO SS",E103="BAJO SS (XLIB CUBRE)"),"SÍ","")</f>
        <v/>
      </c>
      <c r="W103" s="3" t="str">
        <f aca="false">IF(AND(V103="",N(L103)&gt;=Parametros!$B$17,G103&gt;=H103,R103&lt;H103),"SÍ","")</f>
        <v/>
      </c>
      <c r="X103" s="3" t="str">
        <f aca="false">IF(OR(E103="SOBRE MAX VENDIBLE",N(N103)&gt;=Parametros!$B$17,N(M103)&gt;=Parametros!$B$17),"SÍ","")</f>
        <v/>
      </c>
      <c r="Y103" s="3" t="str">
        <f aca="false">IF(AND(ISNUMBER(U103),MAX(S103,T103)&gt;=Parametros!$B$15,ABS(N(U103))&gt;Parametros!$B$14),"SÍ","")</f>
        <v/>
      </c>
      <c r="Z103" s="3" t="n">
        <f aca="false">COUNTIF(V103:Y103,"SÍ")</f>
        <v>0</v>
      </c>
      <c r="AA103" s="3" t="n">
        <f aca="false">(3*(V103="SÍ")+2*(W103="SÍ")+2*(X103="SÍ")+(Y103="SÍ"))*IF(LEFT(D103,1)="A",3,IF(OR(LEFT(D103,1)="B",D103="SIN HIST"),2,1))</f>
        <v>0</v>
      </c>
      <c r="AB103" s="3" t="str">
        <f aca="false">IF(AA103&gt;=9,"1-ALTA",IF(AA103&gt;=4,"2-MEDIA",IF(AA103&gt;0,"3-BAJA","")))</f>
        <v/>
      </c>
      <c r="AC103" s="3" t="str">
        <f aca="false">IF(E103="BAJO SS","Stock + XLIB bajo el SS: riesgo real de quiebre, adelantar producción. ","")&amp;IF(E103="BAJO SS (XLIB CUBRE)","Disponible bajo el SS; depende de liberar "&amp;TEXT(J103,"#,##0")&amp;" kg"&amp;IF(ISNUMBER(K103)," el "&amp;TEXT(K103,"dd-mm"),"")&amp;". ","")&amp;IF(W103="SÍ","Stock parece sano pero "&amp;TEXT(L103,"#,##0")&amp;" kg no pasan filtro "&amp;Stock_Seguridad!O103&amp;": sin ellos queda bajo el SS para esa cadena. ","")&amp;IF(E103="SOBRE MAX VENDIBLE","Sobrestock vs vida útil: frenar producción/activar venta. ","")&amp;IF(N(N103)&gt;=Parametros!$B$17,TEXT(N103,"#,##0")&amp;" kg ya no los acepta ninguna cadena: venta intermedia/liquidación. ","")&amp;IF(N(M103)&gt;=Parametros!$B$17,TEXT(M103,"#,##0")&amp;" kg a punto de salir del filtro: despachar primero (FEFO). ","")&amp;IF(Y103="SÍ","Pedidos "&amp;IF(N(U103)&gt;0,"sobre","bajo")&amp;" FCST "&amp;TEXT(ABS(N(U103)),"0%")&amp;": revisar forecast con KAM.","")</f>
        <v/>
      </c>
    </row>
    <row r="104" customFormat="false" ht="15" hidden="false" customHeight="false" outlineLevel="0" collapsed="false">
      <c r="A104" s="18" t="n">
        <f aca="false">Stock_Seguridad!A104</f>
        <v>30001365</v>
      </c>
      <c r="B104" s="18" t="str">
        <f aca="false">Stock_Seguridad!B104</f>
        <v>ACEITE CHEF EXTRAVIRGEN 12X500ML</v>
      </c>
      <c r="C104" s="18" t="str">
        <f aca="false">Stock_Seguridad!C104</f>
        <v>ACEITES</v>
      </c>
      <c r="D104" s="18" t="str">
        <f aca="false">Stock_Seguridad!F104</f>
        <v>AX</v>
      </c>
      <c r="E104" s="19" t="str">
        <f aca="false">Stock_Seguridad!X104</f>
        <v>OK</v>
      </c>
      <c r="F104" s="20" t="n">
        <f aca="false">Stock_Seguridad!W104</f>
        <v>2.00107729823624</v>
      </c>
      <c r="G104" s="21" t="n">
        <f aca="false">Stock_Seguridad!T104</f>
        <v>11639</v>
      </c>
      <c r="H104" s="21" t="n">
        <f aca="false">Stock_Seguridad!R104</f>
        <v>6592.95589334141</v>
      </c>
      <c r="I104" s="21" t="n">
        <f aca="false">Stock_Seguridad!S104</f>
        <v>18567.3558933414</v>
      </c>
      <c r="J104" s="21" t="n">
        <f aca="false">Stock_Seguridad!U104</f>
        <v>12322.7</v>
      </c>
      <c r="K104" s="22" t="n">
        <v>46312</v>
      </c>
      <c r="L104" s="23" t="n">
        <v>0</v>
      </c>
      <c r="M104" s="23" t="n">
        <v>0</v>
      </c>
      <c r="N104" s="23" t="n">
        <v>0</v>
      </c>
      <c r="O104" s="24" t="n">
        <v>0.00676650943396226</v>
      </c>
      <c r="P104" s="24" t="n">
        <f aca="false">IF(ISNUMBER(Stock_Seguridad!N104),Stock_Seguridad!N104,"")</f>
        <v>0.257534246575343</v>
      </c>
      <c r="Q104" s="24" t="n">
        <f aca="false">IF(AND(ISNUMBER(O104),ISNUMBER(P104)),P104-O104,"")</f>
        <v>0.25076773714138</v>
      </c>
      <c r="R104" s="23" t="n">
        <f aca="false">MAX(0,G104-N(L104))</f>
        <v>11639</v>
      </c>
      <c r="S104" s="23" t="n">
        <f aca="false">SUMIFS(Cadenas_vs_FCST!$D$17:$D$2437,Cadenas_vs_FCST!$A$17:$A$2437,A104)</f>
        <v>42301.55</v>
      </c>
      <c r="T104" s="23" t="n">
        <f aca="false">SUMIFS(Cadenas_vs_FCST!$E$17:$E$2437,Cadenas_vs_FCST!$A$17:$A$2437,A104)</f>
        <v>33833.25</v>
      </c>
      <c r="U104" s="24" t="n">
        <f aca="false">IF(T104&gt;0,S104/T104-1,"")</f>
        <v>0.250295197771423</v>
      </c>
      <c r="V104" s="3" t="str">
        <f aca="false">IF(OR(E104="BAJO SS",E104="BAJO SS (XLIB CUBRE)"),"SÍ","")</f>
        <v/>
      </c>
      <c r="W104" s="3" t="str">
        <f aca="false">IF(AND(V104="",N(L104)&gt;=Parametros!$B$17,G104&gt;=H104,R104&lt;H104),"SÍ","")</f>
        <v/>
      </c>
      <c r="X104" s="3" t="str">
        <f aca="false">IF(OR(E104="SOBRE MAX VENDIBLE",N(N104)&gt;=Parametros!$B$17,N(M104)&gt;=Parametros!$B$17),"SÍ","")</f>
        <v/>
      </c>
      <c r="Y104" s="3" t="str">
        <f aca="false">IF(AND(ISNUMBER(U104),MAX(S104,T104)&gt;=Parametros!$B$15,ABS(N(U104))&gt;Parametros!$B$14),"SÍ","")</f>
        <v>SÍ</v>
      </c>
      <c r="Z104" s="3" t="n">
        <f aca="false">COUNTIF(V104:Y104,"SÍ")</f>
        <v>1</v>
      </c>
      <c r="AA104" s="3" t="n">
        <f aca="false">(3*(V104="SÍ")+2*(W104="SÍ")+2*(X104="SÍ")+(Y104="SÍ"))*IF(LEFT(D104,1)="A",3,IF(OR(LEFT(D104,1)="B",D104="SIN HIST"),2,1))</f>
        <v>3</v>
      </c>
      <c r="AB104" s="3" t="str">
        <f aca="false">IF(AA104&gt;=9,"1-ALTA",IF(AA104&gt;=4,"2-MEDIA",IF(AA104&gt;0,"3-BAJA","")))</f>
        <v>3-BAJA</v>
      </c>
      <c r="AC104" s="3" t="str">
        <f aca="false">IF(E104="BAJO SS","Stock + XLIB bajo el SS: riesgo real de quiebre, adelantar producción. ","")&amp;IF(E104="BAJO SS (XLIB CUBRE)","Disponible bajo el SS; depende de liberar "&amp;TEXT(J104,"#,##0")&amp;" kg"&amp;IF(ISNUMBER(K104)," el "&amp;TEXT(K104,"dd-mm"),"")&amp;". ","")&amp;IF(W104="SÍ","Stock parece sano pero "&amp;TEXT(L104,"#,##0")&amp;" kg no pasan filtro "&amp;Stock_Seguridad!O104&amp;": sin ellos queda bajo el SS para esa cadena. ","")&amp;IF(E104="SOBRE MAX VENDIBLE","Sobrestock vs vida útil: frenar producción/activar venta. ","")&amp;IF(N(N104)&gt;=Parametros!$B$17,TEXT(N104,"#,##0")&amp;" kg ya no los acepta ninguna cadena: venta intermedia/liquidación. ","")&amp;IF(N(M104)&gt;=Parametros!$B$17,TEXT(M104,"#,##0")&amp;" kg a punto de salir del filtro: despachar primero (FEFO). ","")&amp;IF(Y104="SÍ","Pedidos "&amp;IF(N(U104)&gt;0,"sobre","bajo")&amp;" FCST "&amp;TEXT(ABS(N(U104)),"0%")&amp;": revisar forecast con KAM.","")</f>
        <v>Pedidos sobre FCST 25%: revisar forecast con KAM.</v>
      </c>
    </row>
    <row r="105" customFormat="false" ht="15" hidden="false" customHeight="false" outlineLevel="0" collapsed="false">
      <c r="A105" s="18" t="n">
        <f aca="false">Stock_Seguridad!A105</f>
        <v>30001873</v>
      </c>
      <c r="B105" s="18" t="str">
        <f aca="false">Stock_Seguridad!B105</f>
        <v>MARGARINA SUREÑA MIX POTE 12X450GR</v>
      </c>
      <c r="C105" s="18" t="str">
        <f aca="false">Stock_Seguridad!C105</f>
        <v>MARGARINAS</v>
      </c>
      <c r="D105" s="18" t="str">
        <f aca="false">Stock_Seguridad!F105</f>
        <v>AX</v>
      </c>
      <c r="E105" s="19" t="str">
        <f aca="false">Stock_Seguridad!X105</f>
        <v>OK</v>
      </c>
      <c r="F105" s="20" t="n">
        <f aca="false">Stock_Seguridad!W105</f>
        <v>3.38590381565366</v>
      </c>
      <c r="G105" s="21" t="n">
        <f aca="false">Stock_Seguridad!T105</f>
        <v>40348.8</v>
      </c>
      <c r="H105" s="21" t="n">
        <f aca="false">Stock_Seguridad!R105</f>
        <v>10190.8997740179</v>
      </c>
      <c r="I105" s="21" t="n">
        <f aca="false">Stock_Seguridad!S105</f>
        <v>22107.5997740179</v>
      </c>
      <c r="J105" s="21" t="n">
        <f aca="false">Stock_Seguridad!U105</f>
        <v>0</v>
      </c>
      <c r="K105" s="22"/>
      <c r="L105" s="23" t="n">
        <v>5.4</v>
      </c>
      <c r="M105" s="23" t="n">
        <v>583.2</v>
      </c>
      <c r="N105" s="23" t="n">
        <v>0</v>
      </c>
      <c r="O105" s="24" t="n">
        <v>0.128842344753747</v>
      </c>
      <c r="P105" s="24" t="n">
        <f aca="false">IF(ISNUMBER(Stock_Seguridad!N105),Stock_Seguridad!N105,"")</f>
        <v>0.239130434782609</v>
      </c>
      <c r="Q105" s="24" t="n">
        <f aca="false">IF(AND(ISNUMBER(O105),ISNUMBER(P105)),P105-O105,"")</f>
        <v>0.110288090028861</v>
      </c>
      <c r="R105" s="23" t="n">
        <f aca="false">MAX(0,G105-N(L105))</f>
        <v>40343.4</v>
      </c>
      <c r="S105" s="23" t="n">
        <f aca="false">SUMIFS(Cadenas_vs_FCST!$D$17:$D$2437,Cadenas_vs_FCST!$A$17:$A$2437,A105)</f>
        <v>38259</v>
      </c>
      <c r="T105" s="23" t="n">
        <f aca="false">SUMIFS(Cadenas_vs_FCST!$E$17:$E$2437,Cadenas_vs_FCST!$A$17:$A$2437,A105)</f>
        <v>51582.1780647903</v>
      </c>
      <c r="U105" s="24" t="n">
        <f aca="false">IF(T105&gt;0,S105/T105-1,"")</f>
        <v>-0.258290335240509</v>
      </c>
      <c r="V105" s="3" t="str">
        <f aca="false">IF(OR(E105="BAJO SS",E105="BAJO SS (XLIB CUBRE)"),"SÍ","")</f>
        <v/>
      </c>
      <c r="W105" s="3" t="str">
        <f aca="false">IF(AND(V105="",N(L105)&gt;=Parametros!$B$17,G105&gt;=H105,R105&lt;H105),"SÍ","")</f>
        <v/>
      </c>
      <c r="X105" s="3" t="str">
        <f aca="false">IF(OR(E105="SOBRE MAX VENDIBLE",N(N105)&gt;=Parametros!$B$17,N(M105)&gt;=Parametros!$B$17),"SÍ","")</f>
        <v>SÍ</v>
      </c>
      <c r="Y105" s="3" t="str">
        <f aca="false">IF(AND(ISNUMBER(U105),MAX(S105,T105)&gt;=Parametros!$B$15,ABS(N(U105))&gt;Parametros!$B$14),"SÍ","")</f>
        <v>SÍ</v>
      </c>
      <c r="Z105" s="3" t="n">
        <f aca="false">COUNTIF(V105:Y105,"SÍ")</f>
        <v>2</v>
      </c>
      <c r="AA105" s="3" t="n">
        <f aca="false">(3*(V105="SÍ")+2*(W105="SÍ")+2*(X105="SÍ")+(Y105="SÍ"))*IF(LEFT(D105,1)="A",3,IF(OR(LEFT(D105,1)="B",D105="SIN HIST"),2,1))</f>
        <v>9</v>
      </c>
      <c r="AB105" s="3" t="str">
        <f aca="false">IF(AA105&gt;=9,"1-ALTA",IF(AA105&gt;=4,"2-MEDIA",IF(AA105&gt;0,"3-BAJA","")))</f>
        <v>1-ALTA</v>
      </c>
      <c r="AC105" s="3" t="str">
        <f aca="false">IF(E105="BAJO SS","Stock + XLIB bajo el SS: riesgo real de quiebre, adelantar producción. ","")&amp;IF(E105="BAJO SS (XLIB CUBRE)","Disponible bajo el SS; depende de liberar "&amp;TEXT(J105,"#,##0")&amp;" kg"&amp;IF(ISNUMBER(K105)," el "&amp;TEXT(K105,"dd-mm"),"")&amp;". ","")&amp;IF(W105="SÍ","Stock parece sano pero "&amp;TEXT(L105,"#,##0")&amp;" kg no pasan filtro "&amp;Stock_Seguridad!O105&amp;": sin ellos queda bajo el SS para esa cadena. ","")&amp;IF(E105="SOBRE MAX VENDIBLE","Sobrestock vs vida útil: frenar producción/activar venta. ","")&amp;IF(N(N105)&gt;=Parametros!$B$17,TEXT(N105,"#,##0")&amp;" kg ya no los acepta ninguna cadena: venta intermedia/liquidación. ","")&amp;IF(N(M105)&gt;=Parametros!$B$17,TEXT(M105,"#,##0")&amp;" kg a punto de salir del filtro: despachar primero (FEFO). ","")&amp;IF(Y105="SÍ","Pedidos "&amp;IF(N(U105)&gt;0,"sobre","bajo")&amp;" FCST "&amp;TEXT(ABS(N(U105)),"0%")&amp;": revisar forecast con KAM.","")</f>
        <v>583 kg a punto de salir del filtro: despachar primero (FEFO). Pedidos bajo FCST 26%: revisar forecast con KAM.</v>
      </c>
    </row>
    <row r="106" customFormat="false" ht="15" hidden="false" customHeight="false" outlineLevel="0" collapsed="false">
      <c r="A106" s="18" t="n">
        <f aca="false">Stock_Seguridad!A106</f>
        <v>30001754</v>
      </c>
      <c r="B106" s="18" t="str">
        <f aca="false">Stock_Seguridad!B106</f>
        <v>MERMELADA WATTS ALCAYOTA 24X225GR</v>
      </c>
      <c r="C106" s="18" t="str">
        <f aca="false">Stock_Seguridad!C106</f>
        <v>MERMELADAS</v>
      </c>
      <c r="D106" s="18" t="str">
        <f aca="false">Stock_Seguridad!F106</f>
        <v>AX</v>
      </c>
      <c r="E106" s="19" t="str">
        <f aca="false">Stock_Seguridad!X106</f>
        <v>BAJO P.REORDEN</v>
      </c>
      <c r="F106" s="20" t="n">
        <f aca="false">Stock_Seguridad!W106</f>
        <v>1.30636166477331</v>
      </c>
      <c r="G106" s="21" t="n">
        <f aca="false">Stock_Seguridad!T106</f>
        <v>15179.4</v>
      </c>
      <c r="H106" s="21" t="n">
        <f aca="false">Stock_Seguridad!R106</f>
        <v>6886.85697731228</v>
      </c>
      <c r="I106" s="21" t="n">
        <f aca="false">Stock_Seguridad!S106</f>
        <v>18506.4569773123</v>
      </c>
      <c r="J106" s="21" t="n">
        <f aca="false">Stock_Seguridad!U106</f>
        <v>0</v>
      </c>
      <c r="K106" s="22"/>
      <c r="L106" s="23" t="n">
        <v>0</v>
      </c>
      <c r="M106" s="23" t="n">
        <v>0</v>
      </c>
      <c r="N106" s="23" t="n">
        <v>0</v>
      </c>
      <c r="O106" s="24" t="n">
        <v>0.0460334996436208</v>
      </c>
      <c r="P106" s="24" t="n">
        <f aca="false">IF(ISNUMBER(Stock_Seguridad!N106),Stock_Seguridad!N106,"")</f>
        <v>0.32054794520548</v>
      </c>
      <c r="Q106" s="24" t="n">
        <f aca="false">IF(AND(ISNUMBER(O106),ISNUMBER(P106)),P106-O106,"")</f>
        <v>0.274514445561859</v>
      </c>
      <c r="R106" s="23" t="n">
        <f aca="false">MAX(0,G106-N(L106))</f>
        <v>15179.4</v>
      </c>
      <c r="S106" s="23" t="n">
        <f aca="false">SUMIFS(Cadenas_vs_FCST!$D$17:$D$2437,Cadenas_vs_FCST!$A$17:$A$2437,A106)</f>
        <v>48454.2</v>
      </c>
      <c r="T106" s="23" t="n">
        <f aca="false">SUMIFS(Cadenas_vs_FCST!$E$17:$E$2437,Cadenas_vs_FCST!$A$17:$A$2437,A106)</f>
        <v>41574.9239130435</v>
      </c>
      <c r="U106" s="24" t="n">
        <f aca="false">IF(T106&gt;0,S106/T106-1,"")</f>
        <v>0.165466955546207</v>
      </c>
      <c r="V106" s="3" t="str">
        <f aca="false">IF(OR(E106="BAJO SS",E106="BAJO SS (XLIB CUBRE)"),"SÍ","")</f>
        <v/>
      </c>
      <c r="W106" s="3" t="str">
        <f aca="false">IF(AND(V106="",N(L106)&gt;=Parametros!$B$17,G106&gt;=H106,R106&lt;H106),"SÍ","")</f>
        <v/>
      </c>
      <c r="X106" s="3" t="str">
        <f aca="false">IF(OR(E106="SOBRE MAX VENDIBLE",N(N106)&gt;=Parametros!$B$17,N(M106)&gt;=Parametros!$B$17),"SÍ","")</f>
        <v/>
      </c>
      <c r="Y106" s="3" t="str">
        <f aca="false">IF(AND(ISNUMBER(U106),MAX(S106,T106)&gt;=Parametros!$B$15,ABS(N(U106))&gt;Parametros!$B$14),"SÍ","")</f>
        <v/>
      </c>
      <c r="Z106" s="3" t="n">
        <f aca="false">COUNTIF(V106:Y106,"SÍ")</f>
        <v>0</v>
      </c>
      <c r="AA106" s="3" t="n">
        <f aca="false">(3*(V106="SÍ")+2*(W106="SÍ")+2*(X106="SÍ")+(Y106="SÍ"))*IF(LEFT(D106,1)="A",3,IF(OR(LEFT(D106,1)="B",D106="SIN HIST"),2,1))</f>
        <v>0</v>
      </c>
      <c r="AB106" s="3" t="str">
        <f aca="false">IF(AA106&gt;=9,"1-ALTA",IF(AA106&gt;=4,"2-MEDIA",IF(AA106&gt;0,"3-BAJA","")))</f>
        <v/>
      </c>
      <c r="AC106" s="3" t="str">
        <f aca="false">IF(E106="BAJO SS","Stock + XLIB bajo el SS: riesgo real de quiebre, adelantar producción. ","")&amp;IF(E106="BAJO SS (XLIB CUBRE)","Disponible bajo el SS; depende de liberar "&amp;TEXT(J106,"#,##0")&amp;" kg"&amp;IF(ISNUMBER(K106)," el "&amp;TEXT(K106,"dd-mm"),"")&amp;". ","")&amp;IF(W106="SÍ","Stock parece sano pero "&amp;TEXT(L106,"#,##0")&amp;" kg no pasan filtro "&amp;Stock_Seguridad!O106&amp;": sin ellos queda bajo el SS para esa cadena. ","")&amp;IF(E106="SOBRE MAX VENDIBLE","Sobrestock vs vida útil: frenar producción/activar venta. ","")&amp;IF(N(N106)&gt;=Parametros!$B$17,TEXT(N106,"#,##0")&amp;" kg ya no los acepta ninguna cadena: venta intermedia/liquidación. ","")&amp;IF(N(M106)&gt;=Parametros!$B$17,TEXT(M106,"#,##0")&amp;" kg a punto de salir del filtro: despachar primero (FEFO). ","")&amp;IF(Y106="SÍ","Pedidos "&amp;IF(N(U106)&gt;0,"sobre","bajo")&amp;" FCST "&amp;TEXT(ABS(N(U106)),"0%")&amp;": revisar forecast con KAM.","")</f>
        <v/>
      </c>
    </row>
    <row r="107" customFormat="false" ht="15" hidden="false" customHeight="false" outlineLevel="0" collapsed="false">
      <c r="A107" s="18" t="n">
        <f aca="false">Stock_Seguridad!A107</f>
        <v>30000717</v>
      </c>
      <c r="B107" s="18" t="str">
        <f aca="false">Stock_Seguridad!B107</f>
        <v>CHOCLO IQF 15X1KG</v>
      </c>
      <c r="C107" s="18" t="str">
        <f aca="false">Stock_Seguridad!C107</f>
        <v>FRUTAS Y HORTALIZAS CONGELADAS</v>
      </c>
      <c r="D107" s="18" t="str">
        <f aca="false">Stock_Seguridad!F107</f>
        <v>SIN HIST</v>
      </c>
      <c r="E107" s="19" t="str">
        <f aca="false">Stock_Seguridad!X107</f>
        <v>OK</v>
      </c>
      <c r="F107" s="20" t="n">
        <f aca="false">Stock_Seguridad!W107</f>
        <v>15.3113348410363</v>
      </c>
      <c r="G107" s="21" t="n">
        <f aca="false">Stock_Seguridad!T107</f>
        <v>173175</v>
      </c>
      <c r="H107" s="21" t="n">
        <f aca="false">Stock_Seguridad!R107</f>
        <v>5651.2071575809</v>
      </c>
      <c r="I107" s="21" t="n">
        <f aca="false">Stock_Seguridad!S107</f>
        <v>17103.5071575809</v>
      </c>
      <c r="J107" s="21" t="n">
        <f aca="false">Stock_Seguridad!U107</f>
        <v>2175</v>
      </c>
      <c r="K107" s="22" t="n">
        <v>46317</v>
      </c>
      <c r="L107" s="23" t="n">
        <v>0</v>
      </c>
      <c r="M107" s="23" t="n">
        <v>0</v>
      </c>
      <c r="N107" s="23" t="n">
        <v>0</v>
      </c>
      <c r="O107" s="24" t="n">
        <v>0.0541941830624465</v>
      </c>
      <c r="P107" s="24" t="str">
        <f aca="false">IF(ISNUMBER(Stock_Seguridad!N107),Stock_Seguridad!N107,"")</f>
        <v/>
      </c>
      <c r="Q107" s="24" t="str">
        <f aca="false">IF(AND(ISNUMBER(O107),ISNUMBER(P107)),P107-O107,"")</f>
        <v/>
      </c>
      <c r="R107" s="23" t="n">
        <f aca="false">MAX(0,G107-N(L107))</f>
        <v>173175</v>
      </c>
      <c r="S107" s="23" t="n">
        <f aca="false">SUMIFS(Cadenas_vs_FCST!$D$17:$D$2437,Cadenas_vs_FCST!$A$17:$A$2437,A107)</f>
        <v>0</v>
      </c>
      <c r="T107" s="23" t="n">
        <f aca="false">SUMIFS(Cadenas_vs_FCST!$E$17:$E$2437,Cadenas_vs_FCST!$A$17:$A$2437,A107)</f>
        <v>0</v>
      </c>
      <c r="U107" s="24" t="str">
        <f aca="false">IF(T107&gt;0,S107/T107-1,"")</f>
        <v/>
      </c>
      <c r="V107" s="3" t="str">
        <f aca="false">IF(OR(E107="BAJO SS",E107="BAJO SS (XLIB CUBRE)"),"SÍ","")</f>
        <v/>
      </c>
      <c r="W107" s="3" t="str">
        <f aca="false">IF(AND(V107="",N(L107)&gt;=Parametros!$B$17,G107&gt;=H107,R107&lt;H107),"SÍ","")</f>
        <v/>
      </c>
      <c r="X107" s="3" t="str">
        <f aca="false">IF(OR(E107="SOBRE MAX VENDIBLE",N(N107)&gt;=Parametros!$B$17,N(M107)&gt;=Parametros!$B$17),"SÍ","")</f>
        <v/>
      </c>
      <c r="Y107" s="3" t="str">
        <f aca="false">IF(AND(ISNUMBER(U107),MAX(S107,T107)&gt;=Parametros!$B$15,ABS(N(U107))&gt;Parametros!$B$14),"SÍ","")</f>
        <v/>
      </c>
      <c r="Z107" s="3" t="n">
        <f aca="false">COUNTIF(V107:Y107,"SÍ")</f>
        <v>0</v>
      </c>
      <c r="AA107" s="3" t="n">
        <f aca="false">(3*(V107="SÍ")+2*(W107="SÍ")+2*(X107="SÍ")+(Y107="SÍ"))*IF(LEFT(D107,1)="A",3,IF(OR(LEFT(D107,1)="B",D107="SIN HIST"),2,1))</f>
        <v>0</v>
      </c>
      <c r="AB107" s="3" t="str">
        <f aca="false">IF(AA107&gt;=9,"1-ALTA",IF(AA107&gt;=4,"2-MEDIA",IF(AA107&gt;0,"3-BAJA","")))</f>
        <v/>
      </c>
      <c r="AC107" s="3" t="str">
        <f aca="false">IF(E107="BAJO SS","Stock + XLIB bajo el SS: riesgo real de quiebre, adelantar producción. ","")&amp;IF(E107="BAJO SS (XLIB CUBRE)","Disponible bajo el SS; depende de liberar "&amp;TEXT(J107,"#,##0")&amp;" kg"&amp;IF(ISNUMBER(K107)," el "&amp;TEXT(K107,"dd-mm"),"")&amp;". ","")&amp;IF(W107="SÍ","Stock parece sano pero "&amp;TEXT(L107,"#,##0")&amp;" kg no pasan filtro "&amp;Stock_Seguridad!O107&amp;": sin ellos queda bajo el SS para esa cadena. ","")&amp;IF(E107="SOBRE MAX VENDIBLE","Sobrestock vs vida útil: frenar producción/activar venta. ","")&amp;IF(N(N107)&gt;=Parametros!$B$17,TEXT(N107,"#,##0")&amp;" kg ya no los acepta ninguna cadena: venta intermedia/liquidación. ","")&amp;IF(N(M107)&gt;=Parametros!$B$17,TEXT(M107,"#,##0")&amp;" kg a punto de salir del filtro: despachar primero (FEFO). ","")&amp;IF(Y107="SÍ","Pedidos "&amp;IF(N(U107)&gt;0,"sobre","bajo")&amp;" FCST "&amp;TEXT(ABS(N(U107)),"0%")&amp;": revisar forecast con KAM.","")</f>
        <v/>
      </c>
    </row>
    <row r="108" customFormat="false" ht="15" hidden="false" customHeight="false" outlineLevel="0" collapsed="false">
      <c r="A108" s="18" t="n">
        <f aca="false">Stock_Seguridad!A108</f>
        <v>30001749</v>
      </c>
      <c r="B108" s="18" t="str">
        <f aca="false">Stock_Seguridad!B108</f>
        <v>MERMELADA WATTS DAMASCO 24X225GR</v>
      </c>
      <c r="C108" s="18" t="str">
        <f aca="false">Stock_Seguridad!C108</f>
        <v>MERMELADAS</v>
      </c>
      <c r="D108" s="18" t="str">
        <f aca="false">Stock_Seguridad!F108</f>
        <v>AX</v>
      </c>
      <c r="E108" s="19" t="str">
        <f aca="false">Stock_Seguridad!X108</f>
        <v>BAJO P.REORDEN</v>
      </c>
      <c r="F108" s="20" t="n">
        <f aca="false">Stock_Seguridad!W108</f>
        <v>1.39954030276611</v>
      </c>
      <c r="G108" s="21" t="n">
        <f aca="false">Stock_Seguridad!T108</f>
        <v>8996.4</v>
      </c>
      <c r="H108" s="21" t="n">
        <f aca="false">Stock_Seguridad!R108</f>
        <v>7377.74836001254</v>
      </c>
      <c r="I108" s="21" t="n">
        <f aca="false">Stock_Seguridad!S108</f>
        <v>18733.0483600125</v>
      </c>
      <c r="J108" s="21" t="n">
        <f aca="false">Stock_Seguridad!U108</f>
        <v>6895.8</v>
      </c>
      <c r="K108" s="22" t="n">
        <v>46317</v>
      </c>
      <c r="L108" s="23" t="n">
        <v>567</v>
      </c>
      <c r="M108" s="23" t="n">
        <v>0</v>
      </c>
      <c r="N108" s="23" t="n">
        <v>194.4</v>
      </c>
      <c r="O108" s="24" t="n">
        <v>0.0350153113303845</v>
      </c>
      <c r="P108" s="24" t="n">
        <f aca="false">IF(ISNUMBER(Stock_Seguridad!N108),Stock_Seguridad!N108,"")</f>
        <v>0.32054794520548</v>
      </c>
      <c r="Q108" s="24" t="n">
        <f aca="false">IF(AND(ISNUMBER(O108),ISNUMBER(P108)),P108-O108,"")</f>
        <v>0.285532633875095</v>
      </c>
      <c r="R108" s="23" t="n">
        <f aca="false">MAX(0,G108-N(L108))</f>
        <v>8429.4</v>
      </c>
      <c r="S108" s="23" t="n">
        <f aca="false">SUMIFS(Cadenas_vs_FCST!$D$17:$D$2437,Cadenas_vs_FCST!$A$17:$A$2437,A108)</f>
        <v>39954.6</v>
      </c>
      <c r="T108" s="23" t="n">
        <f aca="false">SUMIFS(Cadenas_vs_FCST!$E$17:$E$2437,Cadenas_vs_FCST!$A$17:$A$2437,A108)</f>
        <v>29625.9391304348</v>
      </c>
      <c r="U108" s="24" t="n">
        <f aca="false">IF(T108&gt;0,S108/T108-1,"")</f>
        <v>0.348635728443611</v>
      </c>
      <c r="V108" s="3" t="str">
        <f aca="false">IF(OR(E108="BAJO SS",E108="BAJO SS (XLIB CUBRE)"),"SÍ","")</f>
        <v/>
      </c>
      <c r="W108" s="3" t="str">
        <f aca="false">IF(AND(V108="",N(L108)&gt;=Parametros!$B$17,G108&gt;=H108,R108&lt;H108),"SÍ","")</f>
        <v/>
      </c>
      <c r="X108" s="3" t="str">
        <f aca="false">IF(OR(E108="SOBRE MAX VENDIBLE",N(N108)&gt;=Parametros!$B$17,N(M108)&gt;=Parametros!$B$17),"SÍ","")</f>
        <v/>
      </c>
      <c r="Y108" s="3" t="str">
        <f aca="false">IF(AND(ISNUMBER(U108),MAX(S108,T108)&gt;=Parametros!$B$15,ABS(N(U108))&gt;Parametros!$B$14),"SÍ","")</f>
        <v>SÍ</v>
      </c>
      <c r="Z108" s="3" t="n">
        <f aca="false">COUNTIF(V108:Y108,"SÍ")</f>
        <v>1</v>
      </c>
      <c r="AA108" s="3" t="n">
        <f aca="false">(3*(V108="SÍ")+2*(W108="SÍ")+2*(X108="SÍ")+(Y108="SÍ"))*IF(LEFT(D108,1)="A",3,IF(OR(LEFT(D108,1)="B",D108="SIN HIST"),2,1))</f>
        <v>3</v>
      </c>
      <c r="AB108" s="3" t="str">
        <f aca="false">IF(AA108&gt;=9,"1-ALTA",IF(AA108&gt;=4,"2-MEDIA",IF(AA108&gt;0,"3-BAJA","")))</f>
        <v>3-BAJA</v>
      </c>
      <c r="AC108" s="3" t="str">
        <f aca="false">IF(E108="BAJO SS","Stock + XLIB bajo el SS: riesgo real de quiebre, adelantar producción. ","")&amp;IF(E108="BAJO SS (XLIB CUBRE)","Disponible bajo el SS; depende de liberar "&amp;TEXT(J108,"#,##0")&amp;" kg"&amp;IF(ISNUMBER(K108)," el "&amp;TEXT(K108,"dd-mm"),"")&amp;". ","")&amp;IF(W108="SÍ","Stock parece sano pero "&amp;TEXT(L108,"#,##0")&amp;" kg no pasan filtro "&amp;Stock_Seguridad!O108&amp;": sin ellos queda bajo el SS para esa cadena. ","")&amp;IF(E108="SOBRE MAX VENDIBLE","Sobrestock vs vida útil: frenar producción/activar venta. ","")&amp;IF(N(N108)&gt;=Parametros!$B$17,TEXT(N108,"#,##0")&amp;" kg ya no los acepta ninguna cadena: venta intermedia/liquidación. ","")&amp;IF(N(M108)&gt;=Parametros!$B$17,TEXT(M108,"#,##0")&amp;" kg a punto de salir del filtro: despachar primero (FEFO). ","")&amp;IF(Y108="SÍ","Pedidos "&amp;IF(N(U108)&gt;0,"sobre","bajo")&amp;" FCST "&amp;TEXT(ABS(N(U108)),"0%")&amp;": revisar forecast con KAM.","")</f>
        <v>Pedidos sobre FCST 35%: revisar forecast con KAM.</v>
      </c>
    </row>
    <row r="109" customFormat="false" ht="15" hidden="false" customHeight="false" outlineLevel="0" collapsed="false">
      <c r="A109" s="18" t="n">
        <f aca="false">Stock_Seguridad!A109</f>
        <v>30001571</v>
      </c>
      <c r="B109" s="18" t="str">
        <f aca="false">Stock_Seguridad!B109</f>
        <v>SOFRITO 72X150G</v>
      </c>
      <c r="C109" s="18" t="str">
        <f aca="false">Stock_Seguridad!C109</f>
        <v>FRUTAS Y HORTALIZAS CONGELADAS</v>
      </c>
      <c r="D109" s="18" t="str">
        <f aca="false">Stock_Seguridad!F109</f>
        <v>SIN HIST</v>
      </c>
      <c r="E109" s="19" t="str">
        <f aca="false">Stock_Seguridad!X109</f>
        <v>OK</v>
      </c>
      <c r="F109" s="20" t="n">
        <f aca="false">Stock_Seguridad!W109</f>
        <v>12.7014514249391</v>
      </c>
      <c r="G109" s="21" t="n">
        <f aca="false">Stock_Seguridad!T109</f>
        <v>67834.8</v>
      </c>
      <c r="H109" s="21" t="n">
        <f aca="false">Stock_Seguridad!R109</f>
        <v>5589.27841852618</v>
      </c>
      <c r="I109" s="21" t="n">
        <f aca="false">Stock_Seguridad!S109</f>
        <v>16916.0784185262</v>
      </c>
      <c r="J109" s="21" t="n">
        <f aca="false">Stock_Seguridad!U109</f>
        <v>76032</v>
      </c>
      <c r="K109" s="22"/>
      <c r="L109" s="23" t="n">
        <v>0</v>
      </c>
      <c r="M109" s="23" t="n">
        <v>0</v>
      </c>
      <c r="N109" s="23" t="n">
        <v>0</v>
      </c>
      <c r="O109" s="24" t="n">
        <v>0.148308687615527</v>
      </c>
      <c r="P109" s="24" t="str">
        <f aca="false">IF(ISNUMBER(Stock_Seguridad!N109),Stock_Seguridad!N109,"")</f>
        <v/>
      </c>
      <c r="Q109" s="24" t="str">
        <f aca="false">IF(AND(ISNUMBER(O109),ISNUMBER(P109)),P109-O109,"")</f>
        <v/>
      </c>
      <c r="R109" s="23" t="n">
        <f aca="false">MAX(0,G109-N(L109))</f>
        <v>67834.8</v>
      </c>
      <c r="S109" s="23" t="n">
        <f aca="false">SUMIFS(Cadenas_vs_FCST!$D$17:$D$2437,Cadenas_vs_FCST!$A$17:$A$2437,A109)</f>
        <v>0</v>
      </c>
      <c r="T109" s="23" t="n">
        <f aca="false">SUMIFS(Cadenas_vs_FCST!$E$17:$E$2437,Cadenas_vs_FCST!$A$17:$A$2437,A109)</f>
        <v>0</v>
      </c>
      <c r="U109" s="24" t="str">
        <f aca="false">IF(T109&gt;0,S109/T109-1,"")</f>
        <v/>
      </c>
      <c r="V109" s="3" t="str">
        <f aca="false">IF(OR(E109="BAJO SS",E109="BAJO SS (XLIB CUBRE)"),"SÍ","")</f>
        <v/>
      </c>
      <c r="W109" s="3" t="str">
        <f aca="false">IF(AND(V109="",N(L109)&gt;=Parametros!$B$17,G109&gt;=H109,R109&lt;H109),"SÍ","")</f>
        <v/>
      </c>
      <c r="X109" s="3" t="str">
        <f aca="false">IF(OR(E109="SOBRE MAX VENDIBLE",N(N109)&gt;=Parametros!$B$17,N(M109)&gt;=Parametros!$B$17),"SÍ","")</f>
        <v/>
      </c>
      <c r="Y109" s="3" t="str">
        <f aca="false">IF(AND(ISNUMBER(U109),MAX(S109,T109)&gt;=Parametros!$B$15,ABS(N(U109))&gt;Parametros!$B$14),"SÍ","")</f>
        <v/>
      </c>
      <c r="Z109" s="3" t="n">
        <f aca="false">COUNTIF(V109:Y109,"SÍ")</f>
        <v>0</v>
      </c>
      <c r="AA109" s="3" t="n">
        <f aca="false">(3*(V109="SÍ")+2*(W109="SÍ")+2*(X109="SÍ")+(Y109="SÍ"))*IF(LEFT(D109,1)="A",3,IF(OR(LEFT(D109,1)="B",D109="SIN HIST"),2,1))</f>
        <v>0</v>
      </c>
      <c r="AB109" s="3" t="str">
        <f aca="false">IF(AA109&gt;=9,"1-ALTA",IF(AA109&gt;=4,"2-MEDIA",IF(AA109&gt;0,"3-BAJA","")))</f>
        <v/>
      </c>
      <c r="AC109" s="3" t="str">
        <f aca="false">IF(E109="BAJO SS","Stock + XLIB bajo el SS: riesgo real de quiebre, adelantar producción. ","")&amp;IF(E109="BAJO SS (XLIB CUBRE)","Disponible bajo el SS; depende de liberar "&amp;TEXT(J109,"#,##0")&amp;" kg"&amp;IF(ISNUMBER(K109)," el "&amp;TEXT(K109,"dd-mm"),"")&amp;". ","")&amp;IF(W109="SÍ","Stock parece sano pero "&amp;TEXT(L109,"#,##0")&amp;" kg no pasan filtro "&amp;Stock_Seguridad!O109&amp;": sin ellos queda bajo el SS para esa cadena. ","")&amp;IF(E109="SOBRE MAX VENDIBLE","Sobrestock vs vida útil: frenar producción/activar venta. ","")&amp;IF(N(N109)&gt;=Parametros!$B$17,TEXT(N109,"#,##0")&amp;" kg ya no los acepta ninguna cadena: venta intermedia/liquidación. ","")&amp;IF(N(M109)&gt;=Parametros!$B$17,TEXT(M109,"#,##0")&amp;" kg a punto de salir del filtro: despachar primero (FEFO). ","")&amp;IF(Y109="SÍ","Pedidos "&amp;IF(N(U109)&gt;0,"sobre","bajo")&amp;" FCST "&amp;TEXT(ABS(N(U109)),"0%")&amp;": revisar forecast con KAM.","")</f>
        <v/>
      </c>
    </row>
    <row r="110" customFormat="false" ht="15" hidden="false" customHeight="false" outlineLevel="0" collapsed="false">
      <c r="A110" s="18" t="n">
        <f aca="false">Stock_Seguridad!A110</f>
        <v>30000398</v>
      </c>
      <c r="B110" s="18" t="str">
        <f aca="false">Stock_Seguridad!B110</f>
        <v>LECHE S/LACT CHOC LONCO 30X200ML</v>
      </c>
      <c r="C110" s="18" t="str">
        <f aca="false">Stock_Seguridad!C110</f>
        <v>LECHES LIQUIDAS</v>
      </c>
      <c r="D110" s="18" t="str">
        <f aca="false">Stock_Seguridad!F110</f>
        <v>AX</v>
      </c>
      <c r="E110" s="19" t="str">
        <f aca="false">Stock_Seguridad!X110</f>
        <v>OK</v>
      </c>
      <c r="F110" s="20" t="n">
        <f aca="false">Stock_Seguridad!W110</f>
        <v>3.41994970662196</v>
      </c>
      <c r="G110" s="21" t="n">
        <f aca="false">Stock_Seguridad!T110</f>
        <v>37944</v>
      </c>
      <c r="H110" s="21" t="n">
        <f aca="false">Stock_Seguridad!R110</f>
        <v>5928.62820186918</v>
      </c>
      <c r="I110" s="21" t="n">
        <f aca="false">Stock_Seguridad!S110</f>
        <v>17023.5282018692</v>
      </c>
      <c r="J110" s="21" t="n">
        <f aca="false">Stock_Seguridad!U110</f>
        <v>0</v>
      </c>
      <c r="K110" s="22"/>
      <c r="L110" s="23" t="n">
        <v>156</v>
      </c>
      <c r="M110" s="23" t="n">
        <v>3048</v>
      </c>
      <c r="N110" s="23" t="n">
        <v>0</v>
      </c>
      <c r="O110" s="24" t="n">
        <v>0.0888032968774766</v>
      </c>
      <c r="P110" s="24" t="n">
        <f aca="false">IF(ISNUMBER(Stock_Seguridad!N110),Stock_Seguridad!N110,"")</f>
        <v>0.259259259259259</v>
      </c>
      <c r="Q110" s="24" t="n">
        <f aca="false">IF(AND(ISNUMBER(O110),ISNUMBER(P110)),P110-O110,"")</f>
        <v>0.170455962381783</v>
      </c>
      <c r="R110" s="23" t="n">
        <f aca="false">MAX(0,G110-N(L110))</f>
        <v>37788</v>
      </c>
      <c r="S110" s="23" t="n">
        <f aca="false">SUMIFS(Cadenas_vs_FCST!$D$17:$D$2437,Cadenas_vs_FCST!$A$17:$A$2437,A110)</f>
        <v>44634</v>
      </c>
      <c r="T110" s="23" t="n">
        <f aca="false">SUMIFS(Cadenas_vs_FCST!$E$17:$E$2437,Cadenas_vs_FCST!$A$17:$A$2437,A110)</f>
        <v>37069.817447751</v>
      </c>
      <c r="U110" s="24" t="n">
        <f aca="false">IF(T110&gt;0,S110/T110-1,"")</f>
        <v>0.204052328094426</v>
      </c>
      <c r="V110" s="3" t="str">
        <f aca="false">IF(OR(E110="BAJO SS",E110="BAJO SS (XLIB CUBRE)"),"SÍ","")</f>
        <v/>
      </c>
      <c r="W110" s="3" t="str">
        <f aca="false">IF(AND(V110="",N(L110)&gt;=Parametros!$B$17,G110&gt;=H110,R110&lt;H110),"SÍ","")</f>
        <v/>
      </c>
      <c r="X110" s="3" t="str">
        <f aca="false">IF(OR(E110="SOBRE MAX VENDIBLE",N(N110)&gt;=Parametros!$B$17,N(M110)&gt;=Parametros!$B$17),"SÍ","")</f>
        <v>SÍ</v>
      </c>
      <c r="Y110" s="3" t="str">
        <f aca="false">IF(AND(ISNUMBER(U110),MAX(S110,T110)&gt;=Parametros!$B$15,ABS(N(U110))&gt;Parametros!$B$14),"SÍ","")</f>
        <v>SÍ</v>
      </c>
      <c r="Z110" s="3" t="n">
        <f aca="false">COUNTIF(V110:Y110,"SÍ")</f>
        <v>2</v>
      </c>
      <c r="AA110" s="3" t="n">
        <f aca="false">(3*(V110="SÍ")+2*(W110="SÍ")+2*(X110="SÍ")+(Y110="SÍ"))*IF(LEFT(D110,1)="A",3,IF(OR(LEFT(D110,1)="B",D110="SIN HIST"),2,1))</f>
        <v>9</v>
      </c>
      <c r="AB110" s="3" t="str">
        <f aca="false">IF(AA110&gt;=9,"1-ALTA",IF(AA110&gt;=4,"2-MEDIA",IF(AA110&gt;0,"3-BAJA","")))</f>
        <v>1-ALTA</v>
      </c>
      <c r="AC110" s="3" t="str">
        <f aca="false">IF(E110="BAJO SS","Stock + XLIB bajo el SS: riesgo real de quiebre, adelantar producción. ","")&amp;IF(E110="BAJO SS (XLIB CUBRE)","Disponible bajo el SS; depende de liberar "&amp;TEXT(J110,"#,##0")&amp;" kg"&amp;IF(ISNUMBER(K110)," el "&amp;TEXT(K110,"dd-mm"),"")&amp;". ","")&amp;IF(W110="SÍ","Stock parece sano pero "&amp;TEXT(L110,"#,##0")&amp;" kg no pasan filtro "&amp;Stock_Seguridad!O110&amp;": sin ellos queda bajo el SS para esa cadena. ","")&amp;IF(E110="SOBRE MAX VENDIBLE","Sobrestock vs vida útil: frenar producción/activar venta. ","")&amp;IF(N(N110)&gt;=Parametros!$B$17,TEXT(N110,"#,##0")&amp;" kg ya no los acepta ninguna cadena: venta intermedia/liquidación. ","")&amp;IF(N(M110)&gt;=Parametros!$B$17,TEXT(M110,"#,##0")&amp;" kg a punto de salir del filtro: despachar primero (FEFO). ","")&amp;IF(Y110="SÍ","Pedidos "&amp;IF(N(U110)&gt;0,"sobre","bajo")&amp;" FCST "&amp;TEXT(ABS(N(U110)),"0%")&amp;": revisar forecast con KAM.","")</f>
        <v>3,048 kg a punto de salir del filtro: despachar primero (FEFO). Pedidos sobre FCST 20%: revisar forecast con KAM.</v>
      </c>
    </row>
    <row r="111" customFormat="false" ht="15" hidden="false" customHeight="false" outlineLevel="0" collapsed="false">
      <c r="A111" s="18" t="n">
        <f aca="false">Stock_Seguridad!A111</f>
        <v>30001760</v>
      </c>
      <c r="B111" s="18" t="str">
        <f aca="false">Stock_Seguridad!B111</f>
        <v>MERMELADA WATTS FRUTILLA 24X225GR</v>
      </c>
      <c r="C111" s="18" t="str">
        <f aca="false">Stock_Seguridad!C111</f>
        <v>MERMELADAS</v>
      </c>
      <c r="D111" s="18" t="str">
        <f aca="false">Stock_Seguridad!F111</f>
        <v>AX</v>
      </c>
      <c r="E111" s="19" t="str">
        <f aca="false">Stock_Seguridad!X111</f>
        <v>OK</v>
      </c>
      <c r="F111" s="20" t="n">
        <f aca="false">Stock_Seguridad!W111</f>
        <v>2.26797355989373</v>
      </c>
      <c r="G111" s="21" t="n">
        <f aca="false">Stock_Seguridad!T111</f>
        <v>25012.8</v>
      </c>
      <c r="H111" s="21" t="n">
        <f aca="false">Stock_Seguridad!R111</f>
        <v>5914.40656143053</v>
      </c>
      <c r="I111" s="21" t="n">
        <f aca="false">Stock_Seguridad!S111</f>
        <v>16943.1065614305</v>
      </c>
      <c r="J111" s="21" t="n">
        <f aca="false">Stock_Seguridad!U111</f>
        <v>0</v>
      </c>
      <c r="K111" s="22"/>
      <c r="L111" s="23" t="n">
        <v>129.6</v>
      </c>
      <c r="M111" s="23" t="n">
        <v>0</v>
      </c>
      <c r="N111" s="23" t="n">
        <v>0</v>
      </c>
      <c r="O111" s="24" t="n">
        <v>0.0892651826237303</v>
      </c>
      <c r="P111" s="24" t="n">
        <f aca="false">IF(ISNUMBER(Stock_Seguridad!N111),Stock_Seguridad!N111,"")</f>
        <v>0.32054794520548</v>
      </c>
      <c r="Q111" s="24" t="n">
        <f aca="false">IF(AND(ISNUMBER(O111),ISNUMBER(P111)),P111-O111,"")</f>
        <v>0.231282762581749</v>
      </c>
      <c r="R111" s="23" t="n">
        <f aca="false">MAX(0,G111-N(L111))</f>
        <v>24883.2</v>
      </c>
      <c r="S111" s="23" t="n">
        <f aca="false">SUMIFS(Cadenas_vs_FCST!$D$17:$D$2437,Cadenas_vs_FCST!$A$17:$A$2437,A111)</f>
        <v>41428.8</v>
      </c>
      <c r="T111" s="23" t="n">
        <f aca="false">SUMIFS(Cadenas_vs_FCST!$E$17:$E$2437,Cadenas_vs_FCST!$A$17:$A$2437,A111)</f>
        <v>32450.8684782609</v>
      </c>
      <c r="U111" s="24" t="n">
        <f aca="false">IF(T111&gt;0,S111/T111-1,"")</f>
        <v>0.276662288029472</v>
      </c>
      <c r="V111" s="3" t="str">
        <f aca="false">IF(OR(E111="BAJO SS",E111="BAJO SS (XLIB CUBRE)"),"SÍ","")</f>
        <v/>
      </c>
      <c r="W111" s="3" t="str">
        <f aca="false">IF(AND(V111="",N(L111)&gt;=Parametros!$B$17,G111&gt;=H111,R111&lt;H111),"SÍ","")</f>
        <v/>
      </c>
      <c r="X111" s="3" t="str">
        <f aca="false">IF(OR(E111="SOBRE MAX VENDIBLE",N(N111)&gt;=Parametros!$B$17,N(M111)&gt;=Parametros!$B$17),"SÍ","")</f>
        <v/>
      </c>
      <c r="Y111" s="3" t="str">
        <f aca="false">IF(AND(ISNUMBER(U111),MAX(S111,T111)&gt;=Parametros!$B$15,ABS(N(U111))&gt;Parametros!$B$14),"SÍ","")</f>
        <v>SÍ</v>
      </c>
      <c r="Z111" s="3" t="n">
        <f aca="false">COUNTIF(V111:Y111,"SÍ")</f>
        <v>1</v>
      </c>
      <c r="AA111" s="3" t="n">
        <f aca="false">(3*(V111="SÍ")+2*(W111="SÍ")+2*(X111="SÍ")+(Y111="SÍ"))*IF(LEFT(D111,1)="A",3,IF(OR(LEFT(D111,1)="B",D111="SIN HIST"),2,1))</f>
        <v>3</v>
      </c>
      <c r="AB111" s="3" t="str">
        <f aca="false">IF(AA111&gt;=9,"1-ALTA",IF(AA111&gt;=4,"2-MEDIA",IF(AA111&gt;0,"3-BAJA","")))</f>
        <v>3-BAJA</v>
      </c>
      <c r="AC111" s="3" t="str">
        <f aca="false">IF(E111="BAJO SS","Stock + XLIB bajo el SS: riesgo real de quiebre, adelantar producción. ","")&amp;IF(E111="BAJO SS (XLIB CUBRE)","Disponible bajo el SS; depende de liberar "&amp;TEXT(J111,"#,##0")&amp;" kg"&amp;IF(ISNUMBER(K111)," el "&amp;TEXT(K111,"dd-mm"),"")&amp;". ","")&amp;IF(W111="SÍ","Stock parece sano pero "&amp;TEXT(L111,"#,##0")&amp;" kg no pasan filtro "&amp;Stock_Seguridad!O111&amp;": sin ellos queda bajo el SS para esa cadena. ","")&amp;IF(E111="SOBRE MAX VENDIBLE","Sobrestock vs vida útil: frenar producción/activar venta. ","")&amp;IF(N(N111)&gt;=Parametros!$B$17,TEXT(N111,"#,##0")&amp;" kg ya no los acepta ninguna cadena: venta intermedia/liquidación. ","")&amp;IF(N(M111)&gt;=Parametros!$B$17,TEXT(M111,"#,##0")&amp;" kg a punto de salir del filtro: despachar primero (FEFO). ","")&amp;IF(Y111="SÍ","Pedidos "&amp;IF(N(U111)&gt;0,"sobre","bajo")&amp;" FCST "&amp;TEXT(ABS(N(U111)),"0%")&amp;": revisar forecast con KAM.","")</f>
        <v>Pedidos sobre FCST 28%: revisar forecast con KAM.</v>
      </c>
    </row>
    <row r="112" customFormat="false" ht="15" hidden="false" customHeight="false" outlineLevel="0" collapsed="false">
      <c r="A112" s="18" t="n">
        <f aca="false">Stock_Seguridad!A112</f>
        <v>30000207</v>
      </c>
      <c r="B112" s="18" t="str">
        <f aca="false">Stock_Seguridad!B112</f>
        <v>NECTAR WATTS PIÑA LIGHT 30X200ML</v>
      </c>
      <c r="C112" s="18" t="str">
        <f aca="false">Stock_Seguridad!C112</f>
        <v>JUGOS Y NECTARES</v>
      </c>
      <c r="D112" s="18" t="str">
        <f aca="false">Stock_Seguridad!F112</f>
        <v>AX</v>
      </c>
      <c r="E112" s="19" t="str">
        <f aca="false">Stock_Seguridad!X112</f>
        <v>OK</v>
      </c>
      <c r="F112" s="20" t="n">
        <f aca="false">Stock_Seguridad!W112</f>
        <v>6.85772065186697</v>
      </c>
      <c r="G112" s="21" t="n">
        <f aca="false">Stock_Seguridad!T112</f>
        <v>28002</v>
      </c>
      <c r="H112" s="21" t="n">
        <f aca="false">Stock_Seguridad!R112</f>
        <v>3829.68987355781</v>
      </c>
      <c r="I112" s="21" t="n">
        <f aca="false">Stock_Seguridad!S112</f>
        <v>14807.3898735578</v>
      </c>
      <c r="J112" s="21" t="n">
        <f aca="false">Stock_Seguridad!U112</f>
        <v>47280</v>
      </c>
      <c r="K112" s="22" t="n">
        <v>46318</v>
      </c>
      <c r="L112" s="23" t="n">
        <v>168</v>
      </c>
      <c r="M112" s="23" t="n">
        <v>0</v>
      </c>
      <c r="N112" s="23" t="n">
        <v>0</v>
      </c>
      <c r="O112" s="24" t="n">
        <v>0.0479650606253989</v>
      </c>
      <c r="P112" s="24" t="n">
        <f aca="false">IF(ISNUMBER(Stock_Seguridad!N112),Stock_Seguridad!N112,"")</f>
        <v>0.316363636363636</v>
      </c>
      <c r="Q112" s="24" t="n">
        <f aca="false">IF(AND(ISNUMBER(O112),ISNUMBER(P112)),P112-O112,"")</f>
        <v>0.268398575738238</v>
      </c>
      <c r="R112" s="23" t="n">
        <f aca="false">MAX(0,G112-N(L112))</f>
        <v>27834</v>
      </c>
      <c r="S112" s="23" t="n">
        <f aca="false">SUMIFS(Cadenas_vs_FCST!$D$17:$D$2437,Cadenas_vs_FCST!$A$17:$A$2437,A112)</f>
        <v>35460</v>
      </c>
      <c r="T112" s="23" t="n">
        <f aca="false">SUMIFS(Cadenas_vs_FCST!$E$17:$E$2437,Cadenas_vs_FCST!$A$17:$A$2437,A112)</f>
        <v>38111.7479720408</v>
      </c>
      <c r="U112" s="24" t="n">
        <f aca="false">IF(T112&gt;0,S112/T112-1,"")</f>
        <v>-0.0695782301558607</v>
      </c>
      <c r="V112" s="3" t="str">
        <f aca="false">IF(OR(E112="BAJO SS",E112="BAJO SS (XLIB CUBRE)"),"SÍ","")</f>
        <v/>
      </c>
      <c r="W112" s="3" t="str">
        <f aca="false">IF(AND(V112="",N(L112)&gt;=Parametros!$B$17,G112&gt;=H112,R112&lt;H112),"SÍ","")</f>
        <v/>
      </c>
      <c r="X112" s="3" t="str">
        <f aca="false">IF(OR(E112="SOBRE MAX VENDIBLE",N(N112)&gt;=Parametros!$B$17,N(M112)&gt;=Parametros!$B$17),"SÍ","")</f>
        <v/>
      </c>
      <c r="Y112" s="3" t="str">
        <f aca="false">IF(AND(ISNUMBER(U112),MAX(S112,T112)&gt;=Parametros!$B$15,ABS(N(U112))&gt;Parametros!$B$14),"SÍ","")</f>
        <v/>
      </c>
      <c r="Z112" s="3" t="n">
        <f aca="false">COUNTIF(V112:Y112,"SÍ")</f>
        <v>0</v>
      </c>
      <c r="AA112" s="3" t="n">
        <f aca="false">(3*(V112="SÍ")+2*(W112="SÍ")+2*(X112="SÍ")+(Y112="SÍ"))*IF(LEFT(D112,1)="A",3,IF(OR(LEFT(D112,1)="B",D112="SIN HIST"),2,1))</f>
        <v>0</v>
      </c>
      <c r="AB112" s="3" t="str">
        <f aca="false">IF(AA112&gt;=9,"1-ALTA",IF(AA112&gt;=4,"2-MEDIA",IF(AA112&gt;0,"3-BAJA","")))</f>
        <v/>
      </c>
      <c r="AC112" s="3" t="str">
        <f aca="false">IF(E112="BAJO SS","Stock + XLIB bajo el SS: riesgo real de quiebre, adelantar producción. ","")&amp;IF(E112="BAJO SS (XLIB CUBRE)","Disponible bajo el SS; depende de liberar "&amp;TEXT(J112,"#,##0")&amp;" kg"&amp;IF(ISNUMBER(K112)," el "&amp;TEXT(K112,"dd-mm"),"")&amp;". ","")&amp;IF(W112="SÍ","Stock parece sano pero "&amp;TEXT(L112,"#,##0")&amp;" kg no pasan filtro "&amp;Stock_Seguridad!O112&amp;": sin ellos queda bajo el SS para esa cadena. ","")&amp;IF(E112="SOBRE MAX VENDIBLE","Sobrestock vs vida útil: frenar producción/activar venta. ","")&amp;IF(N(N112)&gt;=Parametros!$B$17,TEXT(N112,"#,##0")&amp;" kg ya no los acepta ninguna cadena: venta intermedia/liquidación. ","")&amp;IF(N(M112)&gt;=Parametros!$B$17,TEXT(M112,"#,##0")&amp;" kg a punto de salir del filtro: despachar primero (FEFO). ","")&amp;IF(Y112="SÍ","Pedidos "&amp;IF(N(U112)&gt;0,"sobre","bajo")&amp;" FCST "&amp;TEXT(ABS(N(U112)),"0%")&amp;": revisar forecast con KAM.","")</f>
        <v/>
      </c>
    </row>
    <row r="113" customFormat="false" ht="15" hidden="false" customHeight="false" outlineLevel="0" collapsed="false">
      <c r="A113" s="18" t="n">
        <f aca="false">Stock_Seguridad!A113</f>
        <v>30000627</v>
      </c>
      <c r="B113" s="18" t="str">
        <f aca="false">Stock_Seguridad!B113</f>
        <v>ARVEJITAS ESPECIALES 16X340GR</v>
      </c>
      <c r="C113" s="18" t="str">
        <f aca="false">Stock_Seguridad!C113</f>
        <v>CONSERVAS Y PLATOS LISTOS</v>
      </c>
      <c r="D113" s="18" t="str">
        <f aca="false">Stock_Seguridad!F113</f>
        <v>AX</v>
      </c>
      <c r="E113" s="19" t="str">
        <f aca="false">Stock_Seguridad!X113</f>
        <v>OK</v>
      </c>
      <c r="F113" s="20" t="n">
        <f aca="false">Stock_Seguridad!W113</f>
        <v>16.116492560937</v>
      </c>
      <c r="G113" s="21" t="n">
        <f aca="false">Stock_Seguridad!T113</f>
        <v>118521.3</v>
      </c>
      <c r="H113" s="21" t="n">
        <f aca="false">Stock_Seguridad!R113</f>
        <v>4709.30731684206</v>
      </c>
      <c r="I113" s="21" t="n">
        <f aca="false">Stock_Seguridad!S113</f>
        <v>15449.9073168421</v>
      </c>
      <c r="J113" s="21" t="n">
        <f aca="false">Stock_Seguridad!U113</f>
        <v>54579.5</v>
      </c>
      <c r="K113" s="22" t="n">
        <v>46322</v>
      </c>
      <c r="L113" s="23" t="n">
        <v>0</v>
      </c>
      <c r="M113" s="23" t="n">
        <v>0</v>
      </c>
      <c r="N113" s="23" t="n">
        <v>0</v>
      </c>
      <c r="O113" s="24" t="n">
        <v>0.0545463402369653</v>
      </c>
      <c r="P113" s="24" t="n">
        <f aca="false">IF(ISNUMBER(Stock_Seguridad!N113),Stock_Seguridad!N113,"")</f>
        <v>0.328767123287671</v>
      </c>
      <c r="Q113" s="24" t="n">
        <f aca="false">IF(AND(ISNUMBER(O113),ISNUMBER(P113)),P113-O113,"")</f>
        <v>0.274220783050706</v>
      </c>
      <c r="R113" s="23" t="n">
        <f aca="false">MAX(0,G113-N(L113))</f>
        <v>118521.3</v>
      </c>
      <c r="S113" s="23" t="n">
        <f aca="false">SUMIFS(Cadenas_vs_FCST!$D$17:$D$2437,Cadenas_vs_FCST!$A$17:$A$2437,A113)</f>
        <v>37340.16</v>
      </c>
      <c r="T113" s="23" t="n">
        <f aca="false">SUMIFS(Cadenas_vs_FCST!$E$17:$E$2437,Cadenas_vs_FCST!$A$17:$A$2437,A113)</f>
        <v>37454.48</v>
      </c>
      <c r="U113" s="24" t="n">
        <f aca="false">IF(T113&gt;0,S113/T113-1,"")</f>
        <v>-0.00305223834371771</v>
      </c>
      <c r="V113" s="3" t="str">
        <f aca="false">IF(OR(E113="BAJO SS",E113="BAJO SS (XLIB CUBRE)"),"SÍ","")</f>
        <v/>
      </c>
      <c r="W113" s="3" t="str">
        <f aca="false">IF(AND(V113="",N(L113)&gt;=Parametros!$B$17,G113&gt;=H113,R113&lt;H113),"SÍ","")</f>
        <v/>
      </c>
      <c r="X113" s="3" t="str">
        <f aca="false">IF(OR(E113="SOBRE MAX VENDIBLE",N(N113)&gt;=Parametros!$B$17,N(M113)&gt;=Parametros!$B$17),"SÍ","")</f>
        <v/>
      </c>
      <c r="Y113" s="3" t="str">
        <f aca="false">IF(AND(ISNUMBER(U113),MAX(S113,T113)&gt;=Parametros!$B$15,ABS(N(U113))&gt;Parametros!$B$14),"SÍ","")</f>
        <v/>
      </c>
      <c r="Z113" s="3" t="n">
        <f aca="false">COUNTIF(V113:Y113,"SÍ")</f>
        <v>0</v>
      </c>
      <c r="AA113" s="3" t="n">
        <f aca="false">(3*(V113="SÍ")+2*(W113="SÍ")+2*(X113="SÍ")+(Y113="SÍ"))*IF(LEFT(D113,1)="A",3,IF(OR(LEFT(D113,1)="B",D113="SIN HIST"),2,1))</f>
        <v>0</v>
      </c>
      <c r="AB113" s="3" t="str">
        <f aca="false">IF(AA113&gt;=9,"1-ALTA",IF(AA113&gt;=4,"2-MEDIA",IF(AA113&gt;0,"3-BAJA","")))</f>
        <v/>
      </c>
      <c r="AC113" s="3" t="str">
        <f aca="false">IF(E113="BAJO SS","Stock + XLIB bajo el SS: riesgo real de quiebre, adelantar producción. ","")&amp;IF(E113="BAJO SS (XLIB CUBRE)","Disponible bajo el SS; depende de liberar "&amp;TEXT(J113,"#,##0")&amp;" kg"&amp;IF(ISNUMBER(K113)," el "&amp;TEXT(K113,"dd-mm"),"")&amp;". ","")&amp;IF(W113="SÍ","Stock parece sano pero "&amp;TEXT(L113,"#,##0")&amp;" kg no pasan filtro "&amp;Stock_Seguridad!O113&amp;": sin ellos queda bajo el SS para esa cadena. ","")&amp;IF(E113="SOBRE MAX VENDIBLE","Sobrestock vs vida útil: frenar producción/activar venta. ","")&amp;IF(N(N113)&gt;=Parametros!$B$17,TEXT(N113,"#,##0")&amp;" kg ya no los acepta ninguna cadena: venta intermedia/liquidación. ","")&amp;IF(N(M113)&gt;=Parametros!$B$17,TEXT(M113,"#,##0")&amp;" kg a punto de salir del filtro: despachar primero (FEFO). ","")&amp;IF(Y113="SÍ","Pedidos "&amp;IF(N(U113)&gt;0,"sobre","bajo")&amp;" FCST "&amp;TEXT(ABS(N(U113)),"0%")&amp;": revisar forecast con KAM.","")</f>
        <v/>
      </c>
    </row>
    <row r="114" customFormat="false" ht="15" hidden="false" customHeight="false" outlineLevel="0" collapsed="false">
      <c r="A114" s="18" t="n">
        <f aca="false">Stock_Seguridad!A114</f>
        <v>30000721</v>
      </c>
      <c r="B114" s="18" t="str">
        <f aca="false">Stock_Seguridad!B114</f>
        <v>CHOCLO TIERNO LC 24X400GR</v>
      </c>
      <c r="C114" s="18" t="str">
        <f aca="false">Stock_Seguridad!C114</f>
        <v>FRUTAS Y HORTALIZAS CONGELADAS</v>
      </c>
      <c r="D114" s="18" t="str">
        <f aca="false">Stock_Seguridad!F114</f>
        <v>SIN HIST</v>
      </c>
      <c r="E114" s="19" t="str">
        <f aca="false">Stock_Seguridad!X114</f>
        <v>OK</v>
      </c>
      <c r="F114" s="20" t="n">
        <f aca="false">Stock_Seguridad!W114</f>
        <v>12.5318291700242</v>
      </c>
      <c r="G114" s="21" t="n">
        <f aca="false">Stock_Seguridad!T114</f>
        <v>133747.2</v>
      </c>
      <c r="H114" s="21" t="n">
        <f aca="false">Stock_Seguridad!R114</f>
        <v>5266.45944570068</v>
      </c>
      <c r="I114" s="21" t="n">
        <f aca="false">Stock_Seguridad!S114</f>
        <v>15939.0594457007</v>
      </c>
      <c r="J114" s="21" t="n">
        <f aca="false">Stock_Seguridad!U114</f>
        <v>0</v>
      </c>
      <c r="K114" s="22"/>
      <c r="L114" s="23" t="n">
        <v>0</v>
      </c>
      <c r="M114" s="23" t="n">
        <v>0</v>
      </c>
      <c r="N114" s="23" t="n">
        <v>0</v>
      </c>
      <c r="O114" s="24" t="n">
        <v>0.0479766006316394</v>
      </c>
      <c r="P114" s="24" t="str">
        <f aca="false">IF(ISNUMBER(Stock_Seguridad!N114),Stock_Seguridad!N114,"")</f>
        <v/>
      </c>
      <c r="Q114" s="24" t="str">
        <f aca="false">IF(AND(ISNUMBER(O114),ISNUMBER(P114)),P114-O114,"")</f>
        <v/>
      </c>
      <c r="R114" s="23" t="n">
        <f aca="false">MAX(0,G114-N(L114))</f>
        <v>133747.2</v>
      </c>
      <c r="S114" s="23" t="n">
        <f aca="false">SUMIFS(Cadenas_vs_FCST!$D$17:$D$2437,Cadenas_vs_FCST!$A$17:$A$2437,A114)</f>
        <v>0</v>
      </c>
      <c r="T114" s="23" t="n">
        <f aca="false">SUMIFS(Cadenas_vs_FCST!$E$17:$E$2437,Cadenas_vs_FCST!$A$17:$A$2437,A114)</f>
        <v>0</v>
      </c>
      <c r="U114" s="24" t="str">
        <f aca="false">IF(T114&gt;0,S114/T114-1,"")</f>
        <v/>
      </c>
      <c r="V114" s="3" t="str">
        <f aca="false">IF(OR(E114="BAJO SS",E114="BAJO SS (XLIB CUBRE)"),"SÍ","")</f>
        <v/>
      </c>
      <c r="W114" s="3" t="str">
        <f aca="false">IF(AND(V114="",N(L114)&gt;=Parametros!$B$17,G114&gt;=H114,R114&lt;H114),"SÍ","")</f>
        <v/>
      </c>
      <c r="X114" s="3" t="str">
        <f aca="false">IF(OR(E114="SOBRE MAX VENDIBLE",N(N114)&gt;=Parametros!$B$17,N(M114)&gt;=Parametros!$B$17),"SÍ","")</f>
        <v/>
      </c>
      <c r="Y114" s="3" t="str">
        <f aca="false">IF(AND(ISNUMBER(U114),MAX(S114,T114)&gt;=Parametros!$B$15,ABS(N(U114))&gt;Parametros!$B$14),"SÍ","")</f>
        <v/>
      </c>
      <c r="Z114" s="3" t="n">
        <f aca="false">COUNTIF(V114:Y114,"SÍ")</f>
        <v>0</v>
      </c>
      <c r="AA114" s="3" t="n">
        <f aca="false">(3*(V114="SÍ")+2*(W114="SÍ")+2*(X114="SÍ")+(Y114="SÍ"))*IF(LEFT(D114,1)="A",3,IF(OR(LEFT(D114,1)="B",D114="SIN HIST"),2,1))</f>
        <v>0</v>
      </c>
      <c r="AB114" s="3" t="str">
        <f aca="false">IF(AA114&gt;=9,"1-ALTA",IF(AA114&gt;=4,"2-MEDIA",IF(AA114&gt;0,"3-BAJA","")))</f>
        <v/>
      </c>
      <c r="AC114" s="3" t="str">
        <f aca="false">IF(E114="BAJO SS","Stock + XLIB bajo el SS: riesgo real de quiebre, adelantar producción. ","")&amp;IF(E114="BAJO SS (XLIB CUBRE)","Disponible bajo el SS; depende de liberar "&amp;TEXT(J114,"#,##0")&amp;" kg"&amp;IF(ISNUMBER(K114)," el "&amp;TEXT(K114,"dd-mm"),"")&amp;". ","")&amp;IF(W114="SÍ","Stock parece sano pero "&amp;TEXT(L114,"#,##0")&amp;" kg no pasan filtro "&amp;Stock_Seguridad!O114&amp;": sin ellos queda bajo el SS para esa cadena. ","")&amp;IF(E114="SOBRE MAX VENDIBLE","Sobrestock vs vida útil: frenar producción/activar venta. ","")&amp;IF(N(N114)&gt;=Parametros!$B$17,TEXT(N114,"#,##0")&amp;" kg ya no los acepta ninguna cadena: venta intermedia/liquidación. ","")&amp;IF(N(M114)&gt;=Parametros!$B$17,TEXT(M114,"#,##0")&amp;" kg a punto de salir del filtro: despachar primero (FEFO). ","")&amp;IF(Y114="SÍ","Pedidos "&amp;IF(N(U114)&gt;0,"sobre","bajo")&amp;" FCST "&amp;TEXT(ABS(N(U114)),"0%")&amp;": revisar forecast con KAM.","")</f>
        <v/>
      </c>
    </row>
    <row r="115" customFormat="false" ht="15" hidden="false" customHeight="false" outlineLevel="0" collapsed="false">
      <c r="A115" s="18" t="n">
        <f aca="false">Stock_Seguridad!A115</f>
        <v>30000730</v>
      </c>
      <c r="B115" s="18" t="str">
        <f aca="false">Stock_Seguridad!B115</f>
        <v>PAPAS PREFRITAS FM 25X500GR</v>
      </c>
      <c r="C115" s="18" t="str">
        <f aca="false">Stock_Seguridad!C115</f>
        <v>FRUTAS Y HORTALIZAS CONGELADAS</v>
      </c>
      <c r="D115" s="18" t="str">
        <f aca="false">Stock_Seguridad!F115</f>
        <v>SIN HIST</v>
      </c>
      <c r="E115" s="19" t="str">
        <f aca="false">Stock_Seguridad!X115</f>
        <v>OK</v>
      </c>
      <c r="F115" s="20" t="n">
        <f aca="false">Stock_Seguridad!W115</f>
        <v>2.88852841572042</v>
      </c>
      <c r="G115" s="21" t="n">
        <f aca="false">Stock_Seguridad!T115</f>
        <v>17250</v>
      </c>
      <c r="H115" s="21" t="n">
        <f aca="false">Stock_Seguridad!R115</f>
        <v>5201.8660437703</v>
      </c>
      <c r="I115" s="21" t="n">
        <f aca="false">Stock_Seguridad!S115</f>
        <v>15743.5660437703</v>
      </c>
      <c r="J115" s="21" t="n">
        <f aca="false">Stock_Seguridad!U115</f>
        <v>13200</v>
      </c>
      <c r="K115" s="22"/>
      <c r="L115" s="23" t="n">
        <v>0</v>
      </c>
      <c r="M115" s="23" t="n">
        <v>0</v>
      </c>
      <c r="N115" s="23" t="n">
        <v>0</v>
      </c>
      <c r="O115" s="24" t="n">
        <v>0.19516717325228</v>
      </c>
      <c r="P115" s="24" t="str">
        <f aca="false">IF(ISNUMBER(Stock_Seguridad!N115),Stock_Seguridad!N115,"")</f>
        <v/>
      </c>
      <c r="Q115" s="24" t="str">
        <f aca="false">IF(AND(ISNUMBER(O115),ISNUMBER(P115)),P115-O115,"")</f>
        <v/>
      </c>
      <c r="R115" s="23" t="n">
        <f aca="false">MAX(0,G115-N(L115))</f>
        <v>17250</v>
      </c>
      <c r="S115" s="23" t="n">
        <f aca="false">SUMIFS(Cadenas_vs_FCST!$D$17:$D$2437,Cadenas_vs_FCST!$A$17:$A$2437,A115)</f>
        <v>0</v>
      </c>
      <c r="T115" s="23" t="n">
        <f aca="false">SUMIFS(Cadenas_vs_FCST!$E$17:$E$2437,Cadenas_vs_FCST!$A$17:$A$2437,A115)</f>
        <v>0</v>
      </c>
      <c r="U115" s="24" t="str">
        <f aca="false">IF(T115&gt;0,S115/T115-1,"")</f>
        <v/>
      </c>
      <c r="V115" s="3" t="str">
        <f aca="false">IF(OR(E115="BAJO SS",E115="BAJO SS (XLIB CUBRE)"),"SÍ","")</f>
        <v/>
      </c>
      <c r="W115" s="3" t="str">
        <f aca="false">IF(AND(V115="",N(L115)&gt;=Parametros!$B$17,G115&gt;=H115,R115&lt;H115),"SÍ","")</f>
        <v/>
      </c>
      <c r="X115" s="3" t="str">
        <f aca="false">IF(OR(E115="SOBRE MAX VENDIBLE",N(N115)&gt;=Parametros!$B$17,N(M115)&gt;=Parametros!$B$17),"SÍ","")</f>
        <v/>
      </c>
      <c r="Y115" s="3" t="str">
        <f aca="false">IF(AND(ISNUMBER(U115),MAX(S115,T115)&gt;=Parametros!$B$15,ABS(N(U115))&gt;Parametros!$B$14),"SÍ","")</f>
        <v/>
      </c>
      <c r="Z115" s="3" t="n">
        <f aca="false">COUNTIF(V115:Y115,"SÍ")</f>
        <v>0</v>
      </c>
      <c r="AA115" s="3" t="n">
        <f aca="false">(3*(V115="SÍ")+2*(W115="SÍ")+2*(X115="SÍ")+(Y115="SÍ"))*IF(LEFT(D115,1)="A",3,IF(OR(LEFT(D115,1)="B",D115="SIN HIST"),2,1))</f>
        <v>0</v>
      </c>
      <c r="AB115" s="3" t="str">
        <f aca="false">IF(AA115&gt;=9,"1-ALTA",IF(AA115&gt;=4,"2-MEDIA",IF(AA115&gt;0,"3-BAJA","")))</f>
        <v/>
      </c>
      <c r="AC115" s="3" t="str">
        <f aca="false">IF(E115="BAJO SS","Stock + XLIB bajo el SS: riesgo real de quiebre, adelantar producción. ","")&amp;IF(E115="BAJO SS (XLIB CUBRE)","Disponible bajo el SS; depende de liberar "&amp;TEXT(J115,"#,##0")&amp;" kg"&amp;IF(ISNUMBER(K115)," el "&amp;TEXT(K115,"dd-mm"),"")&amp;". ","")&amp;IF(W115="SÍ","Stock parece sano pero "&amp;TEXT(L115,"#,##0")&amp;" kg no pasan filtro "&amp;Stock_Seguridad!O115&amp;": sin ellos queda bajo el SS para esa cadena. ","")&amp;IF(E115="SOBRE MAX VENDIBLE","Sobrestock vs vida útil: frenar producción/activar venta. ","")&amp;IF(N(N115)&gt;=Parametros!$B$17,TEXT(N115,"#,##0")&amp;" kg ya no los acepta ninguna cadena: venta intermedia/liquidación. ","")&amp;IF(N(M115)&gt;=Parametros!$B$17,TEXT(M115,"#,##0")&amp;" kg a punto de salir del filtro: despachar primero (FEFO). ","")&amp;IF(Y115="SÍ","Pedidos "&amp;IF(N(U115)&gt;0,"sobre","bajo")&amp;" FCST "&amp;TEXT(ABS(N(U115)),"0%")&amp;": revisar forecast con KAM.","")</f>
        <v/>
      </c>
    </row>
    <row r="116" customFormat="false" ht="15" hidden="false" customHeight="false" outlineLevel="0" collapsed="false">
      <c r="A116" s="18" t="n">
        <f aca="false">Stock_Seguridad!A116</f>
        <v>30000065</v>
      </c>
      <c r="B116" s="18" t="str">
        <f aca="false">Stock_Seguridad!B116</f>
        <v>MANTECA VEG FLUIDA FRITOMASTER 2X10KG</v>
      </c>
      <c r="C116" s="18" t="str">
        <f aca="false">Stock_Seguridad!C116</f>
        <v>MANTECAS</v>
      </c>
      <c r="D116" s="18" t="str">
        <f aca="false">Stock_Seguridad!F116</f>
        <v>SIN HIST</v>
      </c>
      <c r="E116" s="19" t="str">
        <f aca="false">Stock_Seguridad!X116</f>
        <v>OK</v>
      </c>
      <c r="F116" s="20" t="n">
        <f aca="false">Stock_Seguridad!W116</f>
        <v>4.84039330727848</v>
      </c>
      <c r="G116" s="21" t="n">
        <f aca="false">Stock_Seguridad!T116</f>
        <v>50655.2</v>
      </c>
      <c r="H116" s="21" t="n">
        <f aca="false">Stock_Seguridad!R116</f>
        <v>5164.06730742295</v>
      </c>
      <c r="I116" s="21" t="n">
        <f aca="false">Stock_Seguridad!S116</f>
        <v>15629.167307423</v>
      </c>
      <c r="J116" s="21" t="n">
        <f aca="false">Stock_Seguridad!U116</f>
        <v>0</v>
      </c>
      <c r="K116" s="22"/>
      <c r="L116" s="23" t="n">
        <v>0</v>
      </c>
      <c r="M116" s="23" t="n">
        <v>0</v>
      </c>
      <c r="N116" s="23" t="n">
        <v>0</v>
      </c>
      <c r="O116" s="24" t="n">
        <v>0.0856883399927352</v>
      </c>
      <c r="P116" s="24" t="n">
        <f aca="false">IF(ISNUMBER(Stock_Seguridad!N116),Stock_Seguridad!N116,"")</f>
        <v>0.271739130434783</v>
      </c>
      <c r="Q116" s="24" t="n">
        <f aca="false">IF(AND(ISNUMBER(O116),ISNUMBER(P116)),P116-O116,"")</f>
        <v>0.186050790442047</v>
      </c>
      <c r="R116" s="23" t="n">
        <f aca="false">MAX(0,G116-N(L116))</f>
        <v>50655.2</v>
      </c>
      <c r="S116" s="23" t="n">
        <f aca="false">SUMIFS(Cadenas_vs_FCST!$D$17:$D$2437,Cadenas_vs_FCST!$A$17:$A$2437,A116)</f>
        <v>0</v>
      </c>
      <c r="T116" s="23" t="n">
        <f aca="false">SUMIFS(Cadenas_vs_FCST!$E$17:$E$2437,Cadenas_vs_FCST!$A$17:$A$2437,A116)</f>
        <v>0</v>
      </c>
      <c r="U116" s="24" t="str">
        <f aca="false">IF(T116&gt;0,S116/T116-1,"")</f>
        <v/>
      </c>
      <c r="V116" s="3" t="str">
        <f aca="false">IF(OR(E116="BAJO SS",E116="BAJO SS (XLIB CUBRE)"),"SÍ","")</f>
        <v/>
      </c>
      <c r="W116" s="3" t="str">
        <f aca="false">IF(AND(V116="",N(L116)&gt;=Parametros!$B$17,G116&gt;=H116,R116&lt;H116),"SÍ","")</f>
        <v/>
      </c>
      <c r="X116" s="3" t="str">
        <f aca="false">IF(OR(E116="SOBRE MAX VENDIBLE",N(N116)&gt;=Parametros!$B$17,N(M116)&gt;=Parametros!$B$17),"SÍ","")</f>
        <v/>
      </c>
      <c r="Y116" s="3" t="str">
        <f aca="false">IF(AND(ISNUMBER(U116),MAX(S116,T116)&gt;=Parametros!$B$15,ABS(N(U116))&gt;Parametros!$B$14),"SÍ","")</f>
        <v/>
      </c>
      <c r="Z116" s="3" t="n">
        <f aca="false">COUNTIF(V116:Y116,"SÍ")</f>
        <v>0</v>
      </c>
      <c r="AA116" s="3" t="n">
        <f aca="false">(3*(V116="SÍ")+2*(W116="SÍ")+2*(X116="SÍ")+(Y116="SÍ"))*IF(LEFT(D116,1)="A",3,IF(OR(LEFT(D116,1)="B",D116="SIN HIST"),2,1))</f>
        <v>0</v>
      </c>
      <c r="AB116" s="3" t="str">
        <f aca="false">IF(AA116&gt;=9,"1-ALTA",IF(AA116&gt;=4,"2-MEDIA",IF(AA116&gt;0,"3-BAJA","")))</f>
        <v/>
      </c>
      <c r="AC116" s="3" t="str">
        <f aca="false">IF(E116="BAJO SS","Stock + XLIB bajo el SS: riesgo real de quiebre, adelantar producción. ","")&amp;IF(E116="BAJO SS (XLIB CUBRE)","Disponible bajo el SS; depende de liberar "&amp;TEXT(J116,"#,##0")&amp;" kg"&amp;IF(ISNUMBER(K116)," el "&amp;TEXT(K116,"dd-mm"),"")&amp;". ","")&amp;IF(W116="SÍ","Stock parece sano pero "&amp;TEXT(L116,"#,##0")&amp;" kg no pasan filtro "&amp;Stock_Seguridad!O116&amp;": sin ellos queda bajo el SS para esa cadena. ","")&amp;IF(E116="SOBRE MAX VENDIBLE","Sobrestock vs vida útil: frenar producción/activar venta. ","")&amp;IF(N(N116)&gt;=Parametros!$B$17,TEXT(N116,"#,##0")&amp;" kg ya no los acepta ninguna cadena: venta intermedia/liquidación. ","")&amp;IF(N(M116)&gt;=Parametros!$B$17,TEXT(M116,"#,##0")&amp;" kg a punto de salir del filtro: despachar primero (FEFO). ","")&amp;IF(Y116="SÍ","Pedidos "&amp;IF(N(U116)&gt;0,"sobre","bajo")&amp;" FCST "&amp;TEXT(ABS(N(U116)),"0%")&amp;": revisar forecast con KAM.","")</f>
        <v/>
      </c>
    </row>
    <row r="117" customFormat="false" ht="15" hidden="false" customHeight="false" outlineLevel="0" collapsed="false">
      <c r="A117" s="18" t="n">
        <f aca="false">Stock_Seguridad!A117</f>
        <v>30000824</v>
      </c>
      <c r="B117" s="18" t="str">
        <f aca="false">Stock_Seguridad!B117</f>
        <v>CHAMPIÑON IQF 4X2,5KG</v>
      </c>
      <c r="C117" s="18" t="str">
        <f aca="false">Stock_Seguridad!C117</f>
        <v>FRUTAS Y HORTALIZAS CONGELADAS</v>
      </c>
      <c r="D117" s="18" t="str">
        <f aca="false">Stock_Seguridad!F117</f>
        <v>SIN HIST</v>
      </c>
      <c r="E117" s="19" t="str">
        <f aca="false">Stock_Seguridad!X117</f>
        <v>OK</v>
      </c>
      <c r="F117" s="20" t="n">
        <f aca="false">Stock_Seguridad!W117</f>
        <v>13.3386207489656</v>
      </c>
      <c r="G117" s="21" t="n">
        <f aca="false">Stock_Seguridad!T117</f>
        <v>96390</v>
      </c>
      <c r="H117" s="21" t="n">
        <f aca="false">Stock_Seguridad!R117</f>
        <v>5164.06730742295</v>
      </c>
      <c r="I117" s="21" t="n">
        <f aca="false">Stock_Seguridad!S117</f>
        <v>15629.167307423</v>
      </c>
      <c r="J117" s="21" t="n">
        <f aca="false">Stock_Seguridad!U117</f>
        <v>43200</v>
      </c>
      <c r="K117" s="22"/>
      <c r="L117" s="23" t="n">
        <v>0</v>
      </c>
      <c r="M117" s="23" t="n">
        <v>0</v>
      </c>
      <c r="N117" s="23" t="n">
        <v>0</v>
      </c>
      <c r="O117" s="24" t="n">
        <v>0.183867521367521</v>
      </c>
      <c r="P117" s="24" t="str">
        <f aca="false">IF(ISNUMBER(Stock_Seguridad!N117),Stock_Seguridad!N117,"")</f>
        <v/>
      </c>
      <c r="Q117" s="24" t="str">
        <f aca="false">IF(AND(ISNUMBER(O117),ISNUMBER(P117)),P117-O117,"")</f>
        <v/>
      </c>
      <c r="R117" s="23" t="n">
        <f aca="false">MAX(0,G117-N(L117))</f>
        <v>96390</v>
      </c>
      <c r="S117" s="23" t="n">
        <f aca="false">SUMIFS(Cadenas_vs_FCST!$D$17:$D$2437,Cadenas_vs_FCST!$A$17:$A$2437,A117)</f>
        <v>0</v>
      </c>
      <c r="T117" s="23" t="n">
        <f aca="false">SUMIFS(Cadenas_vs_FCST!$E$17:$E$2437,Cadenas_vs_FCST!$A$17:$A$2437,A117)</f>
        <v>0</v>
      </c>
      <c r="U117" s="24" t="str">
        <f aca="false">IF(T117&gt;0,S117/T117-1,"")</f>
        <v/>
      </c>
      <c r="V117" s="3" t="str">
        <f aca="false">IF(OR(E117="BAJO SS",E117="BAJO SS (XLIB CUBRE)"),"SÍ","")</f>
        <v/>
      </c>
      <c r="W117" s="3" t="str">
        <f aca="false">IF(AND(V117="",N(L117)&gt;=Parametros!$B$17,G117&gt;=H117,R117&lt;H117),"SÍ","")</f>
        <v/>
      </c>
      <c r="X117" s="3" t="str">
        <f aca="false">IF(OR(E117="SOBRE MAX VENDIBLE",N(N117)&gt;=Parametros!$B$17,N(M117)&gt;=Parametros!$B$17),"SÍ","")</f>
        <v/>
      </c>
      <c r="Y117" s="3" t="str">
        <f aca="false">IF(AND(ISNUMBER(U117),MAX(S117,T117)&gt;=Parametros!$B$15,ABS(N(U117))&gt;Parametros!$B$14),"SÍ","")</f>
        <v/>
      </c>
      <c r="Z117" s="3" t="n">
        <f aca="false">COUNTIF(V117:Y117,"SÍ")</f>
        <v>0</v>
      </c>
      <c r="AA117" s="3" t="n">
        <f aca="false">(3*(V117="SÍ")+2*(W117="SÍ")+2*(X117="SÍ")+(Y117="SÍ"))*IF(LEFT(D117,1)="A",3,IF(OR(LEFT(D117,1)="B",D117="SIN HIST"),2,1))</f>
        <v>0</v>
      </c>
      <c r="AB117" s="3" t="str">
        <f aca="false">IF(AA117&gt;=9,"1-ALTA",IF(AA117&gt;=4,"2-MEDIA",IF(AA117&gt;0,"3-BAJA","")))</f>
        <v/>
      </c>
      <c r="AC117" s="3" t="str">
        <f aca="false">IF(E117="BAJO SS","Stock + XLIB bajo el SS: riesgo real de quiebre, adelantar producción. ","")&amp;IF(E117="BAJO SS (XLIB CUBRE)","Disponible bajo el SS; depende de liberar "&amp;TEXT(J117,"#,##0")&amp;" kg"&amp;IF(ISNUMBER(K117)," el "&amp;TEXT(K117,"dd-mm"),"")&amp;". ","")&amp;IF(W117="SÍ","Stock parece sano pero "&amp;TEXT(L117,"#,##0")&amp;" kg no pasan filtro "&amp;Stock_Seguridad!O117&amp;": sin ellos queda bajo el SS para esa cadena. ","")&amp;IF(E117="SOBRE MAX VENDIBLE","Sobrestock vs vida útil: frenar producción/activar venta. ","")&amp;IF(N(N117)&gt;=Parametros!$B$17,TEXT(N117,"#,##0")&amp;" kg ya no los acepta ninguna cadena: venta intermedia/liquidación. ","")&amp;IF(N(M117)&gt;=Parametros!$B$17,TEXT(M117,"#,##0")&amp;" kg a punto de salir del filtro: despachar primero (FEFO). ","")&amp;IF(Y117="SÍ","Pedidos "&amp;IF(N(U117)&gt;0,"sobre","bajo")&amp;" FCST "&amp;TEXT(ABS(N(U117)),"0%")&amp;": revisar forecast con KAM.","")</f>
        <v/>
      </c>
    </row>
    <row r="118" customFormat="false" ht="15" hidden="false" customHeight="false" outlineLevel="0" collapsed="false">
      <c r="A118" s="18" t="n">
        <f aca="false">Stock_Seguridad!A118</f>
        <v>30000300</v>
      </c>
      <c r="B118" s="18" t="str">
        <f aca="false">Stock_Seguridad!B118</f>
        <v>LECHE PLATANO LONCO 30X200ML</v>
      </c>
      <c r="C118" s="18" t="str">
        <f aca="false">Stock_Seguridad!C118</f>
        <v>LECHES LIQUIDAS</v>
      </c>
      <c r="D118" s="18" t="str">
        <f aca="false">Stock_Seguridad!F118</f>
        <v>AX</v>
      </c>
      <c r="E118" s="19" t="str">
        <f aca="false">Stock_Seguridad!X118</f>
        <v>OK</v>
      </c>
      <c r="F118" s="20" t="n">
        <f aca="false">Stock_Seguridad!W118</f>
        <v>3.42535620986957</v>
      </c>
      <c r="G118" s="21" t="n">
        <f aca="false">Stock_Seguridad!T118</f>
        <v>35796</v>
      </c>
      <c r="H118" s="21" t="n">
        <f aca="false">Stock_Seguridad!R118</f>
        <v>8174.12537861124</v>
      </c>
      <c r="I118" s="21" t="n">
        <f aca="false">Stock_Seguridad!S118</f>
        <v>18624.4253786112</v>
      </c>
      <c r="J118" s="21" t="n">
        <f aca="false">Stock_Seguridad!U118</f>
        <v>0</v>
      </c>
      <c r="K118" s="22"/>
      <c r="L118" s="23" t="n">
        <v>330</v>
      </c>
      <c r="M118" s="23" t="n">
        <v>0</v>
      </c>
      <c r="N118" s="23" t="n">
        <v>330</v>
      </c>
      <c r="O118" s="24" t="n">
        <v>0.0910348876216035</v>
      </c>
      <c r="P118" s="24" t="n">
        <f aca="false">IF(ISNUMBER(Stock_Seguridad!N118),Stock_Seguridad!N118,"")</f>
        <v>0.317757009345794</v>
      </c>
      <c r="Q118" s="24" t="n">
        <f aca="false">IF(AND(ISNUMBER(O118),ISNUMBER(P118)),P118-O118,"")</f>
        <v>0.226722121724191</v>
      </c>
      <c r="R118" s="23" t="n">
        <f aca="false">MAX(0,G118-N(L118))</f>
        <v>35466</v>
      </c>
      <c r="S118" s="23" t="n">
        <f aca="false">SUMIFS(Cadenas_vs_FCST!$D$17:$D$2437,Cadenas_vs_FCST!$A$17:$A$2437,A118)</f>
        <v>41532</v>
      </c>
      <c r="T118" s="23" t="n">
        <f aca="false">SUMIFS(Cadenas_vs_FCST!$E$17:$E$2437,Cadenas_vs_FCST!$A$17:$A$2437,A118)</f>
        <v>38984.5996632905</v>
      </c>
      <c r="U118" s="24" t="n">
        <f aca="false">IF(T118&gt;0,S118/T118-1,"")</f>
        <v>0.0653437603235976</v>
      </c>
      <c r="V118" s="3" t="str">
        <f aca="false">IF(OR(E118="BAJO SS",E118="BAJO SS (XLIB CUBRE)"),"SÍ","")</f>
        <v/>
      </c>
      <c r="W118" s="3" t="str">
        <f aca="false">IF(AND(V118="",N(L118)&gt;=Parametros!$B$17,G118&gt;=H118,R118&lt;H118),"SÍ","")</f>
        <v/>
      </c>
      <c r="X118" s="3" t="str">
        <f aca="false">IF(OR(E118="SOBRE MAX VENDIBLE",N(N118)&gt;=Parametros!$B$17,N(M118)&gt;=Parametros!$B$17),"SÍ","")</f>
        <v/>
      </c>
      <c r="Y118" s="3" t="str">
        <f aca="false">IF(AND(ISNUMBER(U118),MAX(S118,T118)&gt;=Parametros!$B$15,ABS(N(U118))&gt;Parametros!$B$14),"SÍ","")</f>
        <v/>
      </c>
      <c r="Z118" s="3" t="n">
        <f aca="false">COUNTIF(V118:Y118,"SÍ")</f>
        <v>0</v>
      </c>
      <c r="AA118" s="3" t="n">
        <f aca="false">(3*(V118="SÍ")+2*(W118="SÍ")+2*(X118="SÍ")+(Y118="SÍ"))*IF(LEFT(D118,1)="A",3,IF(OR(LEFT(D118,1)="B",D118="SIN HIST"),2,1))</f>
        <v>0</v>
      </c>
      <c r="AB118" s="3" t="str">
        <f aca="false">IF(AA118&gt;=9,"1-ALTA",IF(AA118&gt;=4,"2-MEDIA",IF(AA118&gt;0,"3-BAJA","")))</f>
        <v/>
      </c>
      <c r="AC118" s="3" t="str">
        <f aca="false">IF(E118="BAJO SS","Stock + XLIB bajo el SS: riesgo real de quiebre, adelantar producción. ","")&amp;IF(E118="BAJO SS (XLIB CUBRE)","Disponible bajo el SS; depende de liberar "&amp;TEXT(J118,"#,##0")&amp;" kg"&amp;IF(ISNUMBER(K118)," el "&amp;TEXT(K118,"dd-mm"),"")&amp;". ","")&amp;IF(W118="SÍ","Stock parece sano pero "&amp;TEXT(L118,"#,##0")&amp;" kg no pasan filtro "&amp;Stock_Seguridad!O118&amp;": sin ellos queda bajo el SS para esa cadena. ","")&amp;IF(E118="SOBRE MAX VENDIBLE","Sobrestock vs vida útil: frenar producción/activar venta. ","")&amp;IF(N(N118)&gt;=Parametros!$B$17,TEXT(N118,"#,##0")&amp;" kg ya no los acepta ninguna cadena: venta intermedia/liquidación. ","")&amp;IF(N(M118)&gt;=Parametros!$B$17,TEXT(M118,"#,##0")&amp;" kg a punto de salir del filtro: despachar primero (FEFO). ","")&amp;IF(Y118="SÍ","Pedidos "&amp;IF(N(U118)&gt;0,"sobre","bajo")&amp;" FCST "&amp;TEXT(ABS(N(U118)),"0%")&amp;": revisar forecast con KAM.","")</f>
        <v/>
      </c>
    </row>
    <row r="119" customFormat="false" ht="15" hidden="false" customHeight="false" outlineLevel="0" collapsed="false">
      <c r="A119" s="18" t="n">
        <f aca="false">Stock_Seguridad!A119</f>
        <v>30001489</v>
      </c>
      <c r="B119" s="18" t="str">
        <f aca="false">Stock_Seguridad!B119</f>
        <v>YOGURT OIKOS CHOCO CRUNCH 12X142GR</v>
      </c>
      <c r="C119" s="18" t="str">
        <f aca="false">Stock_Seguridad!C119</f>
        <v>YOGURT</v>
      </c>
      <c r="D119" s="18" t="str">
        <f aca="false">Stock_Seguridad!F119</f>
        <v>AX</v>
      </c>
      <c r="E119" s="19" t="str">
        <f aca="false">Stock_Seguridad!X119</f>
        <v>SOBRE MAX VENDIBLE</v>
      </c>
      <c r="F119" s="20" t="n">
        <f aca="false">Stock_Seguridad!W119</f>
        <v>2.25631946114987</v>
      </c>
      <c r="G119" s="21" t="n">
        <f aca="false">Stock_Seguridad!T119</f>
        <v>18483.3</v>
      </c>
      <c r="H119" s="21" t="n">
        <f aca="false">Stock_Seguridad!R119</f>
        <v>3606.4723614302</v>
      </c>
      <c r="I119" s="21" t="n">
        <f aca="false">Stock_Seguridad!S119</f>
        <v>13998.9723614302</v>
      </c>
      <c r="J119" s="21" t="n">
        <f aca="false">Stock_Seguridad!U119</f>
        <v>4965.5</v>
      </c>
      <c r="K119" s="22" t="n">
        <v>46317</v>
      </c>
      <c r="L119" s="23" t="n">
        <v>947.424</v>
      </c>
      <c r="M119" s="23" t="n">
        <v>2147.04</v>
      </c>
      <c r="N119" s="23" t="n">
        <v>0</v>
      </c>
      <c r="O119" s="24" t="n">
        <v>0.100612764718725</v>
      </c>
      <c r="P119" s="24" t="n">
        <f aca="false">IF(ISNUMBER(Stock_Seguridad!N119),Stock_Seguridad!N119,"")</f>
        <v>0.245614035087719</v>
      </c>
      <c r="Q119" s="24" t="n">
        <f aca="false">IF(AND(ISNUMBER(O119),ISNUMBER(P119)),P119-O119,"")</f>
        <v>0.145001270368994</v>
      </c>
      <c r="R119" s="23" t="n">
        <f aca="false">MAX(0,G119-N(L119))</f>
        <v>17535.876</v>
      </c>
      <c r="S119" s="23" t="n">
        <f aca="false">SUMIFS(Cadenas_vs_FCST!$D$17:$D$2437,Cadenas_vs_FCST!$A$17:$A$2437,A119)</f>
        <v>42698.832</v>
      </c>
      <c r="T119" s="23" t="n">
        <f aca="false">SUMIFS(Cadenas_vs_FCST!$E$17:$E$2437,Cadenas_vs_FCST!$A$17:$A$2437,A119)</f>
        <v>43965.0363142367</v>
      </c>
      <c r="U119" s="24" t="n">
        <f aca="false">IF(T119&gt;0,S119/T119-1,"")</f>
        <v>-0.0288002563033639</v>
      </c>
      <c r="V119" s="3" t="str">
        <f aca="false">IF(OR(E119="BAJO SS",E119="BAJO SS (XLIB CUBRE)"),"SÍ","")</f>
        <v/>
      </c>
      <c r="W119" s="3" t="str">
        <f aca="false">IF(AND(V119="",N(L119)&gt;=Parametros!$B$17,G119&gt;=H119,R119&lt;H119),"SÍ","")</f>
        <v/>
      </c>
      <c r="X119" s="3" t="str">
        <f aca="false">IF(OR(E119="SOBRE MAX VENDIBLE",N(N119)&gt;=Parametros!$B$17,N(M119)&gt;=Parametros!$B$17),"SÍ","")</f>
        <v>SÍ</v>
      </c>
      <c r="Y119" s="3" t="str">
        <f aca="false">IF(AND(ISNUMBER(U119),MAX(S119,T119)&gt;=Parametros!$B$15,ABS(N(U119))&gt;Parametros!$B$14),"SÍ","")</f>
        <v/>
      </c>
      <c r="Z119" s="3" t="n">
        <f aca="false">COUNTIF(V119:Y119,"SÍ")</f>
        <v>1</v>
      </c>
      <c r="AA119" s="3" t="n">
        <f aca="false">(3*(V119="SÍ")+2*(W119="SÍ")+2*(X119="SÍ")+(Y119="SÍ"))*IF(LEFT(D119,1)="A",3,IF(OR(LEFT(D119,1)="B",D119="SIN HIST"),2,1))</f>
        <v>6</v>
      </c>
      <c r="AB119" s="3" t="str">
        <f aca="false">IF(AA119&gt;=9,"1-ALTA",IF(AA119&gt;=4,"2-MEDIA",IF(AA119&gt;0,"3-BAJA","")))</f>
        <v>2-MEDIA</v>
      </c>
      <c r="AC119" s="3" t="str">
        <f aca="false">IF(E119="BAJO SS","Stock + XLIB bajo el SS: riesgo real de quiebre, adelantar producción. ","")&amp;IF(E119="BAJO SS (XLIB CUBRE)","Disponible bajo el SS; depende de liberar "&amp;TEXT(J119,"#,##0")&amp;" kg"&amp;IF(ISNUMBER(K119)," el "&amp;TEXT(K119,"dd-mm"),"")&amp;". ","")&amp;IF(W119="SÍ","Stock parece sano pero "&amp;TEXT(L119,"#,##0")&amp;" kg no pasan filtro "&amp;Stock_Seguridad!O119&amp;": sin ellos queda bajo el SS para esa cadena. ","")&amp;IF(E119="SOBRE MAX VENDIBLE","Sobrestock vs vida útil: frenar producción/activar venta. ","")&amp;IF(N(N119)&gt;=Parametros!$B$17,TEXT(N119,"#,##0")&amp;" kg ya no los acepta ninguna cadena: venta intermedia/liquidación. ","")&amp;IF(N(M119)&gt;=Parametros!$B$17,TEXT(M119,"#,##0")&amp;" kg a punto de salir del filtro: despachar primero (FEFO). ","")&amp;IF(Y119="SÍ","Pedidos "&amp;IF(N(U119)&gt;0,"sobre","bajo")&amp;" FCST "&amp;TEXT(ABS(N(U119)),"0%")&amp;": revisar forecast con KAM.","")</f>
        <v>Sobrestock vs vida útil: frenar producción/activar venta. 2,147 kg a punto de salir del filtro: despachar primero (FEFO). </v>
      </c>
    </row>
    <row r="120" customFormat="false" ht="15" hidden="false" customHeight="false" outlineLevel="0" collapsed="false">
      <c r="A120" s="18" t="n">
        <f aca="false">Stock_Seguridad!A120</f>
        <v>30000010</v>
      </c>
      <c r="B120" s="18" t="str">
        <f aca="false">Stock_Seguridad!B120</f>
        <v>LECHE MOMENTS CAPUCHINO 12X1LT</v>
      </c>
      <c r="C120" s="18" t="str">
        <f aca="false">Stock_Seguridad!C120</f>
        <v>LECHES LIQUIDAS</v>
      </c>
      <c r="D120" s="18" t="str">
        <f aca="false">Stock_Seguridad!F120</f>
        <v>AX</v>
      </c>
      <c r="E120" s="19" t="str">
        <f aca="false">Stock_Seguridad!X120</f>
        <v>OK</v>
      </c>
      <c r="F120" s="20" t="n">
        <f aca="false">Stock_Seguridad!W120</f>
        <v>4.69918619950295</v>
      </c>
      <c r="G120" s="21" t="n">
        <f aca="false">Stock_Seguridad!T120</f>
        <v>25092</v>
      </c>
      <c r="H120" s="21" t="n">
        <f aca="false">Stock_Seguridad!R120</f>
        <v>6300.40032943069</v>
      </c>
      <c r="I120" s="21" t="n">
        <f aca="false">Stock_Seguridad!S120</f>
        <v>16560.9003294307</v>
      </c>
      <c r="J120" s="21" t="n">
        <f aca="false">Stock_Seguridad!U120</f>
        <v>23124</v>
      </c>
      <c r="K120" s="22" t="n">
        <v>46318</v>
      </c>
      <c r="L120" s="23" t="n">
        <v>132</v>
      </c>
      <c r="M120" s="23" t="n">
        <v>9156</v>
      </c>
      <c r="N120" s="23" t="n">
        <v>120</v>
      </c>
      <c r="O120" s="24" t="n">
        <v>0.106621015936255</v>
      </c>
      <c r="P120" s="24" t="n">
        <f aca="false">IF(ISNUMBER(Stock_Seguridad!N120),Stock_Seguridad!N120,"")</f>
        <v>0.240641711229947</v>
      </c>
      <c r="Q120" s="24" t="n">
        <f aca="false">IF(AND(ISNUMBER(O120),ISNUMBER(P120)),P120-O120,"")</f>
        <v>0.134020695293691</v>
      </c>
      <c r="R120" s="23" t="n">
        <f aca="false">MAX(0,G120-N(L120))</f>
        <v>24960</v>
      </c>
      <c r="S120" s="23" t="n">
        <f aca="false">SUMIFS(Cadenas_vs_FCST!$D$17:$D$2437,Cadenas_vs_FCST!$A$17:$A$2437,A120)</f>
        <v>25560</v>
      </c>
      <c r="T120" s="23" t="n">
        <f aca="false">SUMIFS(Cadenas_vs_FCST!$E$17:$E$2437,Cadenas_vs_FCST!$A$17:$A$2437,A120)</f>
        <v>31368.7374867612</v>
      </c>
      <c r="U120" s="24" t="n">
        <f aca="false">IF(T120&gt;0,S120/T120-1,"")</f>
        <v>-0.185176004906564</v>
      </c>
      <c r="V120" s="3" t="str">
        <f aca="false">IF(OR(E120="BAJO SS",E120="BAJO SS (XLIB CUBRE)"),"SÍ","")</f>
        <v/>
      </c>
      <c r="W120" s="3" t="str">
        <f aca="false">IF(AND(V120="",N(L120)&gt;=Parametros!$B$17,G120&gt;=H120,R120&lt;H120),"SÍ","")</f>
        <v/>
      </c>
      <c r="X120" s="3" t="str">
        <f aca="false">IF(OR(E120="SOBRE MAX VENDIBLE",N(N120)&gt;=Parametros!$B$17,N(M120)&gt;=Parametros!$B$17),"SÍ","")</f>
        <v>SÍ</v>
      </c>
      <c r="Y120" s="3" t="str">
        <f aca="false">IF(AND(ISNUMBER(U120),MAX(S120,T120)&gt;=Parametros!$B$15,ABS(N(U120))&gt;Parametros!$B$14),"SÍ","")</f>
        <v/>
      </c>
      <c r="Z120" s="3" t="n">
        <f aca="false">COUNTIF(V120:Y120,"SÍ")</f>
        <v>1</v>
      </c>
      <c r="AA120" s="3" t="n">
        <f aca="false">(3*(V120="SÍ")+2*(W120="SÍ")+2*(X120="SÍ")+(Y120="SÍ"))*IF(LEFT(D120,1)="A",3,IF(OR(LEFT(D120,1)="B",D120="SIN HIST"),2,1))</f>
        <v>6</v>
      </c>
      <c r="AB120" s="3" t="str">
        <f aca="false">IF(AA120&gt;=9,"1-ALTA",IF(AA120&gt;=4,"2-MEDIA",IF(AA120&gt;0,"3-BAJA","")))</f>
        <v>2-MEDIA</v>
      </c>
      <c r="AC120" s="3" t="str">
        <f aca="false">IF(E120="BAJO SS","Stock + XLIB bajo el SS: riesgo real de quiebre, adelantar producción. ","")&amp;IF(E120="BAJO SS (XLIB CUBRE)","Disponible bajo el SS; depende de liberar "&amp;TEXT(J120,"#,##0")&amp;" kg"&amp;IF(ISNUMBER(K120)," el "&amp;TEXT(K120,"dd-mm"),"")&amp;". ","")&amp;IF(W120="SÍ","Stock parece sano pero "&amp;TEXT(L120,"#,##0")&amp;" kg no pasan filtro "&amp;Stock_Seguridad!O120&amp;": sin ellos queda bajo el SS para esa cadena. ","")&amp;IF(E120="SOBRE MAX VENDIBLE","Sobrestock vs vida útil: frenar producción/activar venta. ","")&amp;IF(N(N120)&gt;=Parametros!$B$17,TEXT(N120,"#,##0")&amp;" kg ya no los acepta ninguna cadena: venta intermedia/liquidación. ","")&amp;IF(N(M120)&gt;=Parametros!$B$17,TEXT(M120,"#,##0")&amp;" kg a punto de salir del filtro: despachar primero (FEFO). ","")&amp;IF(Y120="SÍ","Pedidos "&amp;IF(N(U120)&gt;0,"sobre","bajo")&amp;" FCST "&amp;TEXT(ABS(N(U120)),"0%")&amp;": revisar forecast con KAM.","")</f>
        <v>9,156 kg a punto de salir del filtro: despachar primero (FEFO). </v>
      </c>
    </row>
    <row r="121" customFormat="false" ht="15" hidden="false" customHeight="false" outlineLevel="0" collapsed="false">
      <c r="A121" s="18" t="n">
        <f aca="false">Stock_Seguridad!A121</f>
        <v>30001362</v>
      </c>
      <c r="B121" s="18" t="str">
        <f aca="false">Stock_Seguridad!B121</f>
        <v>ACEITE CHEF EXTRAVIRGEN 6X1LT</v>
      </c>
      <c r="C121" s="18" t="str">
        <f aca="false">Stock_Seguridad!C121</f>
        <v>ACEITES</v>
      </c>
      <c r="D121" s="18" t="str">
        <f aca="false">Stock_Seguridad!F121</f>
        <v>AX</v>
      </c>
      <c r="E121" s="19" t="str">
        <f aca="false">Stock_Seguridad!X121</f>
        <v>OK</v>
      </c>
      <c r="F121" s="20" t="n">
        <f aca="false">Stock_Seguridad!W121</f>
        <v>1.80705107471552</v>
      </c>
      <c r="G121" s="21" t="n">
        <f aca="false">Stock_Seguridad!T121</f>
        <v>18436.8</v>
      </c>
      <c r="H121" s="21" t="n">
        <f aca="false">Stock_Seguridad!R121</f>
        <v>5653.96676929618</v>
      </c>
      <c r="I121" s="21" t="n">
        <f aca="false">Stock_Seguridad!S121</f>
        <v>15856.6667692962</v>
      </c>
      <c r="J121" s="21" t="n">
        <f aca="false">Stock_Seguridad!U121</f>
        <v>0</v>
      </c>
      <c r="K121" s="22"/>
      <c r="L121" s="23" t="n">
        <v>0</v>
      </c>
      <c r="M121" s="23" t="n">
        <v>0</v>
      </c>
      <c r="N121" s="23" t="n">
        <v>0</v>
      </c>
      <c r="O121" s="24" t="n">
        <v>0.0144251497005988</v>
      </c>
      <c r="P121" s="24" t="n">
        <f aca="false">IF(ISNUMBER(Stock_Seguridad!N121),Stock_Seguridad!N121,"")</f>
        <v>0.208219178082192</v>
      </c>
      <c r="Q121" s="24" t="n">
        <f aca="false">IF(AND(ISNUMBER(O121),ISNUMBER(P121)),P121-O121,"")</f>
        <v>0.193794028381593</v>
      </c>
      <c r="R121" s="23" t="n">
        <f aca="false">MAX(0,G121-N(L121))</f>
        <v>18436.8</v>
      </c>
      <c r="S121" s="23" t="n">
        <f aca="false">SUMIFS(Cadenas_vs_FCST!$D$17:$D$2437,Cadenas_vs_FCST!$A$17:$A$2437,A121)</f>
        <v>53969.04</v>
      </c>
      <c r="T121" s="23" t="n">
        <f aca="false">SUMIFS(Cadenas_vs_FCST!$E$17:$E$2437,Cadenas_vs_FCST!$A$17:$A$2437,A121)</f>
        <v>43454.72</v>
      </c>
      <c r="U121" s="24" t="n">
        <f aca="false">IF(T121&gt;0,S121/T121-1,"")</f>
        <v>0.24196036702112</v>
      </c>
      <c r="V121" s="3" t="str">
        <f aca="false">IF(OR(E121="BAJO SS",E121="BAJO SS (XLIB CUBRE)"),"SÍ","")</f>
        <v/>
      </c>
      <c r="W121" s="3" t="str">
        <f aca="false">IF(AND(V121="",N(L121)&gt;=Parametros!$B$17,G121&gt;=H121,R121&lt;H121),"SÍ","")</f>
        <v/>
      </c>
      <c r="X121" s="3" t="str">
        <f aca="false">IF(OR(E121="SOBRE MAX VENDIBLE",N(N121)&gt;=Parametros!$B$17,N(M121)&gt;=Parametros!$B$17),"SÍ","")</f>
        <v/>
      </c>
      <c r="Y121" s="3" t="str">
        <f aca="false">IF(AND(ISNUMBER(U121),MAX(S121,T121)&gt;=Parametros!$B$15,ABS(N(U121))&gt;Parametros!$B$14),"SÍ","")</f>
        <v>SÍ</v>
      </c>
      <c r="Z121" s="3" t="n">
        <f aca="false">COUNTIF(V121:Y121,"SÍ")</f>
        <v>1</v>
      </c>
      <c r="AA121" s="3" t="n">
        <f aca="false">(3*(V121="SÍ")+2*(W121="SÍ")+2*(X121="SÍ")+(Y121="SÍ"))*IF(LEFT(D121,1)="A",3,IF(OR(LEFT(D121,1)="B",D121="SIN HIST"),2,1))</f>
        <v>3</v>
      </c>
      <c r="AB121" s="3" t="str">
        <f aca="false">IF(AA121&gt;=9,"1-ALTA",IF(AA121&gt;=4,"2-MEDIA",IF(AA121&gt;0,"3-BAJA","")))</f>
        <v>3-BAJA</v>
      </c>
      <c r="AC121" s="3" t="str">
        <f aca="false">IF(E121="BAJO SS","Stock + XLIB bajo el SS: riesgo real de quiebre, adelantar producción. ","")&amp;IF(E121="BAJO SS (XLIB CUBRE)","Disponible bajo el SS; depende de liberar "&amp;TEXT(J121,"#,##0")&amp;" kg"&amp;IF(ISNUMBER(K121)," el "&amp;TEXT(K121,"dd-mm"),"")&amp;". ","")&amp;IF(W121="SÍ","Stock parece sano pero "&amp;TEXT(L121,"#,##0")&amp;" kg no pasan filtro "&amp;Stock_Seguridad!O121&amp;": sin ellos queda bajo el SS para esa cadena. ","")&amp;IF(E121="SOBRE MAX VENDIBLE","Sobrestock vs vida útil: frenar producción/activar venta. ","")&amp;IF(N(N121)&gt;=Parametros!$B$17,TEXT(N121,"#,##0")&amp;" kg ya no los acepta ninguna cadena: venta intermedia/liquidación. ","")&amp;IF(N(M121)&gt;=Parametros!$B$17,TEXT(M121,"#,##0")&amp;" kg a punto de salir del filtro: despachar primero (FEFO). ","")&amp;IF(Y121="SÍ","Pedidos "&amp;IF(N(U121)&gt;0,"sobre","bajo")&amp;" FCST "&amp;TEXT(ABS(N(U121)),"0%")&amp;": revisar forecast con KAM.","")</f>
        <v>Pedidos sobre FCST 24%: revisar forecast con KAM.</v>
      </c>
    </row>
    <row r="122" customFormat="false" ht="15" hidden="false" customHeight="false" outlineLevel="0" collapsed="false">
      <c r="A122" s="18" t="n">
        <f aca="false">Stock_Seguridad!A122</f>
        <v>30001977</v>
      </c>
      <c r="B122" s="18" t="str">
        <f aca="false">Stock_Seguridad!B122</f>
        <v>BEBIDA LONCOLECHE VEGETAL ALMENDRA 6X1LT</v>
      </c>
      <c r="C122" s="18" t="str">
        <f aca="false">Stock_Seguridad!C122</f>
        <v>LECHES LIQUIDAS</v>
      </c>
      <c r="D122" s="18" t="str">
        <f aca="false">Stock_Seguridad!F122</f>
        <v>AX</v>
      </c>
      <c r="E122" s="19" t="str">
        <f aca="false">Stock_Seguridad!X122</f>
        <v>OK</v>
      </c>
      <c r="F122" s="20" t="n">
        <f aca="false">Stock_Seguridad!W122</f>
        <v>5.90850534767369</v>
      </c>
      <c r="G122" s="21" t="n">
        <f aca="false">Stock_Seguridad!T122</f>
        <v>59166</v>
      </c>
      <c r="H122" s="21" t="n">
        <f aca="false">Stock_Seguridad!R122</f>
        <v>11818.9750642692</v>
      </c>
      <c r="I122" s="21" t="n">
        <f aca="false">Stock_Seguridad!S122</f>
        <v>21832.6750642692</v>
      </c>
      <c r="J122" s="21" t="n">
        <f aca="false">Stock_Seguridad!U122</f>
        <v>0</v>
      </c>
      <c r="K122" s="22"/>
      <c r="L122" s="23" t="n">
        <v>0</v>
      </c>
      <c r="M122" s="23" t="n">
        <v>0</v>
      </c>
      <c r="N122" s="23" t="n">
        <v>0</v>
      </c>
      <c r="O122" s="24" t="n">
        <v>0.283286308738455</v>
      </c>
      <c r="P122" s="24" t="n">
        <f aca="false">IF(ISNUMBER(Stock_Seguridad!N122),Stock_Seguridad!N122,"")</f>
        <v>0.498630136986301</v>
      </c>
      <c r="Q122" s="24" t="n">
        <f aca="false">IF(AND(ISNUMBER(O122),ISNUMBER(P122)),P122-O122,"")</f>
        <v>0.215343828247846</v>
      </c>
      <c r="R122" s="23" t="n">
        <f aca="false">MAX(0,G122-N(L122))</f>
        <v>59166</v>
      </c>
      <c r="S122" s="23" t="n">
        <f aca="false">SUMIFS(Cadenas_vs_FCST!$D$17:$D$2437,Cadenas_vs_FCST!$A$17:$A$2437,A122)</f>
        <v>44766</v>
      </c>
      <c r="T122" s="23" t="n">
        <f aca="false">SUMIFS(Cadenas_vs_FCST!$E$17:$E$2437,Cadenas_vs_FCST!$A$17:$A$2437,A122)</f>
        <v>41863.8953411194</v>
      </c>
      <c r="U122" s="24" t="n">
        <f aca="false">IF(T122&gt;0,S122/T122-1,"")</f>
        <v>0.0693223751691861</v>
      </c>
      <c r="V122" s="3" t="str">
        <f aca="false">IF(OR(E122="BAJO SS",E122="BAJO SS (XLIB CUBRE)"),"SÍ","")</f>
        <v/>
      </c>
      <c r="W122" s="3" t="str">
        <f aca="false">IF(AND(V122="",N(L122)&gt;=Parametros!$B$17,G122&gt;=H122,R122&lt;H122),"SÍ","")</f>
        <v/>
      </c>
      <c r="X122" s="3" t="str">
        <f aca="false">IF(OR(E122="SOBRE MAX VENDIBLE",N(N122)&gt;=Parametros!$B$17,N(M122)&gt;=Parametros!$B$17),"SÍ","")</f>
        <v/>
      </c>
      <c r="Y122" s="3" t="str">
        <f aca="false">IF(AND(ISNUMBER(U122),MAX(S122,T122)&gt;=Parametros!$B$15,ABS(N(U122))&gt;Parametros!$B$14),"SÍ","")</f>
        <v/>
      </c>
      <c r="Z122" s="3" t="n">
        <f aca="false">COUNTIF(V122:Y122,"SÍ")</f>
        <v>0</v>
      </c>
      <c r="AA122" s="3" t="n">
        <f aca="false">(3*(V122="SÍ")+2*(W122="SÍ")+2*(X122="SÍ")+(Y122="SÍ"))*IF(LEFT(D122,1)="A",3,IF(OR(LEFT(D122,1)="B",D122="SIN HIST"),2,1))</f>
        <v>0</v>
      </c>
      <c r="AB122" s="3" t="str">
        <f aca="false">IF(AA122&gt;=9,"1-ALTA",IF(AA122&gt;=4,"2-MEDIA",IF(AA122&gt;0,"3-BAJA","")))</f>
        <v/>
      </c>
      <c r="AC122" s="3" t="str">
        <f aca="false">IF(E122="BAJO SS","Stock + XLIB bajo el SS: riesgo real de quiebre, adelantar producción. ","")&amp;IF(E122="BAJO SS (XLIB CUBRE)","Disponible bajo el SS; depende de liberar "&amp;TEXT(J122,"#,##0")&amp;" kg"&amp;IF(ISNUMBER(K122)," el "&amp;TEXT(K122,"dd-mm"),"")&amp;". ","")&amp;IF(W122="SÍ","Stock parece sano pero "&amp;TEXT(L122,"#,##0")&amp;" kg no pasan filtro "&amp;Stock_Seguridad!O122&amp;": sin ellos queda bajo el SS para esa cadena. ","")&amp;IF(E122="SOBRE MAX VENDIBLE","Sobrestock vs vida útil: frenar producción/activar venta. ","")&amp;IF(N(N122)&gt;=Parametros!$B$17,TEXT(N122,"#,##0")&amp;" kg ya no los acepta ninguna cadena: venta intermedia/liquidación. ","")&amp;IF(N(M122)&gt;=Parametros!$B$17,TEXT(M122,"#,##0")&amp;" kg a punto de salir del filtro: despachar primero (FEFO). ","")&amp;IF(Y122="SÍ","Pedidos "&amp;IF(N(U122)&gt;0,"sobre","bajo")&amp;" FCST "&amp;TEXT(ABS(N(U122)),"0%")&amp;": revisar forecast con KAM.","")</f>
        <v/>
      </c>
    </row>
    <row r="123" customFormat="false" ht="15" hidden="false" customHeight="false" outlineLevel="0" collapsed="false">
      <c r="A123" s="18" t="n">
        <f aca="false">Stock_Seguridad!A123</f>
        <v>30000714</v>
      </c>
      <c r="B123" s="18" t="str">
        <f aca="false">Stock_Seguridad!B123</f>
        <v>MIX BERRIES CONVENCIONAL IQF 30X400GR</v>
      </c>
      <c r="C123" s="18" t="str">
        <f aca="false">Stock_Seguridad!C123</f>
        <v>FRUTAS Y HORTALIZAS CONGELADAS</v>
      </c>
      <c r="D123" s="18" t="str">
        <f aca="false">Stock_Seguridad!F123</f>
        <v>SIN HIST</v>
      </c>
      <c r="E123" s="19" t="str">
        <f aca="false">Stock_Seguridad!X123</f>
        <v>OK</v>
      </c>
      <c r="F123" s="20" t="n">
        <f aca="false">Stock_Seguridad!W123</f>
        <v>2.14795236297211</v>
      </c>
      <c r="G123" s="21" t="n">
        <f aca="false">Stock_Seguridad!T123</f>
        <v>21048</v>
      </c>
      <c r="H123" s="21" t="n">
        <f aca="false">Stock_Seguridad!R123</f>
        <v>4835.42555275805</v>
      </c>
      <c r="I123" s="21" t="n">
        <f aca="false">Stock_Seguridad!S123</f>
        <v>14634.525552758</v>
      </c>
      <c r="J123" s="21" t="n">
        <f aca="false">Stock_Seguridad!U123</f>
        <v>0</v>
      </c>
      <c r="K123" s="22"/>
      <c r="L123" s="23" t="n">
        <v>0</v>
      </c>
      <c r="M123" s="23" t="n">
        <v>0</v>
      </c>
      <c r="N123" s="23" t="n">
        <v>0</v>
      </c>
      <c r="O123" s="24" t="n">
        <v>0.0343842645381984</v>
      </c>
      <c r="P123" s="24" t="str">
        <f aca="false">IF(ISNUMBER(Stock_Seguridad!N123),Stock_Seguridad!N123,"")</f>
        <v/>
      </c>
      <c r="Q123" s="24" t="str">
        <f aca="false">IF(AND(ISNUMBER(O123),ISNUMBER(P123)),P123-O123,"")</f>
        <v/>
      </c>
      <c r="R123" s="23" t="n">
        <f aca="false">MAX(0,G123-N(L123))</f>
        <v>21048</v>
      </c>
      <c r="S123" s="23" t="n">
        <f aca="false">SUMIFS(Cadenas_vs_FCST!$D$17:$D$2437,Cadenas_vs_FCST!$A$17:$A$2437,A123)</f>
        <v>0</v>
      </c>
      <c r="T123" s="23" t="n">
        <f aca="false">SUMIFS(Cadenas_vs_FCST!$E$17:$E$2437,Cadenas_vs_FCST!$A$17:$A$2437,A123)</f>
        <v>0</v>
      </c>
      <c r="U123" s="24" t="str">
        <f aca="false">IF(T123&gt;0,S123/T123-1,"")</f>
        <v/>
      </c>
      <c r="V123" s="3" t="str">
        <f aca="false">IF(OR(E123="BAJO SS",E123="BAJO SS (XLIB CUBRE)"),"SÍ","")</f>
        <v/>
      </c>
      <c r="W123" s="3" t="str">
        <f aca="false">IF(AND(V123="",N(L123)&gt;=Parametros!$B$17,G123&gt;=H123,R123&lt;H123),"SÍ","")</f>
        <v/>
      </c>
      <c r="X123" s="3" t="str">
        <f aca="false">IF(OR(E123="SOBRE MAX VENDIBLE",N(N123)&gt;=Parametros!$B$17,N(M123)&gt;=Parametros!$B$17),"SÍ","")</f>
        <v/>
      </c>
      <c r="Y123" s="3" t="str">
        <f aca="false">IF(AND(ISNUMBER(U123),MAX(S123,T123)&gt;=Parametros!$B$15,ABS(N(U123))&gt;Parametros!$B$14),"SÍ","")</f>
        <v/>
      </c>
      <c r="Z123" s="3" t="n">
        <f aca="false">COUNTIF(V123:Y123,"SÍ")</f>
        <v>0</v>
      </c>
      <c r="AA123" s="3" t="n">
        <f aca="false">(3*(V123="SÍ")+2*(W123="SÍ")+2*(X123="SÍ")+(Y123="SÍ"))*IF(LEFT(D123,1)="A",3,IF(OR(LEFT(D123,1)="B",D123="SIN HIST"),2,1))</f>
        <v>0</v>
      </c>
      <c r="AB123" s="3" t="str">
        <f aca="false">IF(AA123&gt;=9,"1-ALTA",IF(AA123&gt;=4,"2-MEDIA",IF(AA123&gt;0,"3-BAJA","")))</f>
        <v/>
      </c>
      <c r="AC123" s="3" t="str">
        <f aca="false">IF(E123="BAJO SS","Stock + XLIB bajo el SS: riesgo real de quiebre, adelantar producción. ","")&amp;IF(E123="BAJO SS (XLIB CUBRE)","Disponible bajo el SS; depende de liberar "&amp;TEXT(J123,"#,##0")&amp;" kg"&amp;IF(ISNUMBER(K123)," el "&amp;TEXT(K123,"dd-mm"),"")&amp;". ","")&amp;IF(W123="SÍ","Stock parece sano pero "&amp;TEXT(L123,"#,##0")&amp;" kg no pasan filtro "&amp;Stock_Seguridad!O123&amp;": sin ellos queda bajo el SS para esa cadena. ","")&amp;IF(E123="SOBRE MAX VENDIBLE","Sobrestock vs vida útil: frenar producción/activar venta. ","")&amp;IF(N(N123)&gt;=Parametros!$B$17,TEXT(N123,"#,##0")&amp;" kg ya no los acepta ninguna cadena: venta intermedia/liquidación. ","")&amp;IF(N(M123)&gt;=Parametros!$B$17,TEXT(M123,"#,##0")&amp;" kg a punto de salir del filtro: despachar primero (FEFO). ","")&amp;IF(Y123="SÍ","Pedidos "&amp;IF(N(U123)&gt;0,"sobre","bajo")&amp;" FCST "&amp;TEXT(ABS(N(U123)),"0%")&amp;": revisar forecast con KAM.","")</f>
        <v/>
      </c>
    </row>
    <row r="124" customFormat="false" ht="15" hidden="false" customHeight="false" outlineLevel="0" collapsed="false">
      <c r="A124" s="18" t="n">
        <f aca="false">Stock_Seguridad!A124</f>
        <v>30000107</v>
      </c>
      <c r="B124" s="18" t="str">
        <f aca="false">Stock_Seguridad!B124</f>
        <v>MARGARINA HORNITO HORNEO 1X20KG</v>
      </c>
      <c r="C124" s="18" t="str">
        <f aca="false">Stock_Seguridad!C124</f>
        <v>MARGARINAS</v>
      </c>
      <c r="D124" s="18" t="str">
        <f aca="false">Stock_Seguridad!F124</f>
        <v>SIN HIST</v>
      </c>
      <c r="E124" s="19" t="str">
        <f aca="false">Stock_Seguridad!X124</f>
        <v>OK</v>
      </c>
      <c r="F124" s="20" t="n">
        <f aca="false">Stock_Seguridad!W124</f>
        <v>3.62839650265168</v>
      </c>
      <c r="G124" s="21" t="n">
        <f aca="false">Stock_Seguridad!T124</f>
        <v>35440</v>
      </c>
      <c r="H124" s="21" t="n">
        <f aca="false">Stock_Seguridad!R124</f>
        <v>4819.78299476574</v>
      </c>
      <c r="I124" s="21" t="n">
        <f aca="false">Stock_Seguridad!S124</f>
        <v>14587.1829947657</v>
      </c>
      <c r="J124" s="21" t="n">
        <f aca="false">Stock_Seguridad!U124</f>
        <v>0</v>
      </c>
      <c r="K124" s="22"/>
      <c r="L124" s="23" t="n">
        <v>140</v>
      </c>
      <c r="M124" s="23" t="n">
        <v>0</v>
      </c>
      <c r="N124" s="23" t="n">
        <v>0</v>
      </c>
      <c r="O124" s="24" t="n">
        <v>0.0405191873589165</v>
      </c>
      <c r="P124" s="24" t="n">
        <f aca="false">IF(ISNUMBER(Stock_Seguridad!N124),Stock_Seguridad!N124,"")</f>
        <v>0.217391304347826</v>
      </c>
      <c r="Q124" s="24" t="n">
        <f aca="false">IF(AND(ISNUMBER(O124),ISNUMBER(P124)),P124-O124,"")</f>
        <v>0.17687211698891</v>
      </c>
      <c r="R124" s="23" t="n">
        <f aca="false">MAX(0,G124-N(L124))</f>
        <v>35300</v>
      </c>
      <c r="S124" s="23" t="n">
        <f aca="false">SUMIFS(Cadenas_vs_FCST!$D$17:$D$2437,Cadenas_vs_FCST!$A$17:$A$2437,A124)</f>
        <v>0</v>
      </c>
      <c r="T124" s="23" t="n">
        <f aca="false">SUMIFS(Cadenas_vs_FCST!$E$17:$E$2437,Cadenas_vs_FCST!$A$17:$A$2437,A124)</f>
        <v>0</v>
      </c>
      <c r="U124" s="24" t="str">
        <f aca="false">IF(T124&gt;0,S124/T124-1,"")</f>
        <v/>
      </c>
      <c r="V124" s="3" t="str">
        <f aca="false">IF(OR(E124="BAJO SS",E124="BAJO SS (XLIB CUBRE)"),"SÍ","")</f>
        <v/>
      </c>
      <c r="W124" s="3" t="str">
        <f aca="false">IF(AND(V124="",N(L124)&gt;=Parametros!$B$17,G124&gt;=H124,R124&lt;H124),"SÍ","")</f>
        <v/>
      </c>
      <c r="X124" s="3" t="str">
        <f aca="false">IF(OR(E124="SOBRE MAX VENDIBLE",N(N124)&gt;=Parametros!$B$17,N(M124)&gt;=Parametros!$B$17),"SÍ","")</f>
        <v/>
      </c>
      <c r="Y124" s="3" t="str">
        <f aca="false">IF(AND(ISNUMBER(U124),MAX(S124,T124)&gt;=Parametros!$B$15,ABS(N(U124))&gt;Parametros!$B$14),"SÍ","")</f>
        <v/>
      </c>
      <c r="Z124" s="3" t="n">
        <f aca="false">COUNTIF(V124:Y124,"SÍ")</f>
        <v>0</v>
      </c>
      <c r="AA124" s="3" t="n">
        <f aca="false">(3*(V124="SÍ")+2*(W124="SÍ")+2*(X124="SÍ")+(Y124="SÍ"))*IF(LEFT(D124,1)="A",3,IF(OR(LEFT(D124,1)="B",D124="SIN HIST"),2,1))</f>
        <v>0</v>
      </c>
      <c r="AB124" s="3" t="str">
        <f aca="false">IF(AA124&gt;=9,"1-ALTA",IF(AA124&gt;=4,"2-MEDIA",IF(AA124&gt;0,"3-BAJA","")))</f>
        <v/>
      </c>
      <c r="AC124" s="3" t="str">
        <f aca="false">IF(E124="BAJO SS","Stock + XLIB bajo el SS: riesgo real de quiebre, adelantar producción. ","")&amp;IF(E124="BAJO SS (XLIB CUBRE)","Disponible bajo el SS; depende de liberar "&amp;TEXT(J124,"#,##0")&amp;" kg"&amp;IF(ISNUMBER(K124)," el "&amp;TEXT(K124,"dd-mm"),"")&amp;". ","")&amp;IF(W124="SÍ","Stock parece sano pero "&amp;TEXT(L124,"#,##0")&amp;" kg no pasan filtro "&amp;Stock_Seguridad!O124&amp;": sin ellos queda bajo el SS para esa cadena. ","")&amp;IF(E124="SOBRE MAX VENDIBLE","Sobrestock vs vida útil: frenar producción/activar venta. ","")&amp;IF(N(N124)&gt;=Parametros!$B$17,TEXT(N124,"#,##0")&amp;" kg ya no los acepta ninguna cadena: venta intermedia/liquidación. ","")&amp;IF(N(M124)&gt;=Parametros!$B$17,TEXT(M124,"#,##0")&amp;" kg a punto de salir del filtro: despachar primero (FEFO). ","")&amp;IF(Y124="SÍ","Pedidos "&amp;IF(N(U124)&gt;0,"sobre","bajo")&amp;" FCST "&amp;TEXT(ABS(N(U124)),"0%")&amp;": revisar forecast con KAM.","")</f>
        <v/>
      </c>
    </row>
    <row r="125" customFormat="false" ht="15" hidden="false" customHeight="false" outlineLevel="0" collapsed="false">
      <c r="A125" s="18" t="n">
        <f aca="false">Stock_Seguridad!A125</f>
        <v>30000720</v>
      </c>
      <c r="B125" s="18" t="str">
        <f aca="false">Stock_Seguridad!B125</f>
        <v>CHOCLO IQF 25X200GR</v>
      </c>
      <c r="C125" s="18" t="str">
        <f aca="false">Stock_Seguridad!C125</f>
        <v>FRUTAS Y HORTALIZAS CONGELADAS</v>
      </c>
      <c r="D125" s="18" t="str">
        <f aca="false">Stock_Seguridad!F125</f>
        <v>SIN HIST</v>
      </c>
      <c r="E125" s="19" t="str">
        <f aca="false">Stock_Seguridad!X125</f>
        <v>OK</v>
      </c>
      <c r="F125" s="20" t="n">
        <f aca="false">Stock_Seguridad!W125</f>
        <v>2.10653226807965</v>
      </c>
      <c r="G125" s="21" t="n">
        <f aca="false">Stock_Seguridad!T125</f>
        <v>20355</v>
      </c>
      <c r="H125" s="21" t="n">
        <f aca="false">Stock_Seguridad!R125</f>
        <v>4768.167487952</v>
      </c>
      <c r="I125" s="21" t="n">
        <f aca="false">Stock_Seguridad!S125</f>
        <v>14430.967487952</v>
      </c>
      <c r="J125" s="21" t="n">
        <f aca="false">Stock_Seguridad!U125</f>
        <v>0</v>
      </c>
      <c r="K125" s="22"/>
      <c r="L125" s="23" t="n">
        <v>0</v>
      </c>
      <c r="M125" s="23" t="n">
        <v>0</v>
      </c>
      <c r="N125" s="23" t="n">
        <v>0</v>
      </c>
      <c r="O125" s="24" t="n">
        <v>0.0441979857528863</v>
      </c>
      <c r="P125" s="24" t="str">
        <f aca="false">IF(ISNUMBER(Stock_Seguridad!N125),Stock_Seguridad!N125,"")</f>
        <v/>
      </c>
      <c r="Q125" s="24" t="str">
        <f aca="false">IF(AND(ISNUMBER(O125),ISNUMBER(P125)),P125-O125,"")</f>
        <v/>
      </c>
      <c r="R125" s="23" t="n">
        <f aca="false">MAX(0,G125-N(L125))</f>
        <v>20355</v>
      </c>
      <c r="S125" s="23" t="n">
        <f aca="false">SUMIFS(Cadenas_vs_FCST!$D$17:$D$2437,Cadenas_vs_FCST!$A$17:$A$2437,A125)</f>
        <v>0</v>
      </c>
      <c r="T125" s="23" t="n">
        <f aca="false">SUMIFS(Cadenas_vs_FCST!$E$17:$E$2437,Cadenas_vs_FCST!$A$17:$A$2437,A125)</f>
        <v>0</v>
      </c>
      <c r="U125" s="24" t="str">
        <f aca="false">IF(T125&gt;0,S125/T125-1,"")</f>
        <v/>
      </c>
      <c r="V125" s="3" t="str">
        <f aca="false">IF(OR(E125="BAJO SS",E125="BAJO SS (XLIB CUBRE)"),"SÍ","")</f>
        <v/>
      </c>
      <c r="W125" s="3" t="str">
        <f aca="false">IF(AND(V125="",N(L125)&gt;=Parametros!$B$17,G125&gt;=H125,R125&lt;H125),"SÍ","")</f>
        <v/>
      </c>
      <c r="X125" s="3" t="str">
        <f aca="false">IF(OR(E125="SOBRE MAX VENDIBLE",N(N125)&gt;=Parametros!$B$17,N(M125)&gt;=Parametros!$B$17),"SÍ","")</f>
        <v/>
      </c>
      <c r="Y125" s="3" t="str">
        <f aca="false">IF(AND(ISNUMBER(U125),MAX(S125,T125)&gt;=Parametros!$B$15,ABS(N(U125))&gt;Parametros!$B$14),"SÍ","")</f>
        <v/>
      </c>
      <c r="Z125" s="3" t="n">
        <f aca="false">COUNTIF(V125:Y125,"SÍ")</f>
        <v>0</v>
      </c>
      <c r="AA125" s="3" t="n">
        <f aca="false">(3*(V125="SÍ")+2*(W125="SÍ")+2*(X125="SÍ")+(Y125="SÍ"))*IF(LEFT(D125,1)="A",3,IF(OR(LEFT(D125,1)="B",D125="SIN HIST"),2,1))</f>
        <v>0</v>
      </c>
      <c r="AB125" s="3" t="str">
        <f aca="false">IF(AA125&gt;=9,"1-ALTA",IF(AA125&gt;=4,"2-MEDIA",IF(AA125&gt;0,"3-BAJA","")))</f>
        <v/>
      </c>
      <c r="AC125" s="3" t="str">
        <f aca="false">IF(E125="BAJO SS","Stock + XLIB bajo el SS: riesgo real de quiebre, adelantar producción. ","")&amp;IF(E125="BAJO SS (XLIB CUBRE)","Disponible bajo el SS; depende de liberar "&amp;TEXT(J125,"#,##0")&amp;" kg"&amp;IF(ISNUMBER(K125)," el "&amp;TEXT(K125,"dd-mm"),"")&amp;". ","")&amp;IF(W125="SÍ","Stock parece sano pero "&amp;TEXT(L125,"#,##0")&amp;" kg no pasan filtro "&amp;Stock_Seguridad!O125&amp;": sin ellos queda bajo el SS para esa cadena. ","")&amp;IF(E125="SOBRE MAX VENDIBLE","Sobrestock vs vida útil: frenar producción/activar venta. ","")&amp;IF(N(N125)&gt;=Parametros!$B$17,TEXT(N125,"#,##0")&amp;" kg ya no los acepta ninguna cadena: venta intermedia/liquidación. ","")&amp;IF(N(M125)&gt;=Parametros!$B$17,TEXT(M125,"#,##0")&amp;" kg a punto de salir del filtro: despachar primero (FEFO). ","")&amp;IF(Y125="SÍ","Pedidos "&amp;IF(N(U125)&gt;0,"sobre","bajo")&amp;" FCST "&amp;TEXT(ABS(N(U125)),"0%")&amp;": revisar forecast con KAM.","")</f>
        <v/>
      </c>
    </row>
    <row r="126" customFormat="false" ht="15" hidden="false" customHeight="false" outlineLevel="0" collapsed="false">
      <c r="A126" s="18" t="n">
        <f aca="false">Stock_Seguridad!A126</f>
        <v>30001043</v>
      </c>
      <c r="B126" s="18" t="str">
        <f aca="false">Stock_Seguridad!B126</f>
        <v>YOGURT CALAN CHIRIMOYA UNIV 48X110GR</v>
      </c>
      <c r="C126" s="18" t="str">
        <f aca="false">Stock_Seguridad!C126</f>
        <v>YOGURT</v>
      </c>
      <c r="D126" s="18" t="str">
        <f aca="false">Stock_Seguridad!F126</f>
        <v>AX</v>
      </c>
      <c r="E126" s="19" t="str">
        <f aca="false">Stock_Seguridad!X126</f>
        <v>BAJO SS (XLIB CUBRE)</v>
      </c>
      <c r="F126" s="20" t="n">
        <f aca="false">Stock_Seguridad!W126</f>
        <v>1.71119468289024</v>
      </c>
      <c r="G126" s="21" t="n">
        <f aca="false">Stock_Seguridad!T126</f>
        <v>11378.4</v>
      </c>
      <c r="H126" s="21" t="n">
        <f aca="false">Stock_Seguridad!R126</f>
        <v>13349.6982851989</v>
      </c>
      <c r="I126" s="21" t="n">
        <f aca="false">Stock_Seguridad!S126</f>
        <v>22948.8982851989</v>
      </c>
      <c r="J126" s="21" t="n">
        <f aca="false">Stock_Seguridad!U126</f>
        <v>5047.7</v>
      </c>
      <c r="K126" s="22" t="n">
        <v>46317</v>
      </c>
      <c r="L126" s="23" t="n">
        <v>47.52</v>
      </c>
      <c r="M126" s="23" t="n">
        <v>47.52</v>
      </c>
      <c r="N126" s="23" t="n">
        <v>47.52</v>
      </c>
      <c r="O126" s="24" t="n">
        <v>0.0630500807754443</v>
      </c>
      <c r="P126" s="24" t="n">
        <f aca="false">IF(ISNUMBER(Stock_Seguridad!N126),Stock_Seguridad!N126,"")</f>
        <v>0.32258064516129</v>
      </c>
      <c r="Q126" s="24" t="n">
        <f aca="false">IF(AND(ISNUMBER(O126),ISNUMBER(P126)),P126-O126,"")</f>
        <v>0.259530564385846</v>
      </c>
      <c r="R126" s="23" t="n">
        <f aca="false">MAX(0,G126-N(L126))</f>
        <v>11330.88</v>
      </c>
      <c r="S126" s="23" t="n">
        <f aca="false">SUMIFS(Cadenas_vs_FCST!$D$17:$D$2437,Cadenas_vs_FCST!$A$17:$A$2437,A126)</f>
        <v>37604.16</v>
      </c>
      <c r="T126" s="23" t="n">
        <f aca="false">SUMIFS(Cadenas_vs_FCST!$E$17:$E$2437,Cadenas_vs_FCST!$A$17:$A$2437,A126)</f>
        <v>51105.9100458943</v>
      </c>
      <c r="U126" s="24" t="n">
        <f aca="false">IF(T126&gt;0,S126/T126-1,"")</f>
        <v>-0.264191558936518</v>
      </c>
      <c r="V126" s="3" t="str">
        <f aca="false">IF(OR(E126="BAJO SS",E126="BAJO SS (XLIB CUBRE)"),"SÍ","")</f>
        <v>SÍ</v>
      </c>
      <c r="W126" s="3" t="str">
        <f aca="false">IF(AND(V126="",N(L126)&gt;=Parametros!$B$17,G126&gt;=H126,R126&lt;H126),"SÍ","")</f>
        <v/>
      </c>
      <c r="X126" s="3" t="str">
        <f aca="false">IF(OR(E126="SOBRE MAX VENDIBLE",N(N126)&gt;=Parametros!$B$17,N(M126)&gt;=Parametros!$B$17),"SÍ","")</f>
        <v/>
      </c>
      <c r="Y126" s="3" t="str">
        <f aca="false">IF(AND(ISNUMBER(U126),MAX(S126,T126)&gt;=Parametros!$B$15,ABS(N(U126))&gt;Parametros!$B$14),"SÍ","")</f>
        <v>SÍ</v>
      </c>
      <c r="Z126" s="3" t="n">
        <f aca="false">COUNTIF(V126:Y126,"SÍ")</f>
        <v>2</v>
      </c>
      <c r="AA126" s="3" t="n">
        <f aca="false">(3*(V126="SÍ")+2*(W126="SÍ")+2*(X126="SÍ")+(Y126="SÍ"))*IF(LEFT(D126,1)="A",3,IF(OR(LEFT(D126,1)="B",D126="SIN HIST"),2,1))</f>
        <v>12</v>
      </c>
      <c r="AB126" s="3" t="str">
        <f aca="false">IF(AA126&gt;=9,"1-ALTA",IF(AA126&gt;=4,"2-MEDIA",IF(AA126&gt;0,"3-BAJA","")))</f>
        <v>1-ALTA</v>
      </c>
      <c r="AC126" s="3" t="str">
        <f aca="false">IF(E126="BAJO SS","Stock + XLIB bajo el SS: riesgo real de quiebre, adelantar producción. ","")&amp;IF(E126="BAJO SS (XLIB CUBRE)","Disponible bajo el SS; depende de liberar "&amp;TEXT(J126,"#,##0")&amp;" kg"&amp;IF(ISNUMBER(K126)," el "&amp;TEXT(K126,"dd-mm"),"")&amp;". ","")&amp;IF(W126="SÍ","Stock parece sano pero "&amp;TEXT(L126,"#,##0")&amp;" kg no pasan filtro "&amp;Stock_Seguridad!O126&amp;": sin ellos queda bajo el SS para esa cadena. ","")&amp;IF(E126="SOBRE MAX VENDIBLE","Sobrestock vs vida útil: frenar producción/activar venta. ","")&amp;IF(N(N126)&gt;=Parametros!$B$17,TEXT(N126,"#,##0")&amp;" kg ya no los acepta ninguna cadena: venta intermedia/liquidación. ","")&amp;IF(N(M126)&gt;=Parametros!$B$17,TEXT(M126,"#,##0")&amp;" kg a punto de salir del filtro: despachar primero (FEFO). ","")&amp;IF(Y126="SÍ","Pedidos "&amp;IF(N(U126)&gt;0,"sobre","bajo")&amp;" FCST "&amp;TEXT(ABS(N(U126)),"0%")&amp;": revisar forecast con KAM.","")</f>
        <v>Disponible bajo el SS; depende de liberar 5,048 kg el 22-10. Pedidos bajo FCST 26%: revisar forecast con KAM.</v>
      </c>
    </row>
    <row r="127" customFormat="false" ht="15" hidden="false" customHeight="false" outlineLevel="0" collapsed="false">
      <c r="A127" s="18" t="n">
        <f aca="false">Stock_Seguridad!A127</f>
        <v>30002353</v>
      </c>
      <c r="B127" s="18" t="str">
        <f aca="false">Stock_Seguridad!B127</f>
        <v>POROTOS NEGROS WASIL TTR 24X200</v>
      </c>
      <c r="C127" s="18" t="str">
        <f aca="false">Stock_Seguridad!C127</f>
        <v>CONSERVAS Y PLATOS LISTOS</v>
      </c>
      <c r="D127" s="18" t="str">
        <f aca="false">Stock_Seguridad!F127</f>
        <v>BZ</v>
      </c>
      <c r="E127" s="19" t="str">
        <f aca="false">Stock_Seguridad!X127</f>
        <v>BAJO P.REORDEN</v>
      </c>
      <c r="F127" s="20" t="n">
        <f aca="false">Stock_Seguridad!W127</f>
        <v>1.46276640200585</v>
      </c>
      <c r="G127" s="21" t="n">
        <f aca="false">Stock_Seguridad!T127</f>
        <v>14001.6</v>
      </c>
      <c r="H127" s="21" t="n">
        <f aca="false">Stock_Seguridad!R127</f>
        <v>5603.77917336751</v>
      </c>
      <c r="I127" s="21" t="n">
        <f aca="false">Stock_Seguridad!S127</f>
        <v>15175.7791733675</v>
      </c>
      <c r="J127" s="21" t="n">
        <f aca="false">Stock_Seguridad!U127</f>
        <v>0</v>
      </c>
      <c r="K127" s="22"/>
      <c r="L127" s="23" t="n">
        <v>0</v>
      </c>
      <c r="M127" s="23" t="n">
        <v>0</v>
      </c>
      <c r="N127" s="23" t="n">
        <v>0</v>
      </c>
      <c r="O127" s="24" t="n">
        <v>0.0546828933836133</v>
      </c>
      <c r="P127" s="24" t="str">
        <f aca="false">IF(ISNUMBER(Stock_Seguridad!N127),Stock_Seguridad!N127,"")</f>
        <v/>
      </c>
      <c r="Q127" s="24" t="str">
        <f aca="false">IF(AND(ISNUMBER(O127),ISNUMBER(P127)),P127-O127,"")</f>
        <v/>
      </c>
      <c r="R127" s="23" t="n">
        <f aca="false">MAX(0,G127-N(L127))</f>
        <v>14001.6</v>
      </c>
      <c r="S127" s="23" t="n">
        <f aca="false">SUMIFS(Cadenas_vs_FCST!$D$17:$D$2437,Cadenas_vs_FCST!$A$17:$A$2437,A127)</f>
        <v>14520</v>
      </c>
      <c r="T127" s="23" t="n">
        <f aca="false">SUMIFS(Cadenas_vs_FCST!$E$17:$E$2437,Cadenas_vs_FCST!$A$17:$A$2437,A127)</f>
        <v>7600</v>
      </c>
      <c r="U127" s="24" t="n">
        <f aca="false">IF(T127&gt;0,S127/T127-1,"")</f>
        <v>0.910526315789474</v>
      </c>
      <c r="V127" s="3" t="str">
        <f aca="false">IF(OR(E127="BAJO SS",E127="BAJO SS (XLIB CUBRE)"),"SÍ","")</f>
        <v/>
      </c>
      <c r="W127" s="3" t="str">
        <f aca="false">IF(AND(V127="",N(L127)&gt;=Parametros!$B$17,G127&gt;=H127,R127&lt;H127),"SÍ","")</f>
        <v/>
      </c>
      <c r="X127" s="3" t="str">
        <f aca="false">IF(OR(E127="SOBRE MAX VENDIBLE",N(N127)&gt;=Parametros!$B$17,N(M127)&gt;=Parametros!$B$17),"SÍ","")</f>
        <v/>
      </c>
      <c r="Y127" s="3" t="str">
        <f aca="false">IF(AND(ISNUMBER(U127),MAX(S127,T127)&gt;=Parametros!$B$15,ABS(N(U127))&gt;Parametros!$B$14),"SÍ","")</f>
        <v>SÍ</v>
      </c>
      <c r="Z127" s="3" t="n">
        <f aca="false">COUNTIF(V127:Y127,"SÍ")</f>
        <v>1</v>
      </c>
      <c r="AA127" s="3" t="n">
        <f aca="false">(3*(V127="SÍ")+2*(W127="SÍ")+2*(X127="SÍ")+(Y127="SÍ"))*IF(LEFT(D127,1)="A",3,IF(OR(LEFT(D127,1)="B",D127="SIN HIST"),2,1))</f>
        <v>2</v>
      </c>
      <c r="AB127" s="3" t="str">
        <f aca="false">IF(AA127&gt;=9,"1-ALTA",IF(AA127&gt;=4,"2-MEDIA",IF(AA127&gt;0,"3-BAJA","")))</f>
        <v>3-BAJA</v>
      </c>
      <c r="AC127" s="3" t="str">
        <f aca="false">IF(E127="BAJO SS","Stock + XLIB bajo el SS: riesgo real de quiebre, adelantar producción. ","")&amp;IF(E127="BAJO SS (XLIB CUBRE)","Disponible bajo el SS; depende de liberar "&amp;TEXT(J127,"#,##0")&amp;" kg"&amp;IF(ISNUMBER(K127)," el "&amp;TEXT(K127,"dd-mm"),"")&amp;". ","")&amp;IF(W127="SÍ","Stock parece sano pero "&amp;TEXT(L127,"#,##0")&amp;" kg no pasan filtro "&amp;Stock_Seguridad!O127&amp;": sin ellos queda bajo el SS para esa cadena. ","")&amp;IF(E127="SOBRE MAX VENDIBLE","Sobrestock vs vida útil: frenar producción/activar venta. ","")&amp;IF(N(N127)&gt;=Parametros!$B$17,TEXT(N127,"#,##0")&amp;" kg ya no los acepta ninguna cadena: venta intermedia/liquidación. ","")&amp;IF(N(M127)&gt;=Parametros!$B$17,TEXT(M127,"#,##0")&amp;" kg a punto de salir del filtro: despachar primero (FEFO). ","")&amp;IF(Y127="SÍ","Pedidos "&amp;IF(N(U127)&gt;0,"sobre","bajo")&amp;" FCST "&amp;TEXT(ABS(N(U127)),"0%")&amp;": revisar forecast con KAM.","")</f>
        <v>Pedidos sobre FCST 91%: revisar forecast con KAM.</v>
      </c>
    </row>
    <row r="128" customFormat="false" ht="15" hidden="false" customHeight="false" outlineLevel="0" collapsed="false">
      <c r="A128" s="18" t="n">
        <f aca="false">Stock_Seguridad!A128</f>
        <v>30002354</v>
      </c>
      <c r="B128" s="18" t="str">
        <f aca="false">Stock_Seguridad!B128</f>
        <v>POROTOS WASIL TTR 24X200</v>
      </c>
      <c r="C128" s="18" t="str">
        <f aca="false">Stock_Seguridad!C128</f>
        <v>CONSERVAS Y PLATOS LISTOS</v>
      </c>
      <c r="D128" s="18" t="str">
        <f aca="false">Stock_Seguridad!F128</f>
        <v>BZ</v>
      </c>
      <c r="E128" s="19" t="str">
        <f aca="false">Stock_Seguridad!X128</f>
        <v>BAJO SS</v>
      </c>
      <c r="F128" s="20" t="n">
        <f aca="false">Stock_Seguridad!W128</f>
        <v>0.479619751782414</v>
      </c>
      <c r="G128" s="21" t="n">
        <f aca="false">Stock_Seguridad!T128</f>
        <v>4540.8</v>
      </c>
      <c r="H128" s="21" t="n">
        <f aca="false">Stock_Seguridad!R128</f>
        <v>6397.25284108164</v>
      </c>
      <c r="I128" s="21" t="n">
        <f aca="false">Stock_Seguridad!S128</f>
        <v>15864.7528410816</v>
      </c>
      <c r="J128" s="21" t="n">
        <f aca="false">Stock_Seguridad!U128</f>
        <v>0</v>
      </c>
      <c r="K128" s="22"/>
      <c r="L128" s="23" t="n">
        <v>0</v>
      </c>
      <c r="M128" s="23" t="n">
        <v>0</v>
      </c>
      <c r="N128" s="23" t="n">
        <v>0</v>
      </c>
      <c r="O128" s="24" t="n">
        <v>0.0483720930232558</v>
      </c>
      <c r="P128" s="24" t="str">
        <f aca="false">IF(ISNUMBER(Stock_Seguridad!N128),Stock_Seguridad!N128,"")</f>
        <v/>
      </c>
      <c r="Q128" s="24" t="str">
        <f aca="false">IF(AND(ISNUMBER(O128),ISNUMBER(P128)),P128-O128,"")</f>
        <v/>
      </c>
      <c r="R128" s="23" t="n">
        <f aca="false">MAX(0,G128-N(L128))</f>
        <v>4540.8</v>
      </c>
      <c r="S128" s="23" t="n">
        <f aca="false">SUMIFS(Cadenas_vs_FCST!$D$17:$D$2437,Cadenas_vs_FCST!$A$17:$A$2437,A128)</f>
        <v>16368</v>
      </c>
      <c r="T128" s="23" t="n">
        <f aca="false">SUMIFS(Cadenas_vs_FCST!$E$17:$E$2437,Cadenas_vs_FCST!$A$17:$A$2437,A128)</f>
        <v>8400</v>
      </c>
      <c r="U128" s="24" t="n">
        <f aca="false">IF(T128&gt;0,S128/T128-1,"")</f>
        <v>0.948571428571429</v>
      </c>
      <c r="V128" s="3" t="str">
        <f aca="false">IF(OR(E128="BAJO SS",E128="BAJO SS (XLIB CUBRE)"),"SÍ","")</f>
        <v>SÍ</v>
      </c>
      <c r="W128" s="3" t="str">
        <f aca="false">IF(AND(V128="",N(L128)&gt;=Parametros!$B$17,G128&gt;=H128,R128&lt;H128),"SÍ","")</f>
        <v/>
      </c>
      <c r="X128" s="3" t="str">
        <f aca="false">IF(OR(E128="SOBRE MAX VENDIBLE",N(N128)&gt;=Parametros!$B$17,N(M128)&gt;=Parametros!$B$17),"SÍ","")</f>
        <v/>
      </c>
      <c r="Y128" s="3" t="str">
        <f aca="false">IF(AND(ISNUMBER(U128),MAX(S128,T128)&gt;=Parametros!$B$15,ABS(N(U128))&gt;Parametros!$B$14),"SÍ","")</f>
        <v>SÍ</v>
      </c>
      <c r="Z128" s="3" t="n">
        <f aca="false">COUNTIF(V128:Y128,"SÍ")</f>
        <v>2</v>
      </c>
      <c r="AA128" s="3" t="n">
        <f aca="false">(3*(V128="SÍ")+2*(W128="SÍ")+2*(X128="SÍ")+(Y128="SÍ"))*IF(LEFT(D128,1)="A",3,IF(OR(LEFT(D128,1)="B",D128="SIN HIST"),2,1))</f>
        <v>8</v>
      </c>
      <c r="AB128" s="3" t="str">
        <f aca="false">IF(AA128&gt;=9,"1-ALTA",IF(AA128&gt;=4,"2-MEDIA",IF(AA128&gt;0,"3-BAJA","")))</f>
        <v>2-MEDIA</v>
      </c>
      <c r="AC128" s="3" t="str">
        <f aca="false">IF(E128="BAJO SS","Stock + XLIB bajo el SS: riesgo real de quiebre, adelantar producción. ","")&amp;IF(E128="BAJO SS (XLIB CUBRE)","Disponible bajo el SS; depende de liberar "&amp;TEXT(J128,"#,##0")&amp;" kg"&amp;IF(ISNUMBER(K128)," el "&amp;TEXT(K128,"dd-mm"),"")&amp;". ","")&amp;IF(W128="SÍ","Stock parece sano pero "&amp;TEXT(L128,"#,##0")&amp;" kg no pasan filtro "&amp;Stock_Seguridad!O128&amp;": sin ellos queda bajo el SS para esa cadena. ","")&amp;IF(E128="SOBRE MAX VENDIBLE","Sobrestock vs vida útil: frenar producción/activar venta. ","")&amp;IF(N(N128)&gt;=Parametros!$B$17,TEXT(N128,"#,##0")&amp;" kg ya no los acepta ninguna cadena: venta intermedia/liquidación. ","")&amp;IF(N(M128)&gt;=Parametros!$B$17,TEXT(M128,"#,##0")&amp;" kg a punto de salir del filtro: despachar primero (FEFO). ","")&amp;IF(Y128="SÍ","Pedidos "&amp;IF(N(U128)&gt;0,"sobre","bajo")&amp;" FCST "&amp;TEXT(ABS(N(U128)),"0%")&amp;": revisar forecast con KAM.","")</f>
        <v>Stock + XLIB bajo el SS: riesgo real de quiebre, adelantar producción. Pedidos sobre FCST 95%: revisar forecast con KAM.</v>
      </c>
    </row>
    <row r="129" customFormat="false" ht="15" hidden="false" customHeight="false" outlineLevel="0" collapsed="false">
      <c r="A129" s="18" t="n">
        <f aca="false">Stock_Seguridad!A129</f>
        <v>30000318</v>
      </c>
      <c r="B129" s="18" t="str">
        <f aca="false">Stock_Seguridad!B129</f>
        <v>YOGU YOGU CHIRIMOYA 30X200GR</v>
      </c>
      <c r="C129" s="18" t="str">
        <f aca="false">Stock_Seguridad!C129</f>
        <v>LECHES LIQUIDAS</v>
      </c>
      <c r="D129" s="18" t="str">
        <f aca="false">Stock_Seguridad!F129</f>
        <v>AX</v>
      </c>
      <c r="E129" s="19" t="str">
        <f aca="false">Stock_Seguridad!X129</f>
        <v>OK</v>
      </c>
      <c r="F129" s="20" t="n">
        <f aca="false">Stock_Seguridad!W129</f>
        <v>2.64382828390965</v>
      </c>
      <c r="G129" s="21" t="n">
        <f aca="false">Stock_Seguridad!T129</f>
        <v>23832</v>
      </c>
      <c r="H129" s="21" t="n">
        <f aca="false">Stock_Seguridad!R129</f>
        <v>5670.44257262956</v>
      </c>
      <c r="I129" s="21" t="n">
        <f aca="false">Stock_Seguridad!S129</f>
        <v>15011.4425726296</v>
      </c>
      <c r="J129" s="21" t="n">
        <f aca="false">Stock_Seguridad!U129</f>
        <v>864</v>
      </c>
      <c r="K129" s="22" t="n">
        <v>46320</v>
      </c>
      <c r="L129" s="23" t="n">
        <v>258</v>
      </c>
      <c r="M129" s="23" t="n">
        <v>3138</v>
      </c>
      <c r="N129" s="23" t="n">
        <v>0</v>
      </c>
      <c r="O129" s="24" t="n">
        <v>0.091526224210788</v>
      </c>
      <c r="P129" s="24" t="n">
        <f aca="false">IF(ISNUMBER(Stock_Seguridad!N129),Stock_Seguridad!N129,"")</f>
        <v>0.220408163265306</v>
      </c>
      <c r="Q129" s="24" t="n">
        <f aca="false">IF(AND(ISNUMBER(O129),ISNUMBER(P129)),P129-O129,"")</f>
        <v>0.128881939054518</v>
      </c>
      <c r="R129" s="23" t="n">
        <f aca="false">MAX(0,G129-N(L129))</f>
        <v>23574</v>
      </c>
      <c r="S129" s="23" t="n">
        <f aca="false">SUMIFS(Cadenas_vs_FCST!$D$17:$D$2437,Cadenas_vs_FCST!$A$17:$A$2437,A129)</f>
        <v>39282</v>
      </c>
      <c r="T129" s="23" t="n">
        <f aca="false">SUMIFS(Cadenas_vs_FCST!$E$17:$E$2437,Cadenas_vs_FCST!$A$17:$A$2437,A129)</f>
        <v>39013.7841885598</v>
      </c>
      <c r="U129" s="24" t="n">
        <f aca="false">IF(T129&gt;0,S129/T129-1,"")</f>
        <v>0.00687489862926194</v>
      </c>
      <c r="V129" s="3" t="str">
        <f aca="false">IF(OR(E129="BAJO SS",E129="BAJO SS (XLIB CUBRE)"),"SÍ","")</f>
        <v/>
      </c>
      <c r="W129" s="3" t="str">
        <f aca="false">IF(AND(V129="",N(L129)&gt;=Parametros!$B$17,G129&gt;=H129,R129&lt;H129),"SÍ","")</f>
        <v/>
      </c>
      <c r="X129" s="3" t="str">
        <f aca="false">IF(OR(E129="SOBRE MAX VENDIBLE",N(N129)&gt;=Parametros!$B$17,N(M129)&gt;=Parametros!$B$17),"SÍ","")</f>
        <v>SÍ</v>
      </c>
      <c r="Y129" s="3" t="str">
        <f aca="false">IF(AND(ISNUMBER(U129),MAX(S129,T129)&gt;=Parametros!$B$15,ABS(N(U129))&gt;Parametros!$B$14),"SÍ","")</f>
        <v/>
      </c>
      <c r="Z129" s="3" t="n">
        <f aca="false">COUNTIF(V129:Y129,"SÍ")</f>
        <v>1</v>
      </c>
      <c r="AA129" s="3" t="n">
        <f aca="false">(3*(V129="SÍ")+2*(W129="SÍ")+2*(X129="SÍ")+(Y129="SÍ"))*IF(LEFT(D129,1)="A",3,IF(OR(LEFT(D129,1)="B",D129="SIN HIST"),2,1))</f>
        <v>6</v>
      </c>
      <c r="AB129" s="3" t="str">
        <f aca="false">IF(AA129&gt;=9,"1-ALTA",IF(AA129&gt;=4,"2-MEDIA",IF(AA129&gt;0,"3-BAJA","")))</f>
        <v>2-MEDIA</v>
      </c>
      <c r="AC129" s="3" t="str">
        <f aca="false">IF(E129="BAJO SS","Stock + XLIB bajo el SS: riesgo real de quiebre, adelantar producción. ","")&amp;IF(E129="BAJO SS (XLIB CUBRE)","Disponible bajo el SS; depende de liberar "&amp;TEXT(J129,"#,##0")&amp;" kg"&amp;IF(ISNUMBER(K129)," el "&amp;TEXT(K129,"dd-mm"),"")&amp;". ","")&amp;IF(W129="SÍ","Stock parece sano pero "&amp;TEXT(L129,"#,##0")&amp;" kg no pasan filtro "&amp;Stock_Seguridad!O129&amp;": sin ellos queda bajo el SS para esa cadena. ","")&amp;IF(E129="SOBRE MAX VENDIBLE","Sobrestock vs vida útil: frenar producción/activar venta. ","")&amp;IF(N(N129)&gt;=Parametros!$B$17,TEXT(N129,"#,##0")&amp;" kg ya no los acepta ninguna cadena: venta intermedia/liquidación. ","")&amp;IF(N(M129)&gt;=Parametros!$B$17,TEXT(M129,"#,##0")&amp;" kg a punto de salir del filtro: despachar primero (FEFO). ","")&amp;IF(Y129="SÍ","Pedidos "&amp;IF(N(U129)&gt;0,"sobre","bajo")&amp;" FCST "&amp;TEXT(ABS(N(U129)),"0%")&amp;": revisar forecast con KAM.","")</f>
        <v>3,138 kg a punto de salir del filtro: despachar primero (FEFO). </v>
      </c>
    </row>
    <row r="130" customFormat="false" ht="15" hidden="false" customHeight="false" outlineLevel="0" collapsed="false">
      <c r="A130" s="18" t="n">
        <f aca="false">Stock_Seguridad!A130</f>
        <v>30002078</v>
      </c>
      <c r="B130" s="18" t="str">
        <f aca="false">Stock_Seguridad!B130</f>
        <v>LECHE PLATANO LONCOLECHE 12X1LT</v>
      </c>
      <c r="C130" s="18" t="str">
        <f aca="false">Stock_Seguridad!C130</f>
        <v>LECHES LIQUIDAS</v>
      </c>
      <c r="D130" s="18" t="str">
        <f aca="false">Stock_Seguridad!F130</f>
        <v>BX</v>
      </c>
      <c r="E130" s="19" t="str">
        <f aca="false">Stock_Seguridad!X130</f>
        <v>BAJO P.REORDEN</v>
      </c>
      <c r="F130" s="20" t="n">
        <f aca="false">Stock_Seguridad!W130</f>
        <v>1.3088197480072</v>
      </c>
      <c r="G130" s="21" t="n">
        <f aca="false">Stock_Seguridad!T130</f>
        <v>12216</v>
      </c>
      <c r="H130" s="21" t="n">
        <f aca="false">Stock_Seguridad!R130</f>
        <v>5513.91720171578</v>
      </c>
      <c r="I130" s="21" t="n">
        <f aca="false">Stock_Seguridad!S130</f>
        <v>14847.5172017158</v>
      </c>
      <c r="J130" s="21" t="n">
        <f aca="false">Stock_Seguridad!U130</f>
        <v>0</v>
      </c>
      <c r="K130" s="22"/>
      <c r="L130" s="23" t="n">
        <v>120</v>
      </c>
      <c r="M130" s="23" t="n">
        <v>12096</v>
      </c>
      <c r="N130" s="23" t="n">
        <v>0</v>
      </c>
      <c r="O130" s="24" t="n">
        <v>0.220687622789784</v>
      </c>
      <c r="P130" s="24" t="n">
        <f aca="false">IF(ISNUMBER(Stock_Seguridad!N130),Stock_Seguridad!N130,"")</f>
        <v>0.238317757009346</v>
      </c>
      <c r="Q130" s="24" t="n">
        <f aca="false">IF(AND(ISNUMBER(O130),ISNUMBER(P130)),P130-O130,"")</f>
        <v>0.0176301342195619</v>
      </c>
      <c r="R130" s="23" t="n">
        <f aca="false">MAX(0,G130-N(L130))</f>
        <v>12096</v>
      </c>
      <c r="S130" s="23" t="n">
        <f aca="false">SUMIFS(Cadenas_vs_FCST!$D$17:$D$2437,Cadenas_vs_FCST!$A$17:$A$2437,A130)</f>
        <v>29100</v>
      </c>
      <c r="T130" s="23" t="n">
        <f aca="false">SUMIFS(Cadenas_vs_FCST!$E$17:$E$2437,Cadenas_vs_FCST!$A$17:$A$2437,A130)</f>
        <v>27697.8529372825</v>
      </c>
      <c r="U130" s="24" t="n">
        <f aca="false">IF(T130&gt;0,S130/T130-1,"")</f>
        <v>0.0506229513851657</v>
      </c>
      <c r="V130" s="3" t="str">
        <f aca="false">IF(OR(E130="BAJO SS",E130="BAJO SS (XLIB CUBRE)"),"SÍ","")</f>
        <v/>
      </c>
      <c r="W130" s="3" t="str">
        <f aca="false">IF(AND(V130="",N(L130)&gt;=Parametros!$B$17,G130&gt;=H130,R130&lt;H130),"SÍ","")</f>
        <v/>
      </c>
      <c r="X130" s="3" t="str">
        <f aca="false">IF(OR(E130="SOBRE MAX VENDIBLE",N(N130)&gt;=Parametros!$B$17,N(M130)&gt;=Parametros!$B$17),"SÍ","")</f>
        <v>SÍ</v>
      </c>
      <c r="Y130" s="3" t="str">
        <f aca="false">IF(AND(ISNUMBER(U130),MAX(S130,T130)&gt;=Parametros!$B$15,ABS(N(U130))&gt;Parametros!$B$14),"SÍ","")</f>
        <v/>
      </c>
      <c r="Z130" s="3" t="n">
        <f aca="false">COUNTIF(V130:Y130,"SÍ")</f>
        <v>1</v>
      </c>
      <c r="AA130" s="3" t="n">
        <f aca="false">(3*(V130="SÍ")+2*(W130="SÍ")+2*(X130="SÍ")+(Y130="SÍ"))*IF(LEFT(D130,1)="A",3,IF(OR(LEFT(D130,1)="B",D130="SIN HIST"),2,1))</f>
        <v>4</v>
      </c>
      <c r="AB130" s="3" t="str">
        <f aca="false">IF(AA130&gt;=9,"1-ALTA",IF(AA130&gt;=4,"2-MEDIA",IF(AA130&gt;0,"3-BAJA","")))</f>
        <v>2-MEDIA</v>
      </c>
      <c r="AC130" s="3" t="str">
        <f aca="false">IF(E130="BAJO SS","Stock + XLIB bajo el SS: riesgo real de quiebre, adelantar producción. ","")&amp;IF(E130="BAJO SS (XLIB CUBRE)","Disponible bajo el SS; depende de liberar "&amp;TEXT(J130,"#,##0")&amp;" kg"&amp;IF(ISNUMBER(K130)," el "&amp;TEXT(K130,"dd-mm"),"")&amp;". ","")&amp;IF(W130="SÍ","Stock parece sano pero "&amp;TEXT(L130,"#,##0")&amp;" kg no pasan filtro "&amp;Stock_Seguridad!O130&amp;": sin ellos queda bajo el SS para esa cadena. ","")&amp;IF(E130="SOBRE MAX VENDIBLE","Sobrestock vs vida útil: frenar producción/activar venta. ","")&amp;IF(N(N130)&gt;=Parametros!$B$17,TEXT(N130,"#,##0")&amp;" kg ya no los acepta ninguna cadena: venta intermedia/liquidación. ","")&amp;IF(N(M130)&gt;=Parametros!$B$17,TEXT(M130,"#,##0")&amp;" kg a punto de salir del filtro: despachar primero (FEFO). ","")&amp;IF(Y130="SÍ","Pedidos "&amp;IF(N(U130)&gt;0,"sobre","bajo")&amp;" FCST "&amp;TEXT(ABS(N(U130)),"0%")&amp;": revisar forecast con KAM.","")</f>
        <v>12,096 kg a punto de salir del filtro: despachar primero (FEFO). </v>
      </c>
    </row>
    <row r="131" customFormat="false" ht="15" hidden="false" customHeight="false" outlineLevel="0" collapsed="false">
      <c r="A131" s="18" t="n">
        <f aca="false">Stock_Seguridad!A131</f>
        <v>30002139</v>
      </c>
      <c r="B131" s="18" t="str">
        <f aca="false">Stock_Seguridad!B131</f>
        <v>YOGURT LONCOLECHE NATURAL 1X200KG</v>
      </c>
      <c r="C131" s="18" t="str">
        <f aca="false">Stock_Seguridad!C131</f>
        <v>YOGURT</v>
      </c>
      <c r="D131" s="18" t="str">
        <f aca="false">Stock_Seguridad!F131</f>
        <v>SIN HIST</v>
      </c>
      <c r="E131" s="19" t="str">
        <f aca="false">Stock_Seguridad!X131</f>
        <v>BAJO SS</v>
      </c>
      <c r="F131" s="20" t="n">
        <f aca="false">Stock_Seguridad!W131</f>
        <v>0.193500532126463</v>
      </c>
      <c r="G131" s="21" t="n">
        <f aca="false">Stock_Seguridad!T131</f>
        <v>1800</v>
      </c>
      <c r="H131" s="21" t="n">
        <f aca="false">Stock_Seguridad!R131</f>
        <v>4590.2765681972</v>
      </c>
      <c r="I131" s="21" t="n">
        <f aca="false">Stock_Seguridad!S131</f>
        <v>13892.5765681972</v>
      </c>
      <c r="J131" s="21" t="n">
        <f aca="false">Stock_Seguridad!U131</f>
        <v>0</v>
      </c>
      <c r="K131" s="22"/>
      <c r="L131" s="23" t="n">
        <v>0</v>
      </c>
      <c r="M131" s="23" t="n">
        <v>0</v>
      </c>
      <c r="N131" s="23" t="n">
        <v>0</v>
      </c>
      <c r="O131" s="24" t="n">
        <v>0.28</v>
      </c>
      <c r="P131" s="24" t="str">
        <f aca="false">IF(ISNUMBER(Stock_Seguridad!N131),Stock_Seguridad!N131,"")</f>
        <v/>
      </c>
      <c r="Q131" s="24" t="str">
        <f aca="false">IF(AND(ISNUMBER(O131),ISNUMBER(P131)),P131-O131,"")</f>
        <v/>
      </c>
      <c r="R131" s="23" t="n">
        <f aca="false">MAX(0,G131-N(L131))</f>
        <v>1800</v>
      </c>
      <c r="S131" s="23" t="n">
        <f aca="false">SUMIFS(Cadenas_vs_FCST!$D$17:$D$2437,Cadenas_vs_FCST!$A$17:$A$2437,A131)</f>
        <v>0</v>
      </c>
      <c r="T131" s="23" t="n">
        <f aca="false">SUMIFS(Cadenas_vs_FCST!$E$17:$E$2437,Cadenas_vs_FCST!$A$17:$A$2437,A131)</f>
        <v>0</v>
      </c>
      <c r="U131" s="24" t="str">
        <f aca="false">IF(T131&gt;0,S131/T131-1,"")</f>
        <v/>
      </c>
      <c r="V131" s="3" t="str">
        <f aca="false">IF(OR(E131="BAJO SS",E131="BAJO SS (XLIB CUBRE)"),"SÍ","")</f>
        <v>SÍ</v>
      </c>
      <c r="W131" s="3" t="str">
        <f aca="false">IF(AND(V131="",N(L131)&gt;=Parametros!$B$17,G131&gt;=H131,R131&lt;H131),"SÍ","")</f>
        <v/>
      </c>
      <c r="X131" s="3" t="str">
        <f aca="false">IF(OR(E131="SOBRE MAX VENDIBLE",N(N131)&gt;=Parametros!$B$17,N(M131)&gt;=Parametros!$B$17),"SÍ","")</f>
        <v/>
      </c>
      <c r="Y131" s="3" t="str">
        <f aca="false">IF(AND(ISNUMBER(U131),MAX(S131,T131)&gt;=Parametros!$B$15,ABS(N(U131))&gt;Parametros!$B$14),"SÍ","")</f>
        <v/>
      </c>
      <c r="Z131" s="3" t="n">
        <f aca="false">COUNTIF(V131:Y131,"SÍ")</f>
        <v>1</v>
      </c>
      <c r="AA131" s="3" t="n">
        <f aca="false">(3*(V131="SÍ")+2*(W131="SÍ")+2*(X131="SÍ")+(Y131="SÍ"))*IF(LEFT(D131,1)="A",3,IF(OR(LEFT(D131,1)="B",D131="SIN HIST"),2,1))</f>
        <v>6</v>
      </c>
      <c r="AB131" s="3" t="str">
        <f aca="false">IF(AA131&gt;=9,"1-ALTA",IF(AA131&gt;=4,"2-MEDIA",IF(AA131&gt;0,"3-BAJA","")))</f>
        <v>2-MEDIA</v>
      </c>
      <c r="AC131" s="3" t="str">
        <f aca="false">IF(E131="BAJO SS","Stock + XLIB bajo el SS: riesgo real de quiebre, adelantar producción. ","")&amp;IF(E131="BAJO SS (XLIB CUBRE)","Disponible bajo el SS; depende de liberar "&amp;TEXT(J131,"#,##0")&amp;" kg"&amp;IF(ISNUMBER(K131)," el "&amp;TEXT(K131,"dd-mm"),"")&amp;". ","")&amp;IF(W131="SÍ","Stock parece sano pero "&amp;TEXT(L131,"#,##0")&amp;" kg no pasan filtro "&amp;Stock_Seguridad!O131&amp;": sin ellos queda bajo el SS para esa cadena. ","")&amp;IF(E131="SOBRE MAX VENDIBLE","Sobrestock vs vida útil: frenar producción/activar venta. ","")&amp;IF(N(N131)&gt;=Parametros!$B$17,TEXT(N131,"#,##0")&amp;" kg ya no los acepta ninguna cadena: venta intermedia/liquidación. ","")&amp;IF(N(M131)&gt;=Parametros!$B$17,TEXT(M131,"#,##0")&amp;" kg a punto de salir del filtro: despachar primero (FEFO). ","")&amp;IF(Y131="SÍ","Pedidos "&amp;IF(N(U131)&gt;0,"sobre","bajo")&amp;" FCST "&amp;TEXT(ABS(N(U131)),"0%")&amp;": revisar forecast con KAM.","")</f>
        <v>Stock + XLIB bajo el SS: riesgo real de quiebre, adelantar producción. </v>
      </c>
    </row>
    <row r="132" customFormat="false" ht="15" hidden="false" customHeight="false" outlineLevel="0" collapsed="false">
      <c r="A132" s="18" t="n">
        <f aca="false">Stock_Seguridad!A132</f>
        <v>30000077</v>
      </c>
      <c r="B132" s="18" t="str">
        <f aca="false">Stock_Seguridad!B132</f>
        <v>GRASA PAMPERO BLOQUE 10X1KG</v>
      </c>
      <c r="C132" s="18" t="str">
        <f aca="false">Stock_Seguridad!C132</f>
        <v>MANTECAS</v>
      </c>
      <c r="D132" s="18" t="str">
        <f aca="false">Stock_Seguridad!F132</f>
        <v>SIN HIST</v>
      </c>
      <c r="E132" s="19" t="str">
        <f aca="false">Stock_Seguridad!X132</f>
        <v>OK</v>
      </c>
      <c r="F132" s="20" t="n">
        <f aca="false">Stock_Seguridad!W132</f>
        <v>1.78127989851972</v>
      </c>
      <c r="G132" s="21" t="n">
        <f aca="false">Stock_Seguridad!T132</f>
        <v>16570</v>
      </c>
      <c r="H132" s="21" t="n">
        <f aca="false">Stock_Seguridad!R132</f>
        <v>4590.2765681972</v>
      </c>
      <c r="I132" s="21" t="n">
        <f aca="false">Stock_Seguridad!S132</f>
        <v>13892.5765681972</v>
      </c>
      <c r="J132" s="21" t="n">
        <f aca="false">Stock_Seguridad!U132</f>
        <v>0</v>
      </c>
      <c r="K132" s="22"/>
      <c r="L132" s="23" t="n">
        <v>0</v>
      </c>
      <c r="M132" s="23" t="n">
        <v>620</v>
      </c>
      <c r="N132" s="23" t="n">
        <v>0</v>
      </c>
      <c r="O132" s="24" t="n">
        <v>0.0865821256038648</v>
      </c>
      <c r="P132" s="24" t="n">
        <f aca="false">IF(ISNUMBER(Stock_Seguridad!N132),Stock_Seguridad!N132,"")</f>
        <v>0.245901639344262</v>
      </c>
      <c r="Q132" s="24" t="n">
        <f aca="false">IF(AND(ISNUMBER(O132),ISNUMBER(P132)),P132-O132,"")</f>
        <v>0.159319513740398</v>
      </c>
      <c r="R132" s="23" t="n">
        <f aca="false">MAX(0,G132-N(L132))</f>
        <v>16570</v>
      </c>
      <c r="S132" s="23" t="n">
        <f aca="false">SUMIFS(Cadenas_vs_FCST!$D$17:$D$2437,Cadenas_vs_FCST!$A$17:$A$2437,A132)</f>
        <v>0</v>
      </c>
      <c r="T132" s="23" t="n">
        <f aca="false">SUMIFS(Cadenas_vs_FCST!$E$17:$E$2437,Cadenas_vs_FCST!$A$17:$A$2437,A132)</f>
        <v>0</v>
      </c>
      <c r="U132" s="24" t="str">
        <f aca="false">IF(T132&gt;0,S132/T132-1,"")</f>
        <v/>
      </c>
      <c r="V132" s="3" t="str">
        <f aca="false">IF(OR(E132="BAJO SS",E132="BAJO SS (XLIB CUBRE)"),"SÍ","")</f>
        <v/>
      </c>
      <c r="W132" s="3" t="str">
        <f aca="false">IF(AND(V132="",N(L132)&gt;=Parametros!$B$17,G132&gt;=H132,R132&lt;H132),"SÍ","")</f>
        <v/>
      </c>
      <c r="X132" s="3" t="str">
        <f aca="false">IF(OR(E132="SOBRE MAX VENDIBLE",N(N132)&gt;=Parametros!$B$17,N(M132)&gt;=Parametros!$B$17),"SÍ","")</f>
        <v>SÍ</v>
      </c>
      <c r="Y132" s="3" t="str">
        <f aca="false">IF(AND(ISNUMBER(U132),MAX(S132,T132)&gt;=Parametros!$B$15,ABS(N(U132))&gt;Parametros!$B$14),"SÍ","")</f>
        <v/>
      </c>
      <c r="Z132" s="3" t="n">
        <f aca="false">COUNTIF(V132:Y132,"SÍ")</f>
        <v>1</v>
      </c>
      <c r="AA132" s="3" t="n">
        <f aca="false">(3*(V132="SÍ")+2*(W132="SÍ")+2*(X132="SÍ")+(Y132="SÍ"))*IF(LEFT(D132,1)="A",3,IF(OR(LEFT(D132,1)="B",D132="SIN HIST"),2,1))</f>
        <v>4</v>
      </c>
      <c r="AB132" s="3" t="str">
        <f aca="false">IF(AA132&gt;=9,"1-ALTA",IF(AA132&gt;=4,"2-MEDIA",IF(AA132&gt;0,"3-BAJA","")))</f>
        <v>2-MEDIA</v>
      </c>
      <c r="AC132" s="3" t="str">
        <f aca="false">IF(E132="BAJO SS","Stock + XLIB bajo el SS: riesgo real de quiebre, adelantar producción. ","")&amp;IF(E132="BAJO SS (XLIB CUBRE)","Disponible bajo el SS; depende de liberar "&amp;TEXT(J132,"#,##0")&amp;" kg"&amp;IF(ISNUMBER(K132)," el "&amp;TEXT(K132,"dd-mm"),"")&amp;". ","")&amp;IF(W132="SÍ","Stock parece sano pero "&amp;TEXT(L132,"#,##0")&amp;" kg no pasan filtro "&amp;Stock_Seguridad!O132&amp;": sin ellos queda bajo el SS para esa cadena. ","")&amp;IF(E132="SOBRE MAX VENDIBLE","Sobrestock vs vida útil: frenar producción/activar venta. ","")&amp;IF(N(N132)&gt;=Parametros!$B$17,TEXT(N132,"#,##0")&amp;" kg ya no los acepta ninguna cadena: venta intermedia/liquidación. ","")&amp;IF(N(M132)&gt;=Parametros!$B$17,TEXT(M132,"#,##0")&amp;" kg a punto de salir del filtro: despachar primero (FEFO). ","")&amp;IF(Y132="SÍ","Pedidos "&amp;IF(N(U132)&gt;0,"sobre","bajo")&amp;" FCST "&amp;TEXT(ABS(N(U132)),"0%")&amp;": revisar forecast con KAM.","")</f>
        <v>620 kg a punto de salir del filtro: despachar primero (FEFO). </v>
      </c>
    </row>
    <row r="133" customFormat="false" ht="15" hidden="false" customHeight="false" outlineLevel="0" collapsed="false">
      <c r="A133" s="18" t="n">
        <f aca="false">Stock_Seguridad!A133</f>
        <v>30000104</v>
      </c>
      <c r="B133" s="18" t="str">
        <f aca="false">Stock_Seguridad!B133</f>
        <v>MARGARINA HORNITO HOJA 20X1KG</v>
      </c>
      <c r="C133" s="18" t="str">
        <f aca="false">Stock_Seguridad!C133</f>
        <v>MARGARINAS</v>
      </c>
      <c r="D133" s="18" t="str">
        <f aca="false">Stock_Seguridad!F133</f>
        <v>SIN HIST</v>
      </c>
      <c r="E133" s="19" t="str">
        <f aca="false">Stock_Seguridad!X133</f>
        <v>BAJO P.REORDEN</v>
      </c>
      <c r="F133" s="20" t="n">
        <f aca="false">Stock_Seguridad!W133</f>
        <v>1.45985401459854</v>
      </c>
      <c r="G133" s="21" t="n">
        <f aca="false">Stock_Seguridad!T133</f>
        <v>11000</v>
      </c>
      <c r="H133" s="21" t="n">
        <f aca="false">Stock_Seguridad!R133</f>
        <v>4590.2765681972</v>
      </c>
      <c r="I133" s="21" t="n">
        <f aca="false">Stock_Seguridad!S133</f>
        <v>13892.5765681972</v>
      </c>
      <c r="J133" s="21" t="n">
        <f aca="false">Stock_Seguridad!U133</f>
        <v>2580</v>
      </c>
      <c r="K133" s="22" t="n">
        <v>46315</v>
      </c>
      <c r="L133" s="23" t="n">
        <v>0</v>
      </c>
      <c r="M133" s="23" t="n">
        <v>120</v>
      </c>
      <c r="N133" s="23" t="n">
        <v>0</v>
      </c>
      <c r="O133" s="24" t="n">
        <v>0.0268335787923417</v>
      </c>
      <c r="P133" s="24" t="n">
        <f aca="false">IF(ISNUMBER(Stock_Seguridad!N133),Stock_Seguridad!N133,"")</f>
        <v>0.253061224489796</v>
      </c>
      <c r="Q133" s="24" t="n">
        <f aca="false">IF(AND(ISNUMBER(O133),ISNUMBER(P133)),P133-O133,"")</f>
        <v>0.226227645697454</v>
      </c>
      <c r="R133" s="23" t="n">
        <f aca="false">MAX(0,G133-N(L133))</f>
        <v>11000</v>
      </c>
      <c r="S133" s="23" t="n">
        <f aca="false">SUMIFS(Cadenas_vs_FCST!$D$17:$D$2437,Cadenas_vs_FCST!$A$17:$A$2437,A133)</f>
        <v>0</v>
      </c>
      <c r="T133" s="23" t="n">
        <f aca="false">SUMIFS(Cadenas_vs_FCST!$E$17:$E$2437,Cadenas_vs_FCST!$A$17:$A$2437,A133)</f>
        <v>0</v>
      </c>
      <c r="U133" s="24" t="str">
        <f aca="false">IF(T133&gt;0,S133/T133-1,"")</f>
        <v/>
      </c>
      <c r="V133" s="3" t="str">
        <f aca="false">IF(OR(E133="BAJO SS",E133="BAJO SS (XLIB CUBRE)"),"SÍ","")</f>
        <v/>
      </c>
      <c r="W133" s="3" t="str">
        <f aca="false">IF(AND(V133="",N(L133)&gt;=Parametros!$B$17,G133&gt;=H133,R133&lt;H133),"SÍ","")</f>
        <v/>
      </c>
      <c r="X133" s="3" t="str">
        <f aca="false">IF(OR(E133="SOBRE MAX VENDIBLE",N(N133)&gt;=Parametros!$B$17,N(M133)&gt;=Parametros!$B$17),"SÍ","")</f>
        <v/>
      </c>
      <c r="Y133" s="3" t="str">
        <f aca="false">IF(AND(ISNUMBER(U133),MAX(S133,T133)&gt;=Parametros!$B$15,ABS(N(U133))&gt;Parametros!$B$14),"SÍ","")</f>
        <v/>
      </c>
      <c r="Z133" s="3" t="n">
        <f aca="false">COUNTIF(V133:Y133,"SÍ")</f>
        <v>0</v>
      </c>
      <c r="AA133" s="3" t="n">
        <f aca="false">(3*(V133="SÍ")+2*(W133="SÍ")+2*(X133="SÍ")+(Y133="SÍ"))*IF(LEFT(D133,1)="A",3,IF(OR(LEFT(D133,1)="B",D133="SIN HIST"),2,1))</f>
        <v>0</v>
      </c>
      <c r="AB133" s="3" t="str">
        <f aca="false">IF(AA133&gt;=9,"1-ALTA",IF(AA133&gt;=4,"2-MEDIA",IF(AA133&gt;0,"3-BAJA","")))</f>
        <v/>
      </c>
      <c r="AC133" s="3" t="str">
        <f aca="false">IF(E133="BAJO SS","Stock + XLIB bajo el SS: riesgo real de quiebre, adelantar producción. ","")&amp;IF(E133="BAJO SS (XLIB CUBRE)","Disponible bajo el SS; depende de liberar "&amp;TEXT(J133,"#,##0")&amp;" kg"&amp;IF(ISNUMBER(K133)," el "&amp;TEXT(K133,"dd-mm"),"")&amp;". ","")&amp;IF(W133="SÍ","Stock parece sano pero "&amp;TEXT(L133,"#,##0")&amp;" kg no pasan filtro "&amp;Stock_Seguridad!O133&amp;": sin ellos queda bajo el SS para esa cadena. ","")&amp;IF(E133="SOBRE MAX VENDIBLE","Sobrestock vs vida útil: frenar producción/activar venta. ","")&amp;IF(N(N133)&gt;=Parametros!$B$17,TEXT(N133,"#,##0")&amp;" kg ya no los acepta ninguna cadena: venta intermedia/liquidación. ","")&amp;IF(N(M133)&gt;=Parametros!$B$17,TEXT(M133,"#,##0")&amp;" kg a punto de salir del filtro: despachar primero (FEFO). ","")&amp;IF(Y133="SÍ","Pedidos "&amp;IF(N(U133)&gt;0,"sobre","bajo")&amp;" FCST "&amp;TEXT(ABS(N(U133)),"0%")&amp;": revisar forecast con KAM.","")</f>
        <v/>
      </c>
    </row>
    <row r="134" customFormat="false" ht="15" hidden="false" customHeight="false" outlineLevel="0" collapsed="false">
      <c r="A134" s="18" t="n">
        <f aca="false">Stock_Seguridad!A134</f>
        <v>30000192</v>
      </c>
      <c r="B134" s="18" t="str">
        <f aca="false">Stock_Seguridad!B134</f>
        <v>DULCE MEMBRILLO WATTS 12X500GR</v>
      </c>
      <c r="C134" s="18" t="str">
        <f aca="false">Stock_Seguridad!C134</f>
        <v>DULCES</v>
      </c>
      <c r="D134" s="18" t="str">
        <f aca="false">Stock_Seguridad!F134</f>
        <v>AX</v>
      </c>
      <c r="E134" s="19" t="str">
        <f aca="false">Stock_Seguridad!X134</f>
        <v>OK</v>
      </c>
      <c r="F134" s="20" t="n">
        <f aca="false">Stock_Seguridad!W134</f>
        <v>6.80017347934512</v>
      </c>
      <c r="G134" s="21" t="n">
        <f aca="false">Stock_Seguridad!T134</f>
        <v>59406</v>
      </c>
      <c r="H134" s="21" t="n">
        <f aca="false">Stock_Seguridad!R134</f>
        <v>3488.93759936753</v>
      </c>
      <c r="I134" s="21" t="n">
        <f aca="false">Stock_Seguridad!S134</f>
        <v>12711.9375993675</v>
      </c>
      <c r="J134" s="21" t="n">
        <f aca="false">Stock_Seguridad!U134</f>
        <v>3312</v>
      </c>
      <c r="K134" s="22" t="n">
        <v>46315</v>
      </c>
      <c r="L134" s="23" t="n">
        <v>96</v>
      </c>
      <c r="M134" s="23" t="n">
        <v>498</v>
      </c>
      <c r="N134" s="23" t="n">
        <v>0</v>
      </c>
      <c r="O134" s="24" t="n">
        <v>0.0614505936422827</v>
      </c>
      <c r="P134" s="24" t="n">
        <f aca="false">IF(ISNUMBER(Stock_Seguridad!N134),Stock_Seguridad!N134,"")</f>
        <v>0.194520547945206</v>
      </c>
      <c r="Q134" s="24" t="n">
        <f aca="false">IF(AND(ISNUMBER(O134),ISNUMBER(P134)),P134-O134,"")</f>
        <v>0.133069954302923</v>
      </c>
      <c r="R134" s="23" t="n">
        <f aca="false">MAX(0,G134-N(L134))</f>
        <v>59310</v>
      </c>
      <c r="S134" s="23" t="n">
        <f aca="false">SUMIFS(Cadenas_vs_FCST!$D$17:$D$2437,Cadenas_vs_FCST!$A$17:$A$2437,A134)</f>
        <v>32136</v>
      </c>
      <c r="T134" s="23" t="n">
        <f aca="false">SUMIFS(Cadenas_vs_FCST!$E$17:$E$2437,Cadenas_vs_FCST!$A$17:$A$2437,A134)</f>
        <v>32418</v>
      </c>
      <c r="U134" s="24" t="n">
        <f aca="false">IF(T134&gt;0,S134/T134-1,"")</f>
        <v>-0.00869887099759392</v>
      </c>
      <c r="V134" s="3" t="str">
        <f aca="false">IF(OR(E134="BAJO SS",E134="BAJO SS (XLIB CUBRE)"),"SÍ","")</f>
        <v/>
      </c>
      <c r="W134" s="3" t="str">
        <f aca="false">IF(AND(V134="",N(L134)&gt;=Parametros!$B$17,G134&gt;=H134,R134&lt;H134),"SÍ","")</f>
        <v/>
      </c>
      <c r="X134" s="3" t="str">
        <f aca="false">IF(OR(E134="SOBRE MAX VENDIBLE",N(N134)&gt;=Parametros!$B$17,N(M134)&gt;=Parametros!$B$17),"SÍ","")</f>
        <v/>
      </c>
      <c r="Y134" s="3" t="str">
        <f aca="false">IF(AND(ISNUMBER(U134),MAX(S134,T134)&gt;=Parametros!$B$15,ABS(N(U134))&gt;Parametros!$B$14),"SÍ","")</f>
        <v/>
      </c>
      <c r="Z134" s="3" t="n">
        <f aca="false">COUNTIF(V134:Y134,"SÍ")</f>
        <v>0</v>
      </c>
      <c r="AA134" s="3" t="n">
        <f aca="false">(3*(V134="SÍ")+2*(W134="SÍ")+2*(X134="SÍ")+(Y134="SÍ"))*IF(LEFT(D134,1)="A",3,IF(OR(LEFT(D134,1)="B",D134="SIN HIST"),2,1))</f>
        <v>0</v>
      </c>
      <c r="AB134" s="3" t="str">
        <f aca="false">IF(AA134&gt;=9,"1-ALTA",IF(AA134&gt;=4,"2-MEDIA",IF(AA134&gt;0,"3-BAJA","")))</f>
        <v/>
      </c>
      <c r="AC134" s="3" t="str">
        <f aca="false">IF(E134="BAJO SS","Stock + XLIB bajo el SS: riesgo real de quiebre, adelantar producción. ","")&amp;IF(E134="BAJO SS (XLIB CUBRE)","Disponible bajo el SS; depende de liberar "&amp;TEXT(J134,"#,##0")&amp;" kg"&amp;IF(ISNUMBER(K134)," el "&amp;TEXT(K134,"dd-mm"),"")&amp;". ","")&amp;IF(W134="SÍ","Stock parece sano pero "&amp;TEXT(L134,"#,##0")&amp;" kg no pasan filtro "&amp;Stock_Seguridad!O134&amp;": sin ellos queda bajo el SS para esa cadena. ","")&amp;IF(E134="SOBRE MAX VENDIBLE","Sobrestock vs vida útil: frenar producción/activar venta. ","")&amp;IF(N(N134)&gt;=Parametros!$B$17,TEXT(N134,"#,##0")&amp;" kg ya no los acepta ninguna cadena: venta intermedia/liquidación. ","")&amp;IF(N(M134)&gt;=Parametros!$B$17,TEXT(M134,"#,##0")&amp;" kg a punto de salir del filtro: despachar primero (FEFO). ","")&amp;IF(Y134="SÍ","Pedidos "&amp;IF(N(U134)&gt;0,"sobre","bajo")&amp;" FCST "&amp;TEXT(ABS(N(U134)),"0%")&amp;": revisar forecast con KAM.","")</f>
        <v/>
      </c>
    </row>
    <row r="135" customFormat="false" ht="15" hidden="false" customHeight="false" outlineLevel="0" collapsed="false">
      <c r="A135" s="18" t="n">
        <f aca="false">Stock_Seguridad!A135</f>
        <v>30001079</v>
      </c>
      <c r="B135" s="18" t="str">
        <f aca="false">Stock_Seguridad!B135</f>
        <v>YOGURT GRIEGO OIKOS TRZ PAPAYA 48X110GR</v>
      </c>
      <c r="C135" s="18" t="str">
        <f aca="false">Stock_Seguridad!C135</f>
        <v>YOGURT</v>
      </c>
      <c r="D135" s="18" t="str">
        <f aca="false">Stock_Seguridad!F135</f>
        <v>AX</v>
      </c>
      <c r="E135" s="19" t="str">
        <f aca="false">Stock_Seguridad!X135</f>
        <v>BAJO P.REORDEN</v>
      </c>
      <c r="F135" s="20" t="n">
        <f aca="false">Stock_Seguridad!W135</f>
        <v>1.64897835036988</v>
      </c>
      <c r="G135" s="21" t="n">
        <f aca="false">Stock_Seguridad!T135</f>
        <v>15180</v>
      </c>
      <c r="H135" s="21" t="n">
        <f aca="false">Stock_Seguridad!R135</f>
        <v>8458.635493762</v>
      </c>
      <c r="I135" s="21" t="n">
        <f aca="false">Stock_Seguridad!S135</f>
        <v>17664.335493762</v>
      </c>
      <c r="J135" s="21" t="n">
        <f aca="false">Stock_Seguridad!U135</f>
        <v>0</v>
      </c>
      <c r="K135" s="22"/>
      <c r="L135" s="23" t="n">
        <v>792</v>
      </c>
      <c r="M135" s="23" t="n">
        <v>4044.48</v>
      </c>
      <c r="N135" s="23" t="n">
        <v>792</v>
      </c>
      <c r="O135" s="24" t="n">
        <v>0.171537120948066</v>
      </c>
      <c r="P135" s="24" t="n">
        <f aca="false">IF(ISNUMBER(Stock_Seguridad!N135),Stock_Seguridad!N135,"")</f>
        <v>0.298245614035088</v>
      </c>
      <c r="Q135" s="24" t="n">
        <f aca="false">IF(AND(ISNUMBER(O135),ISNUMBER(P135)),P135-O135,"")</f>
        <v>0.126708493087022</v>
      </c>
      <c r="R135" s="23" t="n">
        <f aca="false">MAX(0,G135-N(L135))</f>
        <v>14388</v>
      </c>
      <c r="S135" s="23" t="n">
        <f aca="false">SUMIFS(Cadenas_vs_FCST!$D$17:$D$2437,Cadenas_vs_FCST!$A$17:$A$2437,A135)</f>
        <v>49336.32</v>
      </c>
      <c r="T135" s="23" t="n">
        <f aca="false">SUMIFS(Cadenas_vs_FCST!$E$17:$E$2437,Cadenas_vs_FCST!$A$17:$A$2437,A135)</f>
        <v>39860.829591188</v>
      </c>
      <c r="U135" s="24" t="n">
        <f aca="false">IF(T135&gt;0,S135/T135-1,"")</f>
        <v>0.237714330233276</v>
      </c>
      <c r="V135" s="3" t="str">
        <f aca="false">IF(OR(E135="BAJO SS",E135="BAJO SS (XLIB CUBRE)"),"SÍ","")</f>
        <v/>
      </c>
      <c r="W135" s="3" t="str">
        <f aca="false">IF(AND(V135="",N(L135)&gt;=Parametros!$B$17,G135&gt;=H135,R135&lt;H135),"SÍ","")</f>
        <v/>
      </c>
      <c r="X135" s="3" t="str">
        <f aca="false">IF(OR(E135="SOBRE MAX VENDIBLE",N(N135)&gt;=Parametros!$B$17,N(M135)&gt;=Parametros!$B$17),"SÍ","")</f>
        <v>SÍ</v>
      </c>
      <c r="Y135" s="3" t="str">
        <f aca="false">IF(AND(ISNUMBER(U135),MAX(S135,T135)&gt;=Parametros!$B$15,ABS(N(U135))&gt;Parametros!$B$14),"SÍ","")</f>
        <v>SÍ</v>
      </c>
      <c r="Z135" s="3" t="n">
        <f aca="false">COUNTIF(V135:Y135,"SÍ")</f>
        <v>2</v>
      </c>
      <c r="AA135" s="3" t="n">
        <f aca="false">(3*(V135="SÍ")+2*(W135="SÍ")+2*(X135="SÍ")+(Y135="SÍ"))*IF(LEFT(D135,1)="A",3,IF(OR(LEFT(D135,1)="B",D135="SIN HIST"),2,1))</f>
        <v>9</v>
      </c>
      <c r="AB135" s="3" t="str">
        <f aca="false">IF(AA135&gt;=9,"1-ALTA",IF(AA135&gt;=4,"2-MEDIA",IF(AA135&gt;0,"3-BAJA","")))</f>
        <v>1-ALTA</v>
      </c>
      <c r="AC135" s="3" t="str">
        <f aca="false">IF(E135="BAJO SS","Stock + XLIB bajo el SS: riesgo real de quiebre, adelantar producción. ","")&amp;IF(E135="BAJO SS (XLIB CUBRE)","Disponible bajo el SS; depende de liberar "&amp;TEXT(J135,"#,##0")&amp;" kg"&amp;IF(ISNUMBER(K135)," el "&amp;TEXT(K135,"dd-mm"),"")&amp;". ","")&amp;IF(W135="SÍ","Stock parece sano pero "&amp;TEXT(L135,"#,##0")&amp;" kg no pasan filtro "&amp;Stock_Seguridad!O135&amp;": sin ellos queda bajo el SS para esa cadena. ","")&amp;IF(E135="SOBRE MAX VENDIBLE","Sobrestock vs vida útil: frenar producción/activar venta. ","")&amp;IF(N(N135)&gt;=Parametros!$B$17,TEXT(N135,"#,##0")&amp;" kg ya no los acepta ninguna cadena: venta intermedia/liquidación. ","")&amp;IF(N(M135)&gt;=Parametros!$B$17,TEXT(M135,"#,##0")&amp;" kg a punto de salir del filtro: despachar primero (FEFO). ","")&amp;IF(Y135="SÍ","Pedidos "&amp;IF(N(U135)&gt;0,"sobre","bajo")&amp;" FCST "&amp;TEXT(ABS(N(U135)),"0%")&amp;": revisar forecast con KAM.","")</f>
        <v>792 kg ya no los acepta ninguna cadena: venta intermedia/liquidación. 4,044 kg a punto de salir del filtro: despachar primero (FEFO). Pedidos sobre FCST 24%: revisar forecast con KAM.</v>
      </c>
    </row>
    <row r="136" customFormat="false" ht="15" hidden="false" customHeight="false" outlineLevel="0" collapsed="false">
      <c r="A136" s="18" t="n">
        <f aca="false">Stock_Seguridad!A136</f>
        <v>30000347</v>
      </c>
      <c r="B136" s="18" t="str">
        <f aca="false">Stock_Seguridad!B136</f>
        <v>CREMA LISTA LONCO 30X200ML</v>
      </c>
      <c r="C136" s="18" t="str">
        <f aca="false">Stock_Seguridad!C136</f>
        <v>CREMA</v>
      </c>
      <c r="D136" s="18" t="str">
        <f aca="false">Stock_Seguridad!F136</f>
        <v>AX</v>
      </c>
      <c r="E136" s="19" t="str">
        <f aca="false">Stock_Seguridad!X136</f>
        <v>OK</v>
      </c>
      <c r="F136" s="20" t="n">
        <f aca="false">Stock_Seguridad!W136</f>
        <v>4.58390177353342</v>
      </c>
      <c r="G136" s="21" t="n">
        <f aca="false">Stock_Seguridad!T136</f>
        <v>42000</v>
      </c>
      <c r="H136" s="21" t="n">
        <f aca="false">Stock_Seguridad!R136</f>
        <v>6201.75852465913</v>
      </c>
      <c r="I136" s="21" t="n">
        <f aca="false">Stock_Seguridad!S136</f>
        <v>15364.2585246591</v>
      </c>
      <c r="J136" s="21" t="n">
        <f aca="false">Stock_Seguridad!U136</f>
        <v>0</v>
      </c>
      <c r="K136" s="22"/>
      <c r="L136" s="23" t="n">
        <v>462</v>
      </c>
      <c r="M136" s="23" t="n">
        <v>8526</v>
      </c>
      <c r="N136" s="23" t="n">
        <v>0</v>
      </c>
      <c r="O136" s="24" t="n">
        <v>0.122589362310552</v>
      </c>
      <c r="P136" s="24" t="n">
        <f aca="false">IF(ISNUMBER(Stock_Seguridad!N136),Stock_Seguridad!N136,"")</f>
        <v>0.239130434782609</v>
      </c>
      <c r="Q136" s="24" t="n">
        <f aca="false">IF(AND(ISNUMBER(O136),ISNUMBER(P136)),P136-O136,"")</f>
        <v>0.116541072472057</v>
      </c>
      <c r="R136" s="23" t="n">
        <f aca="false">MAX(0,G136-N(L136))</f>
        <v>41538</v>
      </c>
      <c r="S136" s="23" t="n">
        <f aca="false">SUMIFS(Cadenas_vs_FCST!$D$17:$D$2437,Cadenas_vs_FCST!$A$17:$A$2437,A136)</f>
        <v>29688</v>
      </c>
      <c r="T136" s="23" t="n">
        <f aca="false">SUMIFS(Cadenas_vs_FCST!$E$17:$E$2437,Cadenas_vs_FCST!$A$17:$A$2437,A136)</f>
        <v>34209.2440421152</v>
      </c>
      <c r="U136" s="24" t="n">
        <f aca="false">IF(T136&gt;0,S136/T136-1,"")</f>
        <v>-0.132164394996542</v>
      </c>
      <c r="V136" s="3" t="str">
        <f aca="false">IF(OR(E136="BAJO SS",E136="BAJO SS (XLIB CUBRE)"),"SÍ","")</f>
        <v/>
      </c>
      <c r="W136" s="3" t="str">
        <f aca="false">IF(AND(V136="",N(L136)&gt;=Parametros!$B$17,G136&gt;=H136,R136&lt;H136),"SÍ","")</f>
        <v/>
      </c>
      <c r="X136" s="3" t="str">
        <f aca="false">IF(OR(E136="SOBRE MAX VENDIBLE",N(N136)&gt;=Parametros!$B$17,N(M136)&gt;=Parametros!$B$17),"SÍ","")</f>
        <v>SÍ</v>
      </c>
      <c r="Y136" s="3" t="str">
        <f aca="false">IF(AND(ISNUMBER(U136),MAX(S136,T136)&gt;=Parametros!$B$15,ABS(N(U136))&gt;Parametros!$B$14),"SÍ","")</f>
        <v/>
      </c>
      <c r="Z136" s="3" t="n">
        <f aca="false">COUNTIF(V136:Y136,"SÍ")</f>
        <v>1</v>
      </c>
      <c r="AA136" s="3" t="n">
        <f aca="false">(3*(V136="SÍ")+2*(W136="SÍ")+2*(X136="SÍ")+(Y136="SÍ"))*IF(LEFT(D136,1)="A",3,IF(OR(LEFT(D136,1)="B",D136="SIN HIST"),2,1))</f>
        <v>6</v>
      </c>
      <c r="AB136" s="3" t="str">
        <f aca="false">IF(AA136&gt;=9,"1-ALTA",IF(AA136&gt;=4,"2-MEDIA",IF(AA136&gt;0,"3-BAJA","")))</f>
        <v>2-MEDIA</v>
      </c>
      <c r="AC136" s="3" t="str">
        <f aca="false">IF(E136="BAJO SS","Stock + XLIB bajo el SS: riesgo real de quiebre, adelantar producción. ","")&amp;IF(E136="BAJO SS (XLIB CUBRE)","Disponible bajo el SS; depende de liberar "&amp;TEXT(J136,"#,##0")&amp;" kg"&amp;IF(ISNUMBER(K136)," el "&amp;TEXT(K136,"dd-mm"),"")&amp;". ","")&amp;IF(W136="SÍ","Stock parece sano pero "&amp;TEXT(L136,"#,##0")&amp;" kg no pasan filtro "&amp;Stock_Seguridad!O136&amp;": sin ellos queda bajo el SS para esa cadena. ","")&amp;IF(E136="SOBRE MAX VENDIBLE","Sobrestock vs vida útil: frenar producción/activar venta. ","")&amp;IF(N(N136)&gt;=Parametros!$B$17,TEXT(N136,"#,##0")&amp;" kg ya no los acepta ninguna cadena: venta intermedia/liquidación. ","")&amp;IF(N(M136)&gt;=Parametros!$B$17,TEXT(M136,"#,##0")&amp;" kg a punto de salir del filtro: despachar primero (FEFO). ","")&amp;IF(Y136="SÍ","Pedidos "&amp;IF(N(U136)&gt;0,"sobre","bajo")&amp;" FCST "&amp;TEXT(ABS(N(U136)),"0%")&amp;": revisar forecast con KAM.","")</f>
        <v>8,526 kg a punto de salir del filtro: despachar primero (FEFO). </v>
      </c>
    </row>
    <row r="137" customFormat="false" ht="15" hidden="false" customHeight="false" outlineLevel="0" collapsed="false">
      <c r="A137" s="18" t="n">
        <f aca="false">Stock_Seguridad!A137</f>
        <v>30001887</v>
      </c>
      <c r="B137" s="18" t="str">
        <f aca="false">Stock_Seguridad!B137</f>
        <v>MANTEQUIILLA LAS PARCELAS PAN 20X200GR</v>
      </c>
      <c r="C137" s="18" t="str">
        <f aca="false">Stock_Seguridad!C137</f>
        <v>MANTEQUILLAS</v>
      </c>
      <c r="D137" s="18" t="str">
        <f aca="false">Stock_Seguridad!F137</f>
        <v>AX</v>
      </c>
      <c r="E137" s="19" t="str">
        <f aca="false">Stock_Seguridad!X137</f>
        <v>SOBRE MAX VENDIBLE</v>
      </c>
      <c r="F137" s="20" t="n">
        <f aca="false">Stock_Seguridad!W137</f>
        <v>6.05302574755371</v>
      </c>
      <c r="G137" s="21" t="n">
        <f aca="false">Stock_Seguridad!T137</f>
        <v>39800</v>
      </c>
      <c r="H137" s="21" t="n">
        <f aca="false">Stock_Seguridad!R137</f>
        <v>4884.85647115715</v>
      </c>
      <c r="I137" s="21" t="n">
        <f aca="false">Stock_Seguridad!S137</f>
        <v>14031.3564711572</v>
      </c>
      <c r="J137" s="21" t="n">
        <f aca="false">Stock_Seguridad!U137</f>
        <v>15564</v>
      </c>
      <c r="K137" s="22" t="n">
        <v>46320</v>
      </c>
      <c r="L137" s="23" t="n">
        <v>0</v>
      </c>
      <c r="M137" s="23" t="n">
        <v>1504</v>
      </c>
      <c r="N137" s="23" t="n">
        <v>0</v>
      </c>
      <c r="O137" s="24" t="n">
        <v>0.0508474821183441</v>
      </c>
      <c r="P137" s="24" t="n">
        <f aca="false">IF(ISNUMBER(Stock_Seguridad!N137),Stock_Seguridad!N137,"")</f>
        <v>0.211956521739131</v>
      </c>
      <c r="Q137" s="24" t="n">
        <f aca="false">IF(AND(ISNUMBER(O137),ISNUMBER(P137)),P137-O137,"")</f>
        <v>0.161109039620786</v>
      </c>
      <c r="R137" s="23" t="n">
        <f aca="false">MAX(0,G137-N(L137))</f>
        <v>39800</v>
      </c>
      <c r="S137" s="23" t="n">
        <f aca="false">SUMIFS(Cadenas_vs_FCST!$D$17:$D$2437,Cadenas_vs_FCST!$A$17:$A$2437,A137)</f>
        <v>34096</v>
      </c>
      <c r="T137" s="23" t="n">
        <f aca="false">SUMIFS(Cadenas_vs_FCST!$E$17:$E$2437,Cadenas_vs_FCST!$A$17:$A$2437,A137)</f>
        <v>39409.7272381551</v>
      </c>
      <c r="U137" s="24" t="n">
        <f aca="false">IF(T137&gt;0,S137/T137-1,"")</f>
        <v>-0.134832885445869</v>
      </c>
      <c r="V137" s="3" t="str">
        <f aca="false">IF(OR(E137="BAJO SS",E137="BAJO SS (XLIB CUBRE)"),"SÍ","")</f>
        <v/>
      </c>
      <c r="W137" s="3" t="str">
        <f aca="false">IF(AND(V137="",N(L137)&gt;=Parametros!$B$17,G137&gt;=H137,R137&lt;H137),"SÍ","")</f>
        <v/>
      </c>
      <c r="X137" s="3" t="str">
        <f aca="false">IF(OR(E137="SOBRE MAX VENDIBLE",N(N137)&gt;=Parametros!$B$17,N(M137)&gt;=Parametros!$B$17),"SÍ","")</f>
        <v>SÍ</v>
      </c>
      <c r="Y137" s="3" t="str">
        <f aca="false">IF(AND(ISNUMBER(U137),MAX(S137,T137)&gt;=Parametros!$B$15,ABS(N(U137))&gt;Parametros!$B$14),"SÍ","")</f>
        <v/>
      </c>
      <c r="Z137" s="3" t="n">
        <f aca="false">COUNTIF(V137:Y137,"SÍ")</f>
        <v>1</v>
      </c>
      <c r="AA137" s="3" t="n">
        <f aca="false">(3*(V137="SÍ")+2*(W137="SÍ")+2*(X137="SÍ")+(Y137="SÍ"))*IF(LEFT(D137,1)="A",3,IF(OR(LEFT(D137,1)="B",D137="SIN HIST"),2,1))</f>
        <v>6</v>
      </c>
      <c r="AB137" s="3" t="str">
        <f aca="false">IF(AA137&gt;=9,"1-ALTA",IF(AA137&gt;=4,"2-MEDIA",IF(AA137&gt;0,"3-BAJA","")))</f>
        <v>2-MEDIA</v>
      </c>
      <c r="AC137" s="3" t="str">
        <f aca="false">IF(E137="BAJO SS","Stock + XLIB bajo el SS: riesgo real de quiebre, adelantar producción. ","")&amp;IF(E137="BAJO SS (XLIB CUBRE)","Disponible bajo el SS; depende de liberar "&amp;TEXT(J137,"#,##0")&amp;" kg"&amp;IF(ISNUMBER(K137)," el "&amp;TEXT(K137,"dd-mm"),"")&amp;". ","")&amp;IF(W137="SÍ","Stock parece sano pero "&amp;TEXT(L137,"#,##0")&amp;" kg no pasan filtro "&amp;Stock_Seguridad!O137&amp;": sin ellos queda bajo el SS para esa cadena. ","")&amp;IF(E137="SOBRE MAX VENDIBLE","Sobrestock vs vida útil: frenar producción/activar venta. ","")&amp;IF(N(N137)&gt;=Parametros!$B$17,TEXT(N137,"#,##0")&amp;" kg ya no los acepta ninguna cadena: venta intermedia/liquidación. ","")&amp;IF(N(M137)&gt;=Parametros!$B$17,TEXT(M137,"#,##0")&amp;" kg a punto de salir del filtro: despachar primero (FEFO). ","")&amp;IF(Y137="SÍ","Pedidos "&amp;IF(N(U137)&gt;0,"sobre","bajo")&amp;" FCST "&amp;TEXT(ABS(N(U137)),"0%")&amp;": revisar forecast con KAM.","")</f>
        <v>Sobrestock vs vida útil: frenar producción/activar venta. 1,504 kg a punto de salir del filtro: despachar primero (FEFO). </v>
      </c>
    </row>
    <row r="138" customFormat="false" ht="15" hidden="false" customHeight="false" outlineLevel="0" collapsed="false">
      <c r="A138" s="18" t="n">
        <f aca="false">Stock_Seguridad!A138</f>
        <v>30001404</v>
      </c>
      <c r="B138" s="18" t="str">
        <f aca="false">Stock_Seguridad!B138</f>
        <v>LECHE BREAK CAPPUCCINO LONCO 18X250ML</v>
      </c>
      <c r="C138" s="18" t="str">
        <f aca="false">Stock_Seguridad!C138</f>
        <v>LECHES LIQUIDAS</v>
      </c>
      <c r="D138" s="18" t="str">
        <f aca="false">Stock_Seguridad!F138</f>
        <v>AX</v>
      </c>
      <c r="E138" s="19" t="str">
        <f aca="false">Stock_Seguridad!X138</f>
        <v>OK</v>
      </c>
      <c r="F138" s="20" t="n">
        <f aca="false">Stock_Seguridad!W138</f>
        <v>3.63850616388687</v>
      </c>
      <c r="G138" s="21" t="n">
        <f aca="false">Stock_Seguridad!T138</f>
        <v>33115.5</v>
      </c>
      <c r="H138" s="21" t="n">
        <f aca="false">Stock_Seguridad!R138</f>
        <v>3302.70742320226</v>
      </c>
      <c r="I138" s="21" t="n">
        <f aca="false">Stock_Seguridad!S138</f>
        <v>12404.1074232023</v>
      </c>
      <c r="J138" s="21" t="n">
        <f aca="false">Stock_Seguridad!U138</f>
        <v>0</v>
      </c>
      <c r="K138" s="22"/>
      <c r="L138" s="23" t="n">
        <v>175.5</v>
      </c>
      <c r="M138" s="23" t="n">
        <v>4.5</v>
      </c>
      <c r="N138" s="23" t="n">
        <v>0</v>
      </c>
      <c r="O138" s="24" t="n">
        <v>0.0606500747994016</v>
      </c>
      <c r="P138" s="24" t="n">
        <f aca="false">IF(ISNUMBER(Stock_Seguridad!N138),Stock_Seguridad!N138,"")</f>
        <v>0.224</v>
      </c>
      <c r="Q138" s="24" t="n">
        <f aca="false">IF(AND(ISNUMBER(O138),ISNUMBER(P138)),P138-O138,"")</f>
        <v>0.163349925200598</v>
      </c>
      <c r="R138" s="23" t="n">
        <f aca="false">MAX(0,G138-N(L138))</f>
        <v>32940</v>
      </c>
      <c r="S138" s="23" t="n">
        <f aca="false">SUMIFS(Cadenas_vs_FCST!$D$17:$D$2437,Cadenas_vs_FCST!$A$17:$A$2437,A138)</f>
        <v>38754</v>
      </c>
      <c r="T138" s="23" t="n">
        <f aca="false">SUMIFS(Cadenas_vs_FCST!$E$17:$E$2437,Cadenas_vs_FCST!$A$17:$A$2437,A138)</f>
        <v>33603.7881404969</v>
      </c>
      <c r="U138" s="24" t="n">
        <f aca="false">IF(T138&gt;0,S138/T138-1,"")</f>
        <v>0.153262835665137</v>
      </c>
      <c r="V138" s="3" t="str">
        <f aca="false">IF(OR(E138="BAJO SS",E138="BAJO SS (XLIB CUBRE)"),"SÍ","")</f>
        <v/>
      </c>
      <c r="W138" s="3" t="str">
        <f aca="false">IF(AND(V138="",N(L138)&gt;=Parametros!$B$17,G138&gt;=H138,R138&lt;H138),"SÍ","")</f>
        <v/>
      </c>
      <c r="X138" s="3" t="str">
        <f aca="false">IF(OR(E138="SOBRE MAX VENDIBLE",N(N138)&gt;=Parametros!$B$17,N(M138)&gt;=Parametros!$B$17),"SÍ","")</f>
        <v/>
      </c>
      <c r="Y138" s="3" t="str">
        <f aca="false">IF(AND(ISNUMBER(U138),MAX(S138,T138)&gt;=Parametros!$B$15,ABS(N(U138))&gt;Parametros!$B$14),"SÍ","")</f>
        <v/>
      </c>
      <c r="Z138" s="3" t="n">
        <f aca="false">COUNTIF(V138:Y138,"SÍ")</f>
        <v>0</v>
      </c>
      <c r="AA138" s="3" t="n">
        <f aca="false">(3*(V138="SÍ")+2*(W138="SÍ")+2*(X138="SÍ")+(Y138="SÍ"))*IF(LEFT(D138,1)="A",3,IF(OR(LEFT(D138,1)="B",D138="SIN HIST"),2,1))</f>
        <v>0</v>
      </c>
      <c r="AB138" s="3" t="str">
        <f aca="false">IF(AA138&gt;=9,"1-ALTA",IF(AA138&gt;=4,"2-MEDIA",IF(AA138&gt;0,"3-BAJA","")))</f>
        <v/>
      </c>
      <c r="AC138" s="3" t="str">
        <f aca="false">IF(E138="BAJO SS","Stock + XLIB bajo el SS: riesgo real de quiebre, adelantar producción. ","")&amp;IF(E138="BAJO SS (XLIB CUBRE)","Disponible bajo el SS; depende de liberar "&amp;TEXT(J138,"#,##0")&amp;" kg"&amp;IF(ISNUMBER(K138)," el "&amp;TEXT(K138,"dd-mm"),"")&amp;". ","")&amp;IF(W138="SÍ","Stock parece sano pero "&amp;TEXT(L138,"#,##0")&amp;" kg no pasan filtro "&amp;Stock_Seguridad!O138&amp;": sin ellos queda bajo el SS para esa cadena. ","")&amp;IF(E138="SOBRE MAX VENDIBLE","Sobrestock vs vida útil: frenar producción/activar venta. ","")&amp;IF(N(N138)&gt;=Parametros!$B$17,TEXT(N138,"#,##0")&amp;" kg ya no los acepta ninguna cadena: venta intermedia/liquidación. ","")&amp;IF(N(M138)&gt;=Parametros!$B$17,TEXT(M138,"#,##0")&amp;" kg a punto de salir del filtro: despachar primero (FEFO). ","")&amp;IF(Y138="SÍ","Pedidos "&amp;IF(N(U138)&gt;0,"sobre","bajo")&amp;" FCST "&amp;TEXT(ABS(N(U138)),"0%")&amp;": revisar forecast con KAM.","")</f>
        <v/>
      </c>
    </row>
    <row r="139" customFormat="false" ht="15" hidden="false" customHeight="false" outlineLevel="0" collapsed="false">
      <c r="A139" s="18" t="n">
        <f aca="false">Stock_Seguridad!A139</f>
        <v>30000752</v>
      </c>
      <c r="B139" s="18" t="str">
        <f aca="false">Stock_Seguridad!B139</f>
        <v>PAPAS DUQUESA FDM 26X500GR</v>
      </c>
      <c r="C139" s="18" t="str">
        <f aca="false">Stock_Seguridad!C139</f>
        <v>FRUTAS Y HORTALIZAS CONGELADAS</v>
      </c>
      <c r="D139" s="18" t="str">
        <f aca="false">Stock_Seguridad!F139</f>
        <v>SIN HIST</v>
      </c>
      <c r="E139" s="19" t="str">
        <f aca="false">Stock_Seguridad!X139</f>
        <v>OK</v>
      </c>
      <c r="F139" s="20" t="n">
        <f aca="false">Stock_Seguridad!W139</f>
        <v>21.2569117860614</v>
      </c>
      <c r="G139" s="21" t="n">
        <f aca="false">Stock_Seguridad!T139</f>
        <v>190294</v>
      </c>
      <c r="H139" s="21" t="n">
        <f aca="false">Stock_Seguridad!R139</f>
        <v>4417.46824614968</v>
      </c>
      <c r="I139" s="21" t="n">
        <f aca="false">Stock_Seguridad!S139</f>
        <v>13369.5682461497</v>
      </c>
      <c r="J139" s="21" t="n">
        <f aca="false">Stock_Seguridad!U139</f>
        <v>0</v>
      </c>
      <c r="K139" s="22"/>
      <c r="L139" s="23" t="n">
        <v>0</v>
      </c>
      <c r="M139" s="23" t="n">
        <v>0</v>
      </c>
      <c r="N139" s="23" t="n">
        <v>0</v>
      </c>
      <c r="O139" s="24" t="n">
        <v>0.366163366336634</v>
      </c>
      <c r="P139" s="24" t="str">
        <f aca="false">IF(ISNUMBER(Stock_Seguridad!N139),Stock_Seguridad!N139,"")</f>
        <v/>
      </c>
      <c r="Q139" s="24" t="str">
        <f aca="false">IF(AND(ISNUMBER(O139),ISNUMBER(P139)),P139-O139,"")</f>
        <v/>
      </c>
      <c r="R139" s="23" t="n">
        <f aca="false">MAX(0,G139-N(L139))</f>
        <v>190294</v>
      </c>
      <c r="S139" s="23" t="n">
        <f aca="false">SUMIFS(Cadenas_vs_FCST!$D$17:$D$2437,Cadenas_vs_FCST!$A$17:$A$2437,A139)</f>
        <v>0</v>
      </c>
      <c r="T139" s="23" t="n">
        <f aca="false">SUMIFS(Cadenas_vs_FCST!$E$17:$E$2437,Cadenas_vs_FCST!$A$17:$A$2437,A139)</f>
        <v>0</v>
      </c>
      <c r="U139" s="24" t="str">
        <f aca="false">IF(T139&gt;0,S139/T139-1,"")</f>
        <v/>
      </c>
      <c r="V139" s="3" t="str">
        <f aca="false">IF(OR(E139="BAJO SS",E139="BAJO SS (XLIB CUBRE)"),"SÍ","")</f>
        <v/>
      </c>
      <c r="W139" s="3" t="str">
        <f aca="false">IF(AND(V139="",N(L139)&gt;=Parametros!$B$17,G139&gt;=H139,R139&lt;H139),"SÍ","")</f>
        <v/>
      </c>
      <c r="X139" s="3" t="str">
        <f aca="false">IF(OR(E139="SOBRE MAX VENDIBLE",N(N139)&gt;=Parametros!$B$17,N(M139)&gt;=Parametros!$B$17),"SÍ","")</f>
        <v/>
      </c>
      <c r="Y139" s="3" t="str">
        <f aca="false">IF(AND(ISNUMBER(U139),MAX(S139,T139)&gt;=Parametros!$B$15,ABS(N(U139))&gt;Parametros!$B$14),"SÍ","")</f>
        <v/>
      </c>
      <c r="Z139" s="3" t="n">
        <f aca="false">COUNTIF(V139:Y139,"SÍ")</f>
        <v>0</v>
      </c>
      <c r="AA139" s="3" t="n">
        <f aca="false">(3*(V139="SÍ")+2*(W139="SÍ")+2*(X139="SÍ")+(Y139="SÍ"))*IF(LEFT(D139,1)="A",3,IF(OR(LEFT(D139,1)="B",D139="SIN HIST"),2,1))</f>
        <v>0</v>
      </c>
      <c r="AB139" s="3" t="str">
        <f aca="false">IF(AA139&gt;=9,"1-ALTA",IF(AA139&gt;=4,"2-MEDIA",IF(AA139&gt;0,"3-BAJA","")))</f>
        <v/>
      </c>
      <c r="AC139" s="3" t="str">
        <f aca="false">IF(E139="BAJO SS","Stock + XLIB bajo el SS: riesgo real de quiebre, adelantar producción. ","")&amp;IF(E139="BAJO SS (XLIB CUBRE)","Disponible bajo el SS; depende de liberar "&amp;TEXT(J139,"#,##0")&amp;" kg"&amp;IF(ISNUMBER(K139)," el "&amp;TEXT(K139,"dd-mm"),"")&amp;". ","")&amp;IF(W139="SÍ","Stock parece sano pero "&amp;TEXT(L139,"#,##0")&amp;" kg no pasan filtro "&amp;Stock_Seguridad!O139&amp;": sin ellos queda bajo el SS para esa cadena. ","")&amp;IF(E139="SOBRE MAX VENDIBLE","Sobrestock vs vida útil: frenar producción/activar venta. ","")&amp;IF(N(N139)&gt;=Parametros!$B$17,TEXT(N139,"#,##0")&amp;" kg ya no los acepta ninguna cadena: venta intermedia/liquidación. ","")&amp;IF(N(M139)&gt;=Parametros!$B$17,TEXT(M139,"#,##0")&amp;" kg a punto de salir del filtro: despachar primero (FEFO). ","")&amp;IF(Y139="SÍ","Pedidos "&amp;IF(N(U139)&gt;0,"sobre","bajo")&amp;" FCST "&amp;TEXT(ABS(N(U139)),"0%")&amp;": revisar forecast con KAM.","")</f>
        <v/>
      </c>
    </row>
    <row r="140" customFormat="false" ht="15" hidden="false" customHeight="false" outlineLevel="0" collapsed="false">
      <c r="A140" s="18" t="n">
        <f aca="false">Stock_Seguridad!A140</f>
        <v>30000817</v>
      </c>
      <c r="B140" s="18" t="str">
        <f aca="false">Stock_Seguridad!B140</f>
        <v>PIMENTON ROJO CUBO FM 6X2KG</v>
      </c>
      <c r="C140" s="18" t="str">
        <f aca="false">Stock_Seguridad!C140</f>
        <v>FRUTAS Y HORTALIZAS CONGELADAS</v>
      </c>
      <c r="D140" s="18" t="str">
        <f aca="false">Stock_Seguridad!F140</f>
        <v>SIN HIST</v>
      </c>
      <c r="E140" s="19" t="str">
        <f aca="false">Stock_Seguridad!X140</f>
        <v>OK</v>
      </c>
      <c r="F140" s="20" t="n">
        <f aca="false">Stock_Seguridad!W140</f>
        <v>14.3597519576336</v>
      </c>
      <c r="G140" s="21" t="n">
        <f aca="false">Stock_Seguridad!T140</f>
        <v>126900</v>
      </c>
      <c r="H140" s="21" t="n">
        <f aca="false">Stock_Seguridad!R140</f>
        <v>4360.77014162866</v>
      </c>
      <c r="I140" s="21" t="n">
        <f aca="false">Stock_Seguridad!S140</f>
        <v>13197.9701416287</v>
      </c>
      <c r="J140" s="21" t="n">
        <f aca="false">Stock_Seguridad!U140</f>
        <v>0</v>
      </c>
      <c r="K140" s="22"/>
      <c r="L140" s="23" t="n">
        <v>0</v>
      </c>
      <c r="M140" s="23" t="n">
        <v>0</v>
      </c>
      <c r="N140" s="23" t="n">
        <v>0</v>
      </c>
      <c r="O140" s="24" t="n">
        <v>0.181183317167798</v>
      </c>
      <c r="P140" s="24" t="str">
        <f aca="false">IF(ISNUMBER(Stock_Seguridad!N140),Stock_Seguridad!N140,"")</f>
        <v/>
      </c>
      <c r="Q140" s="24" t="str">
        <f aca="false">IF(AND(ISNUMBER(O140),ISNUMBER(P140)),P140-O140,"")</f>
        <v/>
      </c>
      <c r="R140" s="23" t="n">
        <f aca="false">MAX(0,G140-N(L140))</f>
        <v>126900</v>
      </c>
      <c r="S140" s="23" t="n">
        <f aca="false">SUMIFS(Cadenas_vs_FCST!$D$17:$D$2437,Cadenas_vs_FCST!$A$17:$A$2437,A140)</f>
        <v>0</v>
      </c>
      <c r="T140" s="23" t="n">
        <f aca="false">SUMIFS(Cadenas_vs_FCST!$E$17:$E$2437,Cadenas_vs_FCST!$A$17:$A$2437,A140)</f>
        <v>0</v>
      </c>
      <c r="U140" s="24" t="str">
        <f aca="false">IF(T140&gt;0,S140/T140-1,"")</f>
        <v/>
      </c>
      <c r="V140" s="3" t="str">
        <f aca="false">IF(OR(E140="BAJO SS",E140="BAJO SS (XLIB CUBRE)"),"SÍ","")</f>
        <v/>
      </c>
      <c r="W140" s="3" t="str">
        <f aca="false">IF(AND(V140="",N(L140)&gt;=Parametros!$B$17,G140&gt;=H140,R140&lt;H140),"SÍ","")</f>
        <v/>
      </c>
      <c r="X140" s="3" t="str">
        <f aca="false">IF(OR(E140="SOBRE MAX VENDIBLE",N(N140)&gt;=Parametros!$B$17,N(M140)&gt;=Parametros!$B$17),"SÍ","")</f>
        <v/>
      </c>
      <c r="Y140" s="3" t="str">
        <f aca="false">IF(AND(ISNUMBER(U140),MAX(S140,T140)&gt;=Parametros!$B$15,ABS(N(U140))&gt;Parametros!$B$14),"SÍ","")</f>
        <v/>
      </c>
      <c r="Z140" s="3" t="n">
        <f aca="false">COUNTIF(V140:Y140,"SÍ")</f>
        <v>0</v>
      </c>
      <c r="AA140" s="3" t="n">
        <f aca="false">(3*(V140="SÍ")+2*(W140="SÍ")+2*(X140="SÍ")+(Y140="SÍ"))*IF(LEFT(D140,1)="A",3,IF(OR(LEFT(D140,1)="B",D140="SIN HIST"),2,1))</f>
        <v>0</v>
      </c>
      <c r="AB140" s="3" t="str">
        <f aca="false">IF(AA140&gt;=9,"1-ALTA",IF(AA140&gt;=4,"2-MEDIA",IF(AA140&gt;0,"3-BAJA","")))</f>
        <v/>
      </c>
      <c r="AC140" s="3" t="str">
        <f aca="false">IF(E140="BAJO SS","Stock + XLIB bajo el SS: riesgo real de quiebre, adelantar producción. ","")&amp;IF(E140="BAJO SS (XLIB CUBRE)","Disponible bajo el SS; depende de liberar "&amp;TEXT(J140,"#,##0")&amp;" kg"&amp;IF(ISNUMBER(K140)," el "&amp;TEXT(K140,"dd-mm"),"")&amp;". ","")&amp;IF(W140="SÍ","Stock parece sano pero "&amp;TEXT(L140,"#,##0")&amp;" kg no pasan filtro "&amp;Stock_Seguridad!O140&amp;": sin ellos queda bajo el SS para esa cadena. ","")&amp;IF(E140="SOBRE MAX VENDIBLE","Sobrestock vs vida útil: frenar producción/activar venta. ","")&amp;IF(N(N140)&gt;=Parametros!$B$17,TEXT(N140,"#,##0")&amp;" kg ya no los acepta ninguna cadena: venta intermedia/liquidación. ","")&amp;IF(N(M140)&gt;=Parametros!$B$17,TEXT(M140,"#,##0")&amp;" kg a punto de salir del filtro: despachar primero (FEFO). ","")&amp;IF(Y140="SÍ","Pedidos "&amp;IF(N(U140)&gt;0,"sobre","bajo")&amp;" FCST "&amp;TEXT(ABS(N(U140)),"0%")&amp;": revisar forecast con KAM.","")</f>
        <v/>
      </c>
    </row>
    <row r="141" customFormat="false" ht="15" hidden="false" customHeight="false" outlineLevel="0" collapsed="false">
      <c r="A141" s="18" t="n">
        <f aca="false">Stock_Seguridad!A141</f>
        <v>30001057</v>
      </c>
      <c r="B141" s="18" t="str">
        <f aca="false">Stock_Seguridad!B141</f>
        <v>YOGURT LONCO PROTEIN VAINILLA 24X140GR</v>
      </c>
      <c r="C141" s="18" t="str">
        <f aca="false">Stock_Seguridad!C141</f>
        <v>YOGURT</v>
      </c>
      <c r="D141" s="18" t="str">
        <f aca="false">Stock_Seguridad!F141</f>
        <v>AX</v>
      </c>
      <c r="E141" s="19" t="str">
        <f aca="false">Stock_Seguridad!X141</f>
        <v>BAJO P.REORDEN</v>
      </c>
      <c r="F141" s="20" t="n">
        <f aca="false">Stock_Seguridad!W141</f>
        <v>1.00863027058904</v>
      </c>
      <c r="G141" s="21" t="n">
        <f aca="false">Stock_Seguridad!T141</f>
        <v>8893.9</v>
      </c>
      <c r="H141" s="21" t="n">
        <f aca="false">Stock_Seguridad!R141</f>
        <v>5374.30004938616</v>
      </c>
      <c r="I141" s="21" t="n">
        <f aca="false">Stock_Seguridad!S141</f>
        <v>14192.1000493862</v>
      </c>
      <c r="J141" s="21" t="n">
        <f aca="false">Stock_Seguridad!U141</f>
        <v>0</v>
      </c>
      <c r="K141" s="22"/>
      <c r="L141" s="23" t="n">
        <v>0</v>
      </c>
      <c r="M141" s="23" t="n">
        <v>2862.72</v>
      </c>
      <c r="N141" s="23" t="n">
        <v>0</v>
      </c>
      <c r="O141" s="24" t="n">
        <v>0.252608036391205</v>
      </c>
      <c r="P141" s="24" t="n">
        <f aca="false">IF(ISNUMBER(Stock_Seguridad!N141),Stock_Seguridad!N141,"")</f>
        <v>0.3</v>
      </c>
      <c r="Q141" s="24" t="n">
        <f aca="false">IF(AND(ISNUMBER(O141),ISNUMBER(P141)),P141-O141,"")</f>
        <v>0.0473919636087946</v>
      </c>
      <c r="R141" s="23" t="n">
        <f aca="false">MAX(0,G141-N(L141))</f>
        <v>8893.9</v>
      </c>
      <c r="S141" s="23" t="n">
        <f aca="false">SUMIFS(Cadenas_vs_FCST!$D$17:$D$2437,Cadenas_vs_FCST!$A$17:$A$2437,A141)</f>
        <v>41865.6</v>
      </c>
      <c r="T141" s="23" t="n">
        <f aca="false">SUMIFS(Cadenas_vs_FCST!$E$17:$E$2437,Cadenas_vs_FCST!$A$17:$A$2437,A141)</f>
        <v>47431.0424608967</v>
      </c>
      <c r="U141" s="24" t="n">
        <f aca="false">IF(T141&gt;0,S141/T141-1,"")</f>
        <v>-0.117337553048406</v>
      </c>
      <c r="V141" s="3" t="str">
        <f aca="false">IF(OR(E141="BAJO SS",E141="BAJO SS (XLIB CUBRE)"),"SÍ","")</f>
        <v/>
      </c>
      <c r="W141" s="3" t="str">
        <f aca="false">IF(AND(V141="",N(L141)&gt;=Parametros!$B$17,G141&gt;=H141,R141&lt;H141),"SÍ","")</f>
        <v/>
      </c>
      <c r="X141" s="3" t="str">
        <f aca="false">IF(OR(E141="SOBRE MAX VENDIBLE",N(N141)&gt;=Parametros!$B$17,N(M141)&gt;=Parametros!$B$17),"SÍ","")</f>
        <v>SÍ</v>
      </c>
      <c r="Y141" s="3" t="str">
        <f aca="false">IF(AND(ISNUMBER(U141),MAX(S141,T141)&gt;=Parametros!$B$15,ABS(N(U141))&gt;Parametros!$B$14),"SÍ","")</f>
        <v/>
      </c>
      <c r="Z141" s="3" t="n">
        <f aca="false">COUNTIF(V141:Y141,"SÍ")</f>
        <v>1</v>
      </c>
      <c r="AA141" s="3" t="n">
        <f aca="false">(3*(V141="SÍ")+2*(W141="SÍ")+2*(X141="SÍ")+(Y141="SÍ"))*IF(LEFT(D141,1)="A",3,IF(OR(LEFT(D141,1)="B",D141="SIN HIST"),2,1))</f>
        <v>6</v>
      </c>
      <c r="AB141" s="3" t="str">
        <f aca="false">IF(AA141&gt;=9,"1-ALTA",IF(AA141&gt;=4,"2-MEDIA",IF(AA141&gt;0,"3-BAJA","")))</f>
        <v>2-MEDIA</v>
      </c>
      <c r="AC141" s="3" t="str">
        <f aca="false">IF(E141="BAJO SS","Stock + XLIB bajo el SS: riesgo real de quiebre, adelantar producción. ","")&amp;IF(E141="BAJO SS (XLIB CUBRE)","Disponible bajo el SS; depende de liberar "&amp;TEXT(J141,"#,##0")&amp;" kg"&amp;IF(ISNUMBER(K141)," el "&amp;TEXT(K141,"dd-mm"),"")&amp;". ","")&amp;IF(W141="SÍ","Stock parece sano pero "&amp;TEXT(L141,"#,##0")&amp;" kg no pasan filtro "&amp;Stock_Seguridad!O141&amp;": sin ellos queda bajo el SS para esa cadena. ","")&amp;IF(E141="SOBRE MAX VENDIBLE","Sobrestock vs vida útil: frenar producción/activar venta. ","")&amp;IF(N(N141)&gt;=Parametros!$B$17,TEXT(N141,"#,##0")&amp;" kg ya no los acepta ninguna cadena: venta intermedia/liquidación. ","")&amp;IF(N(M141)&gt;=Parametros!$B$17,TEXT(M141,"#,##0")&amp;" kg a punto de salir del filtro: despachar primero (FEFO). ","")&amp;IF(Y141="SÍ","Pedidos "&amp;IF(N(U141)&gt;0,"sobre","bajo")&amp;" FCST "&amp;TEXT(ABS(N(U141)),"0%")&amp;": revisar forecast con KAM.","")</f>
        <v>2,863 kg a punto de salir del filtro: despachar primero (FEFO). </v>
      </c>
    </row>
    <row r="142" customFormat="false" ht="15" hidden="false" customHeight="false" outlineLevel="0" collapsed="false">
      <c r="A142" s="18" t="n">
        <f aca="false">Stock_Seguridad!A142</f>
        <v>30000705</v>
      </c>
      <c r="B142" s="18" t="str">
        <f aca="false">Stock_Seguridad!B142</f>
        <v>SOFRITO IQF FDM 14X150GR</v>
      </c>
      <c r="C142" s="18" t="str">
        <f aca="false">Stock_Seguridad!C142</f>
        <v>FRUTAS Y HORTALIZAS CONGELADAS</v>
      </c>
      <c r="D142" s="18" t="str">
        <f aca="false">Stock_Seguridad!F142</f>
        <v>SIN HIST</v>
      </c>
      <c r="E142" s="19" t="str">
        <f aca="false">Stock_Seguridad!X142</f>
        <v>OK</v>
      </c>
      <c r="F142" s="20" t="n">
        <f aca="false">Stock_Seguridad!W142</f>
        <v>14.4387432523424</v>
      </c>
      <c r="G142" s="21" t="n">
        <f aca="false">Stock_Seguridad!T142</f>
        <v>91236.6</v>
      </c>
      <c r="H142" s="21" t="n">
        <f aca="false">Stock_Seguridad!R142</f>
        <v>4323.81028063106</v>
      </c>
      <c r="I142" s="21" t="n">
        <f aca="false">Stock_Seguridad!S142</f>
        <v>13086.1102806311</v>
      </c>
      <c r="J142" s="21" t="n">
        <f aca="false">Stock_Seguridad!U142</f>
        <v>35280</v>
      </c>
      <c r="K142" s="22"/>
      <c r="L142" s="23" t="n">
        <v>0</v>
      </c>
      <c r="M142" s="23" t="n">
        <v>0</v>
      </c>
      <c r="N142" s="23" t="n">
        <v>0</v>
      </c>
      <c r="O142" s="24" t="n">
        <v>0.151961082910322</v>
      </c>
      <c r="P142" s="24" t="str">
        <f aca="false">IF(ISNUMBER(Stock_Seguridad!N142),Stock_Seguridad!N142,"")</f>
        <v/>
      </c>
      <c r="Q142" s="24" t="str">
        <f aca="false">IF(AND(ISNUMBER(O142),ISNUMBER(P142)),P142-O142,"")</f>
        <v/>
      </c>
      <c r="R142" s="23" t="n">
        <f aca="false">MAX(0,G142-N(L142))</f>
        <v>91236.6</v>
      </c>
      <c r="S142" s="23" t="n">
        <f aca="false">SUMIFS(Cadenas_vs_FCST!$D$17:$D$2437,Cadenas_vs_FCST!$A$17:$A$2437,A142)</f>
        <v>0</v>
      </c>
      <c r="T142" s="23" t="n">
        <f aca="false">SUMIFS(Cadenas_vs_FCST!$E$17:$E$2437,Cadenas_vs_FCST!$A$17:$A$2437,A142)</f>
        <v>0</v>
      </c>
      <c r="U142" s="24" t="str">
        <f aca="false">IF(T142&gt;0,S142/T142-1,"")</f>
        <v/>
      </c>
      <c r="V142" s="3" t="str">
        <f aca="false">IF(OR(E142="BAJO SS",E142="BAJO SS (XLIB CUBRE)"),"SÍ","")</f>
        <v/>
      </c>
      <c r="W142" s="3" t="str">
        <f aca="false">IF(AND(V142="",N(L142)&gt;=Parametros!$B$17,G142&gt;=H142,R142&lt;H142),"SÍ","")</f>
        <v/>
      </c>
      <c r="X142" s="3" t="str">
        <f aca="false">IF(OR(E142="SOBRE MAX VENDIBLE",N(N142)&gt;=Parametros!$B$17,N(M142)&gt;=Parametros!$B$17),"SÍ","")</f>
        <v/>
      </c>
      <c r="Y142" s="3" t="str">
        <f aca="false">IF(AND(ISNUMBER(U142),MAX(S142,T142)&gt;=Parametros!$B$15,ABS(N(U142))&gt;Parametros!$B$14),"SÍ","")</f>
        <v/>
      </c>
      <c r="Z142" s="3" t="n">
        <f aca="false">COUNTIF(V142:Y142,"SÍ")</f>
        <v>0</v>
      </c>
      <c r="AA142" s="3" t="n">
        <f aca="false">(3*(V142="SÍ")+2*(W142="SÍ")+2*(X142="SÍ")+(Y142="SÍ"))*IF(LEFT(D142,1)="A",3,IF(OR(LEFT(D142,1)="B",D142="SIN HIST"),2,1))</f>
        <v>0</v>
      </c>
      <c r="AB142" s="3" t="str">
        <f aca="false">IF(AA142&gt;=9,"1-ALTA",IF(AA142&gt;=4,"2-MEDIA",IF(AA142&gt;0,"3-BAJA","")))</f>
        <v/>
      </c>
      <c r="AC142" s="3" t="str">
        <f aca="false">IF(E142="BAJO SS","Stock + XLIB bajo el SS: riesgo real de quiebre, adelantar producción. ","")&amp;IF(E142="BAJO SS (XLIB CUBRE)","Disponible bajo el SS; depende de liberar "&amp;TEXT(J142,"#,##0")&amp;" kg"&amp;IF(ISNUMBER(K142)," el "&amp;TEXT(K142,"dd-mm"),"")&amp;". ","")&amp;IF(W142="SÍ","Stock parece sano pero "&amp;TEXT(L142,"#,##0")&amp;" kg no pasan filtro "&amp;Stock_Seguridad!O142&amp;": sin ellos queda bajo el SS para esa cadena. ","")&amp;IF(E142="SOBRE MAX VENDIBLE","Sobrestock vs vida útil: frenar producción/activar venta. ","")&amp;IF(N(N142)&gt;=Parametros!$B$17,TEXT(N142,"#,##0")&amp;" kg ya no los acepta ninguna cadena: venta intermedia/liquidación. ","")&amp;IF(N(M142)&gt;=Parametros!$B$17,TEXT(M142,"#,##0")&amp;" kg a punto de salir del filtro: despachar primero (FEFO). ","")&amp;IF(Y142="SÍ","Pedidos "&amp;IF(N(U142)&gt;0,"sobre","bajo")&amp;" FCST "&amp;TEXT(ABS(N(U142)),"0%")&amp;": revisar forecast con KAM.","")</f>
        <v/>
      </c>
    </row>
    <row r="143" customFormat="false" ht="15" hidden="false" customHeight="false" outlineLevel="0" collapsed="false">
      <c r="A143" s="18" t="n">
        <f aca="false">Stock_Seguridad!A143</f>
        <v>30001780</v>
      </c>
      <c r="B143" s="18" t="str">
        <f aca="false">Stock_Seguridad!B143</f>
        <v>ACEITE BELMONT CANOLA 12X900ML</v>
      </c>
      <c r="C143" s="18" t="str">
        <f aca="false">Stock_Seguridad!C143</f>
        <v>ACEITES</v>
      </c>
      <c r="D143" s="18" t="str">
        <f aca="false">Stock_Seguridad!F143</f>
        <v>BX</v>
      </c>
      <c r="E143" s="19" t="str">
        <f aca="false">Stock_Seguridad!X143</f>
        <v>OK</v>
      </c>
      <c r="F143" s="20" t="n">
        <f aca="false">Stock_Seguridad!W143</f>
        <v>5.01895976857929</v>
      </c>
      <c r="G143" s="21" t="n">
        <f aca="false">Stock_Seguridad!T143</f>
        <v>43201.7</v>
      </c>
      <c r="H143" s="21" t="n">
        <f aca="false">Stock_Seguridad!R143</f>
        <v>4128.2427667294</v>
      </c>
      <c r="I143" s="21" t="n">
        <f aca="false">Stock_Seguridad!S143</f>
        <v>12735.9427667294</v>
      </c>
      <c r="J143" s="21" t="n">
        <f aca="false">Stock_Seguridad!U143</f>
        <v>0</v>
      </c>
      <c r="K143" s="22"/>
      <c r="L143" s="23" t="n">
        <v>0</v>
      </c>
      <c r="M143" s="23" t="n">
        <v>99.36</v>
      </c>
      <c r="N143" s="23" t="n">
        <v>0</v>
      </c>
      <c r="O143" s="24" t="n">
        <v>0.0775022999080037</v>
      </c>
      <c r="P143" s="24" t="n">
        <f aca="false">IF(ISNUMBER(Stock_Seguridad!N143),Stock_Seguridad!N143,"")</f>
        <v>0.273972602739726</v>
      </c>
      <c r="Q143" s="24" t="n">
        <f aca="false">IF(AND(ISNUMBER(O143),ISNUMBER(P143)),P143-O143,"")</f>
        <v>0.196470302831722</v>
      </c>
      <c r="R143" s="23" t="n">
        <f aca="false">MAX(0,G143-N(L143))</f>
        <v>43201.7</v>
      </c>
      <c r="S143" s="23" t="n">
        <f aca="false">SUMIFS(Cadenas_vs_FCST!$D$17:$D$2437,Cadenas_vs_FCST!$A$17:$A$2437,A143)</f>
        <v>27194.832</v>
      </c>
      <c r="T143" s="23" t="n">
        <f aca="false">SUMIFS(Cadenas_vs_FCST!$E$17:$E$2437,Cadenas_vs_FCST!$A$17:$A$2437,A143)</f>
        <v>30240.424</v>
      </c>
      <c r="U143" s="24" t="n">
        <f aca="false">IF(T143&gt;0,S143/T143-1,"")</f>
        <v>-0.100712609056011</v>
      </c>
      <c r="V143" s="3" t="str">
        <f aca="false">IF(OR(E143="BAJO SS",E143="BAJO SS (XLIB CUBRE)"),"SÍ","")</f>
        <v/>
      </c>
      <c r="W143" s="3" t="str">
        <f aca="false">IF(AND(V143="",N(L143)&gt;=Parametros!$B$17,G143&gt;=H143,R143&lt;H143),"SÍ","")</f>
        <v/>
      </c>
      <c r="X143" s="3" t="str">
        <f aca="false">IF(OR(E143="SOBRE MAX VENDIBLE",N(N143)&gt;=Parametros!$B$17,N(M143)&gt;=Parametros!$B$17),"SÍ","")</f>
        <v/>
      </c>
      <c r="Y143" s="3" t="str">
        <f aca="false">IF(AND(ISNUMBER(U143),MAX(S143,T143)&gt;=Parametros!$B$15,ABS(N(U143))&gt;Parametros!$B$14),"SÍ","")</f>
        <v/>
      </c>
      <c r="Z143" s="3" t="n">
        <f aca="false">COUNTIF(V143:Y143,"SÍ")</f>
        <v>0</v>
      </c>
      <c r="AA143" s="3" t="n">
        <f aca="false">(3*(V143="SÍ")+2*(W143="SÍ")+2*(X143="SÍ")+(Y143="SÍ"))*IF(LEFT(D143,1)="A",3,IF(OR(LEFT(D143,1)="B",D143="SIN HIST"),2,1))</f>
        <v>0</v>
      </c>
      <c r="AB143" s="3" t="str">
        <f aca="false">IF(AA143&gt;=9,"1-ALTA",IF(AA143&gt;=4,"2-MEDIA",IF(AA143&gt;0,"3-BAJA","")))</f>
        <v/>
      </c>
      <c r="AC143" s="3" t="str">
        <f aca="false">IF(E143="BAJO SS","Stock + XLIB bajo el SS: riesgo real de quiebre, adelantar producción. ","")&amp;IF(E143="BAJO SS (XLIB CUBRE)","Disponible bajo el SS; depende de liberar "&amp;TEXT(J143,"#,##0")&amp;" kg"&amp;IF(ISNUMBER(K143)," el "&amp;TEXT(K143,"dd-mm"),"")&amp;". ","")&amp;IF(W143="SÍ","Stock parece sano pero "&amp;TEXT(L143,"#,##0")&amp;" kg no pasan filtro "&amp;Stock_Seguridad!O143&amp;": sin ellos queda bajo el SS para esa cadena. ","")&amp;IF(E143="SOBRE MAX VENDIBLE","Sobrestock vs vida útil: frenar producción/activar venta. ","")&amp;IF(N(N143)&gt;=Parametros!$B$17,TEXT(N143,"#,##0")&amp;" kg ya no los acepta ninguna cadena: venta intermedia/liquidación. ","")&amp;IF(N(M143)&gt;=Parametros!$B$17,TEXT(M143,"#,##0")&amp;" kg a punto de salir del filtro: despachar primero (FEFO). ","")&amp;IF(Y143="SÍ","Pedidos "&amp;IF(N(U143)&gt;0,"sobre","bajo")&amp;" FCST "&amp;TEXT(ABS(N(U143)),"0%")&amp;": revisar forecast con KAM.","")</f>
        <v/>
      </c>
    </row>
    <row r="144" customFormat="false" ht="15" hidden="false" customHeight="false" outlineLevel="0" collapsed="false">
      <c r="A144" s="18" t="n">
        <f aca="false">Stock_Seguridad!A144</f>
        <v>30000734</v>
      </c>
      <c r="B144" s="18" t="str">
        <f aca="false">Stock_Seguridad!B144</f>
        <v>ENSALADA PRIMAVERA IQF FDM 7X2KG</v>
      </c>
      <c r="C144" s="18" t="str">
        <f aca="false">Stock_Seguridad!C144</f>
        <v>FRUTAS Y HORTALIZAS CONGELADAS</v>
      </c>
      <c r="D144" s="18" t="str">
        <f aca="false">Stock_Seguridad!F144</f>
        <v>SIN HIST</v>
      </c>
      <c r="E144" s="19" t="str">
        <f aca="false">Stock_Seguridad!X144</f>
        <v>OK</v>
      </c>
      <c r="F144" s="20" t="n">
        <f aca="false">Stock_Seguridad!W144</f>
        <v>16.5534713990191</v>
      </c>
      <c r="G144" s="21" t="n">
        <f aca="false">Stock_Seguridad!T144</f>
        <v>120806</v>
      </c>
      <c r="H144" s="21" t="n">
        <f aca="false">Stock_Seguridad!R144</f>
        <v>4245.99225553999</v>
      </c>
      <c r="I144" s="21" t="n">
        <f aca="false">Stock_Seguridad!S144</f>
        <v>12850.59225554</v>
      </c>
      <c r="J144" s="21" t="n">
        <f aca="false">Stock_Seguridad!U144</f>
        <v>21630</v>
      </c>
      <c r="K144" s="22" t="n">
        <v>46318</v>
      </c>
      <c r="L144" s="23" t="n">
        <v>0</v>
      </c>
      <c r="M144" s="23" t="n">
        <v>0</v>
      </c>
      <c r="N144" s="23" t="n">
        <v>0</v>
      </c>
      <c r="O144" s="24" t="n">
        <v>0.0887035580892471</v>
      </c>
      <c r="P144" s="24" t="str">
        <f aca="false">IF(ISNUMBER(Stock_Seguridad!N144),Stock_Seguridad!N144,"")</f>
        <v/>
      </c>
      <c r="Q144" s="24" t="str">
        <f aca="false">IF(AND(ISNUMBER(O144),ISNUMBER(P144)),P144-O144,"")</f>
        <v/>
      </c>
      <c r="R144" s="23" t="n">
        <f aca="false">MAX(0,G144-N(L144))</f>
        <v>120806</v>
      </c>
      <c r="S144" s="23" t="n">
        <f aca="false">SUMIFS(Cadenas_vs_FCST!$D$17:$D$2437,Cadenas_vs_FCST!$A$17:$A$2437,A144)</f>
        <v>0</v>
      </c>
      <c r="T144" s="23" t="n">
        <f aca="false">SUMIFS(Cadenas_vs_FCST!$E$17:$E$2437,Cadenas_vs_FCST!$A$17:$A$2437,A144)</f>
        <v>0</v>
      </c>
      <c r="U144" s="24" t="str">
        <f aca="false">IF(T144&gt;0,S144/T144-1,"")</f>
        <v/>
      </c>
      <c r="V144" s="3" t="str">
        <f aca="false">IF(OR(E144="BAJO SS",E144="BAJO SS (XLIB CUBRE)"),"SÍ","")</f>
        <v/>
      </c>
      <c r="W144" s="3" t="str">
        <f aca="false">IF(AND(V144="",N(L144)&gt;=Parametros!$B$17,G144&gt;=H144,R144&lt;H144),"SÍ","")</f>
        <v/>
      </c>
      <c r="X144" s="3" t="str">
        <f aca="false">IF(OR(E144="SOBRE MAX VENDIBLE",N(N144)&gt;=Parametros!$B$17,N(M144)&gt;=Parametros!$B$17),"SÍ","")</f>
        <v/>
      </c>
      <c r="Y144" s="3" t="str">
        <f aca="false">IF(AND(ISNUMBER(U144),MAX(S144,T144)&gt;=Parametros!$B$15,ABS(N(U144))&gt;Parametros!$B$14),"SÍ","")</f>
        <v/>
      </c>
      <c r="Z144" s="3" t="n">
        <f aca="false">COUNTIF(V144:Y144,"SÍ")</f>
        <v>0</v>
      </c>
      <c r="AA144" s="3" t="n">
        <f aca="false">(3*(V144="SÍ")+2*(W144="SÍ")+2*(X144="SÍ")+(Y144="SÍ"))*IF(LEFT(D144,1)="A",3,IF(OR(LEFT(D144,1)="B",D144="SIN HIST"),2,1))</f>
        <v>0</v>
      </c>
      <c r="AB144" s="3" t="str">
        <f aca="false">IF(AA144&gt;=9,"1-ALTA",IF(AA144&gt;=4,"2-MEDIA",IF(AA144&gt;0,"3-BAJA","")))</f>
        <v/>
      </c>
      <c r="AC144" s="3" t="str">
        <f aca="false">IF(E144="BAJO SS","Stock + XLIB bajo el SS: riesgo real de quiebre, adelantar producción. ","")&amp;IF(E144="BAJO SS (XLIB CUBRE)","Disponible bajo el SS; depende de liberar "&amp;TEXT(J144,"#,##0")&amp;" kg"&amp;IF(ISNUMBER(K144)," el "&amp;TEXT(K144,"dd-mm"),"")&amp;". ","")&amp;IF(W144="SÍ","Stock parece sano pero "&amp;TEXT(L144,"#,##0")&amp;" kg no pasan filtro "&amp;Stock_Seguridad!O144&amp;": sin ellos queda bajo el SS para esa cadena. ","")&amp;IF(E144="SOBRE MAX VENDIBLE","Sobrestock vs vida útil: frenar producción/activar venta. ","")&amp;IF(N(N144)&gt;=Parametros!$B$17,TEXT(N144,"#,##0")&amp;" kg ya no los acepta ninguna cadena: venta intermedia/liquidación. ","")&amp;IF(N(M144)&gt;=Parametros!$B$17,TEXT(M144,"#,##0")&amp;" kg a punto de salir del filtro: despachar primero (FEFO). ","")&amp;IF(Y144="SÍ","Pedidos "&amp;IF(N(U144)&gt;0,"sobre","bajo")&amp;" FCST "&amp;TEXT(ABS(N(U144)),"0%")&amp;": revisar forecast con KAM.","")</f>
        <v/>
      </c>
    </row>
    <row r="145" customFormat="false" ht="15" hidden="false" customHeight="false" outlineLevel="0" collapsed="false">
      <c r="A145" s="18" t="n">
        <f aca="false">Stock_Seguridad!A145</f>
        <v>30001075</v>
      </c>
      <c r="B145" s="18" t="str">
        <f aca="false">Stock_Seguridad!B145</f>
        <v>YOGURT GRIEGO OIKOS FRUTILLA 48X110GR</v>
      </c>
      <c r="C145" s="18" t="str">
        <f aca="false">Stock_Seguridad!C145</f>
        <v>YOGURT</v>
      </c>
      <c r="D145" s="18" t="str">
        <f aca="false">Stock_Seguridad!F145</f>
        <v>AX</v>
      </c>
      <c r="E145" s="19" t="str">
        <f aca="false">Stock_Seguridad!X145</f>
        <v>BAJO P.REORDEN</v>
      </c>
      <c r="F145" s="20" t="n">
        <f aca="false">Stock_Seguridad!W145</f>
        <v>1.24223119767319</v>
      </c>
      <c r="G145" s="21" t="n">
        <f aca="false">Stock_Seguridad!T145</f>
        <v>10549.4</v>
      </c>
      <c r="H145" s="21" t="n">
        <f aca="false">Stock_Seguridad!R145</f>
        <v>7482.28556118218</v>
      </c>
      <c r="I145" s="21" t="n">
        <f aca="false">Stock_Seguridad!S145</f>
        <v>15974.5855611822</v>
      </c>
      <c r="J145" s="21" t="n">
        <f aca="false">Stock_Seguridad!U145</f>
        <v>0</v>
      </c>
      <c r="K145" s="22"/>
      <c r="L145" s="23" t="n">
        <v>10.56</v>
      </c>
      <c r="M145" s="23" t="n">
        <v>73.92</v>
      </c>
      <c r="N145" s="23" t="n">
        <v>10.56</v>
      </c>
      <c r="O145" s="24" t="n">
        <v>0.119919395465995</v>
      </c>
      <c r="P145" s="24" t="n">
        <f aca="false">IF(ISNUMBER(Stock_Seguridad!N145),Stock_Seguridad!N145,"")</f>
        <v>0.298245614035088</v>
      </c>
      <c r="Q145" s="24" t="n">
        <f aca="false">IF(AND(ISNUMBER(O145),ISNUMBER(P145)),P145-O145,"")</f>
        <v>0.178326218569093</v>
      </c>
      <c r="R145" s="23" t="n">
        <f aca="false">MAX(0,G145-N(L145))</f>
        <v>10538.84</v>
      </c>
      <c r="S145" s="23" t="n">
        <f aca="false">SUMIFS(Cadenas_vs_FCST!$D$17:$D$2437,Cadenas_vs_FCST!$A$17:$A$2437,A145)</f>
        <v>34652.64</v>
      </c>
      <c r="T145" s="23" t="n">
        <f aca="false">SUMIFS(Cadenas_vs_FCST!$E$17:$E$2437,Cadenas_vs_FCST!$A$17:$A$2437,A145)</f>
        <v>33211.3801033531</v>
      </c>
      <c r="U145" s="24" t="n">
        <f aca="false">IF(T145&gt;0,S145/T145-1,"")</f>
        <v>0.0433965674465127</v>
      </c>
      <c r="V145" s="3" t="str">
        <f aca="false">IF(OR(E145="BAJO SS",E145="BAJO SS (XLIB CUBRE)"),"SÍ","")</f>
        <v/>
      </c>
      <c r="W145" s="3" t="str">
        <f aca="false">IF(AND(V145="",N(L145)&gt;=Parametros!$B$17,G145&gt;=H145,R145&lt;H145),"SÍ","")</f>
        <v/>
      </c>
      <c r="X145" s="3" t="str">
        <f aca="false">IF(OR(E145="SOBRE MAX VENDIBLE",N(N145)&gt;=Parametros!$B$17,N(M145)&gt;=Parametros!$B$17),"SÍ","")</f>
        <v/>
      </c>
      <c r="Y145" s="3" t="str">
        <f aca="false">IF(AND(ISNUMBER(U145),MAX(S145,T145)&gt;=Parametros!$B$15,ABS(N(U145))&gt;Parametros!$B$14),"SÍ","")</f>
        <v/>
      </c>
      <c r="Z145" s="3" t="n">
        <f aca="false">COUNTIF(V145:Y145,"SÍ")</f>
        <v>0</v>
      </c>
      <c r="AA145" s="3" t="n">
        <f aca="false">(3*(V145="SÍ")+2*(W145="SÍ")+2*(X145="SÍ")+(Y145="SÍ"))*IF(LEFT(D145,1)="A",3,IF(OR(LEFT(D145,1)="B",D145="SIN HIST"),2,1))</f>
        <v>0</v>
      </c>
      <c r="AB145" s="3" t="str">
        <f aca="false">IF(AA145&gt;=9,"1-ALTA",IF(AA145&gt;=4,"2-MEDIA",IF(AA145&gt;0,"3-BAJA","")))</f>
        <v/>
      </c>
      <c r="AC145" s="3" t="str">
        <f aca="false">IF(E145="BAJO SS","Stock + XLIB bajo el SS: riesgo real de quiebre, adelantar producción. ","")&amp;IF(E145="BAJO SS (XLIB CUBRE)","Disponible bajo el SS; depende de liberar "&amp;TEXT(J145,"#,##0")&amp;" kg"&amp;IF(ISNUMBER(K145)," el "&amp;TEXT(K145,"dd-mm"),"")&amp;". ","")&amp;IF(W145="SÍ","Stock parece sano pero "&amp;TEXT(L145,"#,##0")&amp;" kg no pasan filtro "&amp;Stock_Seguridad!O145&amp;": sin ellos queda bajo el SS para esa cadena. ","")&amp;IF(E145="SOBRE MAX VENDIBLE","Sobrestock vs vida útil: frenar producción/activar venta. ","")&amp;IF(N(N145)&gt;=Parametros!$B$17,TEXT(N145,"#,##0")&amp;" kg ya no los acepta ninguna cadena: venta intermedia/liquidación. ","")&amp;IF(N(M145)&gt;=Parametros!$B$17,TEXT(M145,"#,##0")&amp;" kg a punto de salir del filtro: despachar primero (FEFO). ","")&amp;IF(Y145="SÍ","Pedidos "&amp;IF(N(U145)&gt;0,"sobre","bajo")&amp;" FCST "&amp;TEXT(ABS(N(U145)),"0%")&amp;": revisar forecast con KAM.","")</f>
        <v/>
      </c>
    </row>
    <row r="146" customFormat="false" ht="15" hidden="false" customHeight="false" outlineLevel="0" collapsed="false">
      <c r="A146" s="18" t="n">
        <f aca="false">Stock_Seguridad!A146</f>
        <v>30000306</v>
      </c>
      <c r="B146" s="18" t="str">
        <f aca="false">Stock_Seguridad!B146</f>
        <v>YOGU YOGU DAMASCO 30X200GR</v>
      </c>
      <c r="C146" s="18" t="str">
        <f aca="false">Stock_Seguridad!C146</f>
        <v>LECHES LIQUIDAS</v>
      </c>
      <c r="D146" s="18" t="str">
        <f aca="false">Stock_Seguridad!F146</f>
        <v>AX</v>
      </c>
      <c r="E146" s="19" t="str">
        <f aca="false">Stock_Seguridad!X146</f>
        <v>OK</v>
      </c>
      <c r="F146" s="20" t="n">
        <f aca="false">Stock_Seguridad!W146</f>
        <v>4.32649334422606</v>
      </c>
      <c r="G146" s="21" t="n">
        <f aca="false">Stock_Seguridad!T146</f>
        <v>36012</v>
      </c>
      <c r="H146" s="21" t="n">
        <f aca="false">Stock_Seguridad!R146</f>
        <v>4526.03316947543</v>
      </c>
      <c r="I146" s="21" t="n">
        <f aca="false">Stock_Seguridad!S146</f>
        <v>12849.6331694754</v>
      </c>
      <c r="J146" s="21" t="n">
        <f aca="false">Stock_Seguridad!U146</f>
        <v>0</v>
      </c>
      <c r="K146" s="22"/>
      <c r="L146" s="23" t="n">
        <v>300</v>
      </c>
      <c r="M146" s="23" t="n">
        <v>7590</v>
      </c>
      <c r="N146" s="23" t="n">
        <v>0</v>
      </c>
      <c r="O146" s="24" t="n">
        <v>0.130949863574352</v>
      </c>
      <c r="P146" s="24" t="n">
        <f aca="false">IF(ISNUMBER(Stock_Seguridad!N146),Stock_Seguridad!N146,"")</f>
        <v>0.220408163265306</v>
      </c>
      <c r="Q146" s="24" t="n">
        <f aca="false">IF(AND(ISNUMBER(O146),ISNUMBER(P146)),P146-O146,"")</f>
        <v>0.0894582996909541</v>
      </c>
      <c r="R146" s="23" t="n">
        <f aca="false">MAX(0,G146-N(L146))</f>
        <v>35712</v>
      </c>
      <c r="S146" s="23" t="n">
        <f aca="false">SUMIFS(Cadenas_vs_FCST!$D$17:$D$2437,Cadenas_vs_FCST!$A$17:$A$2437,A146)</f>
        <v>29598</v>
      </c>
      <c r="T146" s="23" t="n">
        <f aca="false">SUMIFS(Cadenas_vs_FCST!$E$17:$E$2437,Cadenas_vs_FCST!$A$17:$A$2437,A146)</f>
        <v>33059.3260931757</v>
      </c>
      <c r="U146" s="24" t="n">
        <f aca="false">IF(T146&gt;0,S146/T146-1,"")</f>
        <v>-0.104700443179638</v>
      </c>
      <c r="V146" s="3" t="str">
        <f aca="false">IF(OR(E146="BAJO SS",E146="BAJO SS (XLIB CUBRE)"),"SÍ","")</f>
        <v/>
      </c>
      <c r="W146" s="3" t="str">
        <f aca="false">IF(AND(V146="",N(L146)&gt;=Parametros!$B$17,G146&gt;=H146,R146&lt;H146),"SÍ","")</f>
        <v/>
      </c>
      <c r="X146" s="3" t="str">
        <f aca="false">IF(OR(E146="SOBRE MAX VENDIBLE",N(N146)&gt;=Parametros!$B$17,N(M146)&gt;=Parametros!$B$17),"SÍ","")</f>
        <v>SÍ</v>
      </c>
      <c r="Y146" s="3" t="str">
        <f aca="false">IF(AND(ISNUMBER(U146),MAX(S146,T146)&gt;=Parametros!$B$15,ABS(N(U146))&gt;Parametros!$B$14),"SÍ","")</f>
        <v/>
      </c>
      <c r="Z146" s="3" t="n">
        <f aca="false">COUNTIF(V146:Y146,"SÍ")</f>
        <v>1</v>
      </c>
      <c r="AA146" s="3" t="n">
        <f aca="false">(3*(V146="SÍ")+2*(W146="SÍ")+2*(X146="SÍ")+(Y146="SÍ"))*IF(LEFT(D146,1)="A",3,IF(OR(LEFT(D146,1)="B",D146="SIN HIST"),2,1))</f>
        <v>6</v>
      </c>
      <c r="AB146" s="3" t="str">
        <f aca="false">IF(AA146&gt;=9,"1-ALTA",IF(AA146&gt;=4,"2-MEDIA",IF(AA146&gt;0,"3-BAJA","")))</f>
        <v>2-MEDIA</v>
      </c>
      <c r="AC146" s="3" t="str">
        <f aca="false">IF(E146="BAJO SS","Stock + XLIB bajo el SS: riesgo real de quiebre, adelantar producción. ","")&amp;IF(E146="BAJO SS (XLIB CUBRE)","Disponible bajo el SS; depende de liberar "&amp;TEXT(J146,"#,##0")&amp;" kg"&amp;IF(ISNUMBER(K146)," el "&amp;TEXT(K146,"dd-mm"),"")&amp;". ","")&amp;IF(W146="SÍ","Stock parece sano pero "&amp;TEXT(L146,"#,##0")&amp;" kg no pasan filtro "&amp;Stock_Seguridad!O146&amp;": sin ellos queda bajo el SS para esa cadena. ","")&amp;IF(E146="SOBRE MAX VENDIBLE","Sobrestock vs vida útil: frenar producción/activar venta. ","")&amp;IF(N(N146)&gt;=Parametros!$B$17,TEXT(N146,"#,##0")&amp;" kg ya no los acepta ninguna cadena: venta intermedia/liquidación. ","")&amp;IF(N(M146)&gt;=Parametros!$B$17,TEXT(M146,"#,##0")&amp;" kg a punto de salir del filtro: despachar primero (FEFO). ","")&amp;IF(Y146="SÍ","Pedidos "&amp;IF(N(U146)&gt;0,"sobre","bajo")&amp;" FCST "&amp;TEXT(ABS(N(U146)),"0%")&amp;": revisar forecast con KAM.","")</f>
        <v>7,590 kg a punto de salir del filtro: despachar primero (FEFO). </v>
      </c>
    </row>
    <row r="147" customFormat="false" ht="15" hidden="false" customHeight="false" outlineLevel="0" collapsed="false">
      <c r="A147" s="18" t="n">
        <f aca="false">Stock_Seguridad!A147</f>
        <v>30000746</v>
      </c>
      <c r="B147" s="18" t="str">
        <f aca="false">Stock_Seguridad!B147</f>
        <v>POROTO VERDE IQF 26X350GR</v>
      </c>
      <c r="C147" s="18" t="str">
        <f aca="false">Stock_Seguridad!C147</f>
        <v>FRUTAS Y HORTALIZAS CONGELADAS</v>
      </c>
      <c r="D147" s="18" t="str">
        <f aca="false">Stock_Seguridad!F147</f>
        <v>SIN HIST</v>
      </c>
      <c r="E147" s="19" t="str">
        <f aca="false">Stock_Seguridad!X147</f>
        <v>OK</v>
      </c>
      <c r="F147" s="20" t="n">
        <f aca="false">Stock_Seguridad!W147</f>
        <v>5.17901376285359</v>
      </c>
      <c r="G147" s="21" t="n">
        <f aca="false">Stock_Seguridad!T147</f>
        <v>42861</v>
      </c>
      <c r="H147" s="21" t="n">
        <f aca="false">Stock_Seguridad!R147</f>
        <v>4083.79323938631</v>
      </c>
      <c r="I147" s="21" t="n">
        <f aca="false">Stock_Seguridad!S147</f>
        <v>12359.6932393863</v>
      </c>
      <c r="J147" s="21" t="n">
        <f aca="false">Stock_Seguridad!U147</f>
        <v>0</v>
      </c>
      <c r="K147" s="22"/>
      <c r="L147" s="23" t="n">
        <v>0</v>
      </c>
      <c r="M147" s="23" t="n">
        <v>0</v>
      </c>
      <c r="N147" s="23" t="n">
        <v>0</v>
      </c>
      <c r="O147" s="24" t="n">
        <v>0.0282717622080679</v>
      </c>
      <c r="P147" s="24" t="str">
        <f aca="false">IF(ISNUMBER(Stock_Seguridad!N147),Stock_Seguridad!N147,"")</f>
        <v/>
      </c>
      <c r="Q147" s="24" t="str">
        <f aca="false">IF(AND(ISNUMBER(O147),ISNUMBER(P147)),P147-O147,"")</f>
        <v/>
      </c>
      <c r="R147" s="23" t="n">
        <f aca="false">MAX(0,G147-N(L147))</f>
        <v>42861</v>
      </c>
      <c r="S147" s="23" t="n">
        <f aca="false">SUMIFS(Cadenas_vs_FCST!$D$17:$D$2437,Cadenas_vs_FCST!$A$17:$A$2437,A147)</f>
        <v>0</v>
      </c>
      <c r="T147" s="23" t="n">
        <f aca="false">SUMIFS(Cadenas_vs_FCST!$E$17:$E$2437,Cadenas_vs_FCST!$A$17:$A$2437,A147)</f>
        <v>0</v>
      </c>
      <c r="U147" s="24" t="str">
        <f aca="false">IF(T147&gt;0,S147/T147-1,"")</f>
        <v/>
      </c>
      <c r="V147" s="3" t="str">
        <f aca="false">IF(OR(E147="BAJO SS",E147="BAJO SS (XLIB CUBRE)"),"SÍ","")</f>
        <v/>
      </c>
      <c r="W147" s="3" t="str">
        <f aca="false">IF(AND(V147="",N(L147)&gt;=Parametros!$B$17,G147&gt;=H147,R147&lt;H147),"SÍ","")</f>
        <v/>
      </c>
      <c r="X147" s="3" t="str">
        <f aca="false">IF(OR(E147="SOBRE MAX VENDIBLE",N(N147)&gt;=Parametros!$B$17,N(M147)&gt;=Parametros!$B$17),"SÍ","")</f>
        <v/>
      </c>
      <c r="Y147" s="3" t="str">
        <f aca="false">IF(AND(ISNUMBER(U147),MAX(S147,T147)&gt;=Parametros!$B$15,ABS(N(U147))&gt;Parametros!$B$14),"SÍ","")</f>
        <v/>
      </c>
      <c r="Z147" s="3" t="n">
        <f aca="false">COUNTIF(V147:Y147,"SÍ")</f>
        <v>0</v>
      </c>
      <c r="AA147" s="3" t="n">
        <f aca="false">(3*(V147="SÍ")+2*(W147="SÍ")+2*(X147="SÍ")+(Y147="SÍ"))*IF(LEFT(D147,1)="A",3,IF(OR(LEFT(D147,1)="B",D147="SIN HIST"),2,1))</f>
        <v>0</v>
      </c>
      <c r="AB147" s="3" t="str">
        <f aca="false">IF(AA147&gt;=9,"1-ALTA",IF(AA147&gt;=4,"2-MEDIA",IF(AA147&gt;0,"3-BAJA","")))</f>
        <v/>
      </c>
      <c r="AC147" s="3" t="str">
        <f aca="false">IF(E147="BAJO SS","Stock + XLIB bajo el SS: riesgo real de quiebre, adelantar producción. ","")&amp;IF(E147="BAJO SS (XLIB CUBRE)","Disponible bajo el SS; depende de liberar "&amp;TEXT(J147,"#,##0")&amp;" kg"&amp;IF(ISNUMBER(K147)," el "&amp;TEXT(K147,"dd-mm"),"")&amp;". ","")&amp;IF(W147="SÍ","Stock parece sano pero "&amp;TEXT(L147,"#,##0")&amp;" kg no pasan filtro "&amp;Stock_Seguridad!O147&amp;": sin ellos queda bajo el SS para esa cadena. ","")&amp;IF(E147="SOBRE MAX VENDIBLE","Sobrestock vs vida útil: frenar producción/activar venta. ","")&amp;IF(N(N147)&gt;=Parametros!$B$17,TEXT(N147,"#,##0")&amp;" kg ya no los acepta ninguna cadena: venta intermedia/liquidación. ","")&amp;IF(N(M147)&gt;=Parametros!$B$17,TEXT(M147,"#,##0")&amp;" kg a punto de salir del filtro: despachar primero (FEFO). ","")&amp;IF(Y147="SÍ","Pedidos "&amp;IF(N(U147)&gt;0,"sobre","bajo")&amp;" FCST "&amp;TEXT(ABS(N(U147)),"0%")&amp;": revisar forecast con KAM.","")</f>
        <v/>
      </c>
    </row>
    <row r="148" customFormat="false" ht="15" hidden="false" customHeight="false" outlineLevel="0" collapsed="false">
      <c r="A148" s="18" t="n">
        <f aca="false">Stock_Seguridad!A148</f>
        <v>30001091</v>
      </c>
      <c r="B148" s="18" t="str">
        <f aca="false">Stock_Seguridad!B148</f>
        <v>YOGURT GRIEGO OIKOS CF F BOS 48X150GR</v>
      </c>
      <c r="C148" s="18" t="str">
        <f aca="false">Stock_Seguridad!C148</f>
        <v>YOGURT</v>
      </c>
      <c r="D148" s="18" t="str">
        <f aca="false">Stock_Seguridad!F148</f>
        <v>AX</v>
      </c>
      <c r="E148" s="19" t="str">
        <f aca="false">Stock_Seguridad!X148</f>
        <v>BAJO SS (XLIB CUBRE)</v>
      </c>
      <c r="F148" s="20" t="n">
        <f aca="false">Stock_Seguridad!W148</f>
        <v>1.43777581641659</v>
      </c>
      <c r="G148" s="21" t="n">
        <f aca="false">Stock_Seguridad!T148</f>
        <v>4600.8</v>
      </c>
      <c r="H148" s="21" t="n">
        <f aca="false">Stock_Seguridad!R148</f>
        <v>6078.25430892206</v>
      </c>
      <c r="I148" s="21" t="n">
        <f aca="false">Stock_Seguridad!S148</f>
        <v>14235.8543089221</v>
      </c>
      <c r="J148" s="21" t="n">
        <f aca="false">Stock_Seguridad!U148</f>
        <v>7128</v>
      </c>
      <c r="K148" s="22" t="n">
        <v>46317</v>
      </c>
      <c r="L148" s="23" t="n">
        <v>0</v>
      </c>
      <c r="M148" s="23" t="n">
        <v>0</v>
      </c>
      <c r="N148" s="23" t="n">
        <v>0</v>
      </c>
      <c r="O148" s="24" t="n">
        <v>0.0378453038674033</v>
      </c>
      <c r="P148" s="24" t="n">
        <f aca="false">IF(ISNUMBER(Stock_Seguridad!N148),Stock_Seguridad!N148,"")</f>
        <v>0.298245614035088</v>
      </c>
      <c r="Q148" s="24" t="n">
        <f aca="false">IF(AND(ISNUMBER(O148),ISNUMBER(P148)),P148-O148,"")</f>
        <v>0.260400310167685</v>
      </c>
      <c r="R148" s="23" t="n">
        <f aca="false">MAX(0,G148-N(L148))</f>
        <v>4600.8</v>
      </c>
      <c r="S148" s="23" t="n">
        <f aca="false">SUMIFS(Cadenas_vs_FCST!$D$17:$D$2437,Cadenas_vs_FCST!$A$17:$A$2437,A148)</f>
        <v>31068</v>
      </c>
      <c r="T148" s="23" t="n">
        <f aca="false">SUMIFS(Cadenas_vs_FCST!$E$17:$E$2437,Cadenas_vs_FCST!$A$17:$A$2437,A148)</f>
        <v>34834.3126951093</v>
      </c>
      <c r="U148" s="24" t="n">
        <f aca="false">IF(T148&gt;0,S148/T148-1,"")</f>
        <v>-0.108120769543362</v>
      </c>
      <c r="V148" s="3" t="str">
        <f aca="false">IF(OR(E148="BAJO SS",E148="BAJO SS (XLIB CUBRE)"),"SÍ","")</f>
        <v>SÍ</v>
      </c>
      <c r="W148" s="3" t="str">
        <f aca="false">IF(AND(V148="",N(L148)&gt;=Parametros!$B$17,G148&gt;=H148,R148&lt;H148),"SÍ","")</f>
        <v/>
      </c>
      <c r="X148" s="3" t="str">
        <f aca="false">IF(OR(E148="SOBRE MAX VENDIBLE",N(N148)&gt;=Parametros!$B$17,N(M148)&gt;=Parametros!$B$17),"SÍ","")</f>
        <v/>
      </c>
      <c r="Y148" s="3" t="str">
        <f aca="false">IF(AND(ISNUMBER(U148),MAX(S148,T148)&gt;=Parametros!$B$15,ABS(N(U148))&gt;Parametros!$B$14),"SÍ","")</f>
        <v/>
      </c>
      <c r="Z148" s="3" t="n">
        <f aca="false">COUNTIF(V148:Y148,"SÍ")</f>
        <v>1</v>
      </c>
      <c r="AA148" s="3" t="n">
        <f aca="false">(3*(V148="SÍ")+2*(W148="SÍ")+2*(X148="SÍ")+(Y148="SÍ"))*IF(LEFT(D148,1)="A",3,IF(OR(LEFT(D148,1)="B",D148="SIN HIST"),2,1))</f>
        <v>9</v>
      </c>
      <c r="AB148" s="3" t="str">
        <f aca="false">IF(AA148&gt;=9,"1-ALTA",IF(AA148&gt;=4,"2-MEDIA",IF(AA148&gt;0,"3-BAJA","")))</f>
        <v>1-ALTA</v>
      </c>
      <c r="AC148" s="3" t="str">
        <f aca="false">IF(E148="BAJO SS","Stock + XLIB bajo el SS: riesgo real de quiebre, adelantar producción. ","")&amp;IF(E148="BAJO SS (XLIB CUBRE)","Disponible bajo el SS; depende de liberar "&amp;TEXT(J148,"#,##0")&amp;" kg"&amp;IF(ISNUMBER(K148)," el "&amp;TEXT(K148,"dd-mm"),"")&amp;". ","")&amp;IF(W148="SÍ","Stock parece sano pero "&amp;TEXT(L148,"#,##0")&amp;" kg no pasan filtro "&amp;Stock_Seguridad!O148&amp;": sin ellos queda bajo el SS para esa cadena. ","")&amp;IF(E148="SOBRE MAX VENDIBLE","Sobrestock vs vida útil: frenar producción/activar venta. ","")&amp;IF(N(N148)&gt;=Parametros!$B$17,TEXT(N148,"#,##0")&amp;" kg ya no los acepta ninguna cadena: venta intermedia/liquidación. ","")&amp;IF(N(M148)&gt;=Parametros!$B$17,TEXT(M148,"#,##0")&amp;" kg a punto de salir del filtro: despachar primero (FEFO). ","")&amp;IF(Y148="SÍ","Pedidos "&amp;IF(N(U148)&gt;0,"sobre","bajo")&amp;" FCST "&amp;TEXT(ABS(N(U148)),"0%")&amp;": revisar forecast con KAM.","")</f>
        <v>Disponible bajo el SS; depende de liberar 7,128 kg el 22-10. </v>
      </c>
    </row>
    <row r="149" customFormat="false" ht="15" hidden="false" customHeight="false" outlineLevel="0" collapsed="false">
      <c r="A149" s="18" t="n">
        <f aca="false">Stock_Seguridad!A149</f>
        <v>30000786</v>
      </c>
      <c r="B149" s="18" t="str">
        <f aca="false">Stock_Seguridad!B149</f>
        <v>COLIFLOR IQF 4X2KG</v>
      </c>
      <c r="C149" s="18" t="str">
        <f aca="false">Stock_Seguridad!C149</f>
        <v>FRUTAS Y HORTALIZAS CONGELADAS</v>
      </c>
      <c r="D149" s="18" t="str">
        <f aca="false">Stock_Seguridad!F149</f>
        <v>SIN HIST</v>
      </c>
      <c r="E149" s="19" t="str">
        <f aca="false">Stock_Seguridad!X149</f>
        <v>OK</v>
      </c>
      <c r="F149" s="20" t="n">
        <f aca="false">Stock_Seguridad!W149</f>
        <v>11.2871798021992</v>
      </c>
      <c r="G149" s="21" t="n">
        <f aca="false">Stock_Seguridad!T149</f>
        <v>70816</v>
      </c>
      <c r="H149" s="21" t="n">
        <f aca="false">Stock_Seguridad!R149</f>
        <v>4016.48582897145</v>
      </c>
      <c r="I149" s="21" t="n">
        <f aca="false">Stock_Seguridad!S149</f>
        <v>12155.9858289715</v>
      </c>
      <c r="J149" s="21" t="n">
        <f aca="false">Stock_Seguridad!U149</f>
        <v>21056</v>
      </c>
      <c r="K149" s="22" t="n">
        <v>46318</v>
      </c>
      <c r="L149" s="23" t="n">
        <v>0</v>
      </c>
      <c r="M149" s="23" t="n">
        <v>0</v>
      </c>
      <c r="N149" s="23" t="n">
        <v>0</v>
      </c>
      <c r="O149" s="24" t="n">
        <v>0.012201995448976</v>
      </c>
      <c r="P149" s="24" t="str">
        <f aca="false">IF(ISNUMBER(Stock_Seguridad!N149),Stock_Seguridad!N149,"")</f>
        <v/>
      </c>
      <c r="Q149" s="24" t="str">
        <f aca="false">IF(AND(ISNUMBER(O149),ISNUMBER(P149)),P149-O149,"")</f>
        <v/>
      </c>
      <c r="R149" s="23" t="n">
        <f aca="false">MAX(0,G149-N(L149))</f>
        <v>70816</v>
      </c>
      <c r="S149" s="23" t="n">
        <f aca="false">SUMIFS(Cadenas_vs_FCST!$D$17:$D$2437,Cadenas_vs_FCST!$A$17:$A$2437,A149)</f>
        <v>0</v>
      </c>
      <c r="T149" s="23" t="n">
        <f aca="false">SUMIFS(Cadenas_vs_FCST!$E$17:$E$2437,Cadenas_vs_FCST!$A$17:$A$2437,A149)</f>
        <v>0</v>
      </c>
      <c r="U149" s="24" t="str">
        <f aca="false">IF(T149&gt;0,S149/T149-1,"")</f>
        <v/>
      </c>
      <c r="V149" s="3" t="str">
        <f aca="false">IF(OR(E149="BAJO SS",E149="BAJO SS (XLIB CUBRE)"),"SÍ","")</f>
        <v/>
      </c>
      <c r="W149" s="3" t="str">
        <f aca="false">IF(AND(V149="",N(L149)&gt;=Parametros!$B$17,G149&gt;=H149,R149&lt;H149),"SÍ","")</f>
        <v/>
      </c>
      <c r="X149" s="3" t="str">
        <f aca="false">IF(OR(E149="SOBRE MAX VENDIBLE",N(N149)&gt;=Parametros!$B$17,N(M149)&gt;=Parametros!$B$17),"SÍ","")</f>
        <v/>
      </c>
      <c r="Y149" s="3" t="str">
        <f aca="false">IF(AND(ISNUMBER(U149),MAX(S149,T149)&gt;=Parametros!$B$15,ABS(N(U149))&gt;Parametros!$B$14),"SÍ","")</f>
        <v/>
      </c>
      <c r="Z149" s="3" t="n">
        <f aca="false">COUNTIF(V149:Y149,"SÍ")</f>
        <v>0</v>
      </c>
      <c r="AA149" s="3" t="n">
        <f aca="false">(3*(V149="SÍ")+2*(W149="SÍ")+2*(X149="SÍ")+(Y149="SÍ"))*IF(LEFT(D149,1)="A",3,IF(OR(LEFT(D149,1)="B",D149="SIN HIST"),2,1))</f>
        <v>0</v>
      </c>
      <c r="AB149" s="3" t="str">
        <f aca="false">IF(AA149&gt;=9,"1-ALTA",IF(AA149&gt;=4,"2-MEDIA",IF(AA149&gt;0,"3-BAJA","")))</f>
        <v/>
      </c>
      <c r="AC149" s="3" t="str">
        <f aca="false">IF(E149="BAJO SS","Stock + XLIB bajo el SS: riesgo real de quiebre, adelantar producción. ","")&amp;IF(E149="BAJO SS (XLIB CUBRE)","Disponible bajo el SS; depende de liberar "&amp;TEXT(J149,"#,##0")&amp;" kg"&amp;IF(ISNUMBER(K149)," el "&amp;TEXT(K149,"dd-mm"),"")&amp;". ","")&amp;IF(W149="SÍ","Stock parece sano pero "&amp;TEXT(L149,"#,##0")&amp;" kg no pasan filtro "&amp;Stock_Seguridad!O149&amp;": sin ellos queda bajo el SS para esa cadena. ","")&amp;IF(E149="SOBRE MAX VENDIBLE","Sobrestock vs vida útil: frenar producción/activar venta. ","")&amp;IF(N(N149)&gt;=Parametros!$B$17,TEXT(N149,"#,##0")&amp;" kg ya no los acepta ninguna cadena: venta intermedia/liquidación. ","")&amp;IF(N(M149)&gt;=Parametros!$B$17,TEXT(M149,"#,##0")&amp;" kg a punto de salir del filtro: despachar primero (FEFO). ","")&amp;IF(Y149="SÍ","Pedidos "&amp;IF(N(U149)&gt;0,"sobre","bajo")&amp;" FCST "&amp;TEXT(ABS(N(U149)),"0%")&amp;": revisar forecast con KAM.","")</f>
        <v/>
      </c>
    </row>
    <row r="150" customFormat="false" ht="15" hidden="false" customHeight="false" outlineLevel="0" collapsed="false">
      <c r="A150" s="18" t="n">
        <f aca="false">Stock_Seguridad!A150</f>
        <v>30001106</v>
      </c>
      <c r="B150" s="18" t="str">
        <f aca="false">Stock_Seguridad!B150</f>
        <v>JARABE DE REMOJO WATTS 1X975LT</v>
      </c>
      <c r="C150" s="18" t="str">
        <f aca="false">Stock_Seguridad!C150</f>
        <v>JARABE DE REMOJO</v>
      </c>
      <c r="D150" s="18" t="str">
        <f aca="false">Stock_Seguridad!F150</f>
        <v>SIN HIST</v>
      </c>
      <c r="E150" s="19" t="str">
        <f aca="false">Stock_Seguridad!X150</f>
        <v>OK</v>
      </c>
      <c r="F150" s="20" t="n">
        <f aca="false">Stock_Seguridad!W150</f>
        <v>11.8588365378709</v>
      </c>
      <c r="G150" s="21" t="n">
        <f aca="false">Stock_Seguridad!T150</f>
        <v>76050</v>
      </c>
      <c r="H150" s="21" t="n">
        <f aca="false">Stock_Seguridad!R150</f>
        <v>4016.48582897145</v>
      </c>
      <c r="I150" s="21" t="n">
        <f aca="false">Stock_Seguridad!S150</f>
        <v>12155.9858289715</v>
      </c>
      <c r="J150" s="21" t="n">
        <f aca="false">Stock_Seguridad!U150</f>
        <v>20475</v>
      </c>
      <c r="K150" s="22" t="n">
        <v>46300</v>
      </c>
      <c r="L150" s="23" t="n">
        <v>0</v>
      </c>
      <c r="M150" s="23" t="n">
        <v>0</v>
      </c>
      <c r="N150" s="23" t="n">
        <v>0</v>
      </c>
      <c r="O150" s="24" t="n">
        <v>0.066969696969697</v>
      </c>
      <c r="P150" s="24" t="n">
        <f aca="false">IF(ISNUMBER(Stock_Seguridad!N150),Stock_Seguridad!N150,"")</f>
        <v>0.273972602739726</v>
      </c>
      <c r="Q150" s="24" t="n">
        <f aca="false">IF(AND(ISNUMBER(O150),ISNUMBER(P150)),P150-O150,"")</f>
        <v>0.207002905770029</v>
      </c>
      <c r="R150" s="23" t="n">
        <f aca="false">MAX(0,G150-N(L150))</f>
        <v>76050</v>
      </c>
      <c r="S150" s="23" t="n">
        <f aca="false">SUMIFS(Cadenas_vs_FCST!$D$17:$D$2437,Cadenas_vs_FCST!$A$17:$A$2437,A150)</f>
        <v>0</v>
      </c>
      <c r="T150" s="23" t="n">
        <f aca="false">SUMIFS(Cadenas_vs_FCST!$E$17:$E$2437,Cadenas_vs_FCST!$A$17:$A$2437,A150)</f>
        <v>0</v>
      </c>
      <c r="U150" s="24" t="str">
        <f aca="false">IF(T150&gt;0,S150/T150-1,"")</f>
        <v/>
      </c>
      <c r="V150" s="3" t="str">
        <f aca="false">IF(OR(E150="BAJO SS",E150="BAJO SS (XLIB CUBRE)"),"SÍ","")</f>
        <v/>
      </c>
      <c r="W150" s="3" t="str">
        <f aca="false">IF(AND(V150="",N(L150)&gt;=Parametros!$B$17,G150&gt;=H150,R150&lt;H150),"SÍ","")</f>
        <v/>
      </c>
      <c r="X150" s="3" t="str">
        <f aca="false">IF(OR(E150="SOBRE MAX VENDIBLE",N(N150)&gt;=Parametros!$B$17,N(M150)&gt;=Parametros!$B$17),"SÍ","")</f>
        <v/>
      </c>
      <c r="Y150" s="3" t="str">
        <f aca="false">IF(AND(ISNUMBER(U150),MAX(S150,T150)&gt;=Parametros!$B$15,ABS(N(U150))&gt;Parametros!$B$14),"SÍ","")</f>
        <v/>
      </c>
      <c r="Z150" s="3" t="n">
        <f aca="false">COUNTIF(V150:Y150,"SÍ")</f>
        <v>0</v>
      </c>
      <c r="AA150" s="3" t="n">
        <f aca="false">(3*(V150="SÍ")+2*(W150="SÍ")+2*(X150="SÍ")+(Y150="SÍ"))*IF(LEFT(D150,1)="A",3,IF(OR(LEFT(D150,1)="B",D150="SIN HIST"),2,1))</f>
        <v>0</v>
      </c>
      <c r="AB150" s="3" t="str">
        <f aca="false">IF(AA150&gt;=9,"1-ALTA",IF(AA150&gt;=4,"2-MEDIA",IF(AA150&gt;0,"3-BAJA","")))</f>
        <v/>
      </c>
      <c r="AC150" s="3" t="str">
        <f aca="false">IF(E150="BAJO SS","Stock + XLIB bajo el SS: riesgo real de quiebre, adelantar producción. ","")&amp;IF(E150="BAJO SS (XLIB CUBRE)","Disponible bajo el SS; depende de liberar "&amp;TEXT(J150,"#,##0")&amp;" kg"&amp;IF(ISNUMBER(K150)," el "&amp;TEXT(K150,"dd-mm"),"")&amp;". ","")&amp;IF(W150="SÍ","Stock parece sano pero "&amp;TEXT(L150,"#,##0")&amp;" kg no pasan filtro "&amp;Stock_Seguridad!O150&amp;": sin ellos queda bajo el SS para esa cadena. ","")&amp;IF(E150="SOBRE MAX VENDIBLE","Sobrestock vs vida útil: frenar producción/activar venta. ","")&amp;IF(N(N150)&gt;=Parametros!$B$17,TEXT(N150,"#,##0")&amp;" kg ya no los acepta ninguna cadena: venta intermedia/liquidación. ","")&amp;IF(N(M150)&gt;=Parametros!$B$17,TEXT(M150,"#,##0")&amp;" kg a punto de salir del filtro: despachar primero (FEFO). ","")&amp;IF(Y150="SÍ","Pedidos "&amp;IF(N(U150)&gt;0,"sobre","bajo")&amp;" FCST "&amp;TEXT(ABS(N(U150)),"0%")&amp;": revisar forecast con KAM.","")</f>
        <v/>
      </c>
    </row>
    <row r="151" customFormat="false" ht="15" hidden="false" customHeight="false" outlineLevel="0" collapsed="false">
      <c r="A151" s="18" t="n">
        <f aca="false">Stock_Seguridad!A151</f>
        <v>30000738</v>
      </c>
      <c r="B151" s="18" t="str">
        <f aca="false">Stock_Seguridad!B151</f>
        <v>ARVEJA FDM 8X2KG</v>
      </c>
      <c r="C151" s="18" t="str">
        <f aca="false">Stock_Seguridad!C151</f>
        <v>FRUTAS Y HORTALIZAS CONGELADAS</v>
      </c>
      <c r="D151" s="18" t="str">
        <f aca="false">Stock_Seguridad!F151</f>
        <v>SIN HIST</v>
      </c>
      <c r="E151" s="19" t="str">
        <f aca="false">Stock_Seguridad!X151</f>
        <v>OK</v>
      </c>
      <c r="F151" s="20" t="n">
        <f aca="false">Stock_Seguridad!W151</f>
        <v>12.2228638122735</v>
      </c>
      <c r="G151" s="21" t="n">
        <f aca="false">Stock_Seguridad!T151</f>
        <v>99488</v>
      </c>
      <c r="H151" s="21" t="n">
        <f aca="false">Stock_Seguridad!R151</f>
        <v>4016.48582897145</v>
      </c>
      <c r="I151" s="21" t="n">
        <f aca="false">Stock_Seguridad!S151</f>
        <v>12155.9858289715</v>
      </c>
      <c r="J151" s="21" t="n">
        <f aca="false">Stock_Seguridad!U151</f>
        <v>0</v>
      </c>
      <c r="K151" s="22"/>
      <c r="L151" s="23" t="n">
        <v>0</v>
      </c>
      <c r="M151" s="23" t="n">
        <v>0</v>
      </c>
      <c r="N151" s="23" t="n">
        <v>0</v>
      </c>
      <c r="O151" s="24" t="n">
        <v>0.230947875758658</v>
      </c>
      <c r="P151" s="24" t="str">
        <f aca="false">IF(ISNUMBER(Stock_Seguridad!N151),Stock_Seguridad!N151,"")</f>
        <v/>
      </c>
      <c r="Q151" s="24" t="str">
        <f aca="false">IF(AND(ISNUMBER(O151),ISNUMBER(P151)),P151-O151,"")</f>
        <v/>
      </c>
      <c r="R151" s="23" t="n">
        <f aca="false">MAX(0,G151-N(L151))</f>
        <v>99488</v>
      </c>
      <c r="S151" s="23" t="n">
        <f aca="false">SUMIFS(Cadenas_vs_FCST!$D$17:$D$2437,Cadenas_vs_FCST!$A$17:$A$2437,A151)</f>
        <v>0</v>
      </c>
      <c r="T151" s="23" t="n">
        <f aca="false">SUMIFS(Cadenas_vs_FCST!$E$17:$E$2437,Cadenas_vs_FCST!$A$17:$A$2437,A151)</f>
        <v>0</v>
      </c>
      <c r="U151" s="24" t="str">
        <f aca="false">IF(T151&gt;0,S151/T151-1,"")</f>
        <v/>
      </c>
      <c r="V151" s="3" t="str">
        <f aca="false">IF(OR(E151="BAJO SS",E151="BAJO SS (XLIB CUBRE)"),"SÍ","")</f>
        <v/>
      </c>
      <c r="W151" s="3" t="str">
        <f aca="false">IF(AND(V151="",N(L151)&gt;=Parametros!$B$17,G151&gt;=H151,R151&lt;H151),"SÍ","")</f>
        <v/>
      </c>
      <c r="X151" s="3" t="str">
        <f aca="false">IF(OR(E151="SOBRE MAX VENDIBLE",N(N151)&gt;=Parametros!$B$17,N(M151)&gt;=Parametros!$B$17),"SÍ","")</f>
        <v/>
      </c>
      <c r="Y151" s="3" t="str">
        <f aca="false">IF(AND(ISNUMBER(U151),MAX(S151,T151)&gt;=Parametros!$B$15,ABS(N(U151))&gt;Parametros!$B$14),"SÍ","")</f>
        <v/>
      </c>
      <c r="Z151" s="3" t="n">
        <f aca="false">COUNTIF(V151:Y151,"SÍ")</f>
        <v>0</v>
      </c>
      <c r="AA151" s="3" t="n">
        <f aca="false">(3*(V151="SÍ")+2*(W151="SÍ")+2*(X151="SÍ")+(Y151="SÍ"))*IF(LEFT(D151,1)="A",3,IF(OR(LEFT(D151,1)="B",D151="SIN HIST"),2,1))</f>
        <v>0</v>
      </c>
      <c r="AB151" s="3" t="str">
        <f aca="false">IF(AA151&gt;=9,"1-ALTA",IF(AA151&gt;=4,"2-MEDIA",IF(AA151&gt;0,"3-BAJA","")))</f>
        <v/>
      </c>
      <c r="AC151" s="3" t="str">
        <f aca="false">IF(E151="BAJO SS","Stock + XLIB bajo el SS: riesgo real de quiebre, adelantar producción. ","")&amp;IF(E151="BAJO SS (XLIB CUBRE)","Disponible bajo el SS; depende de liberar "&amp;TEXT(J151,"#,##0")&amp;" kg"&amp;IF(ISNUMBER(K151)," el "&amp;TEXT(K151,"dd-mm"),"")&amp;". ","")&amp;IF(W151="SÍ","Stock parece sano pero "&amp;TEXT(L151,"#,##0")&amp;" kg no pasan filtro "&amp;Stock_Seguridad!O151&amp;": sin ellos queda bajo el SS para esa cadena. ","")&amp;IF(E151="SOBRE MAX VENDIBLE","Sobrestock vs vida útil: frenar producción/activar venta. ","")&amp;IF(N(N151)&gt;=Parametros!$B$17,TEXT(N151,"#,##0")&amp;" kg ya no los acepta ninguna cadena: venta intermedia/liquidación. ","")&amp;IF(N(M151)&gt;=Parametros!$B$17,TEXT(M151,"#,##0")&amp;" kg a punto de salir del filtro: despachar primero (FEFO). ","")&amp;IF(Y151="SÍ","Pedidos "&amp;IF(N(U151)&gt;0,"sobre","bajo")&amp;" FCST "&amp;TEXT(ABS(N(U151)),"0%")&amp;": revisar forecast con KAM.","")</f>
        <v/>
      </c>
    </row>
    <row r="152" customFormat="false" ht="15" hidden="false" customHeight="false" outlineLevel="0" collapsed="false">
      <c r="A152" s="18" t="n">
        <f aca="false">Stock_Seguridad!A152</f>
        <v>30000478</v>
      </c>
      <c r="B152" s="18" t="str">
        <f aca="false">Stock_Seguridad!B152</f>
        <v>CAPPUCCINO LONCOLECHE 12X1LT</v>
      </c>
      <c r="C152" s="18" t="str">
        <f aca="false">Stock_Seguridad!C152</f>
        <v>LECHES LIQUIDAS</v>
      </c>
      <c r="D152" s="18" t="str">
        <f aca="false">Stock_Seguridad!F152</f>
        <v>BX</v>
      </c>
      <c r="E152" s="19" t="str">
        <f aca="false">Stock_Seguridad!X152</f>
        <v>OK</v>
      </c>
      <c r="F152" s="20" t="n">
        <f aca="false">Stock_Seguridad!W152</f>
        <v>2.30815679565239</v>
      </c>
      <c r="G152" s="21" t="n">
        <f aca="false">Stock_Seguridad!T152</f>
        <v>18348</v>
      </c>
      <c r="H152" s="21" t="n">
        <f aca="false">Stock_Seguridad!R152</f>
        <v>2057.88015683008</v>
      </c>
      <c r="I152" s="21" t="n">
        <f aca="false">Stock_Seguridad!S152</f>
        <v>10007.0801568301</v>
      </c>
      <c r="J152" s="21" t="n">
        <f aca="false">Stock_Seguridad!U152</f>
        <v>0</v>
      </c>
      <c r="K152" s="22"/>
      <c r="L152" s="23" t="n">
        <v>240</v>
      </c>
      <c r="M152" s="23" t="n">
        <v>2616</v>
      </c>
      <c r="N152" s="23" t="n">
        <v>0</v>
      </c>
      <c r="O152" s="24" t="n">
        <v>0.103112712975098</v>
      </c>
      <c r="P152" s="24" t="n">
        <f aca="false">IF(ISNUMBER(Stock_Seguridad!N152),Stock_Seguridad!N152,"")</f>
        <v>0.256</v>
      </c>
      <c r="Q152" s="24" t="n">
        <f aca="false">IF(AND(ISNUMBER(O152),ISNUMBER(P152)),P152-O152,"")</f>
        <v>0.152887287024902</v>
      </c>
      <c r="R152" s="23" t="n">
        <f aca="false">MAX(0,G152-N(L152))</f>
        <v>18108</v>
      </c>
      <c r="S152" s="23" t="n">
        <f aca="false">SUMIFS(Cadenas_vs_FCST!$D$17:$D$2437,Cadenas_vs_FCST!$A$17:$A$2437,A152)</f>
        <v>17580</v>
      </c>
      <c r="T152" s="23" t="n">
        <f aca="false">SUMIFS(Cadenas_vs_FCST!$E$17:$E$2437,Cadenas_vs_FCST!$A$17:$A$2437,A152)</f>
        <v>17653.0422169855</v>
      </c>
      <c r="U152" s="24" t="n">
        <f aca="false">IF(T152&gt;0,S152/T152-1,"")</f>
        <v>-0.00413765605314398</v>
      </c>
      <c r="V152" s="3" t="str">
        <f aca="false">IF(OR(E152="BAJO SS",E152="BAJO SS (XLIB CUBRE)"),"SÍ","")</f>
        <v/>
      </c>
      <c r="W152" s="3" t="str">
        <f aca="false">IF(AND(V152="",N(L152)&gt;=Parametros!$B$17,G152&gt;=H152,R152&lt;H152),"SÍ","")</f>
        <v/>
      </c>
      <c r="X152" s="3" t="str">
        <f aca="false">IF(OR(E152="SOBRE MAX VENDIBLE",N(N152)&gt;=Parametros!$B$17,N(M152)&gt;=Parametros!$B$17),"SÍ","")</f>
        <v>SÍ</v>
      </c>
      <c r="Y152" s="3" t="str">
        <f aca="false">IF(AND(ISNUMBER(U152),MAX(S152,T152)&gt;=Parametros!$B$15,ABS(N(U152))&gt;Parametros!$B$14),"SÍ","")</f>
        <v/>
      </c>
      <c r="Z152" s="3" t="n">
        <f aca="false">COUNTIF(V152:Y152,"SÍ")</f>
        <v>1</v>
      </c>
      <c r="AA152" s="3" t="n">
        <f aca="false">(3*(V152="SÍ")+2*(W152="SÍ")+2*(X152="SÍ")+(Y152="SÍ"))*IF(LEFT(D152,1)="A",3,IF(OR(LEFT(D152,1)="B",D152="SIN HIST"),2,1))</f>
        <v>4</v>
      </c>
      <c r="AB152" s="3" t="str">
        <f aca="false">IF(AA152&gt;=9,"1-ALTA",IF(AA152&gt;=4,"2-MEDIA",IF(AA152&gt;0,"3-BAJA","")))</f>
        <v>2-MEDIA</v>
      </c>
      <c r="AC152" s="3" t="str">
        <f aca="false">IF(E152="BAJO SS","Stock + XLIB bajo el SS: riesgo real de quiebre, adelantar producción. ","")&amp;IF(E152="BAJO SS (XLIB CUBRE)","Disponible bajo el SS; depende de liberar "&amp;TEXT(J152,"#,##0")&amp;" kg"&amp;IF(ISNUMBER(K152)," el "&amp;TEXT(K152,"dd-mm"),"")&amp;". ","")&amp;IF(W152="SÍ","Stock parece sano pero "&amp;TEXT(L152,"#,##0")&amp;" kg no pasan filtro "&amp;Stock_Seguridad!O152&amp;": sin ellos queda bajo el SS para esa cadena. ","")&amp;IF(E152="SOBRE MAX VENDIBLE","Sobrestock vs vida útil: frenar producción/activar venta. ","")&amp;IF(N(N152)&gt;=Parametros!$B$17,TEXT(N152,"#,##0")&amp;" kg ya no los acepta ninguna cadena: venta intermedia/liquidación. ","")&amp;IF(N(M152)&gt;=Parametros!$B$17,TEXT(M152,"#,##0")&amp;" kg a punto de salir del filtro: despachar primero (FEFO). ","")&amp;IF(Y152="SÍ","Pedidos "&amp;IF(N(U152)&gt;0,"sobre","bajo")&amp;" FCST "&amp;TEXT(ABS(N(U152)),"0%")&amp;": revisar forecast con KAM.","")</f>
        <v>2,616 kg a punto de salir del filtro: despachar primero (FEFO). </v>
      </c>
    </row>
    <row r="153" customFormat="false" ht="15" hidden="false" customHeight="false" outlineLevel="0" collapsed="false">
      <c r="A153" s="18" t="n">
        <f aca="false">Stock_Seguridad!A153</f>
        <v>30002230</v>
      </c>
      <c r="B153" s="18" t="str">
        <f aca="false">Stock_Seguridad!B153</f>
        <v>NECTAR WATTS MANZANA 5X10X115ML</v>
      </c>
      <c r="C153" s="18" t="str">
        <f aca="false">Stock_Seguridad!C153</f>
        <v>JUGOS Y NECTARES</v>
      </c>
      <c r="D153" s="18" t="str">
        <f aca="false">Stock_Seguridad!F153</f>
        <v>AY</v>
      </c>
      <c r="E153" s="19" t="str">
        <f aca="false">Stock_Seguridad!X153</f>
        <v>OK</v>
      </c>
      <c r="F153" s="20" t="n">
        <f aca="false">Stock_Seguridad!W153</f>
        <v>11.559520781401</v>
      </c>
      <c r="G153" s="21" t="n">
        <f aca="false">Stock_Seguridad!T153</f>
        <v>90890.2</v>
      </c>
      <c r="H153" s="21" t="n">
        <f aca="false">Stock_Seguridad!R153</f>
        <v>10628.0640134703</v>
      </c>
      <c r="I153" s="21" t="n">
        <f aca="false">Stock_Seguridad!S153</f>
        <v>18490.8640134703</v>
      </c>
      <c r="J153" s="21" t="n">
        <f aca="false">Stock_Seguridad!U153</f>
        <v>0</v>
      </c>
      <c r="K153" s="22"/>
      <c r="L153" s="23" t="n">
        <v>626.75</v>
      </c>
      <c r="M153" s="23" t="n">
        <v>4519.5</v>
      </c>
      <c r="N153" s="23" t="n">
        <v>511.75</v>
      </c>
      <c r="O153" s="24" t="n">
        <v>0.0698159043461757</v>
      </c>
      <c r="P153" s="24" t="n">
        <f aca="false">IF(ISNUMBER(Stock_Seguridad!N153),Stock_Seguridad!N153,"")</f>
        <v>0.273972602739726</v>
      </c>
      <c r="Q153" s="24" t="n">
        <f aca="false">IF(AND(ISNUMBER(O153),ISNUMBER(P153)),P153-O153,"")</f>
        <v>0.20415669839355</v>
      </c>
      <c r="R153" s="23" t="n">
        <f aca="false">MAX(0,G153-N(L153))</f>
        <v>90263.45</v>
      </c>
      <c r="S153" s="23" t="n">
        <f aca="false">SUMIFS(Cadenas_vs_FCST!$D$17:$D$2437,Cadenas_vs_FCST!$A$17:$A$2437,A153)</f>
        <v>46115</v>
      </c>
      <c r="T153" s="23" t="n">
        <f aca="false">SUMIFS(Cadenas_vs_FCST!$E$17:$E$2437,Cadenas_vs_FCST!$A$17:$A$2437,A153)</f>
        <v>28773.4470833333</v>
      </c>
      <c r="U153" s="24" t="n">
        <f aca="false">IF(T153&gt;0,S153/T153-1,"")</f>
        <v>0.602692922625581</v>
      </c>
      <c r="V153" s="3" t="str">
        <f aca="false">IF(OR(E153="BAJO SS",E153="BAJO SS (XLIB CUBRE)"),"SÍ","")</f>
        <v/>
      </c>
      <c r="W153" s="3" t="str">
        <f aca="false">IF(AND(V153="",N(L153)&gt;=Parametros!$B$17,G153&gt;=H153,R153&lt;H153),"SÍ","")</f>
        <v/>
      </c>
      <c r="X153" s="3" t="str">
        <f aca="false">IF(OR(E153="SOBRE MAX VENDIBLE",N(N153)&gt;=Parametros!$B$17,N(M153)&gt;=Parametros!$B$17),"SÍ","")</f>
        <v>SÍ</v>
      </c>
      <c r="Y153" s="3" t="str">
        <f aca="false">IF(AND(ISNUMBER(U153),MAX(S153,T153)&gt;=Parametros!$B$15,ABS(N(U153))&gt;Parametros!$B$14),"SÍ","")</f>
        <v>SÍ</v>
      </c>
      <c r="Z153" s="3" t="n">
        <f aca="false">COUNTIF(V153:Y153,"SÍ")</f>
        <v>2</v>
      </c>
      <c r="AA153" s="3" t="n">
        <f aca="false">(3*(V153="SÍ")+2*(W153="SÍ")+2*(X153="SÍ")+(Y153="SÍ"))*IF(LEFT(D153,1)="A",3,IF(OR(LEFT(D153,1)="B",D153="SIN HIST"),2,1))</f>
        <v>9</v>
      </c>
      <c r="AB153" s="3" t="str">
        <f aca="false">IF(AA153&gt;=9,"1-ALTA",IF(AA153&gt;=4,"2-MEDIA",IF(AA153&gt;0,"3-BAJA","")))</f>
        <v>1-ALTA</v>
      </c>
      <c r="AC153" s="3" t="str">
        <f aca="false">IF(E153="BAJO SS","Stock + XLIB bajo el SS: riesgo real de quiebre, adelantar producción. ","")&amp;IF(E153="BAJO SS (XLIB CUBRE)","Disponible bajo el SS; depende de liberar "&amp;TEXT(J153,"#,##0")&amp;" kg"&amp;IF(ISNUMBER(K153)," el "&amp;TEXT(K153,"dd-mm"),"")&amp;". ","")&amp;IF(W153="SÍ","Stock parece sano pero "&amp;TEXT(L153,"#,##0")&amp;" kg no pasan filtro "&amp;Stock_Seguridad!O153&amp;": sin ellos queda bajo el SS para esa cadena. ","")&amp;IF(E153="SOBRE MAX VENDIBLE","Sobrestock vs vida útil: frenar producción/activar venta. ","")&amp;IF(N(N153)&gt;=Parametros!$B$17,TEXT(N153,"#,##0")&amp;" kg ya no los acepta ninguna cadena: venta intermedia/liquidación. ","")&amp;IF(N(M153)&gt;=Parametros!$B$17,TEXT(M153,"#,##0")&amp;" kg a punto de salir del filtro: despachar primero (FEFO). ","")&amp;IF(Y153="SÍ","Pedidos "&amp;IF(N(U153)&gt;0,"sobre","bajo")&amp;" FCST "&amp;TEXT(ABS(N(U153)),"0%")&amp;": revisar forecast con KAM.","")</f>
        <v>512 kg ya no los acepta ninguna cadena: venta intermedia/liquidación. 4,520 kg a punto de salir del filtro: despachar primero (FEFO). Pedidos sobre FCST 60%: revisar forecast con KAM.</v>
      </c>
    </row>
    <row r="154" customFormat="false" ht="15" hidden="false" customHeight="false" outlineLevel="0" collapsed="false">
      <c r="A154" s="18" t="n">
        <f aca="false">Stock_Seguridad!A154</f>
        <v>30000433</v>
      </c>
      <c r="B154" s="18" t="str">
        <f aca="false">Stock_Seguridad!B154</f>
        <v>PREPARADO HELADO G&amp;N CHOCOLATE 1X10KG</v>
      </c>
      <c r="C154" s="18" t="str">
        <f aca="false">Stock_Seguridad!C154</f>
        <v>PREPARADOS DE HELADO</v>
      </c>
      <c r="D154" s="18" t="str">
        <f aca="false">Stock_Seguridad!F154</f>
        <v>SIN HIST</v>
      </c>
      <c r="E154" s="19" t="str">
        <f aca="false">Stock_Seguridad!X154</f>
        <v>OK</v>
      </c>
      <c r="F154" s="20" t="n">
        <f aca="false">Stock_Seguridad!W154</f>
        <v>5.6056499530908</v>
      </c>
      <c r="G154" s="21" t="n">
        <f aca="false">Stock_Seguridad!T154</f>
        <v>20210</v>
      </c>
      <c r="H154" s="21" t="n">
        <f aca="false">Stock_Seguridad!R154</f>
        <v>3786.97940240291</v>
      </c>
      <c r="I154" s="21" t="n">
        <f aca="false">Stock_Seguridad!S154</f>
        <v>11461.3794024029</v>
      </c>
      <c r="J154" s="21" t="n">
        <f aca="false">Stock_Seguridad!U154</f>
        <v>22810</v>
      </c>
      <c r="K154" s="22" t="n">
        <v>46320</v>
      </c>
      <c r="L154" s="23" t="n">
        <v>0</v>
      </c>
      <c r="M154" s="23" t="n">
        <v>1160</v>
      </c>
      <c r="N154" s="23" t="n">
        <v>0</v>
      </c>
      <c r="O154" s="24" t="n">
        <v>0.031255230125523</v>
      </c>
      <c r="P154" s="24" t="n">
        <f aca="false">IF(ISNUMBER(Stock_Seguridad!N154),Stock_Seguridad!N154,"")</f>
        <v>0.271739130434783</v>
      </c>
      <c r="Q154" s="24" t="n">
        <f aca="false">IF(AND(ISNUMBER(O154),ISNUMBER(P154)),P154-O154,"")</f>
        <v>0.24048390030926</v>
      </c>
      <c r="R154" s="23" t="n">
        <f aca="false">MAX(0,G154-N(L154))</f>
        <v>20210</v>
      </c>
      <c r="S154" s="23" t="n">
        <f aca="false">SUMIFS(Cadenas_vs_FCST!$D$17:$D$2437,Cadenas_vs_FCST!$A$17:$A$2437,A154)</f>
        <v>0</v>
      </c>
      <c r="T154" s="23" t="n">
        <f aca="false">SUMIFS(Cadenas_vs_FCST!$E$17:$E$2437,Cadenas_vs_FCST!$A$17:$A$2437,A154)</f>
        <v>0</v>
      </c>
      <c r="U154" s="24" t="str">
        <f aca="false">IF(T154&gt;0,S154/T154-1,"")</f>
        <v/>
      </c>
      <c r="V154" s="3" t="str">
        <f aca="false">IF(OR(E154="BAJO SS",E154="BAJO SS (XLIB CUBRE)"),"SÍ","")</f>
        <v/>
      </c>
      <c r="W154" s="3" t="str">
        <f aca="false">IF(AND(V154="",N(L154)&gt;=Parametros!$B$17,G154&gt;=H154,R154&lt;H154),"SÍ","")</f>
        <v/>
      </c>
      <c r="X154" s="3" t="str">
        <f aca="false">IF(OR(E154="SOBRE MAX VENDIBLE",N(N154)&gt;=Parametros!$B$17,N(M154)&gt;=Parametros!$B$17),"SÍ","")</f>
        <v>SÍ</v>
      </c>
      <c r="Y154" s="3" t="str">
        <f aca="false">IF(AND(ISNUMBER(U154),MAX(S154,T154)&gt;=Parametros!$B$15,ABS(N(U154))&gt;Parametros!$B$14),"SÍ","")</f>
        <v/>
      </c>
      <c r="Z154" s="3" t="n">
        <f aca="false">COUNTIF(V154:Y154,"SÍ")</f>
        <v>1</v>
      </c>
      <c r="AA154" s="3" t="n">
        <f aca="false">(3*(V154="SÍ")+2*(W154="SÍ")+2*(X154="SÍ")+(Y154="SÍ"))*IF(LEFT(D154,1)="A",3,IF(OR(LEFT(D154,1)="B",D154="SIN HIST"),2,1))</f>
        <v>4</v>
      </c>
      <c r="AB154" s="3" t="str">
        <f aca="false">IF(AA154&gt;=9,"1-ALTA",IF(AA154&gt;=4,"2-MEDIA",IF(AA154&gt;0,"3-BAJA","")))</f>
        <v>2-MEDIA</v>
      </c>
      <c r="AC154" s="3" t="str">
        <f aca="false">IF(E154="BAJO SS","Stock + XLIB bajo el SS: riesgo real de quiebre, adelantar producción. ","")&amp;IF(E154="BAJO SS (XLIB CUBRE)","Disponible bajo el SS; depende de liberar "&amp;TEXT(J154,"#,##0")&amp;" kg"&amp;IF(ISNUMBER(K154)," el "&amp;TEXT(K154,"dd-mm"),"")&amp;". ","")&amp;IF(W154="SÍ","Stock parece sano pero "&amp;TEXT(L154,"#,##0")&amp;" kg no pasan filtro "&amp;Stock_Seguridad!O154&amp;": sin ellos queda bajo el SS para esa cadena. ","")&amp;IF(E154="SOBRE MAX VENDIBLE","Sobrestock vs vida útil: frenar producción/activar venta. ","")&amp;IF(N(N154)&gt;=Parametros!$B$17,TEXT(N154,"#,##0")&amp;" kg ya no los acepta ninguna cadena: venta intermedia/liquidación. ","")&amp;IF(N(M154)&gt;=Parametros!$B$17,TEXT(M154,"#,##0")&amp;" kg a punto de salir del filtro: despachar primero (FEFO). ","")&amp;IF(Y154="SÍ","Pedidos "&amp;IF(N(U154)&gt;0,"sobre","bajo")&amp;" FCST "&amp;TEXT(ABS(N(U154)),"0%")&amp;": revisar forecast con KAM.","")</f>
        <v>1,160 kg a punto de salir del filtro: despachar primero (FEFO). </v>
      </c>
    </row>
    <row r="155" customFormat="false" ht="15" hidden="false" customHeight="false" outlineLevel="0" collapsed="false">
      <c r="A155" s="18" t="n">
        <f aca="false">Stock_Seguridad!A155</f>
        <v>30001689</v>
      </c>
      <c r="B155" s="18" t="str">
        <f aca="false">Stock_Seguridad!B155</f>
        <v>QUESO LPV CHANCO 12X434 GR</v>
      </c>
      <c r="C155" s="18" t="str">
        <f aca="false">Stock_Seguridad!C155</f>
        <v>QUESOS</v>
      </c>
      <c r="D155" s="18" t="str">
        <f aca="false">Stock_Seguridad!F155</f>
        <v>BX</v>
      </c>
      <c r="E155" s="19" t="str">
        <f aca="false">Stock_Seguridad!X155</f>
        <v>OK</v>
      </c>
      <c r="F155" s="20" t="n">
        <f aca="false">Stock_Seguridad!W155</f>
        <v>2.40205598314942</v>
      </c>
      <c r="G155" s="21" t="n">
        <f aca="false">Stock_Seguridad!T155</f>
        <v>18132.4</v>
      </c>
      <c r="H155" s="21" t="n">
        <f aca="false">Stock_Seguridad!R155</f>
        <v>4430.40530471856</v>
      </c>
      <c r="I155" s="21" t="n">
        <f aca="false">Stock_Seguridad!S155</f>
        <v>11979.1053047186</v>
      </c>
      <c r="J155" s="21" t="n">
        <f aca="false">Stock_Seguridad!U155</f>
        <v>0</v>
      </c>
      <c r="K155" s="22"/>
      <c r="L155" s="23" t="n">
        <v>5.2</v>
      </c>
      <c r="M155" s="23" t="n">
        <v>10.4</v>
      </c>
      <c r="N155" s="23" t="n">
        <v>0</v>
      </c>
      <c r="O155" s="24" t="n">
        <v>0.065379982793232</v>
      </c>
      <c r="P155" s="24" t="n">
        <f aca="false">IF(ISNUMBER(Stock_Seguridad!N155),Stock_Seguridad!N155,"")</f>
        <v>0.315217391304348</v>
      </c>
      <c r="Q155" s="24" t="n">
        <f aca="false">IF(AND(ISNUMBER(O155),ISNUMBER(P155)),P155-O155,"")</f>
        <v>0.249837408511116</v>
      </c>
      <c r="R155" s="23" t="n">
        <f aca="false">MAX(0,G155-N(L155))</f>
        <v>18127.2</v>
      </c>
      <c r="S155" s="23" t="n">
        <f aca="false">SUMIFS(Cadenas_vs_FCST!$D$17:$D$2437,Cadenas_vs_FCST!$A$17:$A$2437,A155)</f>
        <v>24044.8</v>
      </c>
      <c r="T155" s="23" t="n">
        <f aca="false">SUMIFS(Cadenas_vs_FCST!$E$17:$E$2437,Cadenas_vs_FCST!$A$17:$A$2437,A155)</f>
        <v>25443.1091332794</v>
      </c>
      <c r="U155" s="24" t="n">
        <f aca="false">IF(T155&gt;0,S155/T155-1,"")</f>
        <v>-0.0549582649649696</v>
      </c>
      <c r="V155" s="3" t="str">
        <f aca="false">IF(OR(E155="BAJO SS",E155="BAJO SS (XLIB CUBRE)"),"SÍ","")</f>
        <v/>
      </c>
      <c r="W155" s="3" t="str">
        <f aca="false">IF(AND(V155="",N(L155)&gt;=Parametros!$B$17,G155&gt;=H155,R155&lt;H155),"SÍ","")</f>
        <v/>
      </c>
      <c r="X155" s="3" t="str">
        <f aca="false">IF(OR(E155="SOBRE MAX VENDIBLE",N(N155)&gt;=Parametros!$B$17,N(M155)&gt;=Parametros!$B$17),"SÍ","")</f>
        <v/>
      </c>
      <c r="Y155" s="3" t="str">
        <f aca="false">IF(AND(ISNUMBER(U155),MAX(S155,T155)&gt;=Parametros!$B$15,ABS(N(U155))&gt;Parametros!$B$14),"SÍ","")</f>
        <v/>
      </c>
      <c r="Z155" s="3" t="n">
        <f aca="false">COUNTIF(V155:Y155,"SÍ")</f>
        <v>0</v>
      </c>
      <c r="AA155" s="3" t="n">
        <f aca="false">(3*(V155="SÍ")+2*(W155="SÍ")+2*(X155="SÍ")+(Y155="SÍ"))*IF(LEFT(D155,1)="A",3,IF(OR(LEFT(D155,1)="B",D155="SIN HIST"),2,1))</f>
        <v>0</v>
      </c>
      <c r="AB155" s="3" t="str">
        <f aca="false">IF(AA155&gt;=9,"1-ALTA",IF(AA155&gt;=4,"2-MEDIA",IF(AA155&gt;0,"3-BAJA","")))</f>
        <v/>
      </c>
      <c r="AC155" s="3" t="str">
        <f aca="false">IF(E155="BAJO SS","Stock + XLIB bajo el SS: riesgo real de quiebre, adelantar producción. ","")&amp;IF(E155="BAJO SS (XLIB CUBRE)","Disponible bajo el SS; depende de liberar "&amp;TEXT(J155,"#,##0")&amp;" kg"&amp;IF(ISNUMBER(K155)," el "&amp;TEXT(K155,"dd-mm"),"")&amp;". ","")&amp;IF(W155="SÍ","Stock parece sano pero "&amp;TEXT(L155,"#,##0")&amp;" kg no pasan filtro "&amp;Stock_Seguridad!O155&amp;": sin ellos queda bajo el SS para esa cadena. ","")&amp;IF(E155="SOBRE MAX VENDIBLE","Sobrestock vs vida útil: frenar producción/activar venta. ","")&amp;IF(N(N155)&gt;=Parametros!$B$17,TEXT(N155,"#,##0")&amp;" kg ya no los acepta ninguna cadena: venta intermedia/liquidación. ","")&amp;IF(N(M155)&gt;=Parametros!$B$17,TEXT(M155,"#,##0")&amp;" kg a punto de salir del filtro: despachar primero (FEFO). ","")&amp;IF(Y155="SÍ","Pedidos "&amp;IF(N(U155)&gt;0,"sobre","bajo")&amp;" FCST "&amp;TEXT(ABS(N(U155)),"0%")&amp;": revisar forecast con KAM.","")</f>
        <v/>
      </c>
    </row>
    <row r="156" customFormat="false" ht="15" hidden="false" customHeight="false" outlineLevel="0" collapsed="false">
      <c r="A156" s="18" t="n">
        <f aca="false">Stock_Seguridad!A156</f>
        <v>30002286</v>
      </c>
      <c r="B156" s="18" t="str">
        <f aca="false">Stock_Seguridad!B156</f>
        <v>YOGURT DANONE CRUNCH M&amp;M 12X138G</v>
      </c>
      <c r="C156" s="18" t="str">
        <f aca="false">Stock_Seguridad!C156</f>
        <v>YOGURT</v>
      </c>
      <c r="D156" s="18" t="str">
        <f aca="false">Stock_Seguridad!F156</f>
        <v>AX</v>
      </c>
      <c r="E156" s="19" t="str">
        <f aca="false">Stock_Seguridad!X156</f>
        <v>BAJO P.REORDEN</v>
      </c>
      <c r="F156" s="20" t="n">
        <f aca="false">Stock_Seguridad!W156</f>
        <v>1.16428</v>
      </c>
      <c r="G156" s="21" t="n">
        <f aca="false">Stock_Seguridad!T156</f>
        <v>8732.1</v>
      </c>
      <c r="H156" s="21" t="n">
        <f aca="false">Stock_Seguridad!R156</f>
        <v>4842.28738899096</v>
      </c>
      <c r="I156" s="21" t="n">
        <f aca="false">Stock_Seguridad!S156</f>
        <v>12342.287388991</v>
      </c>
      <c r="J156" s="21" t="n">
        <f aca="false">Stock_Seguridad!U156</f>
        <v>0</v>
      </c>
      <c r="K156" s="22"/>
      <c r="L156" s="23" t="n">
        <v>0</v>
      </c>
      <c r="M156" s="23" t="n">
        <v>0</v>
      </c>
      <c r="N156" s="23" t="n">
        <v>0</v>
      </c>
      <c r="O156" s="24" t="n">
        <v>0.172283330172577</v>
      </c>
      <c r="P156" s="24" t="str">
        <f aca="false">IF(ISNUMBER(Stock_Seguridad!N156),Stock_Seguridad!N156,"")</f>
        <v/>
      </c>
      <c r="Q156" s="24" t="str">
        <f aca="false">IF(AND(ISNUMBER(O156),ISNUMBER(P156)),P156-O156,"")</f>
        <v/>
      </c>
      <c r="R156" s="23" t="n">
        <f aca="false">MAX(0,G156-N(L156))</f>
        <v>8732.1</v>
      </c>
      <c r="S156" s="23" t="n">
        <f aca="false">SUMIFS(Cadenas_vs_FCST!$D$17:$D$2437,Cadenas_vs_FCST!$A$17:$A$2437,A156)</f>
        <v>31220.568</v>
      </c>
      <c r="T156" s="23" t="n">
        <f aca="false">SUMIFS(Cadenas_vs_FCST!$E$17:$E$2437,Cadenas_vs_FCST!$A$17:$A$2437,A156)</f>
        <v>31250.6170221766</v>
      </c>
      <c r="U156" s="24" t="n">
        <f aca="false">IF(T156&gt;0,S156/T156-1,"")</f>
        <v>-0.000961549724131094</v>
      </c>
      <c r="V156" s="3" t="str">
        <f aca="false">IF(OR(E156="BAJO SS",E156="BAJO SS (XLIB CUBRE)"),"SÍ","")</f>
        <v/>
      </c>
      <c r="W156" s="3" t="str">
        <f aca="false">IF(AND(V156="",N(L156)&gt;=Parametros!$B$17,G156&gt;=H156,R156&lt;H156),"SÍ","")</f>
        <v/>
      </c>
      <c r="X156" s="3" t="str">
        <f aca="false">IF(OR(E156="SOBRE MAX VENDIBLE",N(N156)&gt;=Parametros!$B$17,N(M156)&gt;=Parametros!$B$17),"SÍ","")</f>
        <v/>
      </c>
      <c r="Y156" s="3" t="str">
        <f aca="false">IF(AND(ISNUMBER(U156),MAX(S156,T156)&gt;=Parametros!$B$15,ABS(N(U156))&gt;Parametros!$B$14),"SÍ","")</f>
        <v/>
      </c>
      <c r="Z156" s="3" t="n">
        <f aca="false">COUNTIF(V156:Y156,"SÍ")</f>
        <v>0</v>
      </c>
      <c r="AA156" s="3" t="n">
        <f aca="false">(3*(V156="SÍ")+2*(W156="SÍ")+2*(X156="SÍ")+(Y156="SÍ"))*IF(LEFT(D156,1)="A",3,IF(OR(LEFT(D156,1)="B",D156="SIN HIST"),2,1))</f>
        <v>0</v>
      </c>
      <c r="AB156" s="3" t="str">
        <f aca="false">IF(AA156&gt;=9,"1-ALTA",IF(AA156&gt;=4,"2-MEDIA",IF(AA156&gt;0,"3-BAJA","")))</f>
        <v/>
      </c>
      <c r="AC156" s="3" t="str">
        <f aca="false">IF(E156="BAJO SS","Stock + XLIB bajo el SS: riesgo real de quiebre, adelantar producción. ","")&amp;IF(E156="BAJO SS (XLIB CUBRE)","Disponible bajo el SS; depende de liberar "&amp;TEXT(J156,"#,##0")&amp;" kg"&amp;IF(ISNUMBER(K156)," el "&amp;TEXT(K156,"dd-mm"),"")&amp;". ","")&amp;IF(W156="SÍ","Stock parece sano pero "&amp;TEXT(L156,"#,##0")&amp;" kg no pasan filtro "&amp;Stock_Seguridad!O156&amp;": sin ellos queda bajo el SS para esa cadena. ","")&amp;IF(E156="SOBRE MAX VENDIBLE","Sobrestock vs vida útil: frenar producción/activar venta. ","")&amp;IF(N(N156)&gt;=Parametros!$B$17,TEXT(N156,"#,##0")&amp;" kg ya no los acepta ninguna cadena: venta intermedia/liquidación. ","")&amp;IF(N(M156)&gt;=Parametros!$B$17,TEXT(M156,"#,##0")&amp;" kg a punto de salir del filtro: despachar primero (FEFO). ","")&amp;IF(Y156="SÍ","Pedidos "&amp;IF(N(U156)&gt;0,"sobre","bajo")&amp;" FCST "&amp;TEXT(ABS(N(U156)),"0%")&amp;": revisar forecast con KAM.","")</f>
        <v/>
      </c>
    </row>
    <row r="157" customFormat="false" ht="15" hidden="false" customHeight="false" outlineLevel="0" collapsed="false">
      <c r="A157" s="18" t="n">
        <f aca="false">Stock_Seguridad!A157</f>
        <v>30002347</v>
      </c>
      <c r="B157" s="18" t="str">
        <f aca="false">Stock_Seguridad!B157</f>
        <v>QUESO LPV CHANCO 4 PIEZAS 2,5KG</v>
      </c>
      <c r="C157" s="18" t="str">
        <f aca="false">Stock_Seguridad!C157</f>
        <v>QUESOS</v>
      </c>
      <c r="D157" s="18" t="str">
        <f aca="false">Stock_Seguridad!F157</f>
        <v>AY</v>
      </c>
      <c r="E157" s="19" t="str">
        <f aca="false">Stock_Seguridad!X157</f>
        <v>OK</v>
      </c>
      <c r="F157" s="20" t="n">
        <f aca="false">Stock_Seguridad!W157</f>
        <v>8.05866666666667</v>
      </c>
      <c r="G157" s="21" t="n">
        <f aca="false">Stock_Seguridad!T157</f>
        <v>26700</v>
      </c>
      <c r="H157" s="21" t="n">
        <f aca="false">Stock_Seguridad!R157</f>
        <v>18122.3306595032</v>
      </c>
      <c r="I157" s="21" t="n">
        <f aca="false">Stock_Seguridad!S157</f>
        <v>25622.3306595032</v>
      </c>
      <c r="J157" s="21" t="n">
        <f aca="false">Stock_Seguridad!U157</f>
        <v>33740</v>
      </c>
      <c r="K157" s="22" t="n">
        <v>46323</v>
      </c>
      <c r="L157" s="23" t="n">
        <v>0</v>
      </c>
      <c r="M157" s="23" t="n">
        <v>0</v>
      </c>
      <c r="N157" s="23" t="n">
        <v>0</v>
      </c>
      <c r="O157" s="24" t="n">
        <v>0.103813699536731</v>
      </c>
      <c r="P157" s="24" t="str">
        <f aca="false">IF(ISNUMBER(Stock_Seguridad!N157),Stock_Seguridad!N157,"")</f>
        <v/>
      </c>
      <c r="Q157" s="24" t="str">
        <f aca="false">IF(AND(ISNUMBER(O157),ISNUMBER(P157)),P157-O157,"")</f>
        <v/>
      </c>
      <c r="R157" s="23" t="n">
        <f aca="false">MAX(0,G157-N(L157))</f>
        <v>26700</v>
      </c>
      <c r="S157" s="23" t="n">
        <f aca="false">SUMIFS(Cadenas_vs_FCST!$D$17:$D$2437,Cadenas_vs_FCST!$A$17:$A$2437,A157)</f>
        <v>48423</v>
      </c>
      <c r="T157" s="23" t="n">
        <f aca="false">SUMIFS(Cadenas_vs_FCST!$E$17:$E$2437,Cadenas_vs_FCST!$A$17:$A$2437,A157)</f>
        <v>45327.9169036536</v>
      </c>
      <c r="U157" s="24" t="n">
        <f aca="false">IF(T157&gt;0,S157/T157-1,"")</f>
        <v>0.0682820501750632</v>
      </c>
      <c r="V157" s="3" t="str">
        <f aca="false">IF(OR(E157="BAJO SS",E157="BAJO SS (XLIB CUBRE)"),"SÍ","")</f>
        <v/>
      </c>
      <c r="W157" s="3" t="str">
        <f aca="false">IF(AND(V157="",N(L157)&gt;=Parametros!$B$17,G157&gt;=H157,R157&lt;H157),"SÍ","")</f>
        <v/>
      </c>
      <c r="X157" s="3" t="str">
        <f aca="false">IF(OR(E157="SOBRE MAX VENDIBLE",N(N157)&gt;=Parametros!$B$17,N(M157)&gt;=Parametros!$B$17),"SÍ","")</f>
        <v/>
      </c>
      <c r="Y157" s="3" t="str">
        <f aca="false">IF(AND(ISNUMBER(U157),MAX(S157,T157)&gt;=Parametros!$B$15,ABS(N(U157))&gt;Parametros!$B$14),"SÍ","")</f>
        <v/>
      </c>
      <c r="Z157" s="3" t="n">
        <f aca="false">COUNTIF(V157:Y157,"SÍ")</f>
        <v>0</v>
      </c>
      <c r="AA157" s="3" t="n">
        <f aca="false">(3*(V157="SÍ")+2*(W157="SÍ")+2*(X157="SÍ")+(Y157="SÍ"))*IF(LEFT(D157,1)="A",3,IF(OR(LEFT(D157,1)="B",D157="SIN HIST"),2,1))</f>
        <v>0</v>
      </c>
      <c r="AB157" s="3" t="str">
        <f aca="false">IF(AA157&gt;=9,"1-ALTA",IF(AA157&gt;=4,"2-MEDIA",IF(AA157&gt;0,"3-BAJA","")))</f>
        <v/>
      </c>
      <c r="AC157" s="3" t="str">
        <f aca="false">IF(E157="BAJO SS","Stock + XLIB bajo el SS: riesgo real de quiebre, adelantar producción. ","")&amp;IF(E157="BAJO SS (XLIB CUBRE)","Disponible bajo el SS; depende de liberar "&amp;TEXT(J157,"#,##0")&amp;" kg"&amp;IF(ISNUMBER(K157)," el "&amp;TEXT(K157,"dd-mm"),"")&amp;". ","")&amp;IF(W157="SÍ","Stock parece sano pero "&amp;TEXT(L157,"#,##0")&amp;" kg no pasan filtro "&amp;Stock_Seguridad!O157&amp;": sin ellos queda bajo el SS para esa cadena. ","")&amp;IF(E157="SOBRE MAX VENDIBLE","Sobrestock vs vida útil: frenar producción/activar venta. ","")&amp;IF(N(N157)&gt;=Parametros!$B$17,TEXT(N157,"#,##0")&amp;" kg ya no los acepta ninguna cadena: venta intermedia/liquidación. ","")&amp;IF(N(M157)&gt;=Parametros!$B$17,TEXT(M157,"#,##0")&amp;" kg a punto de salir del filtro: despachar primero (FEFO). ","")&amp;IF(Y157="SÍ","Pedidos "&amp;IF(N(U157)&gt;0,"sobre","bajo")&amp;" FCST "&amp;TEXT(ABS(N(U157)),"0%")&amp;": revisar forecast con KAM.","")</f>
        <v/>
      </c>
    </row>
    <row r="158" customFormat="false" ht="15" hidden="false" customHeight="false" outlineLevel="0" collapsed="false">
      <c r="A158" s="18" t="n">
        <f aca="false">Stock_Seguridad!A158</f>
        <v>30001508</v>
      </c>
      <c r="B158" s="18" t="str">
        <f aca="false">Stock_Seguridad!B158</f>
        <v>YOGURT YOGU YOGU MORA TETRA 5X6X115GR</v>
      </c>
      <c r="C158" s="18" t="str">
        <f aca="false">Stock_Seguridad!C158</f>
        <v>YOGURT</v>
      </c>
      <c r="D158" s="18" t="str">
        <f aca="false">Stock_Seguridad!F158</f>
        <v>AX</v>
      </c>
      <c r="E158" s="19" t="str">
        <f aca="false">Stock_Seguridad!X158</f>
        <v>OK</v>
      </c>
      <c r="F158" s="20" t="n">
        <f aca="false">Stock_Seguridad!W158</f>
        <v>2.49640672170126</v>
      </c>
      <c r="G158" s="21" t="n">
        <f aca="false">Stock_Seguridad!T158</f>
        <v>11719.6</v>
      </c>
      <c r="H158" s="21" t="n">
        <f aca="false">Stock_Seguridad!R158</f>
        <v>2576.93080152825</v>
      </c>
      <c r="I158" s="21" t="n">
        <f aca="false">Stock_Seguridad!S158</f>
        <v>10063.1308015283</v>
      </c>
      <c r="J158" s="21" t="n">
        <f aca="false">Stock_Seguridad!U158</f>
        <v>6969</v>
      </c>
      <c r="K158" s="22" t="n">
        <v>46318</v>
      </c>
      <c r="L158" s="23" t="n">
        <v>897</v>
      </c>
      <c r="M158" s="23" t="n">
        <v>1207.5</v>
      </c>
      <c r="N158" s="23" t="n">
        <v>27.6</v>
      </c>
      <c r="O158" s="24" t="n">
        <v>0.0996901669758813</v>
      </c>
      <c r="P158" s="24" t="n">
        <f aca="false">IF(ISNUMBER(Stock_Seguridad!N158),Stock_Seguridad!N158,"")</f>
        <v>0.26027397260274</v>
      </c>
      <c r="Q158" s="24" t="n">
        <f aca="false">IF(AND(ISNUMBER(O158),ISNUMBER(P158)),P158-O158,"")</f>
        <v>0.160583805626859</v>
      </c>
      <c r="R158" s="23" t="n">
        <f aca="false">MAX(0,G158-N(L158))</f>
        <v>10822.6</v>
      </c>
      <c r="S158" s="23" t="n">
        <f aca="false">SUMIFS(Cadenas_vs_FCST!$D$17:$D$2437,Cadenas_vs_FCST!$A$17:$A$2437,A158)</f>
        <v>30194.4</v>
      </c>
      <c r="T158" s="23" t="n">
        <f aca="false">SUMIFS(Cadenas_vs_FCST!$E$17:$E$2437,Cadenas_vs_FCST!$A$17:$A$2437,A158)</f>
        <v>29837.9282615674</v>
      </c>
      <c r="U158" s="24" t="n">
        <f aca="false">IF(T158&gt;0,S158/T158-1,"")</f>
        <v>0.0119469332893254</v>
      </c>
      <c r="V158" s="3" t="str">
        <f aca="false">IF(OR(E158="BAJO SS",E158="BAJO SS (XLIB CUBRE)"),"SÍ","")</f>
        <v/>
      </c>
      <c r="W158" s="3" t="str">
        <f aca="false">IF(AND(V158="",N(L158)&gt;=Parametros!$B$17,G158&gt;=H158,R158&lt;H158),"SÍ","")</f>
        <v/>
      </c>
      <c r="X158" s="3" t="str">
        <f aca="false">IF(OR(E158="SOBRE MAX VENDIBLE",N(N158)&gt;=Parametros!$B$17,N(M158)&gt;=Parametros!$B$17),"SÍ","")</f>
        <v>SÍ</v>
      </c>
      <c r="Y158" s="3" t="str">
        <f aca="false">IF(AND(ISNUMBER(U158),MAX(S158,T158)&gt;=Parametros!$B$15,ABS(N(U158))&gt;Parametros!$B$14),"SÍ","")</f>
        <v/>
      </c>
      <c r="Z158" s="3" t="n">
        <f aca="false">COUNTIF(V158:Y158,"SÍ")</f>
        <v>1</v>
      </c>
      <c r="AA158" s="3" t="n">
        <f aca="false">(3*(V158="SÍ")+2*(W158="SÍ")+2*(X158="SÍ")+(Y158="SÍ"))*IF(LEFT(D158,1)="A",3,IF(OR(LEFT(D158,1)="B",D158="SIN HIST"),2,1))</f>
        <v>6</v>
      </c>
      <c r="AB158" s="3" t="str">
        <f aca="false">IF(AA158&gt;=9,"1-ALTA",IF(AA158&gt;=4,"2-MEDIA",IF(AA158&gt;0,"3-BAJA","")))</f>
        <v>2-MEDIA</v>
      </c>
      <c r="AC158" s="3" t="str">
        <f aca="false">IF(E158="BAJO SS","Stock + XLIB bajo el SS: riesgo real de quiebre, adelantar producción. ","")&amp;IF(E158="BAJO SS (XLIB CUBRE)","Disponible bajo el SS; depende de liberar "&amp;TEXT(J158,"#,##0")&amp;" kg"&amp;IF(ISNUMBER(K158)," el "&amp;TEXT(K158,"dd-mm"),"")&amp;". ","")&amp;IF(W158="SÍ","Stock parece sano pero "&amp;TEXT(L158,"#,##0")&amp;" kg no pasan filtro "&amp;Stock_Seguridad!O158&amp;": sin ellos queda bajo el SS para esa cadena. ","")&amp;IF(E158="SOBRE MAX VENDIBLE","Sobrestock vs vida útil: frenar producción/activar venta. ","")&amp;IF(N(N158)&gt;=Parametros!$B$17,TEXT(N158,"#,##0")&amp;" kg ya no los acepta ninguna cadena: venta intermedia/liquidación. ","")&amp;IF(N(M158)&gt;=Parametros!$B$17,TEXT(M158,"#,##0")&amp;" kg a punto de salir del filtro: despachar primero (FEFO). ","")&amp;IF(Y158="SÍ","Pedidos "&amp;IF(N(U158)&gt;0,"sobre","bajo")&amp;" FCST "&amp;TEXT(ABS(N(U158)),"0%")&amp;": revisar forecast con KAM.","")</f>
        <v>1,208 kg a punto de salir del filtro: despachar primero (FEFO). </v>
      </c>
    </row>
    <row r="159" customFormat="false" ht="15" hidden="false" customHeight="false" outlineLevel="0" collapsed="false">
      <c r="A159" s="18" t="n">
        <f aca="false">Stock_Seguridad!A159</f>
        <v>30002165</v>
      </c>
      <c r="B159" s="18" t="str">
        <f aca="false">Stock_Seguridad!B159</f>
        <v>YOGURT LONCO PROTEIN NAT N/END 24X140G</v>
      </c>
      <c r="C159" s="18" t="str">
        <f aca="false">Stock_Seguridad!C159</f>
        <v>YOGURT</v>
      </c>
      <c r="D159" s="18" t="str">
        <f aca="false">Stock_Seguridad!F159</f>
        <v>AX</v>
      </c>
      <c r="E159" s="19" t="str">
        <f aca="false">Stock_Seguridad!X159</f>
        <v>BAJO SS</v>
      </c>
      <c r="F159" s="20" t="n">
        <f aca="false">Stock_Seguridad!W159</f>
        <v>0.0027269290998434</v>
      </c>
      <c r="G159" s="21" t="n">
        <f aca="false">Stock_Seguridad!T159</f>
        <v>20.2</v>
      </c>
      <c r="H159" s="21" t="n">
        <f aca="false">Stock_Seguridad!R159</f>
        <v>3431.14120763348</v>
      </c>
      <c r="I159" s="21" t="n">
        <f aca="false">Stock_Seguridad!S159</f>
        <v>10838.7412076335</v>
      </c>
      <c r="J159" s="21" t="n">
        <f aca="false">Stock_Seguridad!U159</f>
        <v>0</v>
      </c>
      <c r="K159" s="22"/>
      <c r="L159" s="23" t="n">
        <v>20.16</v>
      </c>
      <c r="M159" s="23" t="n">
        <v>0</v>
      </c>
      <c r="N159" s="23" t="n">
        <v>0</v>
      </c>
      <c r="O159" s="24" t="n">
        <v>0.33</v>
      </c>
      <c r="P159" s="24" t="n">
        <f aca="false">IF(ISNUMBER(Stock_Seguridad!N159),Stock_Seguridad!N159,"")</f>
        <v>0.183333333333333</v>
      </c>
      <c r="Q159" s="24" t="n">
        <f aca="false">IF(AND(ISNUMBER(O159),ISNUMBER(P159)),P159-O159,"")</f>
        <v>-0.146666666666667</v>
      </c>
      <c r="R159" s="23" t="n">
        <f aca="false">MAX(0,G159-N(L159))</f>
        <v>0.0399999999999992</v>
      </c>
      <c r="S159" s="23" t="n">
        <f aca="false">SUMIFS(Cadenas_vs_FCST!$D$17:$D$2437,Cadenas_vs_FCST!$A$17:$A$2437,A159)</f>
        <v>35532</v>
      </c>
      <c r="T159" s="23" t="n">
        <f aca="false">SUMIFS(Cadenas_vs_FCST!$E$17:$E$2437,Cadenas_vs_FCST!$A$17:$A$2437,A159)</f>
        <v>30699.5833680514</v>
      </c>
      <c r="U159" s="24" t="n">
        <f aca="false">IF(T159&gt;0,S159/T159-1,"")</f>
        <v>0.157409844101587</v>
      </c>
      <c r="V159" s="3" t="str">
        <f aca="false">IF(OR(E159="BAJO SS",E159="BAJO SS (XLIB CUBRE)"),"SÍ","")</f>
        <v>SÍ</v>
      </c>
      <c r="W159" s="3" t="str">
        <f aca="false">IF(AND(V159="",N(L159)&gt;=Parametros!$B$17,G159&gt;=H159,R159&lt;H159),"SÍ","")</f>
        <v/>
      </c>
      <c r="X159" s="3" t="str">
        <f aca="false">IF(OR(E159="SOBRE MAX VENDIBLE",N(N159)&gt;=Parametros!$B$17,N(M159)&gt;=Parametros!$B$17),"SÍ","")</f>
        <v/>
      </c>
      <c r="Y159" s="3" t="str">
        <f aca="false">IF(AND(ISNUMBER(U159),MAX(S159,T159)&gt;=Parametros!$B$15,ABS(N(U159))&gt;Parametros!$B$14),"SÍ","")</f>
        <v/>
      </c>
      <c r="Z159" s="3" t="n">
        <f aca="false">COUNTIF(V159:Y159,"SÍ")</f>
        <v>1</v>
      </c>
      <c r="AA159" s="3" t="n">
        <f aca="false">(3*(V159="SÍ")+2*(W159="SÍ")+2*(X159="SÍ")+(Y159="SÍ"))*IF(LEFT(D159,1)="A",3,IF(OR(LEFT(D159,1)="B",D159="SIN HIST"),2,1))</f>
        <v>9</v>
      </c>
      <c r="AB159" s="3" t="str">
        <f aca="false">IF(AA159&gt;=9,"1-ALTA",IF(AA159&gt;=4,"2-MEDIA",IF(AA159&gt;0,"3-BAJA","")))</f>
        <v>1-ALTA</v>
      </c>
      <c r="AC159" s="3" t="str">
        <f aca="false">IF(E159="BAJO SS","Stock + XLIB bajo el SS: riesgo real de quiebre, adelantar producción. ","")&amp;IF(E159="BAJO SS (XLIB CUBRE)","Disponible bajo el SS; depende de liberar "&amp;TEXT(J159,"#,##0")&amp;" kg"&amp;IF(ISNUMBER(K159)," el "&amp;TEXT(K159,"dd-mm"),"")&amp;". ","")&amp;IF(W159="SÍ","Stock parece sano pero "&amp;TEXT(L159,"#,##0")&amp;" kg no pasan filtro "&amp;Stock_Seguridad!O159&amp;": sin ellos queda bajo el SS para esa cadena. ","")&amp;IF(E159="SOBRE MAX VENDIBLE","Sobrestock vs vida útil: frenar producción/activar venta. ","")&amp;IF(N(N159)&gt;=Parametros!$B$17,TEXT(N159,"#,##0")&amp;" kg ya no los acepta ninguna cadena: venta intermedia/liquidación. ","")&amp;IF(N(M159)&gt;=Parametros!$B$17,TEXT(M159,"#,##0")&amp;" kg a punto de salir del filtro: despachar primero (FEFO). ","")&amp;IF(Y159="SÍ","Pedidos "&amp;IF(N(U159)&gt;0,"sobre","bajo")&amp;" FCST "&amp;TEXT(ABS(N(U159)),"0%")&amp;": revisar forecast con KAM.","")</f>
        <v>Stock + XLIB bajo el SS: riesgo real de quiebre, adelantar producción. </v>
      </c>
    </row>
    <row r="160" customFormat="false" ht="15" hidden="false" customHeight="false" outlineLevel="0" collapsed="false">
      <c r="A160" s="18" t="n">
        <f aca="false">Stock_Seguridad!A160</f>
        <v>30001944</v>
      </c>
      <c r="B160" s="18" t="str">
        <f aca="false">Stock_Seguridad!B160</f>
        <v>JUGO FRESCO WATTS NARANJA 6X1,6LT</v>
      </c>
      <c r="C160" s="18" t="str">
        <f aca="false">Stock_Seguridad!C160</f>
        <v>JUGOS Y NECTARES</v>
      </c>
      <c r="D160" s="18" t="str">
        <f aca="false">Stock_Seguridad!F160</f>
        <v>AX</v>
      </c>
      <c r="E160" s="19" t="str">
        <f aca="false">Stock_Seguridad!X160</f>
        <v>SOBRE MAX VENDIBLE</v>
      </c>
      <c r="F160" s="20" t="n">
        <f aca="false">Stock_Seguridad!W160</f>
        <v>2.32234812286689</v>
      </c>
      <c r="G160" s="21" t="n">
        <f aca="false">Stock_Seguridad!T160</f>
        <v>7593.6</v>
      </c>
      <c r="H160" s="21" t="n">
        <f aca="false">Stock_Seguridad!R160</f>
        <v>2755.78316793867</v>
      </c>
      <c r="I160" s="21" t="n">
        <f aca="false">Stock_Seguridad!S160</f>
        <v>10080.7831679387</v>
      </c>
      <c r="J160" s="21" t="n">
        <f aca="false">Stock_Seguridad!U160</f>
        <v>9417.6</v>
      </c>
      <c r="K160" s="22" t="n">
        <v>46317</v>
      </c>
      <c r="L160" s="23" t="n">
        <v>1075.2</v>
      </c>
      <c r="M160" s="23" t="n">
        <v>0</v>
      </c>
      <c r="N160" s="23" t="n">
        <v>0</v>
      </c>
      <c r="O160" s="24" t="n">
        <v>0.0576410835214447</v>
      </c>
      <c r="P160" s="24" t="n">
        <f aca="false">IF(ISNUMBER(Stock_Seguridad!N160),Stock_Seguridad!N160,"")</f>
        <v>0.185714285714286</v>
      </c>
      <c r="Q160" s="24" t="n">
        <f aca="false">IF(AND(ISNUMBER(O160),ISNUMBER(P160)),P160-O160,"")</f>
        <v>0.128073202192841</v>
      </c>
      <c r="R160" s="23" t="n">
        <f aca="false">MAX(0,G160-N(L160))</f>
        <v>6518.4</v>
      </c>
      <c r="S160" s="23" t="n">
        <f aca="false">SUMIFS(Cadenas_vs_FCST!$D$17:$D$2437,Cadenas_vs_FCST!$A$17:$A$2437,A160)</f>
        <v>27484.8</v>
      </c>
      <c r="T160" s="23" t="n">
        <f aca="false">SUMIFS(Cadenas_vs_FCST!$E$17:$E$2437,Cadenas_vs_FCST!$A$17:$A$2437,A160)</f>
        <v>24337.5379991897</v>
      </c>
      <c r="U160" s="24" t="n">
        <f aca="false">IF(T160&gt;0,S160/T160-1,"")</f>
        <v>0.129317188982512</v>
      </c>
      <c r="V160" s="3" t="str">
        <f aca="false">IF(OR(E160="BAJO SS",E160="BAJO SS (XLIB CUBRE)"),"SÍ","")</f>
        <v/>
      </c>
      <c r="W160" s="3" t="str">
        <f aca="false">IF(AND(V160="",N(L160)&gt;=Parametros!$B$17,G160&gt;=H160,R160&lt;H160),"SÍ","")</f>
        <v/>
      </c>
      <c r="X160" s="3" t="str">
        <f aca="false">IF(OR(E160="SOBRE MAX VENDIBLE",N(N160)&gt;=Parametros!$B$17,N(M160)&gt;=Parametros!$B$17),"SÍ","")</f>
        <v>SÍ</v>
      </c>
      <c r="Y160" s="3" t="str">
        <f aca="false">IF(AND(ISNUMBER(U160),MAX(S160,T160)&gt;=Parametros!$B$15,ABS(N(U160))&gt;Parametros!$B$14),"SÍ","")</f>
        <v/>
      </c>
      <c r="Z160" s="3" t="n">
        <f aca="false">COUNTIF(V160:Y160,"SÍ")</f>
        <v>1</v>
      </c>
      <c r="AA160" s="3" t="n">
        <f aca="false">(3*(V160="SÍ")+2*(W160="SÍ")+2*(X160="SÍ")+(Y160="SÍ"))*IF(LEFT(D160,1)="A",3,IF(OR(LEFT(D160,1)="B",D160="SIN HIST"),2,1))</f>
        <v>6</v>
      </c>
      <c r="AB160" s="3" t="str">
        <f aca="false">IF(AA160&gt;=9,"1-ALTA",IF(AA160&gt;=4,"2-MEDIA",IF(AA160&gt;0,"3-BAJA","")))</f>
        <v>2-MEDIA</v>
      </c>
      <c r="AC160" s="3" t="str">
        <f aca="false">IF(E160="BAJO SS","Stock + XLIB bajo el SS: riesgo real de quiebre, adelantar producción. ","")&amp;IF(E160="BAJO SS (XLIB CUBRE)","Disponible bajo el SS; depende de liberar "&amp;TEXT(J160,"#,##0")&amp;" kg"&amp;IF(ISNUMBER(K160)," el "&amp;TEXT(K160,"dd-mm"),"")&amp;". ","")&amp;IF(W160="SÍ","Stock parece sano pero "&amp;TEXT(L160,"#,##0")&amp;" kg no pasan filtro "&amp;Stock_Seguridad!O160&amp;": sin ellos queda bajo el SS para esa cadena. ","")&amp;IF(E160="SOBRE MAX VENDIBLE","Sobrestock vs vida útil: frenar producción/activar venta. ","")&amp;IF(N(N160)&gt;=Parametros!$B$17,TEXT(N160,"#,##0")&amp;" kg ya no los acepta ninguna cadena: venta intermedia/liquidación. ","")&amp;IF(N(M160)&gt;=Parametros!$B$17,TEXT(M160,"#,##0")&amp;" kg a punto de salir del filtro: despachar primero (FEFO). ","")&amp;IF(Y160="SÍ","Pedidos "&amp;IF(N(U160)&gt;0,"sobre","bajo")&amp;" FCST "&amp;TEXT(ABS(N(U160)),"0%")&amp;": revisar forecast con KAM.","")</f>
        <v>Sobrestock vs vida útil: frenar producción/activar venta. </v>
      </c>
    </row>
    <row r="161" customFormat="false" ht="15" hidden="false" customHeight="false" outlineLevel="0" collapsed="false">
      <c r="A161" s="18" t="n">
        <f aca="false">Stock_Seguridad!A161</f>
        <v>30002336</v>
      </c>
      <c r="B161" s="18" t="str">
        <f aca="false">Stock_Seguridad!B161</f>
        <v>QUESO GAUDA CALO 4 PIEZAS 2,5KG</v>
      </c>
      <c r="C161" s="18" t="str">
        <f aca="false">Stock_Seguridad!C161</f>
        <v>QUESOS</v>
      </c>
      <c r="D161" s="18" t="str">
        <f aca="false">Stock_Seguridad!F161</f>
        <v>AX</v>
      </c>
      <c r="E161" s="19" t="str">
        <f aca="false">Stock_Seguridad!X161</f>
        <v>OK</v>
      </c>
      <c r="F161" s="20" t="n">
        <f aca="false">Stock_Seguridad!W161</f>
        <v>10.0127245611395</v>
      </c>
      <c r="G161" s="21" t="n">
        <f aca="false">Stock_Seguridad!T161</f>
        <v>42170</v>
      </c>
      <c r="H161" s="21" t="n">
        <f aca="false">Stock_Seguridad!R161</f>
        <v>9844.62280719889</v>
      </c>
      <c r="I161" s="21" t="n">
        <f aca="false">Stock_Seguridad!S161</f>
        <v>17153.3228071989</v>
      </c>
      <c r="J161" s="21" t="n">
        <f aca="false">Stock_Seguridad!U161</f>
        <v>31010</v>
      </c>
      <c r="K161" s="22" t="n">
        <v>46332</v>
      </c>
      <c r="L161" s="23" t="n">
        <v>0</v>
      </c>
      <c r="M161" s="23" t="n">
        <v>0</v>
      </c>
      <c r="N161" s="23" t="n">
        <v>0</v>
      </c>
      <c r="O161" s="24" t="n">
        <v>0.0604113145668215</v>
      </c>
      <c r="P161" s="24" t="str">
        <f aca="false">IF(ISNUMBER(Stock_Seguridad!N161),Stock_Seguridad!N161,"")</f>
        <v/>
      </c>
      <c r="Q161" s="24" t="str">
        <f aca="false">IF(AND(ISNUMBER(O161),ISNUMBER(P161)),P161-O161,"")</f>
        <v/>
      </c>
      <c r="R161" s="23" t="n">
        <f aca="false">MAX(0,G161-N(L161))</f>
        <v>42170</v>
      </c>
      <c r="S161" s="23" t="n">
        <f aca="false">SUMIFS(Cadenas_vs_FCST!$D$17:$D$2437,Cadenas_vs_FCST!$A$17:$A$2437,A161)</f>
        <v>38410</v>
      </c>
      <c r="T161" s="23" t="n">
        <f aca="false">SUMIFS(Cadenas_vs_FCST!$E$17:$E$2437,Cadenas_vs_FCST!$A$17:$A$2437,A161)</f>
        <v>33502.4804250765</v>
      </c>
      <c r="U161" s="24" t="n">
        <f aca="false">IF(T161&gt;0,S161/T161-1,"")</f>
        <v>0.146482275719807</v>
      </c>
      <c r="V161" s="3" t="str">
        <f aca="false">IF(OR(E161="BAJO SS",E161="BAJO SS (XLIB CUBRE)"),"SÍ","")</f>
        <v/>
      </c>
      <c r="W161" s="3" t="str">
        <f aca="false">IF(AND(V161="",N(L161)&gt;=Parametros!$B$17,G161&gt;=H161,R161&lt;H161),"SÍ","")</f>
        <v/>
      </c>
      <c r="X161" s="3" t="str">
        <f aca="false">IF(OR(E161="SOBRE MAX VENDIBLE",N(N161)&gt;=Parametros!$B$17,N(M161)&gt;=Parametros!$B$17),"SÍ","")</f>
        <v/>
      </c>
      <c r="Y161" s="3" t="str">
        <f aca="false">IF(AND(ISNUMBER(U161),MAX(S161,T161)&gt;=Parametros!$B$15,ABS(N(U161))&gt;Parametros!$B$14),"SÍ","")</f>
        <v/>
      </c>
      <c r="Z161" s="3" t="n">
        <f aca="false">COUNTIF(V161:Y161,"SÍ")</f>
        <v>0</v>
      </c>
      <c r="AA161" s="3" t="n">
        <f aca="false">(3*(V161="SÍ")+2*(W161="SÍ")+2*(X161="SÍ")+(Y161="SÍ"))*IF(LEFT(D161,1)="A",3,IF(OR(LEFT(D161,1)="B",D161="SIN HIST"),2,1))</f>
        <v>0</v>
      </c>
      <c r="AB161" s="3" t="str">
        <f aca="false">IF(AA161&gt;=9,"1-ALTA",IF(AA161&gt;=4,"2-MEDIA",IF(AA161&gt;0,"3-BAJA","")))</f>
        <v/>
      </c>
      <c r="AC161" s="3" t="str">
        <f aca="false">IF(E161="BAJO SS","Stock + XLIB bajo el SS: riesgo real de quiebre, adelantar producción. ","")&amp;IF(E161="BAJO SS (XLIB CUBRE)","Disponible bajo el SS; depende de liberar "&amp;TEXT(J161,"#,##0")&amp;" kg"&amp;IF(ISNUMBER(K161)," el "&amp;TEXT(K161,"dd-mm"),"")&amp;". ","")&amp;IF(W161="SÍ","Stock parece sano pero "&amp;TEXT(L161,"#,##0")&amp;" kg no pasan filtro "&amp;Stock_Seguridad!O161&amp;": sin ellos queda bajo el SS para esa cadena. ","")&amp;IF(E161="SOBRE MAX VENDIBLE","Sobrestock vs vida útil: frenar producción/activar venta. ","")&amp;IF(N(N161)&gt;=Parametros!$B$17,TEXT(N161,"#,##0")&amp;" kg ya no los acepta ninguna cadena: venta intermedia/liquidación. ","")&amp;IF(N(M161)&gt;=Parametros!$B$17,TEXT(M161,"#,##0")&amp;" kg a punto de salir del filtro: despachar primero (FEFO). ","")&amp;IF(Y161="SÍ","Pedidos "&amp;IF(N(U161)&gt;0,"sobre","bajo")&amp;" FCST "&amp;TEXT(ABS(N(U161)),"0%")&amp;": revisar forecast con KAM.","")</f>
        <v/>
      </c>
    </row>
    <row r="162" customFormat="false" ht="15" hidden="false" customHeight="false" outlineLevel="0" collapsed="false">
      <c r="A162" s="18" t="n">
        <f aca="false">Stock_Seguridad!A162</f>
        <v>30000774</v>
      </c>
      <c r="B162" s="18" t="str">
        <f aca="false">Stock_Seguridad!B162</f>
        <v>BROCOLI IQF 4X2KG</v>
      </c>
      <c r="C162" s="18" t="str">
        <f aca="false">Stock_Seguridad!C162</f>
        <v>FRUTAS Y HORTALIZAS CONGELADAS</v>
      </c>
      <c r="D162" s="18" t="str">
        <f aca="false">Stock_Seguridad!F162</f>
        <v>SIN HIST</v>
      </c>
      <c r="E162" s="19" t="str">
        <f aca="false">Stock_Seguridad!X162</f>
        <v>OK</v>
      </c>
      <c r="F162" s="20" t="n">
        <f aca="false">Stock_Seguridad!W162</f>
        <v>4.32618871643262</v>
      </c>
      <c r="G162" s="21" t="n">
        <f aca="false">Stock_Seguridad!T162</f>
        <v>31608</v>
      </c>
      <c r="H162" s="21" t="n">
        <f aca="false">Stock_Seguridad!R162</f>
        <v>3605.28887076985</v>
      </c>
      <c r="I162" s="21" t="n">
        <f aca="false">Stock_Seguridad!S162</f>
        <v>10911.4888707699</v>
      </c>
      <c r="J162" s="21" t="n">
        <f aca="false">Stock_Seguridad!U162</f>
        <v>0</v>
      </c>
      <c r="K162" s="22"/>
      <c r="L162" s="23" t="n">
        <v>0</v>
      </c>
      <c r="M162" s="23" t="n">
        <v>0</v>
      </c>
      <c r="N162" s="23" t="n">
        <v>0</v>
      </c>
      <c r="O162" s="24" t="n">
        <v>0.0833194588969823</v>
      </c>
      <c r="P162" s="24" t="str">
        <f aca="false">IF(ISNUMBER(Stock_Seguridad!N162),Stock_Seguridad!N162,"")</f>
        <v/>
      </c>
      <c r="Q162" s="24" t="str">
        <f aca="false">IF(AND(ISNUMBER(O162),ISNUMBER(P162)),P162-O162,"")</f>
        <v/>
      </c>
      <c r="R162" s="23" t="n">
        <f aca="false">MAX(0,G162-N(L162))</f>
        <v>31608</v>
      </c>
      <c r="S162" s="23" t="n">
        <f aca="false">SUMIFS(Cadenas_vs_FCST!$D$17:$D$2437,Cadenas_vs_FCST!$A$17:$A$2437,A162)</f>
        <v>0</v>
      </c>
      <c r="T162" s="23" t="n">
        <f aca="false">SUMIFS(Cadenas_vs_FCST!$E$17:$E$2437,Cadenas_vs_FCST!$A$17:$A$2437,A162)</f>
        <v>0</v>
      </c>
      <c r="U162" s="24" t="str">
        <f aca="false">IF(T162&gt;0,S162/T162-1,"")</f>
        <v/>
      </c>
      <c r="V162" s="3" t="str">
        <f aca="false">IF(OR(E162="BAJO SS",E162="BAJO SS (XLIB CUBRE)"),"SÍ","")</f>
        <v/>
      </c>
      <c r="W162" s="3" t="str">
        <f aca="false">IF(AND(V162="",N(L162)&gt;=Parametros!$B$17,G162&gt;=H162,R162&lt;H162),"SÍ","")</f>
        <v/>
      </c>
      <c r="X162" s="3" t="str">
        <f aca="false">IF(OR(E162="SOBRE MAX VENDIBLE",N(N162)&gt;=Parametros!$B$17,N(M162)&gt;=Parametros!$B$17),"SÍ","")</f>
        <v/>
      </c>
      <c r="Y162" s="3" t="str">
        <f aca="false">IF(AND(ISNUMBER(U162),MAX(S162,T162)&gt;=Parametros!$B$15,ABS(N(U162))&gt;Parametros!$B$14),"SÍ","")</f>
        <v/>
      </c>
      <c r="Z162" s="3" t="n">
        <f aca="false">COUNTIF(V162:Y162,"SÍ")</f>
        <v>0</v>
      </c>
      <c r="AA162" s="3" t="n">
        <f aca="false">(3*(V162="SÍ")+2*(W162="SÍ")+2*(X162="SÍ")+(Y162="SÍ"))*IF(LEFT(D162,1)="A",3,IF(OR(LEFT(D162,1)="B",D162="SIN HIST"),2,1))</f>
        <v>0</v>
      </c>
      <c r="AB162" s="3" t="str">
        <f aca="false">IF(AA162&gt;=9,"1-ALTA",IF(AA162&gt;=4,"2-MEDIA",IF(AA162&gt;0,"3-BAJA","")))</f>
        <v/>
      </c>
      <c r="AC162" s="3" t="str">
        <f aca="false">IF(E162="BAJO SS","Stock + XLIB bajo el SS: riesgo real de quiebre, adelantar producción. ","")&amp;IF(E162="BAJO SS (XLIB CUBRE)","Disponible bajo el SS; depende de liberar "&amp;TEXT(J162,"#,##0")&amp;" kg"&amp;IF(ISNUMBER(K162)," el "&amp;TEXT(K162,"dd-mm"),"")&amp;". ","")&amp;IF(W162="SÍ","Stock parece sano pero "&amp;TEXT(L162,"#,##0")&amp;" kg no pasan filtro "&amp;Stock_Seguridad!O162&amp;": sin ellos queda bajo el SS para esa cadena. ","")&amp;IF(E162="SOBRE MAX VENDIBLE","Sobrestock vs vida útil: frenar producción/activar venta. ","")&amp;IF(N(N162)&gt;=Parametros!$B$17,TEXT(N162,"#,##0")&amp;" kg ya no los acepta ninguna cadena: venta intermedia/liquidación. ","")&amp;IF(N(M162)&gt;=Parametros!$B$17,TEXT(M162,"#,##0")&amp;" kg a punto de salir del filtro: despachar primero (FEFO). ","")&amp;IF(Y162="SÍ","Pedidos "&amp;IF(N(U162)&gt;0,"sobre","bajo")&amp;" FCST "&amp;TEXT(ABS(N(U162)),"0%")&amp;": revisar forecast con KAM.","")</f>
        <v/>
      </c>
    </row>
    <row r="163" customFormat="false" ht="15" hidden="false" customHeight="false" outlineLevel="0" collapsed="false">
      <c r="A163" s="18" t="n">
        <f aca="false">Stock_Seguridad!A163</f>
        <v>30001815</v>
      </c>
      <c r="B163" s="18" t="str">
        <f aca="false">Stock_Seguridad!B163</f>
        <v>QUESO LAS PARCELAS LAM 4X2,5KG</v>
      </c>
      <c r="C163" s="18" t="str">
        <f aca="false">Stock_Seguridad!C163</f>
        <v>QUESOS</v>
      </c>
      <c r="D163" s="18" t="str">
        <f aca="false">Stock_Seguridad!F163</f>
        <v>AX</v>
      </c>
      <c r="E163" s="19" t="str">
        <f aca="false">Stock_Seguridad!X163</f>
        <v>OK</v>
      </c>
      <c r="F163" s="20" t="n">
        <f aca="false">Stock_Seguridad!W163</f>
        <v>1.9013698630137</v>
      </c>
      <c r="G163" s="21" t="n">
        <f aca="false">Stock_Seguridad!T163</f>
        <v>13880</v>
      </c>
      <c r="H163" s="21" t="n">
        <f aca="false">Stock_Seguridad!R163</f>
        <v>3469.50715075719</v>
      </c>
      <c r="I163" s="21" t="n">
        <f aca="false">Stock_Seguridad!S163</f>
        <v>10769.5071507572</v>
      </c>
      <c r="J163" s="21" t="n">
        <f aca="false">Stock_Seguridad!U163</f>
        <v>0</v>
      </c>
      <c r="K163" s="22"/>
      <c r="L163" s="23" t="n">
        <v>0</v>
      </c>
      <c r="M163" s="23" t="n">
        <v>40</v>
      </c>
      <c r="N163" s="23" t="n">
        <v>0</v>
      </c>
      <c r="O163" s="24" t="n">
        <v>0.0622382671480144</v>
      </c>
      <c r="P163" s="24" t="n">
        <f aca="false">IF(ISNUMBER(Stock_Seguridad!N163),Stock_Seguridad!N163,"")</f>
        <v>0.211956521739131</v>
      </c>
      <c r="Q163" s="24" t="n">
        <f aca="false">IF(AND(ISNUMBER(O163),ISNUMBER(P163)),P163-O163,"")</f>
        <v>0.149718254591116</v>
      </c>
      <c r="R163" s="23" t="n">
        <f aca="false">MAX(0,G163-N(L163))</f>
        <v>13880</v>
      </c>
      <c r="S163" s="23" t="n">
        <f aca="false">SUMIFS(Cadenas_vs_FCST!$D$17:$D$2437,Cadenas_vs_FCST!$A$17:$A$2437,A163)</f>
        <v>26570</v>
      </c>
      <c r="T163" s="23" t="n">
        <f aca="false">SUMIFS(Cadenas_vs_FCST!$E$17:$E$2437,Cadenas_vs_FCST!$A$17:$A$2437,A163)</f>
        <v>26451.8549115753</v>
      </c>
      <c r="U163" s="24" t="n">
        <f aca="false">IF(T163&gt;0,S163/T163-1,"")</f>
        <v>0.00446641979625384</v>
      </c>
      <c r="V163" s="3" t="str">
        <f aca="false">IF(OR(E163="BAJO SS",E163="BAJO SS (XLIB CUBRE)"),"SÍ","")</f>
        <v/>
      </c>
      <c r="W163" s="3" t="str">
        <f aca="false">IF(AND(V163="",N(L163)&gt;=Parametros!$B$17,G163&gt;=H163,R163&lt;H163),"SÍ","")</f>
        <v/>
      </c>
      <c r="X163" s="3" t="str">
        <f aca="false">IF(OR(E163="SOBRE MAX VENDIBLE",N(N163)&gt;=Parametros!$B$17,N(M163)&gt;=Parametros!$B$17),"SÍ","")</f>
        <v/>
      </c>
      <c r="Y163" s="3" t="str">
        <f aca="false">IF(AND(ISNUMBER(U163),MAX(S163,T163)&gt;=Parametros!$B$15,ABS(N(U163))&gt;Parametros!$B$14),"SÍ","")</f>
        <v/>
      </c>
      <c r="Z163" s="3" t="n">
        <f aca="false">COUNTIF(V163:Y163,"SÍ")</f>
        <v>0</v>
      </c>
      <c r="AA163" s="3" t="n">
        <f aca="false">(3*(V163="SÍ")+2*(W163="SÍ")+2*(X163="SÍ")+(Y163="SÍ"))*IF(LEFT(D163,1)="A",3,IF(OR(LEFT(D163,1)="B",D163="SIN HIST"),2,1))</f>
        <v>0</v>
      </c>
      <c r="AB163" s="3" t="str">
        <f aca="false">IF(AA163&gt;=9,"1-ALTA",IF(AA163&gt;=4,"2-MEDIA",IF(AA163&gt;0,"3-BAJA","")))</f>
        <v/>
      </c>
      <c r="AC163" s="3" t="str">
        <f aca="false">IF(E163="BAJO SS","Stock + XLIB bajo el SS: riesgo real de quiebre, adelantar producción. ","")&amp;IF(E163="BAJO SS (XLIB CUBRE)","Disponible bajo el SS; depende de liberar "&amp;TEXT(J163,"#,##0")&amp;" kg"&amp;IF(ISNUMBER(K163)," el "&amp;TEXT(K163,"dd-mm"),"")&amp;". ","")&amp;IF(W163="SÍ","Stock parece sano pero "&amp;TEXT(L163,"#,##0")&amp;" kg no pasan filtro "&amp;Stock_Seguridad!O163&amp;": sin ellos queda bajo el SS para esa cadena. ","")&amp;IF(E163="SOBRE MAX VENDIBLE","Sobrestock vs vida útil: frenar producción/activar venta. ","")&amp;IF(N(N163)&gt;=Parametros!$B$17,TEXT(N163,"#,##0")&amp;" kg ya no los acepta ninguna cadena: venta intermedia/liquidación. ","")&amp;IF(N(M163)&gt;=Parametros!$B$17,TEXT(M163,"#,##0")&amp;" kg a punto de salir del filtro: despachar primero (FEFO). ","")&amp;IF(Y163="SÍ","Pedidos "&amp;IF(N(U163)&gt;0,"sobre","bajo")&amp;" FCST "&amp;TEXT(ABS(N(U163)),"0%")&amp;": revisar forecast con KAM.","")</f>
        <v/>
      </c>
    </row>
    <row r="164" customFormat="false" ht="15" hidden="false" customHeight="false" outlineLevel="0" collapsed="false">
      <c r="A164" s="18" t="n">
        <f aca="false">Stock_Seguridad!A164</f>
        <v>30000354</v>
      </c>
      <c r="B164" s="18" t="str">
        <f aca="false">Stock_Seguridad!B164</f>
        <v>LECHE LONCO SEMI S/LACTOSA 5X6X200ML</v>
      </c>
      <c r="C164" s="18" t="str">
        <f aca="false">Stock_Seguridad!C164</f>
        <v>LECHES LIQUIDAS</v>
      </c>
      <c r="D164" s="18" t="str">
        <f aca="false">Stock_Seguridad!F164</f>
        <v>BX</v>
      </c>
      <c r="E164" s="19" t="str">
        <f aca="false">Stock_Seguridad!X164</f>
        <v>OK</v>
      </c>
      <c r="F164" s="20" t="n">
        <f aca="false">Stock_Seguridad!W164</f>
        <v>4.55385036996437</v>
      </c>
      <c r="G164" s="21" t="n">
        <f aca="false">Stock_Seguridad!T164</f>
        <v>14226</v>
      </c>
      <c r="H164" s="21" t="n">
        <f aca="false">Stock_Seguridad!R164</f>
        <v>2208.22921888284</v>
      </c>
      <c r="I164" s="21" t="n">
        <f aca="false">Stock_Seguridad!S164</f>
        <v>9506.22921888284</v>
      </c>
      <c r="J164" s="21" t="n">
        <f aca="false">Stock_Seguridad!U164</f>
        <v>19008</v>
      </c>
      <c r="K164" s="22" t="n">
        <v>46320</v>
      </c>
      <c r="L164" s="23" t="n">
        <v>0</v>
      </c>
      <c r="M164" s="23" t="n">
        <v>0</v>
      </c>
      <c r="N164" s="23" t="n">
        <v>0</v>
      </c>
      <c r="O164" s="24" t="n">
        <v>0.0843267666726911</v>
      </c>
      <c r="P164" s="24" t="n">
        <f aca="false">IF(ISNUMBER(Stock_Seguridad!N164),Stock_Seguridad!N164,"")</f>
        <v>0.275132275132275</v>
      </c>
      <c r="Q164" s="24" t="n">
        <f aca="false">IF(AND(ISNUMBER(O164),ISNUMBER(P164)),P164-O164,"")</f>
        <v>0.190805508459584</v>
      </c>
      <c r="R164" s="23" t="n">
        <f aca="false">MAX(0,G164-N(L164))</f>
        <v>14226</v>
      </c>
      <c r="S164" s="23" t="n">
        <f aca="false">SUMIFS(Cadenas_vs_FCST!$D$17:$D$2437,Cadenas_vs_FCST!$A$17:$A$2437,A164)</f>
        <v>20922</v>
      </c>
      <c r="T164" s="23" t="n">
        <f aca="false">SUMIFS(Cadenas_vs_FCST!$E$17:$E$2437,Cadenas_vs_FCST!$A$17:$A$2437,A164)</f>
        <v>22841.3398688968</v>
      </c>
      <c r="U164" s="24" t="n">
        <f aca="false">IF(T164&gt;0,S164/T164-1,"")</f>
        <v>-0.0840292154450353</v>
      </c>
      <c r="V164" s="3" t="str">
        <f aca="false">IF(OR(E164="BAJO SS",E164="BAJO SS (XLIB CUBRE)"),"SÍ","")</f>
        <v/>
      </c>
      <c r="W164" s="3" t="str">
        <f aca="false">IF(AND(V164="",N(L164)&gt;=Parametros!$B$17,G164&gt;=H164,R164&lt;H164),"SÍ","")</f>
        <v/>
      </c>
      <c r="X164" s="3" t="str">
        <f aca="false">IF(OR(E164="SOBRE MAX VENDIBLE",N(N164)&gt;=Parametros!$B$17,N(M164)&gt;=Parametros!$B$17),"SÍ","")</f>
        <v/>
      </c>
      <c r="Y164" s="3" t="str">
        <f aca="false">IF(AND(ISNUMBER(U164),MAX(S164,T164)&gt;=Parametros!$B$15,ABS(N(U164))&gt;Parametros!$B$14),"SÍ","")</f>
        <v/>
      </c>
      <c r="Z164" s="3" t="n">
        <f aca="false">COUNTIF(V164:Y164,"SÍ")</f>
        <v>0</v>
      </c>
      <c r="AA164" s="3" t="n">
        <f aca="false">(3*(V164="SÍ")+2*(W164="SÍ")+2*(X164="SÍ")+(Y164="SÍ"))*IF(LEFT(D164,1)="A",3,IF(OR(LEFT(D164,1)="B",D164="SIN HIST"),2,1))</f>
        <v>0</v>
      </c>
      <c r="AB164" s="3" t="str">
        <f aca="false">IF(AA164&gt;=9,"1-ALTA",IF(AA164&gt;=4,"2-MEDIA",IF(AA164&gt;0,"3-BAJA","")))</f>
        <v/>
      </c>
      <c r="AC164" s="3" t="str">
        <f aca="false">IF(E164="BAJO SS","Stock + XLIB bajo el SS: riesgo real de quiebre, adelantar producción. ","")&amp;IF(E164="BAJO SS (XLIB CUBRE)","Disponible bajo el SS; depende de liberar "&amp;TEXT(J164,"#,##0")&amp;" kg"&amp;IF(ISNUMBER(K164)," el "&amp;TEXT(K164,"dd-mm"),"")&amp;". ","")&amp;IF(W164="SÍ","Stock parece sano pero "&amp;TEXT(L164,"#,##0")&amp;" kg no pasan filtro "&amp;Stock_Seguridad!O164&amp;": sin ellos queda bajo el SS para esa cadena. ","")&amp;IF(E164="SOBRE MAX VENDIBLE","Sobrestock vs vida útil: frenar producción/activar venta. ","")&amp;IF(N(N164)&gt;=Parametros!$B$17,TEXT(N164,"#,##0")&amp;" kg ya no los acepta ninguna cadena: venta intermedia/liquidación. ","")&amp;IF(N(M164)&gt;=Parametros!$B$17,TEXT(M164,"#,##0")&amp;" kg a punto de salir del filtro: despachar primero (FEFO). ","")&amp;IF(Y164="SÍ","Pedidos "&amp;IF(N(U164)&gt;0,"sobre","bajo")&amp;" FCST "&amp;TEXT(ABS(N(U164)),"0%")&amp;": revisar forecast con KAM.","")</f>
        <v/>
      </c>
    </row>
    <row r="165" customFormat="false" ht="15" hidden="false" customHeight="false" outlineLevel="0" collapsed="false">
      <c r="A165" s="18" t="n">
        <f aca="false">Stock_Seguridad!A165</f>
        <v>30002272</v>
      </c>
      <c r="B165" s="18" t="str">
        <f aca="false">Stock_Seguridad!B165</f>
        <v>LECHE LONCO PROTEIN DESCREMADA 30X200ML</v>
      </c>
      <c r="C165" s="18" t="str">
        <f aca="false">Stock_Seguridad!C165</f>
        <v>LECHES LIQUIDAS</v>
      </c>
      <c r="D165" s="18" t="str">
        <f aca="false">Stock_Seguridad!F165</f>
        <v>BX</v>
      </c>
      <c r="E165" s="19" t="str">
        <f aca="false">Stock_Seguridad!X165</f>
        <v>OK</v>
      </c>
      <c r="F165" s="20" t="n">
        <f aca="false">Stock_Seguridad!W165</f>
        <v>1.77949173232716</v>
      </c>
      <c r="G165" s="21" t="n">
        <f aca="false">Stock_Seguridad!T165</f>
        <v>12828</v>
      </c>
      <c r="H165" s="21" t="n">
        <f aca="false">Stock_Seguridad!R165</f>
        <v>2889.40454961835</v>
      </c>
      <c r="I165" s="21" t="n">
        <f aca="false">Stock_Seguridad!S165</f>
        <v>10098.2045496184</v>
      </c>
      <c r="J165" s="21" t="n">
        <f aca="false">Stock_Seguridad!U165</f>
        <v>0</v>
      </c>
      <c r="K165" s="22"/>
      <c r="L165" s="23" t="n">
        <v>0</v>
      </c>
      <c r="M165" s="23" t="n">
        <v>0</v>
      </c>
      <c r="N165" s="23" t="n">
        <v>0</v>
      </c>
      <c r="O165" s="24" t="n">
        <v>0.10622076707203</v>
      </c>
      <c r="P165" s="24" t="str">
        <f aca="false">IF(ISNUMBER(Stock_Seguridad!N165),Stock_Seguridad!N165,"")</f>
        <v/>
      </c>
      <c r="Q165" s="24" t="str">
        <f aca="false">IF(AND(ISNUMBER(O165),ISNUMBER(P165)),P165-O165,"")</f>
        <v/>
      </c>
      <c r="R165" s="23" t="n">
        <f aca="false">MAX(0,G165-N(L165))</f>
        <v>12828</v>
      </c>
      <c r="S165" s="23" t="n">
        <f aca="false">SUMIFS(Cadenas_vs_FCST!$D$17:$D$2437,Cadenas_vs_FCST!$A$17:$A$2437,A165)</f>
        <v>23064</v>
      </c>
      <c r="T165" s="23" t="n">
        <f aca="false">SUMIFS(Cadenas_vs_FCST!$E$17:$E$2437,Cadenas_vs_FCST!$A$17:$A$2437,A165)</f>
        <v>19977.2109719198</v>
      </c>
      <c r="U165" s="24" t="n">
        <f aca="false">IF(T165&gt;0,S165/T165-1,"")</f>
        <v>0.15451551432375</v>
      </c>
      <c r="V165" s="3" t="str">
        <f aca="false">IF(OR(E165="BAJO SS",E165="BAJO SS (XLIB CUBRE)"),"SÍ","")</f>
        <v/>
      </c>
      <c r="W165" s="3" t="str">
        <f aca="false">IF(AND(V165="",N(L165)&gt;=Parametros!$B$17,G165&gt;=H165,R165&lt;H165),"SÍ","")</f>
        <v/>
      </c>
      <c r="X165" s="3" t="str">
        <f aca="false">IF(OR(E165="SOBRE MAX VENDIBLE",N(N165)&gt;=Parametros!$B$17,N(M165)&gt;=Parametros!$B$17),"SÍ","")</f>
        <v/>
      </c>
      <c r="Y165" s="3" t="str">
        <f aca="false">IF(AND(ISNUMBER(U165),MAX(S165,T165)&gt;=Parametros!$B$15,ABS(N(U165))&gt;Parametros!$B$14),"SÍ","")</f>
        <v/>
      </c>
      <c r="Z165" s="3" t="n">
        <f aca="false">COUNTIF(V165:Y165,"SÍ")</f>
        <v>0</v>
      </c>
      <c r="AA165" s="3" t="n">
        <f aca="false">(3*(V165="SÍ")+2*(W165="SÍ")+2*(X165="SÍ")+(Y165="SÍ"))*IF(LEFT(D165,1)="A",3,IF(OR(LEFT(D165,1)="B",D165="SIN HIST"),2,1))</f>
        <v>0</v>
      </c>
      <c r="AB165" s="3" t="str">
        <f aca="false">IF(AA165&gt;=9,"1-ALTA",IF(AA165&gt;=4,"2-MEDIA",IF(AA165&gt;0,"3-BAJA","")))</f>
        <v/>
      </c>
      <c r="AC165" s="3" t="str">
        <f aca="false">IF(E165="BAJO SS","Stock + XLIB bajo el SS: riesgo real de quiebre, adelantar producción. ","")&amp;IF(E165="BAJO SS (XLIB CUBRE)","Disponible bajo el SS; depende de liberar "&amp;TEXT(J165,"#,##0")&amp;" kg"&amp;IF(ISNUMBER(K165)," el "&amp;TEXT(K165,"dd-mm"),"")&amp;". ","")&amp;IF(W165="SÍ","Stock parece sano pero "&amp;TEXT(L165,"#,##0")&amp;" kg no pasan filtro "&amp;Stock_Seguridad!O165&amp;": sin ellos queda bajo el SS para esa cadena. ","")&amp;IF(E165="SOBRE MAX VENDIBLE","Sobrestock vs vida útil: frenar producción/activar venta. ","")&amp;IF(N(N165)&gt;=Parametros!$B$17,TEXT(N165,"#,##0")&amp;" kg ya no los acepta ninguna cadena: venta intermedia/liquidación. ","")&amp;IF(N(M165)&gt;=Parametros!$B$17,TEXT(M165,"#,##0")&amp;" kg a punto de salir del filtro: despachar primero (FEFO). ","")&amp;IF(Y165="SÍ","Pedidos "&amp;IF(N(U165)&gt;0,"sobre","bajo")&amp;" FCST "&amp;TEXT(ABS(N(U165)),"0%")&amp;": revisar forecast con KAM.","")</f>
        <v/>
      </c>
    </row>
    <row r="166" customFormat="false" ht="15" hidden="false" customHeight="false" outlineLevel="0" collapsed="false">
      <c r="A166" s="18" t="n">
        <f aca="false">Stock_Seguridad!A166</f>
        <v>30001058</v>
      </c>
      <c r="B166" s="18" t="str">
        <f aca="false">Stock_Seguridad!B166</f>
        <v>YOGURT LONCO PROTEIN ARANDANO 24X140GR</v>
      </c>
      <c r="C166" s="18" t="str">
        <f aca="false">Stock_Seguridad!C166</f>
        <v>YOGURT</v>
      </c>
      <c r="D166" s="18" t="str">
        <f aca="false">Stock_Seguridad!F166</f>
        <v>AX</v>
      </c>
      <c r="E166" s="19" t="str">
        <f aca="false">Stock_Seguridad!X166</f>
        <v>BAJO SS</v>
      </c>
      <c r="F166" s="20" t="n">
        <f aca="false">Stock_Seguridad!W166</f>
        <v>0.0375865203104244</v>
      </c>
      <c r="G166" s="21" t="n">
        <f aca="false">Stock_Seguridad!T166</f>
        <v>268.8</v>
      </c>
      <c r="H166" s="21" t="n">
        <f aca="false">Stock_Seguridad!R166</f>
        <v>8142.03029170551</v>
      </c>
      <c r="I166" s="21" t="n">
        <f aca="false">Stock_Seguridad!S166</f>
        <v>15293.5302917055</v>
      </c>
      <c r="J166" s="21" t="n">
        <f aca="false">Stock_Seguridad!U166</f>
        <v>0</v>
      </c>
      <c r="K166" s="22"/>
      <c r="L166" s="23" t="n">
        <v>117.6</v>
      </c>
      <c r="M166" s="23" t="n">
        <v>151.2</v>
      </c>
      <c r="N166" s="23" t="n">
        <v>117.6</v>
      </c>
      <c r="O166" s="24" t="n">
        <v>0.32375</v>
      </c>
      <c r="P166" s="24" t="n">
        <f aca="false">IF(ISNUMBER(Stock_Seguridad!N166),Stock_Seguridad!N166,"")</f>
        <v>0.3</v>
      </c>
      <c r="Q166" s="24" t="n">
        <f aca="false">IF(AND(ISNUMBER(O166),ISNUMBER(P166)),P166-O166,"")</f>
        <v>-0.02375</v>
      </c>
      <c r="R166" s="23" t="n">
        <f aca="false">MAX(0,G166-N(L166))</f>
        <v>151.2</v>
      </c>
      <c r="S166" s="23" t="n">
        <f aca="false">SUMIFS(Cadenas_vs_FCST!$D$17:$D$2437,Cadenas_vs_FCST!$A$17:$A$2437,A166)</f>
        <v>46724.16</v>
      </c>
      <c r="T166" s="23" t="n">
        <f aca="false">SUMIFS(Cadenas_vs_FCST!$E$17:$E$2437,Cadenas_vs_FCST!$A$17:$A$2437,A166)</f>
        <v>42823.2279343403</v>
      </c>
      <c r="U166" s="24" t="n">
        <f aca="false">IF(T166&gt;0,S166/T166-1,"")</f>
        <v>0.0910938351410793</v>
      </c>
      <c r="V166" s="3" t="str">
        <f aca="false">IF(OR(E166="BAJO SS",E166="BAJO SS (XLIB CUBRE)"),"SÍ","")</f>
        <v>SÍ</v>
      </c>
      <c r="W166" s="3" t="str">
        <f aca="false">IF(AND(V166="",N(L166)&gt;=Parametros!$B$17,G166&gt;=H166,R166&lt;H166),"SÍ","")</f>
        <v/>
      </c>
      <c r="X166" s="3" t="str">
        <f aca="false">IF(OR(E166="SOBRE MAX VENDIBLE",N(N166)&gt;=Parametros!$B$17,N(M166)&gt;=Parametros!$B$17),"SÍ","")</f>
        <v/>
      </c>
      <c r="Y166" s="3" t="str">
        <f aca="false">IF(AND(ISNUMBER(U166),MAX(S166,T166)&gt;=Parametros!$B$15,ABS(N(U166))&gt;Parametros!$B$14),"SÍ","")</f>
        <v/>
      </c>
      <c r="Z166" s="3" t="n">
        <f aca="false">COUNTIF(V166:Y166,"SÍ")</f>
        <v>1</v>
      </c>
      <c r="AA166" s="3" t="n">
        <f aca="false">(3*(V166="SÍ")+2*(W166="SÍ")+2*(X166="SÍ")+(Y166="SÍ"))*IF(LEFT(D166,1)="A",3,IF(OR(LEFT(D166,1)="B",D166="SIN HIST"),2,1))</f>
        <v>9</v>
      </c>
      <c r="AB166" s="3" t="str">
        <f aca="false">IF(AA166&gt;=9,"1-ALTA",IF(AA166&gt;=4,"2-MEDIA",IF(AA166&gt;0,"3-BAJA","")))</f>
        <v>1-ALTA</v>
      </c>
      <c r="AC166" s="3" t="str">
        <f aca="false">IF(E166="BAJO SS","Stock + XLIB bajo el SS: riesgo real de quiebre, adelantar producción. ","")&amp;IF(E166="BAJO SS (XLIB CUBRE)","Disponible bajo el SS; depende de liberar "&amp;TEXT(J166,"#,##0")&amp;" kg"&amp;IF(ISNUMBER(K166)," el "&amp;TEXT(K166,"dd-mm"),"")&amp;". ","")&amp;IF(W166="SÍ","Stock parece sano pero "&amp;TEXT(L166,"#,##0")&amp;" kg no pasan filtro "&amp;Stock_Seguridad!O166&amp;": sin ellos queda bajo el SS para esa cadena. ","")&amp;IF(E166="SOBRE MAX VENDIBLE","Sobrestock vs vida útil: frenar producción/activar venta. ","")&amp;IF(N(N166)&gt;=Parametros!$B$17,TEXT(N166,"#,##0")&amp;" kg ya no los acepta ninguna cadena: venta intermedia/liquidación. ","")&amp;IF(N(M166)&gt;=Parametros!$B$17,TEXT(M166,"#,##0")&amp;" kg a punto de salir del filtro: despachar primero (FEFO). ","")&amp;IF(Y166="SÍ","Pedidos "&amp;IF(N(U166)&gt;0,"sobre","bajo")&amp;" FCST "&amp;TEXT(ABS(N(U166)),"0%")&amp;": revisar forecast con KAM.","")</f>
        <v>Stock + XLIB bajo el SS: riesgo real de quiebre, adelantar producción. </v>
      </c>
    </row>
    <row r="167" customFormat="false" ht="15" hidden="false" customHeight="false" outlineLevel="0" collapsed="false">
      <c r="A167" s="18" t="n">
        <f aca="false">Stock_Seguridad!A167</f>
        <v>30000301</v>
      </c>
      <c r="B167" s="18" t="str">
        <f aca="false">Stock_Seguridad!B167</f>
        <v>MANTEQUILLA CALO 40X125GR</v>
      </c>
      <c r="C167" s="18" t="str">
        <f aca="false">Stock_Seguridad!C167</f>
        <v>MANTEQUILLAS</v>
      </c>
      <c r="D167" s="18" t="str">
        <f aca="false">Stock_Seguridad!F167</f>
        <v>AX</v>
      </c>
      <c r="E167" s="19" t="str">
        <f aca="false">Stock_Seguridad!X167</f>
        <v>BAJO SS (XLIB CUBRE)</v>
      </c>
      <c r="F167" s="20" t="n">
        <f aca="false">Stock_Seguridad!W167</f>
        <v>1.90559440559441</v>
      </c>
      <c r="G167" s="21" t="n">
        <f aca="false">Stock_Seguridad!T167</f>
        <v>4620</v>
      </c>
      <c r="H167" s="21" t="n">
        <f aca="false">Stock_Seguridad!R167</f>
        <v>4941.19549271928</v>
      </c>
      <c r="I167" s="21" t="n">
        <f aca="false">Stock_Seguridad!S167</f>
        <v>12091.1954927193</v>
      </c>
      <c r="J167" s="21" t="n">
        <f aca="false">Stock_Seguridad!U167</f>
        <v>9005</v>
      </c>
      <c r="K167" s="22" t="n">
        <v>46319</v>
      </c>
      <c r="L167" s="23" t="n">
        <v>0</v>
      </c>
      <c r="M167" s="23" t="n">
        <v>0</v>
      </c>
      <c r="N167" s="23" t="n">
        <v>0</v>
      </c>
      <c r="O167" s="24" t="n">
        <v>0.0795695364238411</v>
      </c>
      <c r="P167" s="24" t="n">
        <f aca="false">IF(ISNUMBER(Stock_Seguridad!N167),Stock_Seguridad!N167,"")</f>
        <v>0.315217391304348</v>
      </c>
      <c r="Q167" s="24" t="n">
        <f aca="false">IF(AND(ISNUMBER(O167),ISNUMBER(P167)),P167-O167,"")</f>
        <v>0.235647854880507</v>
      </c>
      <c r="R167" s="23" t="n">
        <f aca="false">MAX(0,G167-N(L167))</f>
        <v>4620</v>
      </c>
      <c r="S167" s="23" t="n">
        <f aca="false">SUMIFS(Cadenas_vs_FCST!$D$17:$D$2437,Cadenas_vs_FCST!$A$17:$A$2437,A167)</f>
        <v>26650</v>
      </c>
      <c r="T167" s="23" t="n">
        <f aca="false">SUMIFS(Cadenas_vs_FCST!$E$17:$E$2437,Cadenas_vs_FCST!$A$17:$A$2437,A167)</f>
        <v>35278.8846184124</v>
      </c>
      <c r="U167" s="24" t="n">
        <f aca="false">IF(T167&gt;0,S167/T167-1,"")</f>
        <v>-0.24459063011048</v>
      </c>
      <c r="V167" s="3" t="str">
        <f aca="false">IF(OR(E167="BAJO SS",E167="BAJO SS (XLIB CUBRE)"),"SÍ","")</f>
        <v>SÍ</v>
      </c>
      <c r="W167" s="3" t="str">
        <f aca="false">IF(AND(V167="",N(L167)&gt;=Parametros!$B$17,G167&gt;=H167,R167&lt;H167),"SÍ","")</f>
        <v/>
      </c>
      <c r="X167" s="3" t="str">
        <f aca="false">IF(OR(E167="SOBRE MAX VENDIBLE",N(N167)&gt;=Parametros!$B$17,N(M167)&gt;=Parametros!$B$17),"SÍ","")</f>
        <v/>
      </c>
      <c r="Y167" s="3" t="str">
        <f aca="false">IF(AND(ISNUMBER(U167),MAX(S167,T167)&gt;=Parametros!$B$15,ABS(N(U167))&gt;Parametros!$B$14),"SÍ","")</f>
        <v>SÍ</v>
      </c>
      <c r="Z167" s="3" t="n">
        <f aca="false">COUNTIF(V167:Y167,"SÍ")</f>
        <v>2</v>
      </c>
      <c r="AA167" s="3" t="n">
        <f aca="false">(3*(V167="SÍ")+2*(W167="SÍ")+2*(X167="SÍ")+(Y167="SÍ"))*IF(LEFT(D167,1)="A",3,IF(OR(LEFT(D167,1)="B",D167="SIN HIST"),2,1))</f>
        <v>12</v>
      </c>
      <c r="AB167" s="3" t="str">
        <f aca="false">IF(AA167&gt;=9,"1-ALTA",IF(AA167&gt;=4,"2-MEDIA",IF(AA167&gt;0,"3-BAJA","")))</f>
        <v>1-ALTA</v>
      </c>
      <c r="AC167" s="3" t="str">
        <f aca="false">IF(E167="BAJO SS","Stock + XLIB bajo el SS: riesgo real de quiebre, adelantar producción. ","")&amp;IF(E167="BAJO SS (XLIB CUBRE)","Disponible bajo el SS; depende de liberar "&amp;TEXT(J167,"#,##0")&amp;" kg"&amp;IF(ISNUMBER(K167)," el "&amp;TEXT(K167,"dd-mm"),"")&amp;". ","")&amp;IF(W167="SÍ","Stock parece sano pero "&amp;TEXT(L167,"#,##0")&amp;" kg no pasan filtro "&amp;Stock_Seguridad!O167&amp;": sin ellos queda bajo el SS para esa cadena. ","")&amp;IF(E167="SOBRE MAX VENDIBLE","Sobrestock vs vida útil: frenar producción/activar venta. ","")&amp;IF(N(N167)&gt;=Parametros!$B$17,TEXT(N167,"#,##0")&amp;" kg ya no los acepta ninguna cadena: venta intermedia/liquidación. ","")&amp;IF(N(M167)&gt;=Parametros!$B$17,TEXT(M167,"#,##0")&amp;" kg a punto de salir del filtro: despachar primero (FEFO). ","")&amp;IF(Y167="SÍ","Pedidos "&amp;IF(N(U167)&gt;0,"sobre","bajo")&amp;" FCST "&amp;TEXT(ABS(N(U167)),"0%")&amp;": revisar forecast con KAM.","")</f>
        <v>Disponible bajo el SS; depende de liberar 9,005 kg el 24-10. Pedidos bajo FCST 24%: revisar forecast con KAM.</v>
      </c>
    </row>
    <row r="168" customFormat="false" ht="15" hidden="false" customHeight="false" outlineLevel="0" collapsed="false">
      <c r="A168" s="18" t="n">
        <f aca="false">Stock_Seguridad!A168</f>
        <v>30001094</v>
      </c>
      <c r="B168" s="18" t="str">
        <f aca="false">Stock_Seguridad!B168</f>
        <v>YOGURT GRIEGO OIKOS CF FTLLA 48X150GR</v>
      </c>
      <c r="C168" s="18" t="str">
        <f aca="false">Stock_Seguridad!C168</f>
        <v>YOGURT</v>
      </c>
      <c r="D168" s="18" t="str">
        <f aca="false">Stock_Seguridad!F168</f>
        <v>AX</v>
      </c>
      <c r="E168" s="19" t="str">
        <f aca="false">Stock_Seguridad!X168</f>
        <v>BAJO P.REORDEN</v>
      </c>
      <c r="F168" s="20" t="n">
        <f aca="false">Stock_Seguridad!W168</f>
        <v>1.20274739252099</v>
      </c>
      <c r="G168" s="21" t="n">
        <f aca="false">Stock_Seguridad!T168</f>
        <v>8510.4</v>
      </c>
      <c r="H168" s="21" t="n">
        <f aca="false">Stock_Seguridad!R168</f>
        <v>4628.86197561399</v>
      </c>
      <c r="I168" s="21" t="n">
        <f aca="false">Stock_Seguridad!S168</f>
        <v>11704.661975614</v>
      </c>
      <c r="J168" s="21" t="n">
        <f aca="false">Stock_Seguridad!U168</f>
        <v>0</v>
      </c>
      <c r="K168" s="22"/>
      <c r="L168" s="23" t="n">
        <v>0</v>
      </c>
      <c r="M168" s="23" t="n">
        <v>0</v>
      </c>
      <c r="N168" s="23" t="n">
        <v>0</v>
      </c>
      <c r="O168" s="24" t="n">
        <v>0.0461210571184996</v>
      </c>
      <c r="P168" s="24" t="n">
        <f aca="false">IF(ISNUMBER(Stock_Seguridad!N168),Stock_Seguridad!N168,"")</f>
        <v>0.298245614035088</v>
      </c>
      <c r="Q168" s="24" t="n">
        <f aca="false">IF(AND(ISNUMBER(O168),ISNUMBER(P168)),P168-O168,"")</f>
        <v>0.252124556916588</v>
      </c>
      <c r="R168" s="23" t="n">
        <f aca="false">MAX(0,G168-N(L168))</f>
        <v>8510.4</v>
      </c>
      <c r="S168" s="23" t="n">
        <f aca="false">SUMIFS(Cadenas_vs_FCST!$D$17:$D$2437,Cadenas_vs_FCST!$A$17:$A$2437,A168)</f>
        <v>24177.6</v>
      </c>
      <c r="T168" s="23" t="n">
        <f aca="false">SUMIFS(Cadenas_vs_FCST!$E$17:$E$2437,Cadenas_vs_FCST!$A$17:$A$2437,A168)</f>
        <v>30096.9610840798</v>
      </c>
      <c r="U168" s="24" t="n">
        <f aca="false">IF(T168&gt;0,S168/T168-1,"")</f>
        <v>-0.196676370997832</v>
      </c>
      <c r="V168" s="3" t="str">
        <f aca="false">IF(OR(E168="BAJO SS",E168="BAJO SS (XLIB CUBRE)"),"SÍ","")</f>
        <v/>
      </c>
      <c r="W168" s="3" t="str">
        <f aca="false">IF(AND(V168="",N(L168)&gt;=Parametros!$B$17,G168&gt;=H168,R168&lt;H168),"SÍ","")</f>
        <v/>
      </c>
      <c r="X168" s="3" t="str">
        <f aca="false">IF(OR(E168="SOBRE MAX VENDIBLE",N(N168)&gt;=Parametros!$B$17,N(M168)&gt;=Parametros!$B$17),"SÍ","")</f>
        <v/>
      </c>
      <c r="Y168" s="3" t="str">
        <f aca="false">IF(AND(ISNUMBER(U168),MAX(S168,T168)&gt;=Parametros!$B$15,ABS(N(U168))&gt;Parametros!$B$14),"SÍ","")</f>
        <v/>
      </c>
      <c r="Z168" s="3" t="n">
        <f aca="false">COUNTIF(V168:Y168,"SÍ")</f>
        <v>0</v>
      </c>
      <c r="AA168" s="3" t="n">
        <f aca="false">(3*(V168="SÍ")+2*(W168="SÍ")+2*(X168="SÍ")+(Y168="SÍ"))*IF(LEFT(D168,1)="A",3,IF(OR(LEFT(D168,1)="B",D168="SIN HIST"),2,1))</f>
        <v>0</v>
      </c>
      <c r="AB168" s="3" t="str">
        <f aca="false">IF(AA168&gt;=9,"1-ALTA",IF(AA168&gt;=4,"2-MEDIA",IF(AA168&gt;0,"3-BAJA","")))</f>
        <v/>
      </c>
      <c r="AC168" s="3" t="str">
        <f aca="false">IF(E168="BAJO SS","Stock + XLIB bajo el SS: riesgo real de quiebre, adelantar producción. ","")&amp;IF(E168="BAJO SS (XLIB CUBRE)","Disponible bajo el SS; depende de liberar "&amp;TEXT(J168,"#,##0")&amp;" kg"&amp;IF(ISNUMBER(K168)," el "&amp;TEXT(K168,"dd-mm"),"")&amp;". ","")&amp;IF(W168="SÍ","Stock parece sano pero "&amp;TEXT(L168,"#,##0")&amp;" kg no pasan filtro "&amp;Stock_Seguridad!O168&amp;": sin ellos queda bajo el SS para esa cadena. ","")&amp;IF(E168="SOBRE MAX VENDIBLE","Sobrestock vs vida útil: frenar producción/activar venta. ","")&amp;IF(N(N168)&gt;=Parametros!$B$17,TEXT(N168,"#,##0")&amp;" kg ya no los acepta ninguna cadena: venta intermedia/liquidación. ","")&amp;IF(N(M168)&gt;=Parametros!$B$17,TEXT(M168,"#,##0")&amp;" kg a punto de salir del filtro: despachar primero (FEFO). ","")&amp;IF(Y168="SÍ","Pedidos "&amp;IF(N(U168)&gt;0,"sobre","bajo")&amp;" FCST "&amp;TEXT(ABS(N(U168)),"0%")&amp;": revisar forecast con KAM.","")</f>
        <v/>
      </c>
    </row>
    <row r="169" customFormat="false" ht="15" hidden="false" customHeight="false" outlineLevel="0" collapsed="false">
      <c r="A169" s="18" t="n">
        <f aca="false">Stock_Seguridad!A169</f>
        <v>30001032</v>
      </c>
      <c r="B169" s="18" t="str">
        <f aca="false">Stock_Seguridad!B169</f>
        <v>YOGURT DANONE  L&amp;F NAT BOLSA 12X900GR</v>
      </c>
      <c r="C169" s="18" t="str">
        <f aca="false">Stock_Seguridad!C169</f>
        <v>YOGURT</v>
      </c>
      <c r="D169" s="18" t="str">
        <f aca="false">Stock_Seguridad!F169</f>
        <v>AX</v>
      </c>
      <c r="E169" s="19" t="str">
        <f aca="false">Stock_Seguridad!X169</f>
        <v>BAJO P.REORDEN</v>
      </c>
      <c r="F169" s="20" t="n">
        <f aca="false">Stock_Seguridad!W169</f>
        <v>1.33310448401631</v>
      </c>
      <c r="G169" s="21" t="n">
        <f aca="false">Stock_Seguridad!T169</f>
        <v>9320.4</v>
      </c>
      <c r="H169" s="21" t="n">
        <f aca="false">Stock_Seguridad!R169</f>
        <v>4444.71095027347</v>
      </c>
      <c r="I169" s="21" t="n">
        <f aca="false">Stock_Seguridad!S169</f>
        <v>11436.2109502735</v>
      </c>
      <c r="J169" s="21" t="n">
        <f aca="false">Stock_Seguridad!U169</f>
        <v>0</v>
      </c>
      <c r="K169" s="22"/>
      <c r="L169" s="23" t="n">
        <v>86.4</v>
      </c>
      <c r="M169" s="23" t="n">
        <v>1209.6</v>
      </c>
      <c r="N169" s="23" t="n">
        <v>86.4</v>
      </c>
      <c r="O169" s="24" t="n">
        <v>0.0955140186915888</v>
      </c>
      <c r="P169" s="24" t="n">
        <f aca="false">IF(ISNUMBER(Stock_Seguridad!N169),Stock_Seguridad!N169,"")</f>
        <v>0.193548387096774</v>
      </c>
      <c r="Q169" s="24" t="n">
        <f aca="false">IF(AND(ISNUMBER(O169),ISNUMBER(P169)),P169-O169,"")</f>
        <v>0.0980343684051854</v>
      </c>
      <c r="R169" s="23" t="n">
        <f aca="false">MAX(0,G169-N(L169))</f>
        <v>9234</v>
      </c>
      <c r="S169" s="23" t="n">
        <f aca="false">SUMIFS(Cadenas_vs_FCST!$D$17:$D$2437,Cadenas_vs_FCST!$A$17:$A$2437,A169)</f>
        <v>31179.6</v>
      </c>
      <c r="T169" s="23" t="n">
        <f aca="false">SUMIFS(Cadenas_vs_FCST!$E$17:$E$2437,Cadenas_vs_FCST!$A$17:$A$2437,A169)</f>
        <v>29087.8570127807</v>
      </c>
      <c r="U169" s="24" t="n">
        <f aca="false">IF(T169&gt;0,S169/T169-1,"")</f>
        <v>0.0719112097635877</v>
      </c>
      <c r="V169" s="3" t="str">
        <f aca="false">IF(OR(E169="BAJO SS",E169="BAJO SS (XLIB CUBRE)"),"SÍ","")</f>
        <v/>
      </c>
      <c r="W169" s="3" t="str">
        <f aca="false">IF(AND(V169="",N(L169)&gt;=Parametros!$B$17,G169&gt;=H169,R169&lt;H169),"SÍ","")</f>
        <v/>
      </c>
      <c r="X169" s="3" t="str">
        <f aca="false">IF(OR(E169="SOBRE MAX VENDIBLE",N(N169)&gt;=Parametros!$B$17,N(M169)&gt;=Parametros!$B$17),"SÍ","")</f>
        <v>SÍ</v>
      </c>
      <c r="Y169" s="3" t="str">
        <f aca="false">IF(AND(ISNUMBER(U169),MAX(S169,T169)&gt;=Parametros!$B$15,ABS(N(U169))&gt;Parametros!$B$14),"SÍ","")</f>
        <v/>
      </c>
      <c r="Z169" s="3" t="n">
        <f aca="false">COUNTIF(V169:Y169,"SÍ")</f>
        <v>1</v>
      </c>
      <c r="AA169" s="3" t="n">
        <f aca="false">(3*(V169="SÍ")+2*(W169="SÍ")+2*(X169="SÍ")+(Y169="SÍ"))*IF(LEFT(D169,1)="A",3,IF(OR(LEFT(D169,1)="B",D169="SIN HIST"),2,1))</f>
        <v>6</v>
      </c>
      <c r="AB169" s="3" t="str">
        <f aca="false">IF(AA169&gt;=9,"1-ALTA",IF(AA169&gt;=4,"2-MEDIA",IF(AA169&gt;0,"3-BAJA","")))</f>
        <v>2-MEDIA</v>
      </c>
      <c r="AC169" s="3" t="str">
        <f aca="false">IF(E169="BAJO SS","Stock + XLIB bajo el SS: riesgo real de quiebre, adelantar producción. ","")&amp;IF(E169="BAJO SS (XLIB CUBRE)","Disponible bajo el SS; depende de liberar "&amp;TEXT(J169,"#,##0")&amp;" kg"&amp;IF(ISNUMBER(K169)," el "&amp;TEXT(K169,"dd-mm"),"")&amp;". ","")&amp;IF(W169="SÍ","Stock parece sano pero "&amp;TEXT(L169,"#,##0")&amp;" kg no pasan filtro "&amp;Stock_Seguridad!O169&amp;": sin ellos queda bajo el SS para esa cadena. ","")&amp;IF(E169="SOBRE MAX VENDIBLE","Sobrestock vs vida útil: frenar producción/activar venta. ","")&amp;IF(N(N169)&gt;=Parametros!$B$17,TEXT(N169,"#,##0")&amp;" kg ya no los acepta ninguna cadena: venta intermedia/liquidación. ","")&amp;IF(N(M169)&gt;=Parametros!$B$17,TEXT(M169,"#,##0")&amp;" kg a punto de salir del filtro: despachar primero (FEFO). ","")&amp;IF(Y169="SÍ","Pedidos "&amp;IF(N(U169)&gt;0,"sobre","bajo")&amp;" FCST "&amp;TEXT(ABS(N(U169)),"0%")&amp;": revisar forecast con KAM.","")</f>
        <v>1,210 kg a punto de salir del filtro: despachar primero (FEFO). </v>
      </c>
    </row>
    <row r="170" customFormat="false" ht="15" hidden="false" customHeight="false" outlineLevel="0" collapsed="false">
      <c r="A170" s="18" t="n">
        <f aca="false">Stock_Seguridad!A170</f>
        <v>30000658</v>
      </c>
      <c r="B170" s="18" t="str">
        <f aca="false">Stock_Seguridad!B170</f>
        <v>JALEA REGIMEL FRAMBUESA 6X4X100GR</v>
      </c>
      <c r="C170" s="18" t="str">
        <f aca="false">Stock_Seguridad!C170</f>
        <v>POSTRES</v>
      </c>
      <c r="D170" s="18" t="str">
        <f aca="false">Stock_Seguridad!F170</f>
        <v>AX</v>
      </c>
      <c r="E170" s="19" t="str">
        <f aca="false">Stock_Seguridad!X170</f>
        <v>BAJO P.REORDEN</v>
      </c>
      <c r="F170" s="20" t="n">
        <f aca="false">Stock_Seguridad!W170</f>
        <v>1.33637027805234</v>
      </c>
      <c r="G170" s="21" t="n">
        <f aca="false">Stock_Seguridad!T170</f>
        <v>9328.8</v>
      </c>
      <c r="H170" s="21" t="n">
        <f aca="false">Stock_Seguridad!R170</f>
        <v>3624.1747623244</v>
      </c>
      <c r="I170" s="21" t="n">
        <f aca="false">Stock_Seguridad!S170</f>
        <v>10604.8747623244</v>
      </c>
      <c r="J170" s="21" t="n">
        <f aca="false">Stock_Seguridad!U170</f>
        <v>0</v>
      </c>
      <c r="K170" s="22"/>
      <c r="L170" s="23" t="n">
        <v>0</v>
      </c>
      <c r="M170" s="23" t="n">
        <v>0</v>
      </c>
      <c r="N170" s="23" t="n">
        <v>0</v>
      </c>
      <c r="O170" s="24" t="n">
        <v>0.114363542473535</v>
      </c>
      <c r="P170" s="24" t="n">
        <f aca="false">IF(ISNUMBER(Stock_Seguridad!N170),Stock_Seguridad!N170,"")</f>
        <v>0.318181818181818</v>
      </c>
      <c r="Q170" s="24" t="n">
        <f aca="false">IF(AND(ISNUMBER(O170),ISNUMBER(P170)),P170-O170,"")</f>
        <v>0.203818275708283</v>
      </c>
      <c r="R170" s="23" t="n">
        <f aca="false">MAX(0,G170-N(L170))</f>
        <v>9328.8</v>
      </c>
      <c r="S170" s="23" t="n">
        <f aca="false">SUMIFS(Cadenas_vs_FCST!$D$17:$D$2437,Cadenas_vs_FCST!$A$17:$A$2437,A170)</f>
        <v>27213.6</v>
      </c>
      <c r="T170" s="23" t="n">
        <f aca="false">SUMIFS(Cadenas_vs_FCST!$E$17:$E$2437,Cadenas_vs_FCST!$A$17:$A$2437,A170)</f>
        <v>32197.9803578953</v>
      </c>
      <c r="U170" s="24" t="n">
        <f aca="false">IF(T170&gt;0,S170/T170-1,"")</f>
        <v>-0.154804130647065</v>
      </c>
      <c r="V170" s="3" t="str">
        <f aca="false">IF(OR(E170="BAJO SS",E170="BAJO SS (XLIB CUBRE)"),"SÍ","")</f>
        <v/>
      </c>
      <c r="W170" s="3" t="str">
        <f aca="false">IF(AND(V170="",N(L170)&gt;=Parametros!$B$17,G170&gt;=H170,R170&lt;H170),"SÍ","")</f>
        <v/>
      </c>
      <c r="X170" s="3" t="str">
        <f aca="false">IF(OR(E170="SOBRE MAX VENDIBLE",N(N170)&gt;=Parametros!$B$17,N(M170)&gt;=Parametros!$B$17),"SÍ","")</f>
        <v/>
      </c>
      <c r="Y170" s="3" t="str">
        <f aca="false">IF(AND(ISNUMBER(U170),MAX(S170,T170)&gt;=Parametros!$B$15,ABS(N(U170))&gt;Parametros!$B$14),"SÍ","")</f>
        <v/>
      </c>
      <c r="Z170" s="3" t="n">
        <f aca="false">COUNTIF(V170:Y170,"SÍ")</f>
        <v>0</v>
      </c>
      <c r="AA170" s="3" t="n">
        <f aca="false">(3*(V170="SÍ")+2*(W170="SÍ")+2*(X170="SÍ")+(Y170="SÍ"))*IF(LEFT(D170,1)="A",3,IF(OR(LEFT(D170,1)="B",D170="SIN HIST"),2,1))</f>
        <v>0</v>
      </c>
      <c r="AB170" s="3" t="str">
        <f aca="false">IF(AA170&gt;=9,"1-ALTA",IF(AA170&gt;=4,"2-MEDIA",IF(AA170&gt;0,"3-BAJA","")))</f>
        <v/>
      </c>
      <c r="AC170" s="3" t="str">
        <f aca="false">IF(E170="BAJO SS","Stock + XLIB bajo el SS: riesgo real de quiebre, adelantar producción. ","")&amp;IF(E170="BAJO SS (XLIB CUBRE)","Disponible bajo el SS; depende de liberar "&amp;TEXT(J170,"#,##0")&amp;" kg"&amp;IF(ISNUMBER(K170)," el "&amp;TEXT(K170,"dd-mm"),"")&amp;". ","")&amp;IF(W170="SÍ","Stock parece sano pero "&amp;TEXT(L170,"#,##0")&amp;" kg no pasan filtro "&amp;Stock_Seguridad!O170&amp;": sin ellos queda bajo el SS para esa cadena. ","")&amp;IF(E170="SOBRE MAX VENDIBLE","Sobrestock vs vida útil: frenar producción/activar venta. ","")&amp;IF(N(N170)&gt;=Parametros!$B$17,TEXT(N170,"#,##0")&amp;" kg ya no los acepta ninguna cadena: venta intermedia/liquidación. ","")&amp;IF(N(M170)&gt;=Parametros!$B$17,TEXT(M170,"#,##0")&amp;" kg a punto de salir del filtro: despachar primero (FEFO). ","")&amp;IF(Y170="SÍ","Pedidos "&amp;IF(N(U170)&gt;0,"sobre","bajo")&amp;" FCST "&amp;TEXT(ABS(N(U170)),"0%")&amp;": revisar forecast con KAM.","")</f>
        <v/>
      </c>
    </row>
    <row r="171" customFormat="false" ht="15" hidden="false" customHeight="false" outlineLevel="0" collapsed="false">
      <c r="A171" s="18" t="n">
        <f aca="false">Stock_Seguridad!A171</f>
        <v>30000857</v>
      </c>
      <c r="B171" s="18" t="str">
        <f aca="false">Stock_Seguridad!B171</f>
        <v>PURE DE PALTA 5X1KG</v>
      </c>
      <c r="C171" s="18" t="str">
        <f aca="false">Stock_Seguridad!C171</f>
        <v>FRUTAS Y HORTALIZAS CONGELADAS</v>
      </c>
      <c r="D171" s="18" t="str">
        <f aca="false">Stock_Seguridad!F171</f>
        <v>SIN HIST</v>
      </c>
      <c r="E171" s="19" t="str">
        <f aca="false">Stock_Seguridad!X171</f>
        <v>OK</v>
      </c>
      <c r="F171" s="20" t="n">
        <f aca="false">Stock_Seguridad!W171</f>
        <v>19.6142930856553</v>
      </c>
      <c r="G171" s="21" t="n">
        <f aca="false">Stock_Seguridad!T171</f>
        <v>93745</v>
      </c>
      <c r="H171" s="21" t="n">
        <f aca="false">Stock_Seguridad!R171</f>
        <v>3442.74443535451</v>
      </c>
      <c r="I171" s="21" t="n">
        <f aca="false">Stock_Seguridad!S171</f>
        <v>10419.5444353545</v>
      </c>
      <c r="J171" s="21" t="n">
        <f aca="false">Stock_Seguridad!U171</f>
        <v>43100</v>
      </c>
      <c r="K171" s="22"/>
      <c r="L171" s="23" t="n">
        <v>0</v>
      </c>
      <c r="M171" s="23" t="n">
        <v>0</v>
      </c>
      <c r="N171" s="23" t="n">
        <v>0</v>
      </c>
      <c r="O171" s="24" t="n">
        <v>0.265886243386243</v>
      </c>
      <c r="P171" s="24" t="str">
        <f aca="false">IF(ISNUMBER(Stock_Seguridad!N171),Stock_Seguridad!N171,"")</f>
        <v/>
      </c>
      <c r="Q171" s="24" t="str">
        <f aca="false">IF(AND(ISNUMBER(O171),ISNUMBER(P171)),P171-O171,"")</f>
        <v/>
      </c>
      <c r="R171" s="23" t="n">
        <f aca="false">MAX(0,G171-N(L171))</f>
        <v>93745</v>
      </c>
      <c r="S171" s="23" t="n">
        <f aca="false">SUMIFS(Cadenas_vs_FCST!$D$17:$D$2437,Cadenas_vs_FCST!$A$17:$A$2437,A171)</f>
        <v>0</v>
      </c>
      <c r="T171" s="23" t="n">
        <f aca="false">SUMIFS(Cadenas_vs_FCST!$E$17:$E$2437,Cadenas_vs_FCST!$A$17:$A$2437,A171)</f>
        <v>0</v>
      </c>
      <c r="U171" s="24" t="str">
        <f aca="false">IF(T171&gt;0,S171/T171-1,"")</f>
        <v/>
      </c>
      <c r="V171" s="3" t="str">
        <f aca="false">IF(OR(E171="BAJO SS",E171="BAJO SS (XLIB CUBRE)"),"SÍ","")</f>
        <v/>
      </c>
      <c r="W171" s="3" t="str">
        <f aca="false">IF(AND(V171="",N(L171)&gt;=Parametros!$B$17,G171&gt;=H171,R171&lt;H171),"SÍ","")</f>
        <v/>
      </c>
      <c r="X171" s="3" t="str">
        <f aca="false">IF(OR(E171="SOBRE MAX VENDIBLE",N(N171)&gt;=Parametros!$B$17,N(M171)&gt;=Parametros!$B$17),"SÍ","")</f>
        <v/>
      </c>
      <c r="Y171" s="3" t="str">
        <f aca="false">IF(AND(ISNUMBER(U171),MAX(S171,T171)&gt;=Parametros!$B$15,ABS(N(U171))&gt;Parametros!$B$14),"SÍ","")</f>
        <v/>
      </c>
      <c r="Z171" s="3" t="n">
        <f aca="false">COUNTIF(V171:Y171,"SÍ")</f>
        <v>0</v>
      </c>
      <c r="AA171" s="3" t="n">
        <f aca="false">(3*(V171="SÍ")+2*(W171="SÍ")+2*(X171="SÍ")+(Y171="SÍ"))*IF(LEFT(D171,1)="A",3,IF(OR(LEFT(D171,1)="B",D171="SIN HIST"),2,1))</f>
        <v>0</v>
      </c>
      <c r="AB171" s="3" t="str">
        <f aca="false">IF(AA171&gt;=9,"1-ALTA",IF(AA171&gt;=4,"2-MEDIA",IF(AA171&gt;0,"3-BAJA","")))</f>
        <v/>
      </c>
      <c r="AC171" s="3" t="str">
        <f aca="false">IF(E171="BAJO SS","Stock + XLIB bajo el SS: riesgo real de quiebre, adelantar producción. ","")&amp;IF(E171="BAJO SS (XLIB CUBRE)","Disponible bajo el SS; depende de liberar "&amp;TEXT(J171,"#,##0")&amp;" kg"&amp;IF(ISNUMBER(K171)," el "&amp;TEXT(K171,"dd-mm"),"")&amp;". ","")&amp;IF(W171="SÍ","Stock parece sano pero "&amp;TEXT(L171,"#,##0")&amp;" kg no pasan filtro "&amp;Stock_Seguridad!O171&amp;": sin ellos queda bajo el SS para esa cadena. ","")&amp;IF(E171="SOBRE MAX VENDIBLE","Sobrestock vs vida útil: frenar producción/activar venta. ","")&amp;IF(N(N171)&gt;=Parametros!$B$17,TEXT(N171,"#,##0")&amp;" kg ya no los acepta ninguna cadena: venta intermedia/liquidación. ","")&amp;IF(N(M171)&gt;=Parametros!$B$17,TEXT(M171,"#,##0")&amp;" kg a punto de salir del filtro: despachar primero (FEFO). ","")&amp;IF(Y171="SÍ","Pedidos "&amp;IF(N(U171)&gt;0,"sobre","bajo")&amp;" FCST "&amp;TEXT(ABS(N(U171)),"0%")&amp;": revisar forecast con KAM.","")</f>
        <v/>
      </c>
    </row>
    <row r="172" customFormat="false" ht="15" hidden="false" customHeight="false" outlineLevel="0" collapsed="false">
      <c r="A172" s="18" t="n">
        <f aca="false">Stock_Seguridad!A172</f>
        <v>30001015</v>
      </c>
      <c r="B172" s="18" t="str">
        <f aca="false">Stock_Seguridad!B172</f>
        <v>ACIDO GRASO VEGETAL</v>
      </c>
      <c r="C172" s="18" t="str">
        <f aca="false">Stock_Seguridad!C172</f>
        <v>ACEITES</v>
      </c>
      <c r="D172" s="18" t="str">
        <f aca="false">Stock_Seguridad!F172</f>
        <v>SIN HIST</v>
      </c>
      <c r="E172" s="19" t="str">
        <f aca="false">Stock_Seguridad!X172</f>
        <v>BAJO SS</v>
      </c>
      <c r="F172" s="20" t="n">
        <f aca="false">Stock_Seguridad!W172</f>
        <v>0</v>
      </c>
      <c r="G172" s="21" t="n">
        <f aca="false">Stock_Seguridad!T172</f>
        <v>0</v>
      </c>
      <c r="H172" s="21" t="n">
        <f aca="false">Stock_Seguridad!R172</f>
        <v>3442.6950897457</v>
      </c>
      <c r="I172" s="21" t="n">
        <f aca="false">Stock_Seguridad!S172</f>
        <v>10419.3950897457</v>
      </c>
      <c r="J172" s="21" t="n">
        <f aca="false">Stock_Seguridad!U172</f>
        <v>0</v>
      </c>
      <c r="K172" s="22"/>
      <c r="L172" s="23"/>
      <c r="M172" s="23"/>
      <c r="N172" s="23"/>
      <c r="O172" s="24"/>
      <c r="P172" s="24" t="str">
        <f aca="false">IF(ISNUMBER(Stock_Seguridad!N172),Stock_Seguridad!N172,"")</f>
        <v/>
      </c>
      <c r="Q172" s="24" t="str">
        <f aca="false">IF(AND(ISNUMBER(O172),ISNUMBER(P172)),P172-O172,"")</f>
        <v/>
      </c>
      <c r="R172" s="23" t="n">
        <f aca="false">MAX(0,G172-N(L172))</f>
        <v>0</v>
      </c>
      <c r="S172" s="23" t="n">
        <f aca="false">SUMIFS(Cadenas_vs_FCST!$D$17:$D$2437,Cadenas_vs_FCST!$A$17:$A$2437,A172)</f>
        <v>0</v>
      </c>
      <c r="T172" s="23" t="n">
        <f aca="false">SUMIFS(Cadenas_vs_FCST!$E$17:$E$2437,Cadenas_vs_FCST!$A$17:$A$2437,A172)</f>
        <v>0</v>
      </c>
      <c r="U172" s="24" t="str">
        <f aca="false">IF(T172&gt;0,S172/T172-1,"")</f>
        <v/>
      </c>
      <c r="V172" s="3" t="str">
        <f aca="false">IF(OR(E172="BAJO SS",E172="BAJO SS (XLIB CUBRE)"),"SÍ","")</f>
        <v>SÍ</v>
      </c>
      <c r="W172" s="3" t="str">
        <f aca="false">IF(AND(V172="",N(L172)&gt;=Parametros!$B$17,G172&gt;=H172,R172&lt;H172),"SÍ","")</f>
        <v/>
      </c>
      <c r="X172" s="3" t="str">
        <f aca="false">IF(OR(E172="SOBRE MAX VENDIBLE",N(N172)&gt;=Parametros!$B$17,N(M172)&gt;=Parametros!$B$17),"SÍ","")</f>
        <v/>
      </c>
      <c r="Y172" s="3" t="str">
        <f aca="false">IF(AND(ISNUMBER(U172),MAX(S172,T172)&gt;=Parametros!$B$15,ABS(N(U172))&gt;Parametros!$B$14),"SÍ","")</f>
        <v/>
      </c>
      <c r="Z172" s="3" t="n">
        <f aca="false">COUNTIF(V172:Y172,"SÍ")</f>
        <v>1</v>
      </c>
      <c r="AA172" s="3" t="n">
        <f aca="false">(3*(V172="SÍ")+2*(W172="SÍ")+2*(X172="SÍ")+(Y172="SÍ"))*IF(LEFT(D172,1)="A",3,IF(OR(LEFT(D172,1)="B",D172="SIN HIST"),2,1))</f>
        <v>6</v>
      </c>
      <c r="AB172" s="3" t="str">
        <f aca="false">IF(AA172&gt;=9,"1-ALTA",IF(AA172&gt;=4,"2-MEDIA",IF(AA172&gt;0,"3-BAJA","")))</f>
        <v>2-MEDIA</v>
      </c>
      <c r="AC172" s="3" t="str">
        <f aca="false">IF(E172="BAJO SS","Stock + XLIB bajo el SS: riesgo real de quiebre, adelantar producción. ","")&amp;IF(E172="BAJO SS (XLIB CUBRE)","Disponible bajo el SS; depende de liberar "&amp;TEXT(J172,"#,##0")&amp;" kg"&amp;IF(ISNUMBER(K172)," el "&amp;TEXT(K172,"dd-mm"),"")&amp;". ","")&amp;IF(W172="SÍ","Stock parece sano pero "&amp;TEXT(L172,"#,##0")&amp;" kg no pasan filtro "&amp;Stock_Seguridad!O172&amp;": sin ellos queda bajo el SS para esa cadena. ","")&amp;IF(E172="SOBRE MAX VENDIBLE","Sobrestock vs vida útil: frenar producción/activar venta. ","")&amp;IF(N(N172)&gt;=Parametros!$B$17,TEXT(N172,"#,##0")&amp;" kg ya no los acepta ninguna cadena: venta intermedia/liquidación. ","")&amp;IF(N(M172)&gt;=Parametros!$B$17,TEXT(M172,"#,##0")&amp;" kg a punto de salir del filtro: despachar primero (FEFO). ","")&amp;IF(Y172="SÍ","Pedidos "&amp;IF(N(U172)&gt;0,"sobre","bajo")&amp;" FCST "&amp;TEXT(ABS(N(U172)),"0%")&amp;": revisar forecast con KAM.","")</f>
        <v>Stock + XLIB bajo el SS: riesgo real de quiebre, adelantar producción. </v>
      </c>
    </row>
    <row r="173" customFormat="false" ht="15" hidden="false" customHeight="false" outlineLevel="0" collapsed="false">
      <c r="A173" s="18" t="n">
        <f aca="false">Stock_Seguridad!A173</f>
        <v>30000091</v>
      </c>
      <c r="B173" s="18" t="str">
        <f aca="false">Stock_Seguridad!B173</f>
        <v>MANTECA CRUCINA PANADERA VEGETAL 10X1KG</v>
      </c>
      <c r="C173" s="18" t="str">
        <f aca="false">Stock_Seguridad!C173</f>
        <v>MANTECAS</v>
      </c>
      <c r="D173" s="18" t="str">
        <f aca="false">Stock_Seguridad!F173</f>
        <v>SIN HIST</v>
      </c>
      <c r="E173" s="19" t="str">
        <f aca="false">Stock_Seguridad!X173</f>
        <v>OK</v>
      </c>
      <c r="F173" s="20" t="n">
        <f aca="false">Stock_Seguridad!W173</f>
        <v>4.47489500766838</v>
      </c>
      <c r="G173" s="21" t="n">
        <f aca="false">Stock_Seguridad!T173</f>
        <v>31220</v>
      </c>
      <c r="H173" s="21" t="n">
        <f aca="false">Stock_Seguridad!R173</f>
        <v>3442.6950897457</v>
      </c>
      <c r="I173" s="21" t="n">
        <f aca="false">Stock_Seguridad!S173</f>
        <v>10419.3950897457</v>
      </c>
      <c r="J173" s="21" t="n">
        <f aca="false">Stock_Seguridad!U173</f>
        <v>0</v>
      </c>
      <c r="K173" s="22"/>
      <c r="L173" s="23" t="n">
        <v>0</v>
      </c>
      <c r="M173" s="23" t="n">
        <v>3950</v>
      </c>
      <c r="N173" s="23" t="n">
        <v>0</v>
      </c>
      <c r="O173" s="24" t="n">
        <v>0.0867874318691888</v>
      </c>
      <c r="P173" s="24" t="n">
        <f aca="false">IF(ISNUMBER(Stock_Seguridad!N173),Stock_Seguridad!N173,"")</f>
        <v>0.217391304347826</v>
      </c>
      <c r="Q173" s="24" t="n">
        <f aca="false">IF(AND(ISNUMBER(O173),ISNUMBER(P173)),P173-O173,"")</f>
        <v>0.130603872478637</v>
      </c>
      <c r="R173" s="23" t="n">
        <f aca="false">MAX(0,G173-N(L173))</f>
        <v>31220</v>
      </c>
      <c r="S173" s="23" t="n">
        <f aca="false">SUMIFS(Cadenas_vs_FCST!$D$17:$D$2437,Cadenas_vs_FCST!$A$17:$A$2437,A173)</f>
        <v>0</v>
      </c>
      <c r="T173" s="23" t="n">
        <f aca="false">SUMIFS(Cadenas_vs_FCST!$E$17:$E$2437,Cadenas_vs_FCST!$A$17:$A$2437,A173)</f>
        <v>0</v>
      </c>
      <c r="U173" s="24" t="str">
        <f aca="false">IF(T173&gt;0,S173/T173-1,"")</f>
        <v/>
      </c>
      <c r="V173" s="3" t="str">
        <f aca="false">IF(OR(E173="BAJO SS",E173="BAJO SS (XLIB CUBRE)"),"SÍ","")</f>
        <v/>
      </c>
      <c r="W173" s="3" t="str">
        <f aca="false">IF(AND(V173="",N(L173)&gt;=Parametros!$B$17,G173&gt;=H173,R173&lt;H173),"SÍ","")</f>
        <v/>
      </c>
      <c r="X173" s="3" t="str">
        <f aca="false">IF(OR(E173="SOBRE MAX VENDIBLE",N(N173)&gt;=Parametros!$B$17,N(M173)&gt;=Parametros!$B$17),"SÍ","")</f>
        <v>SÍ</v>
      </c>
      <c r="Y173" s="3" t="str">
        <f aca="false">IF(AND(ISNUMBER(U173),MAX(S173,T173)&gt;=Parametros!$B$15,ABS(N(U173))&gt;Parametros!$B$14),"SÍ","")</f>
        <v/>
      </c>
      <c r="Z173" s="3" t="n">
        <f aca="false">COUNTIF(V173:Y173,"SÍ")</f>
        <v>1</v>
      </c>
      <c r="AA173" s="3" t="n">
        <f aca="false">(3*(V173="SÍ")+2*(W173="SÍ")+2*(X173="SÍ")+(Y173="SÍ"))*IF(LEFT(D173,1)="A",3,IF(OR(LEFT(D173,1)="B",D173="SIN HIST"),2,1))</f>
        <v>4</v>
      </c>
      <c r="AB173" s="3" t="str">
        <f aca="false">IF(AA173&gt;=9,"1-ALTA",IF(AA173&gt;=4,"2-MEDIA",IF(AA173&gt;0,"3-BAJA","")))</f>
        <v>2-MEDIA</v>
      </c>
      <c r="AC173" s="3" t="str">
        <f aca="false">IF(E173="BAJO SS","Stock + XLIB bajo el SS: riesgo real de quiebre, adelantar producción. ","")&amp;IF(E173="BAJO SS (XLIB CUBRE)","Disponible bajo el SS; depende de liberar "&amp;TEXT(J173,"#,##0")&amp;" kg"&amp;IF(ISNUMBER(K173)," el "&amp;TEXT(K173,"dd-mm"),"")&amp;". ","")&amp;IF(W173="SÍ","Stock parece sano pero "&amp;TEXT(L173,"#,##0")&amp;" kg no pasan filtro "&amp;Stock_Seguridad!O173&amp;": sin ellos queda bajo el SS para esa cadena. ","")&amp;IF(E173="SOBRE MAX VENDIBLE","Sobrestock vs vida útil: frenar producción/activar venta. ","")&amp;IF(N(N173)&gt;=Parametros!$B$17,TEXT(N173,"#,##0")&amp;" kg ya no los acepta ninguna cadena: venta intermedia/liquidación. ","")&amp;IF(N(M173)&gt;=Parametros!$B$17,TEXT(M173,"#,##0")&amp;" kg a punto de salir del filtro: despachar primero (FEFO). ","")&amp;IF(Y173="SÍ","Pedidos "&amp;IF(N(U173)&gt;0,"sobre","bajo")&amp;" FCST "&amp;TEXT(ABS(N(U173)),"0%")&amp;": revisar forecast con KAM.","")</f>
        <v>3,950 kg a punto de salir del filtro: despachar primero (FEFO). </v>
      </c>
    </row>
    <row r="174" customFormat="false" ht="15" hidden="false" customHeight="false" outlineLevel="0" collapsed="false">
      <c r="A174" s="18" t="n">
        <f aca="false">Stock_Seguridad!A174</f>
        <v>30001014</v>
      </c>
      <c r="B174" s="18" t="str">
        <f aca="false">Stock_Seguridad!B174</f>
        <v>ACIDO GRASO VEGETAL MIX 60/40</v>
      </c>
      <c r="C174" s="18" t="str">
        <f aca="false">Stock_Seguridad!C174</f>
        <v>ACEITES</v>
      </c>
      <c r="D174" s="18" t="str">
        <f aca="false">Stock_Seguridad!F174</f>
        <v>SIN HIST</v>
      </c>
      <c r="E174" s="19" t="str">
        <f aca="false">Stock_Seguridad!X174</f>
        <v>BAJO SS</v>
      </c>
      <c r="F174" s="20" t="n">
        <f aca="false">Stock_Seguridad!W174</f>
        <v>0</v>
      </c>
      <c r="G174" s="21" t="n">
        <f aca="false">Stock_Seguridad!T174</f>
        <v>0</v>
      </c>
      <c r="H174" s="21" t="n">
        <f aca="false">Stock_Seguridad!R174</f>
        <v>3442.6950897457</v>
      </c>
      <c r="I174" s="21" t="n">
        <f aca="false">Stock_Seguridad!S174</f>
        <v>10419.3950897457</v>
      </c>
      <c r="J174" s="21" t="n">
        <f aca="false">Stock_Seguridad!U174</f>
        <v>0</v>
      </c>
      <c r="K174" s="22"/>
      <c r="L174" s="23"/>
      <c r="M174" s="23"/>
      <c r="N174" s="23"/>
      <c r="O174" s="24"/>
      <c r="P174" s="24" t="str">
        <f aca="false">IF(ISNUMBER(Stock_Seguridad!N174),Stock_Seguridad!N174,"")</f>
        <v/>
      </c>
      <c r="Q174" s="24" t="str">
        <f aca="false">IF(AND(ISNUMBER(O174),ISNUMBER(P174)),P174-O174,"")</f>
        <v/>
      </c>
      <c r="R174" s="23" t="n">
        <f aca="false">MAX(0,G174-N(L174))</f>
        <v>0</v>
      </c>
      <c r="S174" s="23" t="n">
        <f aca="false">SUMIFS(Cadenas_vs_FCST!$D$17:$D$2437,Cadenas_vs_FCST!$A$17:$A$2437,A174)</f>
        <v>0</v>
      </c>
      <c r="T174" s="23" t="n">
        <f aca="false">SUMIFS(Cadenas_vs_FCST!$E$17:$E$2437,Cadenas_vs_FCST!$A$17:$A$2437,A174)</f>
        <v>0</v>
      </c>
      <c r="U174" s="24" t="str">
        <f aca="false">IF(T174&gt;0,S174/T174-1,"")</f>
        <v/>
      </c>
      <c r="V174" s="3" t="str">
        <f aca="false">IF(OR(E174="BAJO SS",E174="BAJO SS (XLIB CUBRE)"),"SÍ","")</f>
        <v>SÍ</v>
      </c>
      <c r="W174" s="3" t="str">
        <f aca="false">IF(AND(V174="",N(L174)&gt;=Parametros!$B$17,G174&gt;=H174,R174&lt;H174),"SÍ","")</f>
        <v/>
      </c>
      <c r="X174" s="3" t="str">
        <f aca="false">IF(OR(E174="SOBRE MAX VENDIBLE",N(N174)&gt;=Parametros!$B$17,N(M174)&gt;=Parametros!$B$17),"SÍ","")</f>
        <v/>
      </c>
      <c r="Y174" s="3" t="str">
        <f aca="false">IF(AND(ISNUMBER(U174),MAX(S174,T174)&gt;=Parametros!$B$15,ABS(N(U174))&gt;Parametros!$B$14),"SÍ","")</f>
        <v/>
      </c>
      <c r="Z174" s="3" t="n">
        <f aca="false">COUNTIF(V174:Y174,"SÍ")</f>
        <v>1</v>
      </c>
      <c r="AA174" s="3" t="n">
        <f aca="false">(3*(V174="SÍ")+2*(W174="SÍ")+2*(X174="SÍ")+(Y174="SÍ"))*IF(LEFT(D174,1)="A",3,IF(OR(LEFT(D174,1)="B",D174="SIN HIST"),2,1))</f>
        <v>6</v>
      </c>
      <c r="AB174" s="3" t="str">
        <f aca="false">IF(AA174&gt;=9,"1-ALTA",IF(AA174&gt;=4,"2-MEDIA",IF(AA174&gt;0,"3-BAJA","")))</f>
        <v>2-MEDIA</v>
      </c>
      <c r="AC174" s="3" t="str">
        <f aca="false">IF(E174="BAJO SS","Stock + XLIB bajo el SS: riesgo real de quiebre, adelantar producción. ","")&amp;IF(E174="BAJO SS (XLIB CUBRE)","Disponible bajo el SS; depende de liberar "&amp;TEXT(J174,"#,##0")&amp;" kg"&amp;IF(ISNUMBER(K174)," el "&amp;TEXT(K174,"dd-mm"),"")&amp;". ","")&amp;IF(W174="SÍ","Stock parece sano pero "&amp;TEXT(L174,"#,##0")&amp;" kg no pasan filtro "&amp;Stock_Seguridad!O174&amp;": sin ellos queda bajo el SS para esa cadena. ","")&amp;IF(E174="SOBRE MAX VENDIBLE","Sobrestock vs vida útil: frenar producción/activar venta. ","")&amp;IF(N(N174)&gt;=Parametros!$B$17,TEXT(N174,"#,##0")&amp;" kg ya no los acepta ninguna cadena: venta intermedia/liquidación. ","")&amp;IF(N(M174)&gt;=Parametros!$B$17,TEXT(M174,"#,##0")&amp;" kg a punto de salir del filtro: despachar primero (FEFO). ","")&amp;IF(Y174="SÍ","Pedidos "&amp;IF(N(U174)&gt;0,"sobre","bajo")&amp;" FCST "&amp;TEXT(ABS(N(U174)),"0%")&amp;": revisar forecast con KAM.","")</f>
        <v>Stock + XLIB bajo el SS: riesgo real de quiebre, adelantar producción. </v>
      </c>
    </row>
    <row r="175" customFormat="false" ht="15" hidden="false" customHeight="false" outlineLevel="0" collapsed="false">
      <c r="A175" s="18" t="n">
        <f aca="false">Stock_Seguridad!A175</f>
        <v>30000538</v>
      </c>
      <c r="B175" s="18" t="str">
        <f aca="false">Stock_Seguridad!B175</f>
        <v>PREPARADO HELADO PREMIUM CHOCOLAT 1X10LT</v>
      </c>
      <c r="C175" s="18" t="str">
        <f aca="false">Stock_Seguridad!C175</f>
        <v>PREPARADOS DE HELADO</v>
      </c>
      <c r="D175" s="18" t="str">
        <f aca="false">Stock_Seguridad!F175</f>
        <v>SIN HIST</v>
      </c>
      <c r="E175" s="19" t="str">
        <f aca="false">Stock_Seguridad!X175</f>
        <v>OK</v>
      </c>
      <c r="F175" s="20" t="n">
        <f aca="false">Stock_Seguridad!W175</f>
        <v>2.60415150368279</v>
      </c>
      <c r="G175" s="21" t="n">
        <f aca="false">Stock_Seguridad!T175</f>
        <v>17890</v>
      </c>
      <c r="H175" s="21" t="n">
        <f aca="false">Stock_Seguridad!R175</f>
        <v>3389.94463392937</v>
      </c>
      <c r="I175" s="21" t="n">
        <f aca="false">Stock_Seguridad!S175</f>
        <v>10259.7446339294</v>
      </c>
      <c r="J175" s="21" t="n">
        <f aca="false">Stock_Seguridad!U175</f>
        <v>0</v>
      </c>
      <c r="K175" s="22"/>
      <c r="L175" s="23" t="n">
        <v>730</v>
      </c>
      <c r="M175" s="23" t="n">
        <v>0</v>
      </c>
      <c r="N175" s="23" t="n">
        <v>110</v>
      </c>
      <c r="O175" s="24" t="n">
        <v>0.158943543879262</v>
      </c>
      <c r="P175" s="24" t="n">
        <f aca="false">IF(ISNUMBER(Stock_Seguridad!N175),Stock_Seguridad!N175,"")</f>
        <v>0.271739130434783</v>
      </c>
      <c r="Q175" s="24" t="n">
        <f aca="false">IF(AND(ISNUMBER(O175),ISNUMBER(P175)),P175-O175,"")</f>
        <v>0.11279558655552</v>
      </c>
      <c r="R175" s="23" t="n">
        <f aca="false">MAX(0,G175-N(L175))</f>
        <v>17160</v>
      </c>
      <c r="S175" s="23" t="n">
        <f aca="false">SUMIFS(Cadenas_vs_FCST!$D$17:$D$2437,Cadenas_vs_FCST!$A$17:$A$2437,A175)</f>
        <v>0</v>
      </c>
      <c r="T175" s="23" t="n">
        <f aca="false">SUMIFS(Cadenas_vs_FCST!$E$17:$E$2437,Cadenas_vs_FCST!$A$17:$A$2437,A175)</f>
        <v>0</v>
      </c>
      <c r="U175" s="24" t="str">
        <f aca="false">IF(T175&gt;0,S175/T175-1,"")</f>
        <v/>
      </c>
      <c r="V175" s="3" t="str">
        <f aca="false">IF(OR(E175="BAJO SS",E175="BAJO SS (XLIB CUBRE)"),"SÍ","")</f>
        <v/>
      </c>
      <c r="W175" s="3" t="str">
        <f aca="false">IF(AND(V175="",N(L175)&gt;=Parametros!$B$17,G175&gt;=H175,R175&lt;H175),"SÍ","")</f>
        <v/>
      </c>
      <c r="X175" s="3" t="str">
        <f aca="false">IF(OR(E175="SOBRE MAX VENDIBLE",N(N175)&gt;=Parametros!$B$17,N(M175)&gt;=Parametros!$B$17),"SÍ","")</f>
        <v/>
      </c>
      <c r="Y175" s="3" t="str">
        <f aca="false">IF(AND(ISNUMBER(U175),MAX(S175,T175)&gt;=Parametros!$B$15,ABS(N(U175))&gt;Parametros!$B$14),"SÍ","")</f>
        <v/>
      </c>
      <c r="Z175" s="3" t="n">
        <f aca="false">COUNTIF(V175:Y175,"SÍ")</f>
        <v>0</v>
      </c>
      <c r="AA175" s="3" t="n">
        <f aca="false">(3*(V175="SÍ")+2*(W175="SÍ")+2*(X175="SÍ")+(Y175="SÍ"))*IF(LEFT(D175,1)="A",3,IF(OR(LEFT(D175,1)="B",D175="SIN HIST"),2,1))</f>
        <v>0</v>
      </c>
      <c r="AB175" s="3" t="str">
        <f aca="false">IF(AA175&gt;=9,"1-ALTA",IF(AA175&gt;=4,"2-MEDIA",IF(AA175&gt;0,"3-BAJA","")))</f>
        <v/>
      </c>
      <c r="AC175" s="3" t="str">
        <f aca="false">IF(E175="BAJO SS","Stock + XLIB bajo el SS: riesgo real de quiebre, adelantar producción. ","")&amp;IF(E175="BAJO SS (XLIB CUBRE)","Disponible bajo el SS; depende de liberar "&amp;TEXT(J175,"#,##0")&amp;" kg"&amp;IF(ISNUMBER(K175)," el "&amp;TEXT(K175,"dd-mm"),"")&amp;". ","")&amp;IF(W175="SÍ","Stock parece sano pero "&amp;TEXT(L175,"#,##0")&amp;" kg no pasan filtro "&amp;Stock_Seguridad!O175&amp;": sin ellos queda bajo el SS para esa cadena. ","")&amp;IF(E175="SOBRE MAX VENDIBLE","Sobrestock vs vida útil: frenar producción/activar venta. ","")&amp;IF(N(N175)&gt;=Parametros!$B$17,TEXT(N175,"#,##0")&amp;" kg ya no los acepta ninguna cadena: venta intermedia/liquidación. ","")&amp;IF(N(M175)&gt;=Parametros!$B$17,TEXT(M175,"#,##0")&amp;" kg a punto de salir del filtro: despachar primero (FEFO). ","")&amp;IF(Y175="SÍ","Pedidos "&amp;IF(N(U175)&gt;0,"sobre","bajo")&amp;" FCST "&amp;TEXT(ABS(N(U175)),"0%")&amp;": revisar forecast con KAM.","")</f>
        <v/>
      </c>
    </row>
    <row r="176" customFormat="false" ht="15" hidden="false" customHeight="false" outlineLevel="0" collapsed="false">
      <c r="A176" s="18" t="n">
        <f aca="false">Stock_Seguridad!A176</f>
        <v>30001711</v>
      </c>
      <c r="B176" s="18" t="str">
        <f aca="false">Stock_Seguridad!B176</f>
        <v>YOGURT LCO S/LACT TZO PAPAY POTE 24X140G</v>
      </c>
      <c r="C176" s="18" t="str">
        <f aca="false">Stock_Seguridad!C176</f>
        <v>YOGURT</v>
      </c>
      <c r="D176" s="18" t="str">
        <f aca="false">Stock_Seguridad!F176</f>
        <v>AX</v>
      </c>
      <c r="E176" s="19" t="str">
        <f aca="false">Stock_Seguridad!X176</f>
        <v>BAJO SS</v>
      </c>
      <c r="F176" s="20" t="n">
        <f aca="false">Stock_Seguridad!W176</f>
        <v>0.577734053800071</v>
      </c>
      <c r="G176" s="21" t="n">
        <f aca="false">Stock_Seguridad!T176</f>
        <v>3934.6</v>
      </c>
      <c r="H176" s="21" t="n">
        <f aca="false">Stock_Seguridad!R176</f>
        <v>11346.9438950733</v>
      </c>
      <c r="I176" s="21" t="n">
        <f aca="false">Stock_Seguridad!S176</f>
        <v>18157.3438950733</v>
      </c>
      <c r="J176" s="21" t="n">
        <f aca="false">Stock_Seguridad!U176</f>
        <v>0</v>
      </c>
      <c r="K176" s="22"/>
      <c r="L176" s="23" t="n">
        <v>127.68</v>
      </c>
      <c r="M176" s="23" t="n">
        <v>0</v>
      </c>
      <c r="N176" s="23" t="n">
        <v>127.68</v>
      </c>
      <c r="O176" s="24" t="n">
        <v>0.153407917383821</v>
      </c>
      <c r="P176" s="24" t="n">
        <f aca="false">IF(ISNUMBER(Stock_Seguridad!N176),Stock_Seguridad!N176,"")</f>
        <v>0.295774647887324</v>
      </c>
      <c r="Q176" s="24" t="n">
        <f aca="false">IF(AND(ISNUMBER(O176),ISNUMBER(P176)),P176-O176,"")</f>
        <v>0.142366730503503</v>
      </c>
      <c r="R176" s="23" t="n">
        <f aca="false">MAX(0,G176-N(L176))</f>
        <v>3806.92</v>
      </c>
      <c r="S176" s="23" t="n">
        <f aca="false">SUMIFS(Cadenas_vs_FCST!$D$17:$D$2437,Cadenas_vs_FCST!$A$17:$A$2437,A176)</f>
        <v>36634.08</v>
      </c>
      <c r="T176" s="23" t="n">
        <f aca="false">SUMIFS(Cadenas_vs_FCST!$E$17:$E$2437,Cadenas_vs_FCST!$A$17:$A$2437,A176)</f>
        <v>38745.3468829909</v>
      </c>
      <c r="U176" s="24" t="n">
        <f aca="false">IF(T176&gt;0,S176/T176-1,"")</f>
        <v>-0.05449084994301</v>
      </c>
      <c r="V176" s="3" t="str">
        <f aca="false">IF(OR(E176="BAJO SS",E176="BAJO SS (XLIB CUBRE)"),"SÍ","")</f>
        <v>SÍ</v>
      </c>
      <c r="W176" s="3" t="str">
        <f aca="false">IF(AND(V176="",N(L176)&gt;=Parametros!$B$17,G176&gt;=H176,R176&lt;H176),"SÍ","")</f>
        <v/>
      </c>
      <c r="X176" s="3" t="str">
        <f aca="false">IF(OR(E176="SOBRE MAX VENDIBLE",N(N176)&gt;=Parametros!$B$17,N(M176)&gt;=Parametros!$B$17),"SÍ","")</f>
        <v/>
      </c>
      <c r="Y176" s="3" t="str">
        <f aca="false">IF(AND(ISNUMBER(U176),MAX(S176,T176)&gt;=Parametros!$B$15,ABS(N(U176))&gt;Parametros!$B$14),"SÍ","")</f>
        <v/>
      </c>
      <c r="Z176" s="3" t="n">
        <f aca="false">COUNTIF(V176:Y176,"SÍ")</f>
        <v>1</v>
      </c>
      <c r="AA176" s="3" t="n">
        <f aca="false">(3*(V176="SÍ")+2*(W176="SÍ")+2*(X176="SÍ")+(Y176="SÍ"))*IF(LEFT(D176,1)="A",3,IF(OR(LEFT(D176,1)="B",D176="SIN HIST"),2,1))</f>
        <v>9</v>
      </c>
      <c r="AB176" s="3" t="str">
        <f aca="false">IF(AA176&gt;=9,"1-ALTA",IF(AA176&gt;=4,"2-MEDIA",IF(AA176&gt;0,"3-BAJA","")))</f>
        <v>1-ALTA</v>
      </c>
      <c r="AC176" s="3" t="str">
        <f aca="false">IF(E176="BAJO SS","Stock + XLIB bajo el SS: riesgo real de quiebre, adelantar producción. ","")&amp;IF(E176="BAJO SS (XLIB CUBRE)","Disponible bajo el SS; depende de liberar "&amp;TEXT(J176,"#,##0")&amp;" kg"&amp;IF(ISNUMBER(K176)," el "&amp;TEXT(K176,"dd-mm"),"")&amp;". ","")&amp;IF(W176="SÍ","Stock parece sano pero "&amp;TEXT(L176,"#,##0")&amp;" kg no pasan filtro "&amp;Stock_Seguridad!O176&amp;": sin ellos queda bajo el SS para esa cadena. ","")&amp;IF(E176="SOBRE MAX VENDIBLE","Sobrestock vs vida útil: frenar producción/activar venta. ","")&amp;IF(N(N176)&gt;=Parametros!$B$17,TEXT(N176,"#,##0")&amp;" kg ya no los acepta ninguna cadena: venta intermedia/liquidación. ","")&amp;IF(N(M176)&gt;=Parametros!$B$17,TEXT(M176,"#,##0")&amp;" kg a punto de salir del filtro: despachar primero (FEFO). ","")&amp;IF(Y176="SÍ","Pedidos "&amp;IF(N(U176)&gt;0,"sobre","bajo")&amp;" FCST "&amp;TEXT(ABS(N(U176)),"0%")&amp;": revisar forecast con KAM.","")</f>
        <v>Stock + XLIB bajo el SS: riesgo real de quiebre, adelantar producción. </v>
      </c>
    </row>
    <row r="177" customFormat="false" ht="15" hidden="false" customHeight="false" outlineLevel="0" collapsed="false">
      <c r="A177" s="18" t="n">
        <f aca="false">Stock_Seguridad!A177</f>
        <v>30000733</v>
      </c>
      <c r="B177" s="18" t="str">
        <f aca="false">Stock_Seguridad!B177</f>
        <v>ENSALADA PRIMAVERA IQF FDM 25X200GR</v>
      </c>
      <c r="C177" s="18" t="str">
        <f aca="false">Stock_Seguridad!C177</f>
        <v>FRUTAS Y HORTALIZAS CONGELADAS</v>
      </c>
      <c r="D177" s="18" t="str">
        <f aca="false">Stock_Seguridad!F177</f>
        <v>SIN HIST</v>
      </c>
      <c r="E177" s="19" t="str">
        <f aca="false">Stock_Seguridad!X177</f>
        <v>OK</v>
      </c>
      <c r="F177" s="20" t="n">
        <f aca="false">Stock_Seguridad!W177</f>
        <v>3.64449939650858</v>
      </c>
      <c r="G177" s="21" t="n">
        <f aca="false">Stock_Seguridad!T177</f>
        <v>24760</v>
      </c>
      <c r="H177" s="21" t="n">
        <f aca="false">Stock_Seguridad!R177</f>
        <v>3352.44197123487</v>
      </c>
      <c r="I177" s="21" t="n">
        <f aca="false">Stock_Seguridad!S177</f>
        <v>10146.2419712349</v>
      </c>
      <c r="J177" s="21" t="n">
        <f aca="false">Stock_Seguridad!U177</f>
        <v>0</v>
      </c>
      <c r="K177" s="22"/>
      <c r="L177" s="23" t="n">
        <v>0</v>
      </c>
      <c r="M177" s="23" t="n">
        <v>0</v>
      </c>
      <c r="N177" s="23" t="n">
        <v>0</v>
      </c>
      <c r="O177" s="24" t="n">
        <v>0.0141377221324717</v>
      </c>
      <c r="P177" s="24" t="str">
        <f aca="false">IF(ISNUMBER(Stock_Seguridad!N177),Stock_Seguridad!N177,"")</f>
        <v/>
      </c>
      <c r="Q177" s="24" t="str">
        <f aca="false">IF(AND(ISNUMBER(O177),ISNUMBER(P177)),P177-O177,"")</f>
        <v/>
      </c>
      <c r="R177" s="23" t="n">
        <f aca="false">MAX(0,G177-N(L177))</f>
        <v>24760</v>
      </c>
      <c r="S177" s="23" t="n">
        <f aca="false">SUMIFS(Cadenas_vs_FCST!$D$17:$D$2437,Cadenas_vs_FCST!$A$17:$A$2437,A177)</f>
        <v>0</v>
      </c>
      <c r="T177" s="23" t="n">
        <f aca="false">SUMIFS(Cadenas_vs_FCST!$E$17:$E$2437,Cadenas_vs_FCST!$A$17:$A$2437,A177)</f>
        <v>0</v>
      </c>
      <c r="U177" s="24" t="str">
        <f aca="false">IF(T177&gt;0,S177/T177-1,"")</f>
        <v/>
      </c>
      <c r="V177" s="3" t="str">
        <f aca="false">IF(OR(E177="BAJO SS",E177="BAJO SS (XLIB CUBRE)"),"SÍ","")</f>
        <v/>
      </c>
      <c r="W177" s="3" t="str">
        <f aca="false">IF(AND(V177="",N(L177)&gt;=Parametros!$B$17,G177&gt;=H177,R177&lt;H177),"SÍ","")</f>
        <v/>
      </c>
      <c r="X177" s="3" t="str">
        <f aca="false">IF(OR(E177="SOBRE MAX VENDIBLE",N(N177)&gt;=Parametros!$B$17,N(M177)&gt;=Parametros!$B$17),"SÍ","")</f>
        <v/>
      </c>
      <c r="Y177" s="3" t="str">
        <f aca="false">IF(AND(ISNUMBER(U177),MAX(S177,T177)&gt;=Parametros!$B$15,ABS(N(U177))&gt;Parametros!$B$14),"SÍ","")</f>
        <v/>
      </c>
      <c r="Z177" s="3" t="n">
        <f aca="false">COUNTIF(V177:Y177,"SÍ")</f>
        <v>0</v>
      </c>
      <c r="AA177" s="3" t="n">
        <f aca="false">(3*(V177="SÍ")+2*(W177="SÍ")+2*(X177="SÍ")+(Y177="SÍ"))*IF(LEFT(D177,1)="A",3,IF(OR(LEFT(D177,1)="B",D177="SIN HIST"),2,1))</f>
        <v>0</v>
      </c>
      <c r="AB177" s="3" t="str">
        <f aca="false">IF(AA177&gt;=9,"1-ALTA",IF(AA177&gt;=4,"2-MEDIA",IF(AA177&gt;0,"3-BAJA","")))</f>
        <v/>
      </c>
      <c r="AC177" s="3" t="str">
        <f aca="false">IF(E177="BAJO SS","Stock + XLIB bajo el SS: riesgo real de quiebre, adelantar producción. ","")&amp;IF(E177="BAJO SS (XLIB CUBRE)","Disponible bajo el SS; depende de liberar "&amp;TEXT(J177,"#,##0")&amp;" kg"&amp;IF(ISNUMBER(K177)," el "&amp;TEXT(K177,"dd-mm"),"")&amp;". ","")&amp;IF(W177="SÍ","Stock parece sano pero "&amp;TEXT(L177,"#,##0")&amp;" kg no pasan filtro "&amp;Stock_Seguridad!O177&amp;": sin ellos queda bajo el SS para esa cadena. ","")&amp;IF(E177="SOBRE MAX VENDIBLE","Sobrestock vs vida útil: frenar producción/activar venta. ","")&amp;IF(N(N177)&gt;=Parametros!$B$17,TEXT(N177,"#,##0")&amp;" kg ya no los acepta ninguna cadena: venta intermedia/liquidación. ","")&amp;IF(N(M177)&gt;=Parametros!$B$17,TEXT(M177,"#,##0")&amp;" kg a punto de salir del filtro: despachar primero (FEFO). ","")&amp;IF(Y177="SÍ","Pedidos "&amp;IF(N(U177)&gt;0,"sobre","bajo")&amp;" FCST "&amp;TEXT(ABS(N(U177)),"0%")&amp;": revisar forecast con KAM.","")</f>
        <v/>
      </c>
    </row>
    <row r="178" customFormat="false" ht="15" hidden="false" customHeight="false" outlineLevel="0" collapsed="false">
      <c r="A178" s="18" t="n">
        <f aca="false">Stock_Seguridad!A178</f>
        <v>30001882</v>
      </c>
      <c r="B178" s="18" t="str">
        <f aca="false">Stock_Seguridad!B178</f>
        <v>CREMA BATIR LONCO 12X500ML</v>
      </c>
      <c r="C178" s="18" t="str">
        <f aca="false">Stock_Seguridad!C178</f>
        <v>CREMA</v>
      </c>
      <c r="D178" s="18" t="str">
        <f aca="false">Stock_Seguridad!F178</f>
        <v>BX</v>
      </c>
      <c r="E178" s="19" t="str">
        <f aca="false">Stock_Seguridad!X178</f>
        <v>OK</v>
      </c>
      <c r="F178" s="20" t="n">
        <f aca="false">Stock_Seguridad!W178</f>
        <v>2.22668893454132</v>
      </c>
      <c r="G178" s="21" t="n">
        <f aca="false">Stock_Seguridad!T178</f>
        <v>8196</v>
      </c>
      <c r="H178" s="21" t="n">
        <f aca="false">Stock_Seguridad!R178</f>
        <v>1920.60811084986</v>
      </c>
      <c r="I178" s="21" t="n">
        <f aca="false">Stock_Seguridad!S178</f>
        <v>8686.70811084986</v>
      </c>
      <c r="J178" s="21" t="n">
        <f aca="false">Stock_Seguridad!U178</f>
        <v>6870</v>
      </c>
      <c r="K178" s="22" t="n">
        <v>46319</v>
      </c>
      <c r="L178" s="23" t="n">
        <v>324</v>
      </c>
      <c r="M178" s="23" t="n">
        <v>6</v>
      </c>
      <c r="N178" s="23" t="n">
        <v>306</v>
      </c>
      <c r="O178" s="24" t="n">
        <v>0.0585663082437276</v>
      </c>
      <c r="P178" s="24" t="n">
        <f aca="false">IF(ISNUMBER(Stock_Seguridad!N178),Stock_Seguridad!N178,"")</f>
        <v>0.190217391304348</v>
      </c>
      <c r="Q178" s="24" t="n">
        <f aca="false">IF(AND(ISNUMBER(O178),ISNUMBER(P178)),P178-O178,"")</f>
        <v>0.13165108306062</v>
      </c>
      <c r="R178" s="23" t="n">
        <f aca="false">MAX(0,G178-N(L178))</f>
        <v>7872</v>
      </c>
      <c r="S178" s="23" t="n">
        <f aca="false">SUMIFS(Cadenas_vs_FCST!$D$17:$D$2437,Cadenas_vs_FCST!$A$17:$A$2437,A178)</f>
        <v>19260</v>
      </c>
      <c r="T178" s="23" t="n">
        <f aca="false">SUMIFS(Cadenas_vs_FCST!$E$17:$E$2437,Cadenas_vs_FCST!$A$17:$A$2437,A178)</f>
        <v>19368.3013503147</v>
      </c>
      <c r="U178" s="24" t="n">
        <f aca="false">IF(T178&gt;0,S178/T178-1,"")</f>
        <v>-0.00559168036245517</v>
      </c>
      <c r="V178" s="3" t="str">
        <f aca="false">IF(OR(E178="BAJO SS",E178="BAJO SS (XLIB CUBRE)"),"SÍ","")</f>
        <v/>
      </c>
      <c r="W178" s="3" t="str">
        <f aca="false">IF(AND(V178="",N(L178)&gt;=Parametros!$B$17,G178&gt;=H178,R178&lt;H178),"SÍ","")</f>
        <v/>
      </c>
      <c r="X178" s="3" t="str">
        <f aca="false">IF(OR(E178="SOBRE MAX VENDIBLE",N(N178)&gt;=Parametros!$B$17,N(M178)&gt;=Parametros!$B$17),"SÍ","")</f>
        <v/>
      </c>
      <c r="Y178" s="3" t="str">
        <f aca="false">IF(AND(ISNUMBER(U178),MAX(S178,T178)&gt;=Parametros!$B$15,ABS(N(U178))&gt;Parametros!$B$14),"SÍ","")</f>
        <v/>
      </c>
      <c r="Z178" s="3" t="n">
        <f aca="false">COUNTIF(V178:Y178,"SÍ")</f>
        <v>0</v>
      </c>
      <c r="AA178" s="3" t="n">
        <f aca="false">(3*(V178="SÍ")+2*(W178="SÍ")+2*(X178="SÍ")+(Y178="SÍ"))*IF(LEFT(D178,1)="A",3,IF(OR(LEFT(D178,1)="B",D178="SIN HIST"),2,1))</f>
        <v>0</v>
      </c>
      <c r="AB178" s="3" t="str">
        <f aca="false">IF(AA178&gt;=9,"1-ALTA",IF(AA178&gt;=4,"2-MEDIA",IF(AA178&gt;0,"3-BAJA","")))</f>
        <v/>
      </c>
      <c r="AC178" s="3" t="str">
        <f aca="false">IF(E178="BAJO SS","Stock + XLIB bajo el SS: riesgo real de quiebre, adelantar producción. ","")&amp;IF(E178="BAJO SS (XLIB CUBRE)","Disponible bajo el SS; depende de liberar "&amp;TEXT(J178,"#,##0")&amp;" kg"&amp;IF(ISNUMBER(K178)," el "&amp;TEXT(K178,"dd-mm"),"")&amp;". ","")&amp;IF(W178="SÍ","Stock parece sano pero "&amp;TEXT(L178,"#,##0")&amp;" kg no pasan filtro "&amp;Stock_Seguridad!O178&amp;": sin ellos queda bajo el SS para esa cadena. ","")&amp;IF(E178="SOBRE MAX VENDIBLE","Sobrestock vs vida útil: frenar producción/activar venta. ","")&amp;IF(N(N178)&gt;=Parametros!$B$17,TEXT(N178,"#,##0")&amp;" kg ya no los acepta ninguna cadena: venta intermedia/liquidación. ","")&amp;IF(N(M178)&gt;=Parametros!$B$17,TEXT(M178,"#,##0")&amp;" kg a punto de salir del filtro: despachar primero (FEFO). ","")&amp;IF(Y178="SÍ","Pedidos "&amp;IF(N(U178)&gt;0,"sobre","bajo")&amp;" FCST "&amp;TEXT(ABS(N(U178)),"0%")&amp;": revisar forecast con KAM.","")</f>
        <v/>
      </c>
    </row>
    <row r="179" customFormat="false" ht="15" hidden="false" customHeight="false" outlineLevel="0" collapsed="false">
      <c r="A179" s="18" t="n">
        <f aca="false">Stock_Seguridad!A179</f>
        <v>30001598</v>
      </c>
      <c r="B179" s="18" t="str">
        <f aca="false">Stock_Seguridad!B179</f>
        <v>DURAZNOS MITADES WASIL 16X500G</v>
      </c>
      <c r="C179" s="18" t="str">
        <f aca="false">Stock_Seguridad!C179</f>
        <v>CONSERVAS Y PLATOS LISTOS</v>
      </c>
      <c r="D179" s="18" t="str">
        <f aca="false">Stock_Seguridad!F179</f>
        <v>BY</v>
      </c>
      <c r="E179" s="19" t="str">
        <f aca="false">Stock_Seguridad!X179</f>
        <v>OK</v>
      </c>
      <c r="F179" s="20" t="n">
        <f aca="false">Stock_Seguridad!W179</f>
        <v>21.5137916591875</v>
      </c>
      <c r="G179" s="21" t="n">
        <f aca="false">Stock_Seguridad!T179</f>
        <v>143824</v>
      </c>
      <c r="H179" s="21" t="n">
        <f aca="false">Stock_Seguridad!R179</f>
        <v>5923.47861029928</v>
      </c>
      <c r="I179" s="21" t="n">
        <f aca="false">Stock_Seguridad!S179</f>
        <v>12608.6786102993</v>
      </c>
      <c r="J179" s="21" t="n">
        <f aca="false">Stock_Seguridad!U179</f>
        <v>0</v>
      </c>
      <c r="K179" s="22"/>
      <c r="L179" s="23" t="n">
        <v>160</v>
      </c>
      <c r="M179" s="23" t="n">
        <v>0</v>
      </c>
      <c r="N179" s="23" t="n">
        <v>160</v>
      </c>
      <c r="O179" s="24" t="n">
        <v>0.25527366781622</v>
      </c>
      <c r="P179" s="24" t="n">
        <f aca="false">IF(ISNUMBER(Stock_Seguridad!N179),Stock_Seguridad!N179,"")</f>
        <v>0.464989059080963</v>
      </c>
      <c r="Q179" s="24" t="n">
        <f aca="false">IF(AND(ISNUMBER(O179),ISNUMBER(P179)),P179-O179,"")</f>
        <v>0.209715391264743</v>
      </c>
      <c r="R179" s="23" t="n">
        <f aca="false">MAX(0,G179-N(L179))</f>
        <v>143664</v>
      </c>
      <c r="S179" s="23" t="n">
        <f aca="false">SUMIFS(Cadenas_vs_FCST!$D$17:$D$2437,Cadenas_vs_FCST!$A$17:$A$2437,A179)</f>
        <v>12816</v>
      </c>
      <c r="T179" s="23" t="n">
        <f aca="false">SUMIFS(Cadenas_vs_FCST!$E$17:$E$2437,Cadenas_vs_FCST!$A$17:$A$2437,A179)</f>
        <v>27546.8</v>
      </c>
      <c r="U179" s="24" t="n">
        <f aca="false">IF(T179&gt;0,S179/T179-1,"")</f>
        <v>-0.534755398086166</v>
      </c>
      <c r="V179" s="3" t="str">
        <f aca="false">IF(OR(E179="BAJO SS",E179="BAJO SS (XLIB CUBRE)"),"SÍ","")</f>
        <v/>
      </c>
      <c r="W179" s="3" t="str">
        <f aca="false">IF(AND(V179="",N(L179)&gt;=Parametros!$B$17,G179&gt;=H179,R179&lt;H179),"SÍ","")</f>
        <v/>
      </c>
      <c r="X179" s="3" t="str">
        <f aca="false">IF(OR(E179="SOBRE MAX VENDIBLE",N(N179)&gt;=Parametros!$B$17,N(M179)&gt;=Parametros!$B$17),"SÍ","")</f>
        <v/>
      </c>
      <c r="Y179" s="3" t="str">
        <f aca="false">IF(AND(ISNUMBER(U179),MAX(S179,T179)&gt;=Parametros!$B$15,ABS(N(U179))&gt;Parametros!$B$14),"SÍ","")</f>
        <v>SÍ</v>
      </c>
      <c r="Z179" s="3" t="n">
        <f aca="false">COUNTIF(V179:Y179,"SÍ")</f>
        <v>1</v>
      </c>
      <c r="AA179" s="3" t="n">
        <f aca="false">(3*(V179="SÍ")+2*(W179="SÍ")+2*(X179="SÍ")+(Y179="SÍ"))*IF(LEFT(D179,1)="A",3,IF(OR(LEFT(D179,1)="B",D179="SIN HIST"),2,1))</f>
        <v>2</v>
      </c>
      <c r="AB179" s="3" t="str">
        <f aca="false">IF(AA179&gt;=9,"1-ALTA",IF(AA179&gt;=4,"2-MEDIA",IF(AA179&gt;0,"3-BAJA","")))</f>
        <v>3-BAJA</v>
      </c>
      <c r="AC179" s="3" t="str">
        <f aca="false">IF(E179="BAJO SS","Stock + XLIB bajo el SS: riesgo real de quiebre, adelantar producción. ","")&amp;IF(E179="BAJO SS (XLIB CUBRE)","Disponible bajo el SS; depende de liberar "&amp;TEXT(J179,"#,##0")&amp;" kg"&amp;IF(ISNUMBER(K179)," el "&amp;TEXT(K179,"dd-mm"),"")&amp;". ","")&amp;IF(W179="SÍ","Stock parece sano pero "&amp;TEXT(L179,"#,##0")&amp;" kg no pasan filtro "&amp;Stock_Seguridad!O179&amp;": sin ellos queda bajo el SS para esa cadena. ","")&amp;IF(E179="SOBRE MAX VENDIBLE","Sobrestock vs vida útil: frenar producción/activar venta. ","")&amp;IF(N(N179)&gt;=Parametros!$B$17,TEXT(N179,"#,##0")&amp;" kg ya no los acepta ninguna cadena: venta intermedia/liquidación. ","")&amp;IF(N(M179)&gt;=Parametros!$B$17,TEXT(M179,"#,##0")&amp;" kg a punto de salir del filtro: despachar primero (FEFO). ","")&amp;IF(Y179="SÍ","Pedidos "&amp;IF(N(U179)&gt;0,"sobre","bajo")&amp;" FCST "&amp;TEXT(ABS(N(U179)),"0%")&amp;": revisar forecast con KAM.","")</f>
        <v>Pedidos bajo FCST 53%: revisar forecast con KAM.</v>
      </c>
    </row>
    <row r="180" customFormat="false" ht="15" hidden="false" customHeight="false" outlineLevel="0" collapsed="false">
      <c r="A180" s="18" t="n">
        <f aca="false">Stock_Seguridad!A180</f>
        <v>30000195</v>
      </c>
      <c r="B180" s="18" t="str">
        <f aca="false">Stock_Seguridad!B180</f>
        <v>DULCE MEMBRILLO WATTS 12X1KG</v>
      </c>
      <c r="C180" s="18" t="str">
        <f aca="false">Stock_Seguridad!C180</f>
        <v>DULCES</v>
      </c>
      <c r="D180" s="18" t="str">
        <f aca="false">Stock_Seguridad!F180</f>
        <v>BX</v>
      </c>
      <c r="E180" s="19" t="str">
        <f aca="false">Stock_Seguridad!X180</f>
        <v>OK</v>
      </c>
      <c r="F180" s="20" t="n">
        <f aca="false">Stock_Seguridad!W180</f>
        <v>2.17151424287856</v>
      </c>
      <c r="G180" s="21" t="n">
        <f aca="false">Stock_Seguridad!T180</f>
        <v>14484</v>
      </c>
      <c r="H180" s="21" t="n">
        <f aca="false">Stock_Seguridad!R180</f>
        <v>2103.40230554242</v>
      </c>
      <c r="I180" s="21" t="n">
        <f aca="false">Stock_Seguridad!S180</f>
        <v>8773.40230554242</v>
      </c>
      <c r="J180" s="21" t="n">
        <f aca="false">Stock_Seguridad!U180</f>
        <v>0</v>
      </c>
      <c r="K180" s="22"/>
      <c r="L180" s="23" t="n">
        <v>11880</v>
      </c>
      <c r="M180" s="23" t="n">
        <v>2604</v>
      </c>
      <c r="N180" s="23" t="n">
        <v>0</v>
      </c>
      <c r="O180" s="24" t="n">
        <v>0.213835956917978</v>
      </c>
      <c r="P180" s="24" t="n">
        <f aca="false">IF(ISNUMBER(Stock_Seguridad!N180),Stock_Seguridad!N180,"")</f>
        <v>0.194520547945206</v>
      </c>
      <c r="Q180" s="24" t="n">
        <f aca="false">IF(AND(ISNUMBER(O180),ISNUMBER(P180)),P180-O180,"")</f>
        <v>-0.0193154089727729</v>
      </c>
      <c r="R180" s="23" t="n">
        <f aca="false">MAX(0,G180-N(L180))</f>
        <v>2604</v>
      </c>
      <c r="S180" s="23" t="n">
        <f aca="false">SUMIFS(Cadenas_vs_FCST!$D$17:$D$2437,Cadenas_vs_FCST!$A$17:$A$2437,A180)</f>
        <v>23592</v>
      </c>
      <c r="T180" s="23" t="n">
        <f aca="false">SUMIFS(Cadenas_vs_FCST!$E$17:$E$2437,Cadenas_vs_FCST!$A$17:$A$2437,A180)</f>
        <v>25330</v>
      </c>
      <c r="U180" s="24" t="n">
        <f aca="false">IF(T180&gt;0,S180/T180-1,"")</f>
        <v>-0.0686142913541256</v>
      </c>
      <c r="V180" s="3" t="str">
        <f aca="false">IF(OR(E180="BAJO SS",E180="BAJO SS (XLIB CUBRE)"),"SÍ","")</f>
        <v/>
      </c>
      <c r="W180" s="3" t="str">
        <f aca="false">IF(AND(V180="",N(L180)&gt;=Parametros!$B$17,G180&gt;=H180,R180&lt;H180),"SÍ","")</f>
        <v/>
      </c>
      <c r="X180" s="3" t="str">
        <f aca="false">IF(OR(E180="SOBRE MAX VENDIBLE",N(N180)&gt;=Parametros!$B$17,N(M180)&gt;=Parametros!$B$17),"SÍ","")</f>
        <v>SÍ</v>
      </c>
      <c r="Y180" s="3" t="str">
        <f aca="false">IF(AND(ISNUMBER(U180),MAX(S180,T180)&gt;=Parametros!$B$15,ABS(N(U180))&gt;Parametros!$B$14),"SÍ","")</f>
        <v/>
      </c>
      <c r="Z180" s="3" t="n">
        <f aca="false">COUNTIF(V180:Y180,"SÍ")</f>
        <v>1</v>
      </c>
      <c r="AA180" s="3" t="n">
        <f aca="false">(3*(V180="SÍ")+2*(W180="SÍ")+2*(X180="SÍ")+(Y180="SÍ"))*IF(LEFT(D180,1)="A",3,IF(OR(LEFT(D180,1)="B",D180="SIN HIST"),2,1))</f>
        <v>4</v>
      </c>
      <c r="AB180" s="3" t="str">
        <f aca="false">IF(AA180&gt;=9,"1-ALTA",IF(AA180&gt;=4,"2-MEDIA",IF(AA180&gt;0,"3-BAJA","")))</f>
        <v>2-MEDIA</v>
      </c>
      <c r="AC180" s="3" t="str">
        <f aca="false">IF(E180="BAJO SS","Stock + XLIB bajo el SS: riesgo real de quiebre, adelantar producción. ","")&amp;IF(E180="BAJO SS (XLIB CUBRE)","Disponible bajo el SS; depende de liberar "&amp;TEXT(J180,"#,##0")&amp;" kg"&amp;IF(ISNUMBER(K180)," el "&amp;TEXT(K180,"dd-mm"),"")&amp;". ","")&amp;IF(W180="SÍ","Stock parece sano pero "&amp;TEXT(L180,"#,##0")&amp;" kg no pasan filtro "&amp;Stock_Seguridad!O180&amp;": sin ellos queda bajo el SS para esa cadena. ","")&amp;IF(E180="SOBRE MAX VENDIBLE","Sobrestock vs vida útil: frenar producción/activar venta. ","")&amp;IF(N(N180)&gt;=Parametros!$B$17,TEXT(N180,"#,##0")&amp;" kg ya no los acepta ninguna cadena: venta intermedia/liquidación. ","")&amp;IF(N(M180)&gt;=Parametros!$B$17,TEXT(M180,"#,##0")&amp;" kg a punto de salir del filtro: despachar primero (FEFO). ","")&amp;IF(Y180="SÍ","Pedidos "&amp;IF(N(U180)&gt;0,"sobre","bajo")&amp;" FCST "&amp;TEXT(ABS(N(U180)),"0%")&amp;": revisar forecast con KAM.","")</f>
        <v>2,604 kg a punto de salir del filtro: despachar primero (FEFO). </v>
      </c>
    </row>
    <row r="181" customFormat="false" ht="15" hidden="false" customHeight="false" outlineLevel="0" collapsed="false">
      <c r="A181" s="18" t="n">
        <f aca="false">Stock_Seguridad!A181</f>
        <v>30001480</v>
      </c>
      <c r="B181" s="18" t="str">
        <f aca="false">Stock_Seguridad!B181</f>
        <v>POUCH WATT'S MULTIFRUTAS 36X90GR</v>
      </c>
      <c r="C181" s="18" t="str">
        <f aca="false">Stock_Seguridad!C181</f>
        <v>COLACIONES EN CONSERVA</v>
      </c>
      <c r="D181" s="18" t="str">
        <f aca="false">Stock_Seguridad!F181</f>
        <v>CZ</v>
      </c>
      <c r="E181" s="19" t="str">
        <f aca="false">Stock_Seguridad!X181</f>
        <v>OK</v>
      </c>
      <c r="F181" s="20" t="n">
        <f aca="false">Stock_Seguridad!W181</f>
        <v>2.45083655277122</v>
      </c>
      <c r="G181" s="21" t="n">
        <f aca="false">Stock_Seguridad!T181</f>
        <v>15062.8</v>
      </c>
      <c r="H181" s="21" t="n">
        <f aca="false">Stock_Seguridad!R181</f>
        <v>1927.89088908348</v>
      </c>
      <c r="I181" s="21" t="n">
        <f aca="false">Stock_Seguridad!S181</f>
        <v>8580.19088908348</v>
      </c>
      <c r="J181" s="21" t="n">
        <f aca="false">Stock_Seguridad!U181</f>
        <v>1240.9</v>
      </c>
      <c r="K181" s="22" t="n">
        <v>46319</v>
      </c>
      <c r="L181" s="23" t="n">
        <v>0</v>
      </c>
      <c r="M181" s="23" t="n">
        <v>0</v>
      </c>
      <c r="N181" s="23" t="n">
        <v>0</v>
      </c>
      <c r="O181" s="24" t="n">
        <v>0.0581001589825119</v>
      </c>
      <c r="P181" s="24" t="n">
        <f aca="false">IF(ISNUMBER(Stock_Seguridad!N181),Stock_Seguridad!N181,"")</f>
        <v>0.194520547945206</v>
      </c>
      <c r="Q181" s="24" t="n">
        <f aca="false">IF(AND(ISNUMBER(O181),ISNUMBER(P181)),P181-O181,"")</f>
        <v>0.136420388962694</v>
      </c>
      <c r="R181" s="23" t="n">
        <f aca="false">MAX(0,G181-N(L181))</f>
        <v>15062.8</v>
      </c>
      <c r="S181" s="23" t="n">
        <f aca="false">SUMIFS(Cadenas_vs_FCST!$D$17:$D$2437,Cadenas_vs_FCST!$A$17:$A$2437,A181)</f>
        <v>168.48</v>
      </c>
      <c r="T181" s="23" t="n">
        <f aca="false">SUMIFS(Cadenas_vs_FCST!$E$17:$E$2437,Cadenas_vs_FCST!$A$17:$A$2437,A181)</f>
        <v>1800</v>
      </c>
      <c r="U181" s="24" t="n">
        <f aca="false">IF(T181&gt;0,S181/T181-1,"")</f>
        <v>-0.9064</v>
      </c>
      <c r="V181" s="3" t="str">
        <f aca="false">IF(OR(E181="BAJO SS",E181="BAJO SS (XLIB CUBRE)"),"SÍ","")</f>
        <v/>
      </c>
      <c r="W181" s="3" t="str">
        <f aca="false">IF(AND(V181="",N(L181)&gt;=Parametros!$B$17,G181&gt;=H181,R181&lt;H181),"SÍ","")</f>
        <v/>
      </c>
      <c r="X181" s="3" t="str">
        <f aca="false">IF(OR(E181="SOBRE MAX VENDIBLE",N(N181)&gt;=Parametros!$B$17,N(M181)&gt;=Parametros!$B$17),"SÍ","")</f>
        <v/>
      </c>
      <c r="Y181" s="3" t="str">
        <f aca="false">IF(AND(ISNUMBER(U181),MAX(S181,T181)&gt;=Parametros!$B$15,ABS(N(U181))&gt;Parametros!$B$14),"SÍ","")</f>
        <v/>
      </c>
      <c r="Z181" s="3" t="n">
        <f aca="false">COUNTIF(V181:Y181,"SÍ")</f>
        <v>0</v>
      </c>
      <c r="AA181" s="3" t="n">
        <f aca="false">(3*(V181="SÍ")+2*(W181="SÍ")+2*(X181="SÍ")+(Y181="SÍ"))*IF(LEFT(D181,1)="A",3,IF(OR(LEFT(D181,1)="B",D181="SIN HIST"),2,1))</f>
        <v>0</v>
      </c>
      <c r="AB181" s="3" t="str">
        <f aca="false">IF(AA181&gt;=9,"1-ALTA",IF(AA181&gt;=4,"2-MEDIA",IF(AA181&gt;0,"3-BAJA","")))</f>
        <v/>
      </c>
      <c r="AC181" s="3" t="str">
        <f aca="false">IF(E181="BAJO SS","Stock + XLIB bajo el SS: riesgo real de quiebre, adelantar producción. ","")&amp;IF(E181="BAJO SS (XLIB CUBRE)","Disponible bajo el SS; depende de liberar "&amp;TEXT(J181,"#,##0")&amp;" kg"&amp;IF(ISNUMBER(K181)," el "&amp;TEXT(K181,"dd-mm"),"")&amp;". ","")&amp;IF(W181="SÍ","Stock parece sano pero "&amp;TEXT(L181,"#,##0")&amp;" kg no pasan filtro "&amp;Stock_Seguridad!O181&amp;": sin ellos queda bajo el SS para esa cadena. ","")&amp;IF(E181="SOBRE MAX VENDIBLE","Sobrestock vs vida útil: frenar producción/activar venta. ","")&amp;IF(N(N181)&gt;=Parametros!$B$17,TEXT(N181,"#,##0")&amp;" kg ya no los acepta ninguna cadena: venta intermedia/liquidación. ","")&amp;IF(N(M181)&gt;=Parametros!$B$17,TEXT(M181,"#,##0")&amp;" kg a punto de salir del filtro: despachar primero (FEFO). ","")&amp;IF(Y181="SÍ","Pedidos "&amp;IF(N(U181)&gt;0,"sobre","bajo")&amp;" FCST "&amp;TEXT(ABS(N(U181)),"0%")&amp;": revisar forecast con KAM.","")</f>
        <v/>
      </c>
    </row>
    <row r="182" customFormat="false" ht="15" hidden="false" customHeight="false" outlineLevel="0" collapsed="false">
      <c r="A182" s="18" t="n">
        <f aca="false">Stock_Seguridad!A182</f>
        <v>30001423</v>
      </c>
      <c r="B182" s="18" t="str">
        <f aca="false">Stock_Seguridad!B182</f>
        <v>LECHE FULL LONCO PROTEIN VLLA 18X250ML</v>
      </c>
      <c r="C182" s="18" t="str">
        <f aca="false">Stock_Seguridad!C182</f>
        <v>LECHES LIQUIDAS</v>
      </c>
      <c r="D182" s="18" t="str">
        <f aca="false">Stock_Seguridad!F182</f>
        <v>AX</v>
      </c>
      <c r="E182" s="19" t="str">
        <f aca="false">Stock_Seguridad!X182</f>
        <v>OK</v>
      </c>
      <c r="F182" s="20" t="n">
        <f aca="false">Stock_Seguridad!W182</f>
        <v>3.29439570928594</v>
      </c>
      <c r="G182" s="21" t="n">
        <f aca="false">Stock_Seguridad!T182</f>
        <v>21744</v>
      </c>
      <c r="H182" s="21" t="n">
        <f aca="false">Stock_Seguridad!R182</f>
        <v>3955.65598932468</v>
      </c>
      <c r="I182" s="21" t="n">
        <f aca="false">Stock_Seguridad!S182</f>
        <v>10555.9559893247</v>
      </c>
      <c r="J182" s="21" t="n">
        <f aca="false">Stock_Seguridad!U182</f>
        <v>0</v>
      </c>
      <c r="K182" s="22"/>
      <c r="L182" s="23" t="n">
        <v>4.5</v>
      </c>
      <c r="M182" s="23" t="n">
        <v>0</v>
      </c>
      <c r="N182" s="23" t="n">
        <v>0</v>
      </c>
      <c r="O182" s="24" t="n">
        <v>0.0948373731095919</v>
      </c>
      <c r="P182" s="24" t="n">
        <f aca="false">IF(ISNUMBER(Stock_Seguridad!N182),Stock_Seguridad!N182,"")</f>
        <v>0.211640211640212</v>
      </c>
      <c r="Q182" s="24" t="n">
        <f aca="false">IF(AND(ISNUMBER(O182),ISNUMBER(P182)),P182-O182,"")</f>
        <v>0.11680283853062</v>
      </c>
      <c r="R182" s="23" t="n">
        <f aca="false">MAX(0,G182-N(L182))</f>
        <v>21739.5</v>
      </c>
      <c r="S182" s="23" t="n">
        <f aca="false">SUMIFS(Cadenas_vs_FCST!$D$17:$D$2437,Cadenas_vs_FCST!$A$17:$A$2437,A182)</f>
        <v>26752.5</v>
      </c>
      <c r="T182" s="23" t="n">
        <f aca="false">SUMIFS(Cadenas_vs_FCST!$E$17:$E$2437,Cadenas_vs_FCST!$A$17:$A$2437,A182)</f>
        <v>28525.6316398683</v>
      </c>
      <c r="U182" s="24" t="n">
        <f aca="false">IF(T182&gt;0,S182/T182-1,"")</f>
        <v>-0.0621592419846756</v>
      </c>
      <c r="V182" s="3" t="str">
        <f aca="false">IF(OR(E182="BAJO SS",E182="BAJO SS (XLIB CUBRE)"),"SÍ","")</f>
        <v/>
      </c>
      <c r="W182" s="3" t="str">
        <f aca="false">IF(AND(V182="",N(L182)&gt;=Parametros!$B$17,G182&gt;=H182,R182&lt;H182),"SÍ","")</f>
        <v/>
      </c>
      <c r="X182" s="3" t="str">
        <f aca="false">IF(OR(E182="SOBRE MAX VENDIBLE",N(N182)&gt;=Parametros!$B$17,N(M182)&gt;=Parametros!$B$17),"SÍ","")</f>
        <v/>
      </c>
      <c r="Y182" s="3" t="str">
        <f aca="false">IF(AND(ISNUMBER(U182),MAX(S182,T182)&gt;=Parametros!$B$15,ABS(N(U182))&gt;Parametros!$B$14),"SÍ","")</f>
        <v/>
      </c>
      <c r="Z182" s="3" t="n">
        <f aca="false">COUNTIF(V182:Y182,"SÍ")</f>
        <v>0</v>
      </c>
      <c r="AA182" s="3" t="n">
        <f aca="false">(3*(V182="SÍ")+2*(W182="SÍ")+2*(X182="SÍ")+(Y182="SÍ"))*IF(LEFT(D182,1)="A",3,IF(OR(LEFT(D182,1)="B",D182="SIN HIST"),2,1))</f>
        <v>0</v>
      </c>
      <c r="AB182" s="3" t="str">
        <f aca="false">IF(AA182&gt;=9,"1-ALTA",IF(AA182&gt;=4,"2-MEDIA",IF(AA182&gt;0,"3-BAJA","")))</f>
        <v/>
      </c>
      <c r="AC182" s="3" t="str">
        <f aca="false">IF(E182="BAJO SS","Stock + XLIB bajo el SS: riesgo real de quiebre, adelantar producción. ","")&amp;IF(E182="BAJO SS (XLIB CUBRE)","Disponible bajo el SS; depende de liberar "&amp;TEXT(J182,"#,##0")&amp;" kg"&amp;IF(ISNUMBER(K182)," el "&amp;TEXT(K182,"dd-mm"),"")&amp;". ","")&amp;IF(W182="SÍ","Stock parece sano pero "&amp;TEXT(L182,"#,##0")&amp;" kg no pasan filtro "&amp;Stock_Seguridad!O182&amp;": sin ellos queda bajo el SS para esa cadena. ","")&amp;IF(E182="SOBRE MAX VENDIBLE","Sobrestock vs vida útil: frenar producción/activar venta. ","")&amp;IF(N(N182)&gt;=Parametros!$B$17,TEXT(N182,"#,##0")&amp;" kg ya no los acepta ninguna cadena: venta intermedia/liquidación. ","")&amp;IF(N(M182)&gt;=Parametros!$B$17,TEXT(M182,"#,##0")&amp;" kg a punto de salir del filtro: despachar primero (FEFO). ","")&amp;IF(Y182="SÍ","Pedidos "&amp;IF(N(U182)&gt;0,"sobre","bajo")&amp;" FCST "&amp;TEXT(ABS(N(U182)),"0%")&amp;": revisar forecast con KAM.","")</f>
        <v/>
      </c>
    </row>
    <row r="183" customFormat="false" ht="15" hidden="false" customHeight="false" outlineLevel="0" collapsed="false">
      <c r="A183" s="18" t="n">
        <f aca="false">Stock_Seguridad!A183</f>
        <v>30002092</v>
      </c>
      <c r="B183" s="18" t="str">
        <f aca="false">Stock_Seguridad!B183</f>
        <v>SALSA DE MANJAR LONCOLECHE 12X1KG</v>
      </c>
      <c r="C183" s="18" t="str">
        <f aca="false">Stock_Seguridad!C183</f>
        <v>TOPPINGS</v>
      </c>
      <c r="D183" s="18" t="str">
        <f aca="false">Stock_Seguridad!F183</f>
        <v>SIN HIST</v>
      </c>
      <c r="E183" s="19" t="str">
        <f aca="false">Stock_Seguridad!X183</f>
        <v>OK</v>
      </c>
      <c r="F183" s="20" t="n">
        <f aca="false">Stock_Seguridad!W183</f>
        <v>3.47564346704343</v>
      </c>
      <c r="G183" s="21" t="n">
        <f aca="false">Stock_Seguridad!T183</f>
        <v>22632</v>
      </c>
      <c r="H183" s="21" t="n">
        <f aca="false">Stock_Seguridad!R183</f>
        <v>3213.18866317716</v>
      </c>
      <c r="I183" s="21" t="n">
        <f aca="false">Stock_Seguridad!S183</f>
        <v>9724.78866317716</v>
      </c>
      <c r="J183" s="21" t="n">
        <f aca="false">Stock_Seguridad!U183</f>
        <v>0</v>
      </c>
      <c r="K183" s="22"/>
      <c r="L183" s="23" t="n">
        <v>0</v>
      </c>
      <c r="M183" s="23" t="n">
        <v>0</v>
      </c>
      <c r="N183" s="23" t="n">
        <v>0</v>
      </c>
      <c r="O183" s="24" t="n">
        <v>0.124835630965005</v>
      </c>
      <c r="P183" s="24" t="n">
        <f aca="false">IF(ISNUMBER(Stock_Seguridad!N183),Stock_Seguridad!N183,"")</f>
        <v>0.28804347826087</v>
      </c>
      <c r="Q183" s="24" t="n">
        <f aca="false">IF(AND(ISNUMBER(O183),ISNUMBER(P183)),P183-O183,"")</f>
        <v>0.163207847295864</v>
      </c>
      <c r="R183" s="23" t="n">
        <f aca="false">MAX(0,G183-N(L183))</f>
        <v>22632</v>
      </c>
      <c r="S183" s="23" t="n">
        <f aca="false">SUMIFS(Cadenas_vs_FCST!$D$17:$D$2437,Cadenas_vs_FCST!$A$17:$A$2437,A183)</f>
        <v>0</v>
      </c>
      <c r="T183" s="23" t="n">
        <f aca="false">SUMIFS(Cadenas_vs_FCST!$E$17:$E$2437,Cadenas_vs_FCST!$A$17:$A$2437,A183)</f>
        <v>0</v>
      </c>
      <c r="U183" s="24" t="str">
        <f aca="false">IF(T183&gt;0,S183/T183-1,"")</f>
        <v/>
      </c>
      <c r="V183" s="3" t="str">
        <f aca="false">IF(OR(E183="BAJO SS",E183="BAJO SS (XLIB CUBRE)"),"SÍ","")</f>
        <v/>
      </c>
      <c r="W183" s="3" t="str">
        <f aca="false">IF(AND(V183="",N(L183)&gt;=Parametros!$B$17,G183&gt;=H183,R183&lt;H183),"SÍ","")</f>
        <v/>
      </c>
      <c r="X183" s="3" t="str">
        <f aca="false">IF(OR(E183="SOBRE MAX VENDIBLE",N(N183)&gt;=Parametros!$B$17,N(M183)&gt;=Parametros!$B$17),"SÍ","")</f>
        <v/>
      </c>
      <c r="Y183" s="3" t="str">
        <f aca="false">IF(AND(ISNUMBER(U183),MAX(S183,T183)&gt;=Parametros!$B$15,ABS(N(U183))&gt;Parametros!$B$14),"SÍ","")</f>
        <v/>
      </c>
      <c r="Z183" s="3" t="n">
        <f aca="false">COUNTIF(V183:Y183,"SÍ")</f>
        <v>0</v>
      </c>
      <c r="AA183" s="3" t="n">
        <f aca="false">(3*(V183="SÍ")+2*(W183="SÍ")+2*(X183="SÍ")+(Y183="SÍ"))*IF(LEFT(D183,1)="A",3,IF(OR(LEFT(D183,1)="B",D183="SIN HIST"),2,1))</f>
        <v>0</v>
      </c>
      <c r="AB183" s="3" t="str">
        <f aca="false">IF(AA183&gt;=9,"1-ALTA",IF(AA183&gt;=4,"2-MEDIA",IF(AA183&gt;0,"3-BAJA","")))</f>
        <v/>
      </c>
      <c r="AC183" s="3" t="str">
        <f aca="false">IF(E183="BAJO SS","Stock + XLIB bajo el SS: riesgo real de quiebre, adelantar producción. ","")&amp;IF(E183="BAJO SS (XLIB CUBRE)","Disponible bajo el SS; depende de liberar "&amp;TEXT(J183,"#,##0")&amp;" kg"&amp;IF(ISNUMBER(K183)," el "&amp;TEXT(K183,"dd-mm"),"")&amp;". ","")&amp;IF(W183="SÍ","Stock parece sano pero "&amp;TEXT(L183,"#,##0")&amp;" kg no pasan filtro "&amp;Stock_Seguridad!O183&amp;": sin ellos queda bajo el SS para esa cadena. ","")&amp;IF(E183="SOBRE MAX VENDIBLE","Sobrestock vs vida útil: frenar producción/activar venta. ","")&amp;IF(N(N183)&gt;=Parametros!$B$17,TEXT(N183,"#,##0")&amp;" kg ya no los acepta ninguna cadena: venta intermedia/liquidación. ","")&amp;IF(N(M183)&gt;=Parametros!$B$17,TEXT(M183,"#,##0")&amp;" kg a punto de salir del filtro: despachar primero (FEFO). ","")&amp;IF(Y183="SÍ","Pedidos "&amp;IF(N(U183)&gt;0,"sobre","bajo")&amp;" FCST "&amp;TEXT(ABS(N(U183)),"0%")&amp;": revisar forecast con KAM.","")</f>
        <v/>
      </c>
    </row>
    <row r="184" customFormat="false" ht="15" hidden="false" customHeight="false" outlineLevel="0" collapsed="false">
      <c r="A184" s="18" t="n">
        <f aca="false">Stock_Seguridad!A184</f>
        <v>30000480</v>
      </c>
      <c r="B184" s="18" t="str">
        <f aca="false">Stock_Seguridad!B184</f>
        <v>PREPARADO HELADO BK VAINILLA 1X10KG</v>
      </c>
      <c r="C184" s="18" t="str">
        <f aca="false">Stock_Seguridad!C184</f>
        <v>PREPARADOS DE HELADO</v>
      </c>
      <c r="D184" s="18" t="str">
        <f aca="false">Stock_Seguridad!F184</f>
        <v>SIN HIST</v>
      </c>
      <c r="E184" s="19" t="str">
        <f aca="false">Stock_Seguridad!X184</f>
        <v>BAJO P.REORDEN</v>
      </c>
      <c r="F184" s="20" t="n">
        <f aca="false">Stock_Seguridad!W184</f>
        <v>1.31918422507525</v>
      </c>
      <c r="G184" s="21" t="n">
        <f aca="false">Stock_Seguridad!T184</f>
        <v>8590</v>
      </c>
      <c r="H184" s="21" t="n">
        <f aca="false">Stock_Seguridad!R184</f>
        <v>3213.18866317716</v>
      </c>
      <c r="I184" s="21" t="n">
        <f aca="false">Stock_Seguridad!S184</f>
        <v>9724.78866317716</v>
      </c>
      <c r="J184" s="21" t="n">
        <f aca="false">Stock_Seguridad!U184</f>
        <v>0</v>
      </c>
      <c r="K184" s="22"/>
      <c r="L184" s="23" t="n">
        <v>0</v>
      </c>
      <c r="M184" s="23" t="n">
        <v>0</v>
      </c>
      <c r="N184" s="23" t="n">
        <v>0</v>
      </c>
      <c r="O184" s="24" t="n">
        <v>0.0867753201396973</v>
      </c>
      <c r="P184" s="24" t="n">
        <f aca="false">IF(ISNUMBER(Stock_Seguridad!N184),Stock_Seguridad!N184,"")</f>
        <v>0.271739130434783</v>
      </c>
      <c r="Q184" s="24" t="n">
        <f aca="false">IF(AND(ISNUMBER(O184),ISNUMBER(P184)),P184-O184,"")</f>
        <v>0.184963810295085</v>
      </c>
      <c r="R184" s="23" t="n">
        <f aca="false">MAX(0,G184-N(L184))</f>
        <v>8590</v>
      </c>
      <c r="S184" s="23" t="n">
        <f aca="false">SUMIFS(Cadenas_vs_FCST!$D$17:$D$2437,Cadenas_vs_FCST!$A$17:$A$2437,A184)</f>
        <v>0</v>
      </c>
      <c r="T184" s="23" t="n">
        <f aca="false">SUMIFS(Cadenas_vs_FCST!$E$17:$E$2437,Cadenas_vs_FCST!$A$17:$A$2437,A184)</f>
        <v>0</v>
      </c>
      <c r="U184" s="24" t="str">
        <f aca="false">IF(T184&gt;0,S184/T184-1,"")</f>
        <v/>
      </c>
      <c r="V184" s="3" t="str">
        <f aca="false">IF(OR(E184="BAJO SS",E184="BAJO SS (XLIB CUBRE)"),"SÍ","")</f>
        <v/>
      </c>
      <c r="W184" s="3" t="str">
        <f aca="false">IF(AND(V184="",N(L184)&gt;=Parametros!$B$17,G184&gt;=H184,R184&lt;H184),"SÍ","")</f>
        <v/>
      </c>
      <c r="X184" s="3" t="str">
        <f aca="false">IF(OR(E184="SOBRE MAX VENDIBLE",N(N184)&gt;=Parametros!$B$17,N(M184)&gt;=Parametros!$B$17),"SÍ","")</f>
        <v/>
      </c>
      <c r="Y184" s="3" t="str">
        <f aca="false">IF(AND(ISNUMBER(U184),MAX(S184,T184)&gt;=Parametros!$B$15,ABS(N(U184))&gt;Parametros!$B$14),"SÍ","")</f>
        <v/>
      </c>
      <c r="Z184" s="3" t="n">
        <f aca="false">COUNTIF(V184:Y184,"SÍ")</f>
        <v>0</v>
      </c>
      <c r="AA184" s="3" t="n">
        <f aca="false">(3*(V184="SÍ")+2*(W184="SÍ")+2*(X184="SÍ")+(Y184="SÍ"))*IF(LEFT(D184,1)="A",3,IF(OR(LEFT(D184,1)="B",D184="SIN HIST"),2,1))</f>
        <v>0</v>
      </c>
      <c r="AB184" s="3" t="str">
        <f aca="false">IF(AA184&gt;=9,"1-ALTA",IF(AA184&gt;=4,"2-MEDIA",IF(AA184&gt;0,"3-BAJA","")))</f>
        <v/>
      </c>
      <c r="AC184" s="3" t="str">
        <f aca="false">IF(E184="BAJO SS","Stock + XLIB bajo el SS: riesgo real de quiebre, adelantar producción. ","")&amp;IF(E184="BAJO SS (XLIB CUBRE)","Disponible bajo el SS; depende de liberar "&amp;TEXT(J184,"#,##0")&amp;" kg"&amp;IF(ISNUMBER(K184)," el "&amp;TEXT(K184,"dd-mm"),"")&amp;". ","")&amp;IF(W184="SÍ","Stock parece sano pero "&amp;TEXT(L184,"#,##0")&amp;" kg no pasan filtro "&amp;Stock_Seguridad!O184&amp;": sin ellos queda bajo el SS para esa cadena. ","")&amp;IF(E184="SOBRE MAX VENDIBLE","Sobrestock vs vida útil: frenar producción/activar venta. ","")&amp;IF(N(N184)&gt;=Parametros!$B$17,TEXT(N184,"#,##0")&amp;" kg ya no los acepta ninguna cadena: venta intermedia/liquidación. ","")&amp;IF(N(M184)&gt;=Parametros!$B$17,TEXT(M184,"#,##0")&amp;" kg a punto de salir del filtro: despachar primero (FEFO). ","")&amp;IF(Y184="SÍ","Pedidos "&amp;IF(N(U184)&gt;0,"sobre","bajo")&amp;" FCST "&amp;TEXT(ABS(N(U184)),"0%")&amp;": revisar forecast con KAM.","")</f>
        <v/>
      </c>
    </row>
    <row r="185" customFormat="false" ht="15" hidden="false" customHeight="false" outlineLevel="0" collapsed="false">
      <c r="A185" s="18" t="n">
        <f aca="false">Stock_Seguridad!A185</f>
        <v>30000732</v>
      </c>
      <c r="B185" s="18" t="str">
        <f aca="false">Stock_Seguridad!B185</f>
        <v>PAPA PREFRITA 7X7 FM 4X2,5KG</v>
      </c>
      <c r="C185" s="18" t="str">
        <f aca="false">Stock_Seguridad!C185</f>
        <v>FRUTAS Y HORTALIZAS CONGELADAS</v>
      </c>
      <c r="D185" s="18" t="str">
        <f aca="false">Stock_Seguridad!F185</f>
        <v>SIN HIST</v>
      </c>
      <c r="E185" s="19" t="str">
        <f aca="false">Stock_Seguridad!X185</f>
        <v>BAJO P.REORDEN</v>
      </c>
      <c r="F185" s="20" t="n">
        <f aca="false">Stock_Seguridad!W185</f>
        <v>0.813932059708827</v>
      </c>
      <c r="G185" s="21" t="n">
        <f aca="false">Stock_Seguridad!T185</f>
        <v>5300</v>
      </c>
      <c r="H185" s="21" t="n">
        <f aca="false">Stock_Seguridad!R185</f>
        <v>3213.18866317716</v>
      </c>
      <c r="I185" s="21" t="n">
        <f aca="false">Stock_Seguridad!S185</f>
        <v>9724.78866317716</v>
      </c>
      <c r="J185" s="21" t="n">
        <f aca="false">Stock_Seguridad!U185</f>
        <v>0</v>
      </c>
      <c r="K185" s="22"/>
      <c r="L185" s="23" t="n">
        <v>0</v>
      </c>
      <c r="M185" s="23" t="n">
        <v>0</v>
      </c>
      <c r="N185" s="23" t="n">
        <v>0</v>
      </c>
      <c r="O185" s="24" t="n">
        <v>0.3</v>
      </c>
      <c r="P185" s="24" t="str">
        <f aca="false">IF(ISNUMBER(Stock_Seguridad!N185),Stock_Seguridad!N185,"")</f>
        <v/>
      </c>
      <c r="Q185" s="24" t="str">
        <f aca="false">IF(AND(ISNUMBER(O185),ISNUMBER(P185)),P185-O185,"")</f>
        <v/>
      </c>
      <c r="R185" s="23" t="n">
        <f aca="false">MAX(0,G185-N(L185))</f>
        <v>5300</v>
      </c>
      <c r="S185" s="23" t="n">
        <f aca="false">SUMIFS(Cadenas_vs_FCST!$D$17:$D$2437,Cadenas_vs_FCST!$A$17:$A$2437,A185)</f>
        <v>0</v>
      </c>
      <c r="T185" s="23" t="n">
        <f aca="false">SUMIFS(Cadenas_vs_FCST!$E$17:$E$2437,Cadenas_vs_FCST!$A$17:$A$2437,A185)</f>
        <v>0</v>
      </c>
      <c r="U185" s="24" t="str">
        <f aca="false">IF(T185&gt;0,S185/T185-1,"")</f>
        <v/>
      </c>
      <c r="V185" s="3" t="str">
        <f aca="false">IF(OR(E185="BAJO SS",E185="BAJO SS (XLIB CUBRE)"),"SÍ","")</f>
        <v/>
      </c>
      <c r="W185" s="3" t="str">
        <f aca="false">IF(AND(V185="",N(L185)&gt;=Parametros!$B$17,G185&gt;=H185,R185&lt;H185),"SÍ","")</f>
        <v/>
      </c>
      <c r="X185" s="3" t="str">
        <f aca="false">IF(OR(E185="SOBRE MAX VENDIBLE",N(N185)&gt;=Parametros!$B$17,N(M185)&gt;=Parametros!$B$17),"SÍ","")</f>
        <v/>
      </c>
      <c r="Y185" s="3" t="str">
        <f aca="false">IF(AND(ISNUMBER(U185),MAX(S185,T185)&gt;=Parametros!$B$15,ABS(N(U185))&gt;Parametros!$B$14),"SÍ","")</f>
        <v/>
      </c>
      <c r="Z185" s="3" t="n">
        <f aca="false">COUNTIF(V185:Y185,"SÍ")</f>
        <v>0</v>
      </c>
      <c r="AA185" s="3" t="n">
        <f aca="false">(3*(V185="SÍ")+2*(W185="SÍ")+2*(X185="SÍ")+(Y185="SÍ"))*IF(LEFT(D185,1)="A",3,IF(OR(LEFT(D185,1)="B",D185="SIN HIST"),2,1))</f>
        <v>0</v>
      </c>
      <c r="AB185" s="3" t="str">
        <f aca="false">IF(AA185&gt;=9,"1-ALTA",IF(AA185&gt;=4,"2-MEDIA",IF(AA185&gt;0,"3-BAJA","")))</f>
        <v/>
      </c>
      <c r="AC185" s="3" t="str">
        <f aca="false">IF(E185="BAJO SS","Stock + XLIB bajo el SS: riesgo real de quiebre, adelantar producción. ","")&amp;IF(E185="BAJO SS (XLIB CUBRE)","Disponible bajo el SS; depende de liberar "&amp;TEXT(J185,"#,##0")&amp;" kg"&amp;IF(ISNUMBER(K185)," el "&amp;TEXT(K185,"dd-mm"),"")&amp;". ","")&amp;IF(W185="SÍ","Stock parece sano pero "&amp;TEXT(L185,"#,##0")&amp;" kg no pasan filtro "&amp;Stock_Seguridad!O185&amp;": sin ellos queda bajo el SS para esa cadena. ","")&amp;IF(E185="SOBRE MAX VENDIBLE","Sobrestock vs vida útil: frenar producción/activar venta. ","")&amp;IF(N(N185)&gt;=Parametros!$B$17,TEXT(N185,"#,##0")&amp;" kg ya no los acepta ninguna cadena: venta intermedia/liquidación. ","")&amp;IF(N(M185)&gt;=Parametros!$B$17,TEXT(M185,"#,##0")&amp;" kg a punto de salir del filtro: despachar primero (FEFO). ","")&amp;IF(Y185="SÍ","Pedidos "&amp;IF(N(U185)&gt;0,"sobre","bajo")&amp;" FCST "&amp;TEXT(ABS(N(U185)),"0%")&amp;": revisar forecast con KAM.","")</f>
        <v/>
      </c>
    </row>
    <row r="186" customFormat="false" ht="15" hidden="false" customHeight="false" outlineLevel="0" collapsed="false">
      <c r="A186" s="18" t="n">
        <f aca="false">Stock_Seguridad!A186</f>
        <v>30001574</v>
      </c>
      <c r="B186" s="18" t="str">
        <f aca="false">Stock_Seguridad!B186</f>
        <v>YOGU YOGU ORIGINAL MORA LV 12x1LT</v>
      </c>
      <c r="C186" s="18" t="str">
        <f aca="false">Stock_Seguridad!C186</f>
        <v>LECHES LIQUIDAS</v>
      </c>
      <c r="D186" s="18" t="str">
        <f aca="false">Stock_Seguridad!F186</f>
        <v>BX</v>
      </c>
      <c r="E186" s="19" t="str">
        <f aca="false">Stock_Seguridad!X186</f>
        <v>OK</v>
      </c>
      <c r="F186" s="20" t="n">
        <f aca="false">Stock_Seguridad!W186</f>
        <v>2.57811405352389</v>
      </c>
      <c r="G186" s="21" t="n">
        <f aca="false">Stock_Seguridad!T186</f>
        <v>16560</v>
      </c>
      <c r="H186" s="21" t="n">
        <f aca="false">Stock_Seguridad!R186</f>
        <v>3745.55612980386</v>
      </c>
      <c r="I186" s="21" t="n">
        <f aca="false">Stock_Seguridad!S186</f>
        <v>10168.8561298039</v>
      </c>
      <c r="J186" s="21" t="n">
        <f aca="false">Stock_Seguridad!U186</f>
        <v>0</v>
      </c>
      <c r="K186" s="22"/>
      <c r="L186" s="23" t="n">
        <v>0</v>
      </c>
      <c r="M186" s="23" t="n">
        <v>4188</v>
      </c>
      <c r="N186" s="23" t="n">
        <v>0</v>
      </c>
      <c r="O186" s="24" t="n">
        <v>0.147879448075527</v>
      </c>
      <c r="P186" s="24" t="n">
        <f aca="false">IF(ISNUMBER(Stock_Seguridad!N186),Stock_Seguridad!N186,"")</f>
        <v>0.273469387755102</v>
      </c>
      <c r="Q186" s="24" t="n">
        <f aca="false">IF(AND(ISNUMBER(O186),ISNUMBER(P186)),P186-O186,"")</f>
        <v>0.125589939679576</v>
      </c>
      <c r="R186" s="23" t="n">
        <f aca="false">MAX(0,G186-N(L186))</f>
        <v>16560</v>
      </c>
      <c r="S186" s="23" t="n">
        <f aca="false">SUMIFS(Cadenas_vs_FCST!$D$17:$D$2437,Cadenas_vs_FCST!$A$17:$A$2437,A186)</f>
        <v>24792</v>
      </c>
      <c r="T186" s="23" t="n">
        <f aca="false">SUMIFS(Cadenas_vs_FCST!$E$17:$E$2437,Cadenas_vs_FCST!$A$17:$A$2437,A186)</f>
        <v>25243.0069387273</v>
      </c>
      <c r="U186" s="24" t="n">
        <f aca="false">IF(T186&gt;0,S186/T186-1,"")</f>
        <v>-0.0178666091492994</v>
      </c>
      <c r="V186" s="3" t="str">
        <f aca="false">IF(OR(E186="BAJO SS",E186="BAJO SS (XLIB CUBRE)"),"SÍ","")</f>
        <v/>
      </c>
      <c r="W186" s="3" t="str">
        <f aca="false">IF(AND(V186="",N(L186)&gt;=Parametros!$B$17,G186&gt;=H186,R186&lt;H186),"SÍ","")</f>
        <v/>
      </c>
      <c r="X186" s="3" t="str">
        <f aca="false">IF(OR(E186="SOBRE MAX VENDIBLE",N(N186)&gt;=Parametros!$B$17,N(M186)&gt;=Parametros!$B$17),"SÍ","")</f>
        <v>SÍ</v>
      </c>
      <c r="Y186" s="3" t="str">
        <f aca="false">IF(AND(ISNUMBER(U186),MAX(S186,T186)&gt;=Parametros!$B$15,ABS(N(U186))&gt;Parametros!$B$14),"SÍ","")</f>
        <v/>
      </c>
      <c r="Z186" s="3" t="n">
        <f aca="false">COUNTIF(V186:Y186,"SÍ")</f>
        <v>1</v>
      </c>
      <c r="AA186" s="3" t="n">
        <f aca="false">(3*(V186="SÍ")+2*(W186="SÍ")+2*(X186="SÍ")+(Y186="SÍ"))*IF(LEFT(D186,1)="A",3,IF(OR(LEFT(D186,1)="B",D186="SIN HIST"),2,1))</f>
        <v>4</v>
      </c>
      <c r="AB186" s="3" t="str">
        <f aca="false">IF(AA186&gt;=9,"1-ALTA",IF(AA186&gt;=4,"2-MEDIA",IF(AA186&gt;0,"3-BAJA","")))</f>
        <v>2-MEDIA</v>
      </c>
      <c r="AC186" s="3" t="str">
        <f aca="false">IF(E186="BAJO SS","Stock + XLIB bajo el SS: riesgo real de quiebre, adelantar producción. ","")&amp;IF(E186="BAJO SS (XLIB CUBRE)","Disponible bajo el SS; depende de liberar "&amp;TEXT(J186,"#,##0")&amp;" kg"&amp;IF(ISNUMBER(K186)," el "&amp;TEXT(K186,"dd-mm"),"")&amp;". ","")&amp;IF(W186="SÍ","Stock parece sano pero "&amp;TEXT(L186,"#,##0")&amp;" kg no pasan filtro "&amp;Stock_Seguridad!O186&amp;": sin ellos queda bajo el SS para esa cadena. ","")&amp;IF(E186="SOBRE MAX VENDIBLE","Sobrestock vs vida útil: frenar producción/activar venta. ","")&amp;IF(N(N186)&gt;=Parametros!$B$17,TEXT(N186,"#,##0")&amp;" kg ya no los acepta ninguna cadena: venta intermedia/liquidación. ","")&amp;IF(N(M186)&gt;=Parametros!$B$17,TEXT(M186,"#,##0")&amp;" kg a punto de salir del filtro: despachar primero (FEFO). ","")&amp;IF(Y186="SÍ","Pedidos "&amp;IF(N(U186)&gt;0,"sobre","bajo")&amp;" FCST "&amp;TEXT(ABS(N(U186)),"0%")&amp;": revisar forecast con KAM.","")</f>
        <v>4,188 kg a punto de salir del filtro: despachar primero (FEFO). </v>
      </c>
    </row>
    <row r="187" customFormat="false" ht="15" hidden="false" customHeight="false" outlineLevel="0" collapsed="false">
      <c r="A187" s="18" t="n">
        <f aca="false">Stock_Seguridad!A187</f>
        <v>30002331</v>
      </c>
      <c r="B187" s="18" t="str">
        <f aca="false">Stock_Seguridad!B187</f>
        <v>GARBANZOS WASIL TTR 24X200</v>
      </c>
      <c r="C187" s="18" t="str">
        <f aca="false">Stock_Seguridad!C187</f>
        <v>CONSERVAS Y PLATOS LISTOS</v>
      </c>
      <c r="D187" s="18" t="str">
        <f aca="false">Stock_Seguridad!F187</f>
        <v>CZ</v>
      </c>
      <c r="E187" s="19" t="str">
        <f aca="false">Stock_Seguridad!X187</f>
        <v>OK</v>
      </c>
      <c r="F187" s="20" t="n">
        <f aca="false">Stock_Seguridad!W187</f>
        <v>2.1194883560137</v>
      </c>
      <c r="G187" s="21" t="n">
        <f aca="false">Stock_Seguridad!T187</f>
        <v>13488</v>
      </c>
      <c r="H187" s="21" t="n">
        <f aca="false">Stock_Seguridad!R187</f>
        <v>1606.98403970724</v>
      </c>
      <c r="I187" s="21" t="n">
        <f aca="false">Stock_Seguridad!S187</f>
        <v>7970.78403970725</v>
      </c>
      <c r="J187" s="21" t="n">
        <f aca="false">Stock_Seguridad!U187</f>
        <v>0</v>
      </c>
      <c r="K187" s="22"/>
      <c r="L187" s="23" t="n">
        <v>0</v>
      </c>
      <c r="M187" s="23" t="n">
        <v>0</v>
      </c>
      <c r="N187" s="23" t="n">
        <v>0</v>
      </c>
      <c r="O187" s="24" t="n">
        <v>0.0499466192170819</v>
      </c>
      <c r="P187" s="24" t="str">
        <f aca="false">IF(ISNUMBER(Stock_Seguridad!N187),Stock_Seguridad!N187,"")</f>
        <v/>
      </c>
      <c r="Q187" s="24" t="str">
        <f aca="false">IF(AND(ISNUMBER(O187),ISNUMBER(P187)),P187-O187,"")</f>
        <v/>
      </c>
      <c r="R187" s="23" t="n">
        <f aca="false">MAX(0,G187-N(L187))</f>
        <v>13488</v>
      </c>
      <c r="S187" s="23" t="n">
        <f aca="false">SUMIFS(Cadenas_vs_FCST!$D$17:$D$2437,Cadenas_vs_FCST!$A$17:$A$2437,A187)</f>
        <v>9782.4</v>
      </c>
      <c r="T187" s="23" t="n">
        <f aca="false">SUMIFS(Cadenas_vs_FCST!$E$17:$E$2437,Cadenas_vs_FCST!$A$17:$A$2437,A187)</f>
        <v>5440</v>
      </c>
      <c r="U187" s="24" t="n">
        <f aca="false">IF(T187&gt;0,S187/T187-1,"")</f>
        <v>0.798235294117647</v>
      </c>
      <c r="V187" s="3" t="str">
        <f aca="false">IF(OR(E187="BAJO SS",E187="BAJO SS (XLIB CUBRE)"),"SÍ","")</f>
        <v/>
      </c>
      <c r="W187" s="3" t="str">
        <f aca="false">IF(AND(V187="",N(L187)&gt;=Parametros!$B$17,G187&gt;=H187,R187&lt;H187),"SÍ","")</f>
        <v/>
      </c>
      <c r="X187" s="3" t="str">
        <f aca="false">IF(OR(E187="SOBRE MAX VENDIBLE",N(N187)&gt;=Parametros!$B$17,N(M187)&gt;=Parametros!$B$17),"SÍ","")</f>
        <v/>
      </c>
      <c r="Y187" s="3" t="str">
        <f aca="false">IF(AND(ISNUMBER(U187),MAX(S187,T187)&gt;=Parametros!$B$15,ABS(N(U187))&gt;Parametros!$B$14),"SÍ","")</f>
        <v>SÍ</v>
      </c>
      <c r="Z187" s="3" t="n">
        <f aca="false">COUNTIF(V187:Y187,"SÍ")</f>
        <v>1</v>
      </c>
      <c r="AA187" s="3" t="n">
        <f aca="false">(3*(V187="SÍ")+2*(W187="SÍ")+2*(X187="SÍ")+(Y187="SÍ"))*IF(LEFT(D187,1)="A",3,IF(OR(LEFT(D187,1)="B",D187="SIN HIST"),2,1))</f>
        <v>1</v>
      </c>
      <c r="AB187" s="3" t="str">
        <f aca="false">IF(AA187&gt;=9,"1-ALTA",IF(AA187&gt;=4,"2-MEDIA",IF(AA187&gt;0,"3-BAJA","")))</f>
        <v>3-BAJA</v>
      </c>
      <c r="AC187" s="3" t="str">
        <f aca="false">IF(E187="BAJO SS","Stock + XLIB bajo el SS: riesgo real de quiebre, adelantar producción. ","")&amp;IF(E187="BAJO SS (XLIB CUBRE)","Disponible bajo el SS; depende de liberar "&amp;TEXT(J187,"#,##0")&amp;" kg"&amp;IF(ISNUMBER(K187)," el "&amp;TEXT(K187,"dd-mm"),"")&amp;". ","")&amp;IF(W187="SÍ","Stock parece sano pero "&amp;TEXT(L187,"#,##0")&amp;" kg no pasan filtro "&amp;Stock_Seguridad!O187&amp;": sin ellos queda bajo el SS para esa cadena. ","")&amp;IF(E187="SOBRE MAX VENDIBLE","Sobrestock vs vida útil: frenar producción/activar venta. ","")&amp;IF(N(N187)&gt;=Parametros!$B$17,TEXT(N187,"#,##0")&amp;" kg ya no los acepta ninguna cadena: venta intermedia/liquidación. ","")&amp;IF(N(M187)&gt;=Parametros!$B$17,TEXT(M187,"#,##0")&amp;" kg a punto de salir del filtro: despachar primero (FEFO). ","")&amp;IF(Y187="SÍ","Pedidos "&amp;IF(N(U187)&gt;0,"sobre","bajo")&amp;" FCST "&amp;TEXT(ABS(N(U187)),"0%")&amp;": revisar forecast con KAM.","")</f>
        <v>Pedidos sobre FCST 80%: revisar forecast con KAM.</v>
      </c>
    </row>
    <row r="188" customFormat="false" ht="15" hidden="false" customHeight="false" outlineLevel="0" collapsed="false">
      <c r="A188" s="18" t="n">
        <f aca="false">Stock_Seguridad!A188</f>
        <v>30001017</v>
      </c>
      <c r="B188" s="18" t="str">
        <f aca="false">Stock_Seguridad!B188</f>
        <v>YOGURT  DANONE L&amp;F FRUTILLA 48X115GR</v>
      </c>
      <c r="C188" s="18" t="str">
        <f aca="false">Stock_Seguridad!C188</f>
        <v>YOGURT</v>
      </c>
      <c r="D188" s="18" t="str">
        <f aca="false">Stock_Seguridad!F188</f>
        <v>BX</v>
      </c>
      <c r="E188" s="19" t="str">
        <f aca="false">Stock_Seguridad!X188</f>
        <v>OK</v>
      </c>
      <c r="F188" s="20" t="n">
        <f aca="false">Stock_Seguridad!W188</f>
        <v>1.66728019255274</v>
      </c>
      <c r="G188" s="21" t="n">
        <f aca="false">Stock_Seguridad!T188</f>
        <v>5017.7</v>
      </c>
      <c r="H188" s="21" t="n">
        <f aca="false">Stock_Seguridad!R188</f>
        <v>1425.84143945219</v>
      </c>
      <c r="I188" s="21" t="n">
        <f aca="false">Stock_Seguridad!S188</f>
        <v>7782.54143945219</v>
      </c>
      <c r="J188" s="21" t="n">
        <f aca="false">Stock_Seguridad!U188</f>
        <v>5580.7</v>
      </c>
      <c r="K188" s="22" t="n">
        <v>46317</v>
      </c>
      <c r="L188" s="23" t="n">
        <v>0</v>
      </c>
      <c r="M188" s="23" t="n">
        <v>44.16</v>
      </c>
      <c r="N188" s="23" t="n">
        <v>0</v>
      </c>
      <c r="O188" s="24" t="n">
        <v>0.0744066910611605</v>
      </c>
      <c r="P188" s="24" t="n">
        <f aca="false">IF(ISNUMBER(Stock_Seguridad!N188),Stock_Seguridad!N188,"")</f>
        <v>0.323076923076923</v>
      </c>
      <c r="Q188" s="24" t="n">
        <f aca="false">IF(AND(ISNUMBER(O188),ISNUMBER(P188)),P188-O188,"")</f>
        <v>0.248670232015763</v>
      </c>
      <c r="R188" s="23" t="n">
        <f aca="false">MAX(0,G188-N(L188))</f>
        <v>5017.7</v>
      </c>
      <c r="S188" s="23" t="n">
        <f aca="false">SUMIFS(Cadenas_vs_FCST!$D$17:$D$2437,Cadenas_vs_FCST!$A$17:$A$2437,A188)</f>
        <v>21627.36</v>
      </c>
      <c r="T188" s="23" t="n">
        <f aca="false">SUMIFS(Cadenas_vs_FCST!$E$17:$E$2437,Cadenas_vs_FCST!$A$17:$A$2437,A188)</f>
        <v>21982.6830382028</v>
      </c>
      <c r="U188" s="24" t="n">
        <f aca="false">IF(T188&gt;0,S188/T188-1,"")</f>
        <v>-0.0161637702543078</v>
      </c>
      <c r="V188" s="3" t="str">
        <f aca="false">IF(OR(E188="BAJO SS",E188="BAJO SS (XLIB CUBRE)"),"SÍ","")</f>
        <v/>
      </c>
      <c r="W188" s="3" t="str">
        <f aca="false">IF(AND(V188="",N(L188)&gt;=Parametros!$B$17,G188&gt;=H188,R188&lt;H188),"SÍ","")</f>
        <v/>
      </c>
      <c r="X188" s="3" t="str">
        <f aca="false">IF(OR(E188="SOBRE MAX VENDIBLE",N(N188)&gt;=Parametros!$B$17,N(M188)&gt;=Parametros!$B$17),"SÍ","")</f>
        <v/>
      </c>
      <c r="Y188" s="3" t="str">
        <f aca="false">IF(AND(ISNUMBER(U188),MAX(S188,T188)&gt;=Parametros!$B$15,ABS(N(U188))&gt;Parametros!$B$14),"SÍ","")</f>
        <v/>
      </c>
      <c r="Z188" s="3" t="n">
        <f aca="false">COUNTIF(V188:Y188,"SÍ")</f>
        <v>0</v>
      </c>
      <c r="AA188" s="3" t="n">
        <f aca="false">(3*(V188="SÍ")+2*(W188="SÍ")+2*(X188="SÍ")+(Y188="SÍ"))*IF(LEFT(D188,1)="A",3,IF(OR(LEFT(D188,1)="B",D188="SIN HIST"),2,1))</f>
        <v>0</v>
      </c>
      <c r="AB188" s="3" t="str">
        <f aca="false">IF(AA188&gt;=9,"1-ALTA",IF(AA188&gt;=4,"2-MEDIA",IF(AA188&gt;0,"3-BAJA","")))</f>
        <v/>
      </c>
      <c r="AC188" s="3" t="str">
        <f aca="false">IF(E188="BAJO SS","Stock + XLIB bajo el SS: riesgo real de quiebre, adelantar producción. ","")&amp;IF(E188="BAJO SS (XLIB CUBRE)","Disponible bajo el SS; depende de liberar "&amp;TEXT(J188,"#,##0")&amp;" kg"&amp;IF(ISNUMBER(K188)," el "&amp;TEXT(K188,"dd-mm"),"")&amp;". ","")&amp;IF(W188="SÍ","Stock parece sano pero "&amp;TEXT(L188,"#,##0")&amp;" kg no pasan filtro "&amp;Stock_Seguridad!O188&amp;": sin ellos queda bajo el SS para esa cadena. ","")&amp;IF(E188="SOBRE MAX VENDIBLE","Sobrestock vs vida útil: frenar producción/activar venta. ","")&amp;IF(N(N188)&gt;=Parametros!$B$17,TEXT(N188,"#,##0")&amp;" kg ya no los acepta ninguna cadena: venta intermedia/liquidación. ","")&amp;IF(N(M188)&gt;=Parametros!$B$17,TEXT(M188,"#,##0")&amp;" kg a punto de salir del filtro: despachar primero (FEFO). ","")&amp;IF(Y188="SÍ","Pedidos "&amp;IF(N(U188)&gt;0,"sobre","bajo")&amp;" FCST "&amp;TEXT(ABS(N(U188)),"0%")&amp;": revisar forecast con KAM.","")</f>
        <v/>
      </c>
    </row>
    <row r="189" customFormat="false" ht="15" hidden="false" customHeight="false" outlineLevel="0" collapsed="false">
      <c r="A189" s="18" t="n">
        <f aca="false">Stock_Seguridad!A189</f>
        <v>30001774</v>
      </c>
      <c r="B189" s="18" t="str">
        <f aca="false">Stock_Seguridad!B189</f>
        <v>QUESO CALO GAUDA LAM 4X2,5KG</v>
      </c>
      <c r="C189" s="18" t="str">
        <f aca="false">Stock_Seguridad!C189</f>
        <v>QUESOS</v>
      </c>
      <c r="D189" s="18" t="str">
        <f aca="false">Stock_Seguridad!F189</f>
        <v>AY</v>
      </c>
      <c r="E189" s="19" t="str">
        <f aca="false">Stock_Seguridad!X189</f>
        <v>SOBRE MAX VENDIBLE</v>
      </c>
      <c r="F189" s="20" t="n">
        <f aca="false">Stock_Seguridad!W189</f>
        <v>7.54015748031496</v>
      </c>
      <c r="G189" s="21" t="n">
        <f aca="false">Stock_Seguridad!T189</f>
        <v>47880</v>
      </c>
      <c r="H189" s="21" t="n">
        <f aca="false">Stock_Seguridad!R189</f>
        <v>16013.8304404232</v>
      </c>
      <c r="I189" s="21" t="n">
        <f aca="false">Stock_Seguridad!S189</f>
        <v>22363.8304404232</v>
      </c>
      <c r="J189" s="21" t="n">
        <f aca="false">Stock_Seguridad!U189</f>
        <v>0</v>
      </c>
      <c r="K189" s="22"/>
      <c r="L189" s="23" t="n">
        <v>1450</v>
      </c>
      <c r="M189" s="23" t="n">
        <v>15120</v>
      </c>
      <c r="N189" s="23" t="n">
        <v>0</v>
      </c>
      <c r="O189" s="24" t="n">
        <v>0.162499470451176</v>
      </c>
      <c r="P189" s="24" t="n">
        <f aca="false">IF(ISNUMBER(Stock_Seguridad!N189),Stock_Seguridad!N189,"")</f>
        <v>0.211956521739131</v>
      </c>
      <c r="Q189" s="24" t="n">
        <f aca="false">IF(AND(ISNUMBER(O189),ISNUMBER(P189)),P189-O189,"")</f>
        <v>0.0494570512879549</v>
      </c>
      <c r="R189" s="23" t="n">
        <f aca="false">MAX(0,G189-N(L189))</f>
        <v>46430</v>
      </c>
      <c r="S189" s="23" t="n">
        <f aca="false">SUMIFS(Cadenas_vs_FCST!$D$17:$D$2437,Cadenas_vs_FCST!$A$17:$A$2437,A189)</f>
        <v>24604</v>
      </c>
      <c r="T189" s="23" t="n">
        <f aca="false">SUMIFS(Cadenas_vs_FCST!$E$17:$E$2437,Cadenas_vs_FCST!$A$17:$A$2437,A189)</f>
        <v>43782.1405165881</v>
      </c>
      <c r="U189" s="24" t="n">
        <f aca="false">IF(T189&gt;0,S189/T189-1,"")</f>
        <v>-0.438035698810156</v>
      </c>
      <c r="V189" s="3" t="str">
        <f aca="false">IF(OR(E189="BAJO SS",E189="BAJO SS (XLIB CUBRE)"),"SÍ","")</f>
        <v/>
      </c>
      <c r="W189" s="3" t="str">
        <f aca="false">IF(AND(V189="",N(L189)&gt;=Parametros!$B$17,G189&gt;=H189,R189&lt;H189),"SÍ","")</f>
        <v/>
      </c>
      <c r="X189" s="3" t="str">
        <f aca="false">IF(OR(E189="SOBRE MAX VENDIBLE",N(N189)&gt;=Parametros!$B$17,N(M189)&gt;=Parametros!$B$17),"SÍ","")</f>
        <v>SÍ</v>
      </c>
      <c r="Y189" s="3" t="str">
        <f aca="false">IF(AND(ISNUMBER(U189),MAX(S189,T189)&gt;=Parametros!$B$15,ABS(N(U189))&gt;Parametros!$B$14),"SÍ","")</f>
        <v>SÍ</v>
      </c>
      <c r="Z189" s="3" t="n">
        <f aca="false">COUNTIF(V189:Y189,"SÍ")</f>
        <v>2</v>
      </c>
      <c r="AA189" s="3" t="n">
        <f aca="false">(3*(V189="SÍ")+2*(W189="SÍ")+2*(X189="SÍ")+(Y189="SÍ"))*IF(LEFT(D189,1)="A",3,IF(OR(LEFT(D189,1)="B",D189="SIN HIST"),2,1))</f>
        <v>9</v>
      </c>
      <c r="AB189" s="3" t="str">
        <f aca="false">IF(AA189&gt;=9,"1-ALTA",IF(AA189&gt;=4,"2-MEDIA",IF(AA189&gt;0,"3-BAJA","")))</f>
        <v>1-ALTA</v>
      </c>
      <c r="AC189" s="3" t="str">
        <f aca="false">IF(E189="BAJO SS","Stock + XLIB bajo el SS: riesgo real de quiebre, adelantar producción. ","")&amp;IF(E189="BAJO SS (XLIB CUBRE)","Disponible bajo el SS; depende de liberar "&amp;TEXT(J189,"#,##0")&amp;" kg"&amp;IF(ISNUMBER(K189)," el "&amp;TEXT(K189,"dd-mm"),"")&amp;". ","")&amp;IF(W189="SÍ","Stock parece sano pero "&amp;TEXT(L189,"#,##0")&amp;" kg no pasan filtro "&amp;Stock_Seguridad!O189&amp;": sin ellos queda bajo el SS para esa cadena. ","")&amp;IF(E189="SOBRE MAX VENDIBLE","Sobrestock vs vida útil: frenar producción/activar venta. ","")&amp;IF(N(N189)&gt;=Parametros!$B$17,TEXT(N189,"#,##0")&amp;" kg ya no los acepta ninguna cadena: venta intermedia/liquidación. ","")&amp;IF(N(M189)&gt;=Parametros!$B$17,TEXT(M189,"#,##0")&amp;" kg a punto de salir del filtro: despachar primero (FEFO). ","")&amp;IF(Y189="SÍ","Pedidos "&amp;IF(N(U189)&gt;0,"sobre","bajo")&amp;" FCST "&amp;TEXT(ABS(N(U189)),"0%")&amp;": revisar forecast con KAM.","")</f>
        <v>Sobrestock vs vida útil: frenar producción/activar venta. 15,120 kg a punto de salir del filtro: despachar primero (FEFO). Pedidos bajo FCST 44%: revisar forecast con KAM.</v>
      </c>
    </row>
    <row r="190" customFormat="false" ht="15" hidden="false" customHeight="false" outlineLevel="0" collapsed="false">
      <c r="A190" s="18" t="n">
        <f aca="false">Stock_Seguridad!A190</f>
        <v>30001864</v>
      </c>
      <c r="B190" s="18" t="str">
        <f aca="false">Stock_Seguridad!B190</f>
        <v>PASTA CHOCLO 12X500GR</v>
      </c>
      <c r="C190" s="18" t="str">
        <f aca="false">Stock_Seguridad!C190</f>
        <v>FRUTAS Y HORTALIZAS CONGELADAS</v>
      </c>
      <c r="D190" s="18" t="str">
        <f aca="false">Stock_Seguridad!F190</f>
        <v>SIN HIST</v>
      </c>
      <c r="E190" s="19" t="str">
        <f aca="false">Stock_Seguridad!X190</f>
        <v>OK</v>
      </c>
      <c r="F190" s="20" t="n">
        <f aca="false">Stock_Seguridad!W190</f>
        <v>7.71004317092841</v>
      </c>
      <c r="G190" s="21" t="n">
        <f aca="false">Stock_Seguridad!T190</f>
        <v>48756</v>
      </c>
      <c r="H190" s="21" t="n">
        <f aca="false">Stock_Seguridad!R190</f>
        <v>3120.46826422591</v>
      </c>
      <c r="I190" s="21" t="n">
        <f aca="false">Stock_Seguridad!S190</f>
        <v>9444.16826422591</v>
      </c>
      <c r="J190" s="21" t="n">
        <f aca="false">Stock_Seguridad!U190</f>
        <v>0</v>
      </c>
      <c r="K190" s="22"/>
      <c r="L190" s="23" t="n">
        <v>0</v>
      </c>
      <c r="M190" s="23" t="n">
        <v>0</v>
      </c>
      <c r="N190" s="23" t="n">
        <v>0</v>
      </c>
      <c r="O190" s="24" t="n">
        <v>0.0764410534088112</v>
      </c>
      <c r="P190" s="24" t="str">
        <f aca="false">IF(ISNUMBER(Stock_Seguridad!N190),Stock_Seguridad!N190,"")</f>
        <v/>
      </c>
      <c r="Q190" s="24" t="str">
        <f aca="false">IF(AND(ISNUMBER(O190),ISNUMBER(P190)),P190-O190,"")</f>
        <v/>
      </c>
      <c r="R190" s="23" t="n">
        <f aca="false">MAX(0,G190-N(L190))</f>
        <v>48756</v>
      </c>
      <c r="S190" s="23" t="n">
        <f aca="false">SUMIFS(Cadenas_vs_FCST!$D$17:$D$2437,Cadenas_vs_FCST!$A$17:$A$2437,A190)</f>
        <v>0</v>
      </c>
      <c r="T190" s="23" t="n">
        <f aca="false">SUMIFS(Cadenas_vs_FCST!$E$17:$E$2437,Cadenas_vs_FCST!$A$17:$A$2437,A190)</f>
        <v>0</v>
      </c>
      <c r="U190" s="24" t="str">
        <f aca="false">IF(T190&gt;0,S190/T190-1,"")</f>
        <v/>
      </c>
      <c r="V190" s="3" t="str">
        <f aca="false">IF(OR(E190="BAJO SS",E190="BAJO SS (XLIB CUBRE)"),"SÍ","")</f>
        <v/>
      </c>
      <c r="W190" s="3" t="str">
        <f aca="false">IF(AND(V190="",N(L190)&gt;=Parametros!$B$17,G190&gt;=H190,R190&lt;H190),"SÍ","")</f>
        <v/>
      </c>
      <c r="X190" s="3" t="str">
        <f aca="false">IF(OR(E190="SOBRE MAX VENDIBLE",N(N190)&gt;=Parametros!$B$17,N(M190)&gt;=Parametros!$B$17),"SÍ","")</f>
        <v/>
      </c>
      <c r="Y190" s="3" t="str">
        <f aca="false">IF(AND(ISNUMBER(U190),MAX(S190,T190)&gt;=Parametros!$B$15,ABS(N(U190))&gt;Parametros!$B$14),"SÍ","")</f>
        <v/>
      </c>
      <c r="Z190" s="3" t="n">
        <f aca="false">COUNTIF(V190:Y190,"SÍ")</f>
        <v>0</v>
      </c>
      <c r="AA190" s="3" t="n">
        <f aca="false">(3*(V190="SÍ")+2*(W190="SÍ")+2*(X190="SÍ")+(Y190="SÍ"))*IF(LEFT(D190,1)="A",3,IF(OR(LEFT(D190,1)="B",D190="SIN HIST"),2,1))</f>
        <v>0</v>
      </c>
      <c r="AB190" s="3" t="str">
        <f aca="false">IF(AA190&gt;=9,"1-ALTA",IF(AA190&gt;=4,"2-MEDIA",IF(AA190&gt;0,"3-BAJA","")))</f>
        <v/>
      </c>
      <c r="AC190" s="3" t="str">
        <f aca="false">IF(E190="BAJO SS","Stock + XLIB bajo el SS: riesgo real de quiebre, adelantar producción. ","")&amp;IF(E190="BAJO SS (XLIB CUBRE)","Disponible bajo el SS; depende de liberar "&amp;TEXT(J190,"#,##0")&amp;" kg"&amp;IF(ISNUMBER(K190)," el "&amp;TEXT(K190,"dd-mm"),"")&amp;". ","")&amp;IF(W190="SÍ","Stock parece sano pero "&amp;TEXT(L190,"#,##0")&amp;" kg no pasan filtro "&amp;Stock_Seguridad!O190&amp;": sin ellos queda bajo el SS para esa cadena. ","")&amp;IF(E190="SOBRE MAX VENDIBLE","Sobrestock vs vida útil: frenar producción/activar venta. ","")&amp;IF(N(N190)&gt;=Parametros!$B$17,TEXT(N190,"#,##0")&amp;" kg ya no los acepta ninguna cadena: venta intermedia/liquidación. ","")&amp;IF(N(M190)&gt;=Parametros!$B$17,TEXT(M190,"#,##0")&amp;" kg a punto de salir del filtro: despachar primero (FEFO). ","")&amp;IF(Y190="SÍ","Pedidos "&amp;IF(N(U190)&gt;0,"sobre","bajo")&amp;" FCST "&amp;TEXT(ABS(N(U190)),"0%")&amp;": revisar forecast con KAM.","")</f>
        <v/>
      </c>
    </row>
    <row r="191" customFormat="false" ht="15" hidden="false" customHeight="false" outlineLevel="0" collapsed="false">
      <c r="A191" s="18" t="n">
        <f aca="false">Stock_Seguridad!A191</f>
        <v>30000178</v>
      </c>
      <c r="B191" s="18" t="str">
        <f aca="false">Stock_Seguridad!B191</f>
        <v>MERMELADA WATTS S/A MORA SACHET 24X200GR</v>
      </c>
      <c r="C191" s="18" t="str">
        <f aca="false">Stock_Seguridad!C191</f>
        <v>MERMELADAS</v>
      </c>
      <c r="D191" s="18" t="str">
        <f aca="false">Stock_Seguridad!F191</f>
        <v>BX</v>
      </c>
      <c r="E191" s="19" t="str">
        <f aca="false">Stock_Seguridad!X191</f>
        <v>BAJO P.REORDEN</v>
      </c>
      <c r="F191" s="20" t="n">
        <f aca="false">Stock_Seguridad!W191</f>
        <v>1.33849375039655</v>
      </c>
      <c r="G191" s="21" t="n">
        <f aca="false">Stock_Seguridad!T191</f>
        <v>8438.4</v>
      </c>
      <c r="H191" s="21" t="n">
        <f aca="false">Stock_Seguridad!R191</f>
        <v>2894.6162909194</v>
      </c>
      <c r="I191" s="21" t="n">
        <f aca="false">Stock_Seguridad!S191</f>
        <v>9199.0162909194</v>
      </c>
      <c r="J191" s="21" t="n">
        <f aca="false">Stock_Seguridad!U191</f>
        <v>0</v>
      </c>
      <c r="K191" s="22"/>
      <c r="L191" s="23" t="n">
        <v>676.8</v>
      </c>
      <c r="M191" s="23" t="n">
        <v>0</v>
      </c>
      <c r="N191" s="23" t="n">
        <v>676.8</v>
      </c>
      <c r="O191" s="24" t="n">
        <v>0.0960467769537935</v>
      </c>
      <c r="P191" s="24" t="n">
        <f aca="false">IF(ISNUMBER(Stock_Seguridad!N191),Stock_Seguridad!N191,"")</f>
        <v>0.28804347826087</v>
      </c>
      <c r="Q191" s="24" t="n">
        <f aca="false">IF(AND(ISNUMBER(O191),ISNUMBER(P191)),P191-O191,"")</f>
        <v>0.191996701307076</v>
      </c>
      <c r="R191" s="23" t="n">
        <f aca="false">MAX(0,G191-N(L191))</f>
        <v>7761.6</v>
      </c>
      <c r="S191" s="23" t="n">
        <f aca="false">SUMIFS(Cadenas_vs_FCST!$D$17:$D$2437,Cadenas_vs_FCST!$A$17:$A$2437,A191)</f>
        <v>22147.2</v>
      </c>
      <c r="T191" s="23" t="n">
        <f aca="false">SUMIFS(Cadenas_vs_FCST!$E$17:$E$2437,Cadenas_vs_FCST!$A$17:$A$2437,A191)</f>
        <v>23104.1830981239</v>
      </c>
      <c r="U191" s="24" t="n">
        <f aca="false">IF(T191&gt;0,S191/T191-1,"")</f>
        <v>-0.0414203390814354</v>
      </c>
      <c r="V191" s="3" t="str">
        <f aca="false">IF(OR(E191="BAJO SS",E191="BAJO SS (XLIB CUBRE)"),"SÍ","")</f>
        <v/>
      </c>
      <c r="W191" s="3" t="str">
        <f aca="false">IF(AND(V191="",N(L191)&gt;=Parametros!$B$17,G191&gt;=H191,R191&lt;H191),"SÍ","")</f>
        <v/>
      </c>
      <c r="X191" s="3" t="str">
        <f aca="false">IF(OR(E191="SOBRE MAX VENDIBLE",N(N191)&gt;=Parametros!$B$17,N(M191)&gt;=Parametros!$B$17),"SÍ","")</f>
        <v>SÍ</v>
      </c>
      <c r="Y191" s="3" t="str">
        <f aca="false">IF(AND(ISNUMBER(U191),MAX(S191,T191)&gt;=Parametros!$B$15,ABS(N(U191))&gt;Parametros!$B$14),"SÍ","")</f>
        <v/>
      </c>
      <c r="Z191" s="3" t="n">
        <f aca="false">COUNTIF(V191:Y191,"SÍ")</f>
        <v>1</v>
      </c>
      <c r="AA191" s="3" t="n">
        <f aca="false">(3*(V191="SÍ")+2*(W191="SÍ")+2*(X191="SÍ")+(Y191="SÍ"))*IF(LEFT(D191,1)="A",3,IF(OR(LEFT(D191,1)="B",D191="SIN HIST"),2,1))</f>
        <v>4</v>
      </c>
      <c r="AB191" s="3" t="str">
        <f aca="false">IF(AA191&gt;=9,"1-ALTA",IF(AA191&gt;=4,"2-MEDIA",IF(AA191&gt;0,"3-BAJA","")))</f>
        <v>2-MEDIA</v>
      </c>
      <c r="AC191" s="3" t="str">
        <f aca="false">IF(E191="BAJO SS","Stock + XLIB bajo el SS: riesgo real de quiebre, adelantar producción. ","")&amp;IF(E191="BAJO SS (XLIB CUBRE)","Disponible bajo el SS; depende de liberar "&amp;TEXT(J191,"#,##0")&amp;" kg"&amp;IF(ISNUMBER(K191)," el "&amp;TEXT(K191,"dd-mm"),"")&amp;". ","")&amp;IF(W191="SÍ","Stock parece sano pero "&amp;TEXT(L191,"#,##0")&amp;" kg no pasan filtro "&amp;Stock_Seguridad!O191&amp;": sin ellos queda bajo el SS para esa cadena. ","")&amp;IF(E191="SOBRE MAX VENDIBLE","Sobrestock vs vida útil: frenar producción/activar venta. ","")&amp;IF(N(N191)&gt;=Parametros!$B$17,TEXT(N191,"#,##0")&amp;" kg ya no los acepta ninguna cadena: venta intermedia/liquidación. ","")&amp;IF(N(M191)&gt;=Parametros!$B$17,TEXT(M191,"#,##0")&amp;" kg a punto de salir del filtro: despachar primero (FEFO). ","")&amp;IF(Y191="SÍ","Pedidos "&amp;IF(N(U191)&gt;0,"sobre","bajo")&amp;" FCST "&amp;TEXT(ABS(N(U191)),"0%")&amp;": revisar forecast con KAM.","")</f>
        <v>677 kg ya no los acepta ninguna cadena: venta intermedia/liquidación. </v>
      </c>
    </row>
    <row r="192" customFormat="false" ht="15" hidden="false" customHeight="false" outlineLevel="0" collapsed="false">
      <c r="A192" s="18" t="n">
        <f aca="false">Stock_Seguridad!A192</f>
        <v>30001709</v>
      </c>
      <c r="B192" s="18" t="str">
        <f aca="false">Stock_Seguridad!B192</f>
        <v>YOGURT LCO S/LACT TZO BERRIE POTE24X140G</v>
      </c>
      <c r="C192" s="18" t="str">
        <f aca="false">Stock_Seguridad!C192</f>
        <v>YOGURT</v>
      </c>
      <c r="D192" s="18" t="str">
        <f aca="false">Stock_Seguridad!F192</f>
        <v>BX</v>
      </c>
      <c r="E192" s="19" t="str">
        <f aca="false">Stock_Seguridad!X192</f>
        <v>BAJO SS</v>
      </c>
      <c r="F192" s="20" t="n">
        <f aca="false">Stock_Seguridad!W192</f>
        <v>0.246955060898782</v>
      </c>
      <c r="G192" s="21" t="n">
        <f aca="false">Stock_Seguridad!T192</f>
        <v>1528.8</v>
      </c>
      <c r="H192" s="21" t="n">
        <f aca="false">Stock_Seguridad!R192</f>
        <v>3573.22666209681</v>
      </c>
      <c r="I192" s="21" t="n">
        <f aca="false">Stock_Seguridad!S192</f>
        <v>9763.82666209681</v>
      </c>
      <c r="J192" s="21" t="n">
        <f aca="false">Stock_Seguridad!U192</f>
        <v>0</v>
      </c>
      <c r="K192" s="22"/>
      <c r="L192" s="23" t="n">
        <v>16.8</v>
      </c>
      <c r="M192" s="23" t="n">
        <v>0</v>
      </c>
      <c r="N192" s="23" t="n">
        <v>16.8</v>
      </c>
      <c r="O192" s="24" t="n">
        <v>0.103094170403587</v>
      </c>
      <c r="P192" s="24" t="n">
        <f aca="false">IF(ISNUMBER(Stock_Seguridad!N192),Stock_Seguridad!N192,"")</f>
        <v>0.295774647887324</v>
      </c>
      <c r="Q192" s="24" t="n">
        <f aca="false">IF(AND(ISNUMBER(O192),ISNUMBER(P192)),P192-O192,"")</f>
        <v>0.192680477483737</v>
      </c>
      <c r="R192" s="23" t="n">
        <f aca="false">MAX(0,G192-N(L192))</f>
        <v>1512</v>
      </c>
      <c r="S192" s="23" t="n">
        <f aca="false">SUMIFS(Cadenas_vs_FCST!$D$17:$D$2437,Cadenas_vs_FCST!$A$17:$A$2437,A192)</f>
        <v>22061.76</v>
      </c>
      <c r="T192" s="23" t="n">
        <f aca="false">SUMIFS(Cadenas_vs_FCST!$E$17:$E$2437,Cadenas_vs_FCST!$A$17:$A$2437,A192)</f>
        <v>26842.2164322642</v>
      </c>
      <c r="U192" s="24" t="n">
        <f aca="false">IF(T192&gt;0,S192/T192-1,"")</f>
        <v>-0.178094698115843</v>
      </c>
      <c r="V192" s="3" t="str">
        <f aca="false">IF(OR(E192="BAJO SS",E192="BAJO SS (XLIB CUBRE)"),"SÍ","")</f>
        <v>SÍ</v>
      </c>
      <c r="W192" s="3" t="str">
        <f aca="false">IF(AND(V192="",N(L192)&gt;=Parametros!$B$17,G192&gt;=H192,R192&lt;H192),"SÍ","")</f>
        <v/>
      </c>
      <c r="X192" s="3" t="str">
        <f aca="false">IF(OR(E192="SOBRE MAX VENDIBLE",N(N192)&gt;=Parametros!$B$17,N(M192)&gt;=Parametros!$B$17),"SÍ","")</f>
        <v/>
      </c>
      <c r="Y192" s="3" t="str">
        <f aca="false">IF(AND(ISNUMBER(U192),MAX(S192,T192)&gt;=Parametros!$B$15,ABS(N(U192))&gt;Parametros!$B$14),"SÍ","")</f>
        <v/>
      </c>
      <c r="Z192" s="3" t="n">
        <f aca="false">COUNTIF(V192:Y192,"SÍ")</f>
        <v>1</v>
      </c>
      <c r="AA192" s="3" t="n">
        <f aca="false">(3*(V192="SÍ")+2*(W192="SÍ")+2*(X192="SÍ")+(Y192="SÍ"))*IF(LEFT(D192,1)="A",3,IF(OR(LEFT(D192,1)="B",D192="SIN HIST"),2,1))</f>
        <v>6</v>
      </c>
      <c r="AB192" s="3" t="str">
        <f aca="false">IF(AA192&gt;=9,"1-ALTA",IF(AA192&gt;=4,"2-MEDIA",IF(AA192&gt;0,"3-BAJA","")))</f>
        <v>2-MEDIA</v>
      </c>
      <c r="AC192" s="3" t="str">
        <f aca="false">IF(E192="BAJO SS","Stock + XLIB bajo el SS: riesgo real de quiebre, adelantar producción. ","")&amp;IF(E192="BAJO SS (XLIB CUBRE)","Disponible bajo el SS; depende de liberar "&amp;TEXT(J192,"#,##0")&amp;" kg"&amp;IF(ISNUMBER(K192)," el "&amp;TEXT(K192,"dd-mm"),"")&amp;". ","")&amp;IF(W192="SÍ","Stock parece sano pero "&amp;TEXT(L192,"#,##0")&amp;" kg no pasan filtro "&amp;Stock_Seguridad!O192&amp;": sin ellos queda bajo el SS para esa cadena. ","")&amp;IF(E192="SOBRE MAX VENDIBLE","Sobrestock vs vida útil: frenar producción/activar venta. ","")&amp;IF(N(N192)&gt;=Parametros!$B$17,TEXT(N192,"#,##0")&amp;" kg ya no los acepta ninguna cadena: venta intermedia/liquidación. ","")&amp;IF(N(M192)&gt;=Parametros!$B$17,TEXT(M192,"#,##0")&amp;" kg a punto de salir del filtro: despachar primero (FEFO). ","")&amp;IF(Y192="SÍ","Pedidos "&amp;IF(N(U192)&gt;0,"sobre","bajo")&amp;" FCST "&amp;TEXT(ABS(N(U192)),"0%")&amp;": revisar forecast con KAM.","")</f>
        <v>Stock + XLIB bajo el SS: riesgo real de quiebre, adelantar producción. </v>
      </c>
    </row>
    <row r="193" customFormat="false" ht="15" hidden="false" customHeight="false" outlineLevel="0" collapsed="false">
      <c r="A193" s="18" t="n">
        <f aca="false">Stock_Seguridad!A193</f>
        <v>30001939</v>
      </c>
      <c r="B193" s="18" t="str">
        <f aca="false">Stock_Seguridad!B193</f>
        <v>JUGO FRESCO WATTS NJA MIX 6X1,6LT</v>
      </c>
      <c r="C193" s="18" t="str">
        <f aca="false">Stock_Seguridad!C193</f>
        <v>JUGOS Y NECTARES</v>
      </c>
      <c r="D193" s="18" t="str">
        <f aca="false">Stock_Seguridad!F193</f>
        <v>AX</v>
      </c>
      <c r="E193" s="19" t="str">
        <f aca="false">Stock_Seguridad!X193</f>
        <v>SOBRE MAX VENDIBLE</v>
      </c>
      <c r="F193" s="20" t="n">
        <f aca="false">Stock_Seguridad!W193</f>
        <v>3.29742510121457</v>
      </c>
      <c r="G193" s="21" t="n">
        <f aca="false">Stock_Seguridad!T193</f>
        <v>13363.2</v>
      </c>
      <c r="H193" s="21" t="n">
        <f aca="false">Stock_Seguridad!R193</f>
        <v>4162.23963581974</v>
      </c>
      <c r="I193" s="21" t="n">
        <f aca="false">Stock_Seguridad!S193</f>
        <v>10337.2396358197</v>
      </c>
      <c r="J193" s="21" t="n">
        <f aca="false">Stock_Seguridad!U193</f>
        <v>6998.4</v>
      </c>
      <c r="K193" s="22" t="n">
        <v>46318</v>
      </c>
      <c r="L193" s="23" t="n">
        <v>259.2</v>
      </c>
      <c r="M193" s="23" t="n">
        <v>1833.6</v>
      </c>
      <c r="N193" s="23" t="n">
        <v>249.6</v>
      </c>
      <c r="O193" s="24" t="n">
        <v>0.0785337105139086</v>
      </c>
      <c r="P193" s="24" t="n">
        <f aca="false">IF(ISNUMBER(Stock_Seguridad!N193),Stock_Seguridad!N193,"")</f>
        <v>0.228571428571429</v>
      </c>
      <c r="Q193" s="24" t="n">
        <f aca="false">IF(AND(ISNUMBER(O193),ISNUMBER(P193)),P193-O193,"")</f>
        <v>0.15003771805752</v>
      </c>
      <c r="R193" s="23" t="n">
        <f aca="false">MAX(0,G193-N(L193))</f>
        <v>13104</v>
      </c>
      <c r="S193" s="23" t="n">
        <f aca="false">SUMIFS(Cadenas_vs_FCST!$D$17:$D$2437,Cadenas_vs_FCST!$A$17:$A$2437,A193)</f>
        <v>32198.4</v>
      </c>
      <c r="T193" s="23" t="n">
        <f aca="false">SUMIFS(Cadenas_vs_FCST!$E$17:$E$2437,Cadenas_vs_FCST!$A$17:$A$2437,A193)</f>
        <v>26688.3257806053</v>
      </c>
      <c r="U193" s="24" t="n">
        <f aca="false">IF(T193&gt;0,S193/T193-1,"")</f>
        <v>0.206460092876975</v>
      </c>
      <c r="V193" s="3" t="str">
        <f aca="false">IF(OR(E193="BAJO SS",E193="BAJO SS (XLIB CUBRE)"),"SÍ","")</f>
        <v/>
      </c>
      <c r="W193" s="3" t="str">
        <f aca="false">IF(AND(V193="",N(L193)&gt;=Parametros!$B$17,G193&gt;=H193,R193&lt;H193),"SÍ","")</f>
        <v/>
      </c>
      <c r="X193" s="3" t="str">
        <f aca="false">IF(OR(E193="SOBRE MAX VENDIBLE",N(N193)&gt;=Parametros!$B$17,N(M193)&gt;=Parametros!$B$17),"SÍ","")</f>
        <v>SÍ</v>
      </c>
      <c r="Y193" s="3" t="str">
        <f aca="false">IF(AND(ISNUMBER(U193),MAX(S193,T193)&gt;=Parametros!$B$15,ABS(N(U193))&gt;Parametros!$B$14),"SÍ","")</f>
        <v>SÍ</v>
      </c>
      <c r="Z193" s="3" t="n">
        <f aca="false">COUNTIF(V193:Y193,"SÍ")</f>
        <v>2</v>
      </c>
      <c r="AA193" s="3" t="n">
        <f aca="false">(3*(V193="SÍ")+2*(W193="SÍ")+2*(X193="SÍ")+(Y193="SÍ"))*IF(LEFT(D193,1)="A",3,IF(OR(LEFT(D193,1)="B",D193="SIN HIST"),2,1))</f>
        <v>9</v>
      </c>
      <c r="AB193" s="3" t="str">
        <f aca="false">IF(AA193&gt;=9,"1-ALTA",IF(AA193&gt;=4,"2-MEDIA",IF(AA193&gt;0,"3-BAJA","")))</f>
        <v>1-ALTA</v>
      </c>
      <c r="AC193" s="3" t="str">
        <f aca="false">IF(E193="BAJO SS","Stock + XLIB bajo el SS: riesgo real de quiebre, adelantar producción. ","")&amp;IF(E193="BAJO SS (XLIB CUBRE)","Disponible bajo el SS; depende de liberar "&amp;TEXT(J193,"#,##0")&amp;" kg"&amp;IF(ISNUMBER(K193)," el "&amp;TEXT(K193,"dd-mm"),"")&amp;". ","")&amp;IF(W193="SÍ","Stock parece sano pero "&amp;TEXT(L193,"#,##0")&amp;" kg no pasan filtro "&amp;Stock_Seguridad!O193&amp;": sin ellos queda bajo el SS para esa cadena. ","")&amp;IF(E193="SOBRE MAX VENDIBLE","Sobrestock vs vida útil: frenar producción/activar venta. ","")&amp;IF(N(N193)&gt;=Parametros!$B$17,TEXT(N193,"#,##0")&amp;" kg ya no los acepta ninguna cadena: venta intermedia/liquidación. ","")&amp;IF(N(M193)&gt;=Parametros!$B$17,TEXT(M193,"#,##0")&amp;" kg a punto de salir del filtro: despachar primero (FEFO). ","")&amp;IF(Y193="SÍ","Pedidos "&amp;IF(N(U193)&gt;0,"sobre","bajo")&amp;" FCST "&amp;TEXT(ABS(N(U193)),"0%")&amp;": revisar forecast con KAM.","")</f>
        <v>Sobrestock vs vida útil: frenar producción/activar venta. 1,834 kg a punto de salir del filtro: despachar primero (FEFO). Pedidos sobre FCST 21%: revisar forecast con KAM.</v>
      </c>
    </row>
    <row r="194" customFormat="false" ht="15" hidden="false" customHeight="false" outlineLevel="0" collapsed="false">
      <c r="A194" s="18" t="n">
        <f aca="false">Stock_Seguridad!A194</f>
        <v>30001923</v>
      </c>
      <c r="B194" s="18" t="str">
        <f aca="false">Stock_Seguridad!B194</f>
        <v>JUGO 100% WATTS NRJA-MZNA LV 30X200ML</v>
      </c>
      <c r="C194" s="18" t="str">
        <f aca="false">Stock_Seguridad!C194</f>
        <v>JUGOS Y NECTARES</v>
      </c>
      <c r="D194" s="18" t="str">
        <f aca="false">Stock_Seguridad!F194</f>
        <v>BY</v>
      </c>
      <c r="E194" s="19" t="str">
        <f aca="false">Stock_Seguridad!X194</f>
        <v>OK</v>
      </c>
      <c r="F194" s="20" t="n">
        <f aca="false">Stock_Seguridad!W194</f>
        <v>1.87001549376172</v>
      </c>
      <c r="G194" s="21" t="n">
        <f aca="false">Stock_Seguridad!T194</f>
        <v>10602</v>
      </c>
      <c r="H194" s="21" t="n">
        <f aca="false">Stock_Seguridad!R194</f>
        <v>2391.70339389455</v>
      </c>
      <c r="I194" s="21" t="n">
        <f aca="false">Stock_Seguridad!S194</f>
        <v>8523.20339389456</v>
      </c>
      <c r="J194" s="21" t="n">
        <f aca="false">Stock_Seguridad!U194</f>
        <v>864</v>
      </c>
      <c r="K194" s="22" t="n">
        <v>46320</v>
      </c>
      <c r="L194" s="23" t="n">
        <v>936</v>
      </c>
      <c r="M194" s="23" t="n">
        <v>0</v>
      </c>
      <c r="N194" s="23" t="n">
        <v>48</v>
      </c>
      <c r="O194" s="24" t="n">
        <v>0.086567242281528</v>
      </c>
      <c r="P194" s="24" t="n">
        <f aca="false">IF(ISNUMBER(Stock_Seguridad!N194),Stock_Seguridad!N194,"")</f>
        <v>0.190217391304348</v>
      </c>
      <c r="Q194" s="24" t="n">
        <f aca="false">IF(AND(ISNUMBER(O194),ISNUMBER(P194)),P194-O194,"")</f>
        <v>0.10365014902282</v>
      </c>
      <c r="R194" s="23" t="n">
        <f aca="false">MAX(0,G194-N(L194))</f>
        <v>9666</v>
      </c>
      <c r="S194" s="23" t="n">
        <f aca="false">SUMIFS(Cadenas_vs_FCST!$D$17:$D$2437,Cadenas_vs_FCST!$A$17:$A$2437,A194)</f>
        <v>28890</v>
      </c>
      <c r="T194" s="23" t="n">
        <f aca="false">SUMIFS(Cadenas_vs_FCST!$E$17:$E$2437,Cadenas_vs_FCST!$A$17:$A$2437,A194)</f>
        <v>30396.6028849725</v>
      </c>
      <c r="U194" s="24" t="n">
        <f aca="false">IF(T194&gt;0,S194/T194-1,"")</f>
        <v>-0.0495648441595212</v>
      </c>
      <c r="V194" s="3" t="str">
        <f aca="false">IF(OR(E194="BAJO SS",E194="BAJO SS (XLIB CUBRE)"),"SÍ","")</f>
        <v/>
      </c>
      <c r="W194" s="3" t="str">
        <f aca="false">IF(AND(V194="",N(L194)&gt;=Parametros!$B$17,G194&gt;=H194,R194&lt;H194),"SÍ","")</f>
        <v/>
      </c>
      <c r="X194" s="3" t="str">
        <f aca="false">IF(OR(E194="SOBRE MAX VENDIBLE",N(N194)&gt;=Parametros!$B$17,N(M194)&gt;=Parametros!$B$17),"SÍ","")</f>
        <v/>
      </c>
      <c r="Y194" s="3" t="str">
        <f aca="false">IF(AND(ISNUMBER(U194),MAX(S194,T194)&gt;=Parametros!$B$15,ABS(N(U194))&gt;Parametros!$B$14),"SÍ","")</f>
        <v/>
      </c>
      <c r="Z194" s="3" t="n">
        <f aca="false">COUNTIF(V194:Y194,"SÍ")</f>
        <v>0</v>
      </c>
      <c r="AA194" s="3" t="n">
        <f aca="false">(3*(V194="SÍ")+2*(W194="SÍ")+2*(X194="SÍ")+(Y194="SÍ"))*IF(LEFT(D194,1)="A",3,IF(OR(LEFT(D194,1)="B",D194="SIN HIST"),2,1))</f>
        <v>0</v>
      </c>
      <c r="AB194" s="3" t="str">
        <f aca="false">IF(AA194&gt;=9,"1-ALTA",IF(AA194&gt;=4,"2-MEDIA",IF(AA194&gt;0,"3-BAJA","")))</f>
        <v/>
      </c>
      <c r="AC194" s="3" t="str">
        <f aca="false">IF(E194="BAJO SS","Stock + XLIB bajo el SS: riesgo real de quiebre, adelantar producción. ","")&amp;IF(E194="BAJO SS (XLIB CUBRE)","Disponible bajo el SS; depende de liberar "&amp;TEXT(J194,"#,##0")&amp;" kg"&amp;IF(ISNUMBER(K194)," el "&amp;TEXT(K194,"dd-mm"),"")&amp;". ","")&amp;IF(W194="SÍ","Stock parece sano pero "&amp;TEXT(L194,"#,##0")&amp;" kg no pasan filtro "&amp;Stock_Seguridad!O194&amp;": sin ellos queda bajo el SS para esa cadena. ","")&amp;IF(E194="SOBRE MAX VENDIBLE","Sobrestock vs vida útil: frenar producción/activar venta. ","")&amp;IF(N(N194)&gt;=Parametros!$B$17,TEXT(N194,"#,##0")&amp;" kg ya no los acepta ninguna cadena: venta intermedia/liquidación. ","")&amp;IF(N(M194)&gt;=Parametros!$B$17,TEXT(M194,"#,##0")&amp;" kg a punto de salir del filtro: despachar primero (FEFO). ","")&amp;IF(Y194="SÍ","Pedidos "&amp;IF(N(U194)&gt;0,"sobre","bajo")&amp;" FCST "&amp;TEXT(ABS(N(U194)),"0%")&amp;": revisar forecast con KAM.","")</f>
        <v/>
      </c>
    </row>
    <row r="195" customFormat="false" ht="15" hidden="false" customHeight="false" outlineLevel="0" collapsed="false">
      <c r="A195" s="18" t="n">
        <f aca="false">Stock_Seguridad!A195</f>
        <v>30001773</v>
      </c>
      <c r="B195" s="18" t="str">
        <f aca="false">Stock_Seguridad!B195</f>
        <v>QUESO LAS PARCELAS CHANCO 20X233GR</v>
      </c>
      <c r="C195" s="18" t="str">
        <f aca="false">Stock_Seguridad!C195</f>
        <v>QUESOS</v>
      </c>
      <c r="D195" s="18" t="str">
        <f aca="false">Stock_Seguridad!F195</f>
        <v>BX</v>
      </c>
      <c r="E195" s="19" t="str">
        <f aca="false">Stock_Seguridad!X195</f>
        <v>OK</v>
      </c>
      <c r="F195" s="20" t="n">
        <f aca="false">Stock_Seguridad!W195</f>
        <v>3.84060408163265</v>
      </c>
      <c r="G195" s="21" t="n">
        <f aca="false">Stock_Seguridad!T195</f>
        <v>12083.4</v>
      </c>
      <c r="H195" s="21" t="n">
        <f aca="false">Stock_Seguridad!R195</f>
        <v>4994.79185941135</v>
      </c>
      <c r="I195" s="21" t="n">
        <f aca="false">Stock_Seguridad!S195</f>
        <v>11119.7918594113</v>
      </c>
      <c r="J195" s="21" t="n">
        <f aca="false">Stock_Seguridad!U195</f>
        <v>11440.3</v>
      </c>
      <c r="K195" s="22" t="n">
        <v>46317</v>
      </c>
      <c r="L195" s="23" t="n">
        <v>0</v>
      </c>
      <c r="M195" s="23" t="n">
        <v>242.32</v>
      </c>
      <c r="N195" s="23" t="n">
        <v>0</v>
      </c>
      <c r="O195" s="24" t="n">
        <v>0.0327224093520904</v>
      </c>
      <c r="P195" s="24" t="n">
        <f aca="false">IF(ISNUMBER(Stock_Seguridad!N195),Stock_Seguridad!N195,"")</f>
        <v>0.315217391304348</v>
      </c>
      <c r="Q195" s="24" t="n">
        <f aca="false">IF(AND(ISNUMBER(O195),ISNUMBER(P195)),P195-O195,"")</f>
        <v>0.282494981952257</v>
      </c>
      <c r="R195" s="23" t="n">
        <f aca="false">MAX(0,G195-N(L195))</f>
        <v>12083.4</v>
      </c>
      <c r="S195" s="23" t="n">
        <f aca="false">SUMIFS(Cadenas_vs_FCST!$D$17:$D$2437,Cadenas_vs_FCST!$A$17:$A$2437,A195)</f>
        <v>27107.22</v>
      </c>
      <c r="T195" s="23" t="n">
        <f aca="false">SUMIFS(Cadenas_vs_FCST!$E$17:$E$2437,Cadenas_vs_FCST!$A$17:$A$2437,A195)</f>
        <v>22567.5950592638</v>
      </c>
      <c r="U195" s="24" t="n">
        <f aca="false">IF(T195&gt;0,S195/T195-1,"")</f>
        <v>0.201156788253907</v>
      </c>
      <c r="V195" s="3" t="str">
        <f aca="false">IF(OR(E195="BAJO SS",E195="BAJO SS (XLIB CUBRE)"),"SÍ","")</f>
        <v/>
      </c>
      <c r="W195" s="3" t="str">
        <f aca="false">IF(AND(V195="",N(L195)&gt;=Parametros!$B$17,G195&gt;=H195,R195&lt;H195),"SÍ","")</f>
        <v/>
      </c>
      <c r="X195" s="3" t="str">
        <f aca="false">IF(OR(E195="SOBRE MAX VENDIBLE",N(N195)&gt;=Parametros!$B$17,N(M195)&gt;=Parametros!$B$17),"SÍ","")</f>
        <v/>
      </c>
      <c r="Y195" s="3" t="str">
        <f aca="false">IF(AND(ISNUMBER(U195),MAX(S195,T195)&gt;=Parametros!$B$15,ABS(N(U195))&gt;Parametros!$B$14),"SÍ","")</f>
        <v>SÍ</v>
      </c>
      <c r="Z195" s="3" t="n">
        <f aca="false">COUNTIF(V195:Y195,"SÍ")</f>
        <v>1</v>
      </c>
      <c r="AA195" s="3" t="n">
        <f aca="false">(3*(V195="SÍ")+2*(W195="SÍ")+2*(X195="SÍ")+(Y195="SÍ"))*IF(LEFT(D195,1)="A",3,IF(OR(LEFT(D195,1)="B",D195="SIN HIST"),2,1))</f>
        <v>2</v>
      </c>
      <c r="AB195" s="3" t="str">
        <f aca="false">IF(AA195&gt;=9,"1-ALTA",IF(AA195&gt;=4,"2-MEDIA",IF(AA195&gt;0,"3-BAJA","")))</f>
        <v>3-BAJA</v>
      </c>
      <c r="AC195" s="3" t="str">
        <f aca="false">IF(E195="BAJO SS","Stock + XLIB bajo el SS: riesgo real de quiebre, adelantar producción. ","")&amp;IF(E195="BAJO SS (XLIB CUBRE)","Disponible bajo el SS; depende de liberar "&amp;TEXT(J195,"#,##0")&amp;" kg"&amp;IF(ISNUMBER(K195)," el "&amp;TEXT(K195,"dd-mm"),"")&amp;". ","")&amp;IF(W195="SÍ","Stock parece sano pero "&amp;TEXT(L195,"#,##0")&amp;" kg no pasan filtro "&amp;Stock_Seguridad!O195&amp;": sin ellos queda bajo el SS para esa cadena. ","")&amp;IF(E195="SOBRE MAX VENDIBLE","Sobrestock vs vida útil: frenar producción/activar venta. ","")&amp;IF(N(N195)&gt;=Parametros!$B$17,TEXT(N195,"#,##0")&amp;" kg ya no los acepta ninguna cadena: venta intermedia/liquidación. ","")&amp;IF(N(M195)&gt;=Parametros!$B$17,TEXT(M195,"#,##0")&amp;" kg a punto de salir del filtro: despachar primero (FEFO). ","")&amp;IF(Y195="SÍ","Pedidos "&amp;IF(N(U195)&gt;0,"sobre","bajo")&amp;" FCST "&amp;TEXT(ABS(N(U195)),"0%")&amp;": revisar forecast con KAM.","")</f>
        <v>Pedidos sobre FCST 20%: revisar forecast con KAM.</v>
      </c>
    </row>
    <row r="196" customFormat="false" ht="15" hidden="false" customHeight="false" outlineLevel="0" collapsed="false">
      <c r="A196" s="18" t="n">
        <f aca="false">Stock_Seguridad!A196</f>
        <v>30001895</v>
      </c>
      <c r="B196" s="18" t="str">
        <f aca="false">Stock_Seguridad!B196</f>
        <v>LECHE POLVO LONCO DESCREMADA 20X760GR</v>
      </c>
      <c r="C196" s="18" t="str">
        <f aca="false">Stock_Seguridad!C196</f>
        <v>LECHES EN POLVO</v>
      </c>
      <c r="D196" s="18" t="str">
        <f aca="false">Stock_Seguridad!F196</f>
        <v>BY</v>
      </c>
      <c r="E196" s="19" t="str">
        <f aca="false">Stock_Seguridad!X196</f>
        <v>OK</v>
      </c>
      <c r="F196" s="20" t="n">
        <f aca="false">Stock_Seguridad!W196</f>
        <v>4.73702970944587</v>
      </c>
      <c r="G196" s="21" t="n">
        <f aca="false">Stock_Seguridad!T196</f>
        <v>28971.2</v>
      </c>
      <c r="H196" s="21" t="n">
        <f aca="false">Stock_Seguridad!R196</f>
        <v>4344.0921415835</v>
      </c>
      <c r="I196" s="21" t="n">
        <f aca="false">Stock_Seguridad!S196</f>
        <v>10459.9921415835</v>
      </c>
      <c r="J196" s="21" t="n">
        <f aca="false">Stock_Seguridad!U196</f>
        <v>0</v>
      </c>
      <c r="K196" s="22"/>
      <c r="L196" s="23" t="n">
        <v>380</v>
      </c>
      <c r="M196" s="23" t="n">
        <v>0</v>
      </c>
      <c r="N196" s="23" t="n">
        <v>0</v>
      </c>
      <c r="O196" s="24" t="n">
        <v>0.0362920168067227</v>
      </c>
      <c r="P196" s="24" t="n">
        <f aca="false">IF(ISNUMBER(Stock_Seguridad!N196),Stock_Seguridad!N196,"")</f>
        <v>0.197080291970803</v>
      </c>
      <c r="Q196" s="24" t="n">
        <f aca="false">IF(AND(ISNUMBER(O196),ISNUMBER(P196)),P196-O196,"")</f>
        <v>0.16078827516408</v>
      </c>
      <c r="R196" s="23" t="n">
        <f aca="false">MAX(0,G196-N(L196))</f>
        <v>28591.2</v>
      </c>
      <c r="S196" s="23" t="n">
        <f aca="false">SUMIFS(Cadenas_vs_FCST!$D$17:$D$2437,Cadenas_vs_FCST!$A$17:$A$2437,A196)</f>
        <v>18908.8</v>
      </c>
      <c r="T196" s="23" t="n">
        <f aca="false">SUMIFS(Cadenas_vs_FCST!$E$17:$E$2437,Cadenas_vs_FCST!$A$17:$A$2437,A196)</f>
        <v>25675.1143080687</v>
      </c>
      <c r="U196" s="24" t="n">
        <f aca="false">IF(T196&gt;0,S196/T196-1,"")</f>
        <v>-0.26353589810279</v>
      </c>
      <c r="V196" s="3" t="str">
        <f aca="false">IF(OR(E196="BAJO SS",E196="BAJO SS (XLIB CUBRE)"),"SÍ","")</f>
        <v/>
      </c>
      <c r="W196" s="3" t="str">
        <f aca="false">IF(AND(V196="",N(L196)&gt;=Parametros!$B$17,G196&gt;=H196,R196&lt;H196),"SÍ","")</f>
        <v/>
      </c>
      <c r="X196" s="3" t="str">
        <f aca="false">IF(OR(E196="SOBRE MAX VENDIBLE",N(N196)&gt;=Parametros!$B$17,N(M196)&gt;=Parametros!$B$17),"SÍ","")</f>
        <v/>
      </c>
      <c r="Y196" s="3" t="str">
        <f aca="false">IF(AND(ISNUMBER(U196),MAX(S196,T196)&gt;=Parametros!$B$15,ABS(N(U196))&gt;Parametros!$B$14),"SÍ","")</f>
        <v>SÍ</v>
      </c>
      <c r="Z196" s="3" t="n">
        <f aca="false">COUNTIF(V196:Y196,"SÍ")</f>
        <v>1</v>
      </c>
      <c r="AA196" s="3" t="n">
        <f aca="false">(3*(V196="SÍ")+2*(W196="SÍ")+2*(X196="SÍ")+(Y196="SÍ"))*IF(LEFT(D196,1)="A",3,IF(OR(LEFT(D196,1)="B",D196="SIN HIST"),2,1))</f>
        <v>2</v>
      </c>
      <c r="AB196" s="3" t="str">
        <f aca="false">IF(AA196&gt;=9,"1-ALTA",IF(AA196&gt;=4,"2-MEDIA",IF(AA196&gt;0,"3-BAJA","")))</f>
        <v>3-BAJA</v>
      </c>
      <c r="AC196" s="3" t="str">
        <f aca="false">IF(E196="BAJO SS","Stock + XLIB bajo el SS: riesgo real de quiebre, adelantar producción. ","")&amp;IF(E196="BAJO SS (XLIB CUBRE)","Disponible bajo el SS; depende de liberar "&amp;TEXT(J196,"#,##0")&amp;" kg"&amp;IF(ISNUMBER(K196)," el "&amp;TEXT(K196,"dd-mm"),"")&amp;". ","")&amp;IF(W196="SÍ","Stock parece sano pero "&amp;TEXT(L196,"#,##0")&amp;" kg no pasan filtro "&amp;Stock_Seguridad!O196&amp;": sin ellos queda bajo el SS para esa cadena. ","")&amp;IF(E196="SOBRE MAX VENDIBLE","Sobrestock vs vida útil: frenar producción/activar venta. ","")&amp;IF(N(N196)&gt;=Parametros!$B$17,TEXT(N196,"#,##0")&amp;" kg ya no los acepta ninguna cadena: venta intermedia/liquidación. ","")&amp;IF(N(M196)&gt;=Parametros!$B$17,TEXT(M196,"#,##0")&amp;" kg a punto de salir del filtro: despachar primero (FEFO). ","")&amp;IF(Y196="SÍ","Pedidos "&amp;IF(N(U196)&gt;0,"sobre","bajo")&amp;" FCST "&amp;TEXT(ABS(N(U196)),"0%")&amp;": revisar forecast con KAM.","")</f>
        <v>Pedidos bajo FCST 26%: revisar forecast con KAM.</v>
      </c>
    </row>
    <row r="197" customFormat="false" ht="15" hidden="false" customHeight="false" outlineLevel="0" collapsed="false">
      <c r="A197" s="18" t="n">
        <f aca="false">Stock_Seguridad!A197</f>
        <v>30000328</v>
      </c>
      <c r="B197" s="18" t="str">
        <f aca="false">Stock_Seguridad!B197</f>
        <v>LECHE LONCO S/LACTOSA CHOCO 12X1LT</v>
      </c>
      <c r="C197" s="18" t="str">
        <f aca="false">Stock_Seguridad!C197</f>
        <v>LECHES LIQUIDAS</v>
      </c>
      <c r="D197" s="18" t="str">
        <f aca="false">Stock_Seguridad!F197</f>
        <v>BX</v>
      </c>
      <c r="E197" s="19" t="str">
        <f aca="false">Stock_Seguridad!X197</f>
        <v>OK</v>
      </c>
      <c r="F197" s="20" t="n">
        <f aca="false">Stock_Seguridad!W197</f>
        <v>2.31203284211904</v>
      </c>
      <c r="G197" s="21" t="n">
        <f aca="false">Stock_Seguridad!T197</f>
        <v>14136</v>
      </c>
      <c r="H197" s="21" t="n">
        <f aca="false">Stock_Seguridad!R197</f>
        <v>3414.00363426534</v>
      </c>
      <c r="I197" s="21" t="n">
        <f aca="false">Stock_Seguridad!S197</f>
        <v>9528.10363426534</v>
      </c>
      <c r="J197" s="21" t="n">
        <f aca="false">Stock_Seguridad!U197</f>
        <v>0</v>
      </c>
      <c r="K197" s="22"/>
      <c r="L197" s="23" t="n">
        <v>2016</v>
      </c>
      <c r="M197" s="23" t="n">
        <v>0</v>
      </c>
      <c r="N197" s="23" t="n">
        <v>228</v>
      </c>
      <c r="O197" s="24" t="n">
        <v>0.18196261682243</v>
      </c>
      <c r="P197" s="24" t="n">
        <f aca="false">IF(ISNUMBER(Stock_Seguridad!N197),Stock_Seguridad!N197,"")</f>
        <v>0.259259259259259</v>
      </c>
      <c r="Q197" s="24" t="n">
        <f aca="false">IF(AND(ISNUMBER(O197),ISNUMBER(P197)),P197-O197,"")</f>
        <v>0.0772966424368294</v>
      </c>
      <c r="R197" s="23" t="n">
        <f aca="false">MAX(0,G197-N(L197))</f>
        <v>12120</v>
      </c>
      <c r="S197" s="23" t="n">
        <f aca="false">SUMIFS(Cadenas_vs_FCST!$D$17:$D$2437,Cadenas_vs_FCST!$A$17:$A$2437,A197)</f>
        <v>21840</v>
      </c>
      <c r="T197" s="23" t="n">
        <f aca="false">SUMIFS(Cadenas_vs_FCST!$E$17:$E$2437,Cadenas_vs_FCST!$A$17:$A$2437,A197)</f>
        <v>26225.3711433318</v>
      </c>
      <c r="U197" s="24" t="n">
        <f aca="false">IF(T197&gt;0,S197/T197-1,"")</f>
        <v>-0.16721864942784</v>
      </c>
      <c r="V197" s="3" t="str">
        <f aca="false">IF(OR(E197="BAJO SS",E197="BAJO SS (XLIB CUBRE)"),"SÍ","")</f>
        <v/>
      </c>
      <c r="W197" s="3" t="str">
        <f aca="false">IF(AND(V197="",N(L197)&gt;=Parametros!$B$17,G197&gt;=H197,R197&lt;H197),"SÍ","")</f>
        <v/>
      </c>
      <c r="X197" s="3" t="str">
        <f aca="false">IF(OR(E197="SOBRE MAX VENDIBLE",N(N197)&gt;=Parametros!$B$17,N(M197)&gt;=Parametros!$B$17),"SÍ","")</f>
        <v/>
      </c>
      <c r="Y197" s="3" t="str">
        <f aca="false">IF(AND(ISNUMBER(U197),MAX(S197,T197)&gt;=Parametros!$B$15,ABS(N(U197))&gt;Parametros!$B$14),"SÍ","")</f>
        <v/>
      </c>
      <c r="Z197" s="3" t="n">
        <f aca="false">COUNTIF(V197:Y197,"SÍ")</f>
        <v>0</v>
      </c>
      <c r="AA197" s="3" t="n">
        <f aca="false">(3*(V197="SÍ")+2*(W197="SÍ")+2*(X197="SÍ")+(Y197="SÍ"))*IF(LEFT(D197,1)="A",3,IF(OR(LEFT(D197,1)="B",D197="SIN HIST"),2,1))</f>
        <v>0</v>
      </c>
      <c r="AB197" s="3" t="str">
        <f aca="false">IF(AA197&gt;=9,"1-ALTA",IF(AA197&gt;=4,"2-MEDIA",IF(AA197&gt;0,"3-BAJA","")))</f>
        <v/>
      </c>
      <c r="AC197" s="3" t="str">
        <f aca="false">IF(E197="BAJO SS","Stock + XLIB bajo el SS: riesgo real de quiebre, adelantar producción. ","")&amp;IF(E197="BAJO SS (XLIB CUBRE)","Disponible bajo el SS; depende de liberar "&amp;TEXT(J197,"#,##0")&amp;" kg"&amp;IF(ISNUMBER(K197)," el "&amp;TEXT(K197,"dd-mm"),"")&amp;". ","")&amp;IF(W197="SÍ","Stock parece sano pero "&amp;TEXT(L197,"#,##0")&amp;" kg no pasan filtro "&amp;Stock_Seguridad!O197&amp;": sin ellos queda bajo el SS para esa cadena. ","")&amp;IF(E197="SOBRE MAX VENDIBLE","Sobrestock vs vida útil: frenar producción/activar venta. ","")&amp;IF(N(N197)&gt;=Parametros!$B$17,TEXT(N197,"#,##0")&amp;" kg ya no los acepta ninguna cadena: venta intermedia/liquidación. ","")&amp;IF(N(M197)&gt;=Parametros!$B$17,TEXT(M197,"#,##0")&amp;" kg a punto de salir del filtro: despachar primero (FEFO). ","")&amp;IF(Y197="SÍ","Pedidos "&amp;IF(N(U197)&gt;0,"sobre","bajo")&amp;" FCST "&amp;TEXT(ABS(N(U197)),"0%")&amp;": revisar forecast con KAM.","")</f>
        <v/>
      </c>
    </row>
    <row r="198" customFormat="false" ht="15" hidden="false" customHeight="false" outlineLevel="0" collapsed="false">
      <c r="A198" s="18" t="n">
        <f aca="false">Stock_Seguridad!A198</f>
        <v>30001482</v>
      </c>
      <c r="B198" s="18" t="str">
        <f aca="false">Stock_Seguridad!B198</f>
        <v>POUCH WATT'S MANZANA 36X90GR</v>
      </c>
      <c r="C198" s="18" t="str">
        <f aca="false">Stock_Seguridad!C198</f>
        <v>COLACIONES EN CONSERVA</v>
      </c>
      <c r="D198" s="18" t="str">
        <f aca="false">Stock_Seguridad!F198</f>
        <v>CZ</v>
      </c>
      <c r="E198" s="19" t="str">
        <f aca="false">Stock_Seguridad!X198</f>
        <v>OK</v>
      </c>
      <c r="F198" s="20" t="n">
        <f aca="false">Stock_Seguridad!W198</f>
        <v>2.36946184370183</v>
      </c>
      <c r="G198" s="21" t="n">
        <f aca="false">Stock_Seguridad!T198</f>
        <v>14450.4</v>
      </c>
      <c r="H198" s="21" t="n">
        <f aca="false">Stock_Seguridad!R198</f>
        <v>1734.66633901658</v>
      </c>
      <c r="I198" s="21" t="n">
        <f aca="false">Stock_Seguridad!S198</f>
        <v>7833.26633901658</v>
      </c>
      <c r="J198" s="21" t="n">
        <f aca="false">Stock_Seguridad!U198</f>
        <v>0</v>
      </c>
      <c r="K198" s="22"/>
      <c r="L198" s="23" t="n">
        <v>680.4</v>
      </c>
      <c r="M198" s="23" t="n">
        <v>0</v>
      </c>
      <c r="N198" s="23" t="n">
        <v>0</v>
      </c>
      <c r="O198" s="24" t="n">
        <v>0.0618053057553957</v>
      </c>
      <c r="P198" s="24" t="n">
        <f aca="false">IF(ISNUMBER(Stock_Seguridad!N198),Stock_Seguridad!N198,"")</f>
        <v>0.194520547945206</v>
      </c>
      <c r="Q198" s="24" t="n">
        <f aca="false">IF(AND(ISNUMBER(O198),ISNUMBER(P198)),P198-O198,"")</f>
        <v>0.13271524218981</v>
      </c>
      <c r="R198" s="23" t="n">
        <f aca="false">MAX(0,G198-N(L198))</f>
        <v>13770</v>
      </c>
      <c r="S198" s="23" t="n">
        <f aca="false">SUMIFS(Cadenas_vs_FCST!$D$17:$D$2437,Cadenas_vs_FCST!$A$17:$A$2437,A198)</f>
        <v>165.24</v>
      </c>
      <c r="T198" s="23" t="n">
        <f aca="false">SUMIFS(Cadenas_vs_FCST!$E$17:$E$2437,Cadenas_vs_FCST!$A$17:$A$2437,A198)</f>
        <v>1750</v>
      </c>
      <c r="U198" s="24" t="n">
        <f aca="false">IF(T198&gt;0,S198/T198-1,"")</f>
        <v>-0.905577142857143</v>
      </c>
      <c r="V198" s="3" t="str">
        <f aca="false">IF(OR(E198="BAJO SS",E198="BAJO SS (XLIB CUBRE)"),"SÍ","")</f>
        <v/>
      </c>
      <c r="W198" s="3" t="str">
        <f aca="false">IF(AND(V198="",N(L198)&gt;=Parametros!$B$17,G198&gt;=H198,R198&lt;H198),"SÍ","")</f>
        <v/>
      </c>
      <c r="X198" s="3" t="str">
        <f aca="false">IF(OR(E198="SOBRE MAX VENDIBLE",N(N198)&gt;=Parametros!$B$17,N(M198)&gt;=Parametros!$B$17),"SÍ","")</f>
        <v/>
      </c>
      <c r="Y198" s="3" t="str">
        <f aca="false">IF(AND(ISNUMBER(U198),MAX(S198,T198)&gt;=Parametros!$B$15,ABS(N(U198))&gt;Parametros!$B$14),"SÍ","")</f>
        <v/>
      </c>
      <c r="Z198" s="3" t="n">
        <f aca="false">COUNTIF(V198:Y198,"SÍ")</f>
        <v>0</v>
      </c>
      <c r="AA198" s="3" t="n">
        <f aca="false">(3*(V198="SÍ")+2*(W198="SÍ")+2*(X198="SÍ")+(Y198="SÍ"))*IF(LEFT(D198,1)="A",3,IF(OR(LEFT(D198,1)="B",D198="SIN HIST"),2,1))</f>
        <v>0</v>
      </c>
      <c r="AB198" s="3" t="str">
        <f aca="false">IF(AA198&gt;=9,"1-ALTA",IF(AA198&gt;=4,"2-MEDIA",IF(AA198&gt;0,"3-BAJA","")))</f>
        <v/>
      </c>
      <c r="AC198" s="3" t="str">
        <f aca="false">IF(E198="BAJO SS","Stock + XLIB bajo el SS: riesgo real de quiebre, adelantar producción. ","")&amp;IF(E198="BAJO SS (XLIB CUBRE)","Disponible bajo el SS; depende de liberar "&amp;TEXT(J198,"#,##0")&amp;" kg"&amp;IF(ISNUMBER(K198)," el "&amp;TEXT(K198,"dd-mm"),"")&amp;". ","")&amp;IF(W198="SÍ","Stock parece sano pero "&amp;TEXT(L198,"#,##0")&amp;" kg no pasan filtro "&amp;Stock_Seguridad!O198&amp;": sin ellos queda bajo el SS para esa cadena. ","")&amp;IF(E198="SOBRE MAX VENDIBLE","Sobrestock vs vida útil: frenar producción/activar venta. ","")&amp;IF(N(N198)&gt;=Parametros!$B$17,TEXT(N198,"#,##0")&amp;" kg ya no los acepta ninguna cadena: venta intermedia/liquidación. ","")&amp;IF(N(M198)&gt;=Parametros!$B$17,TEXT(M198,"#,##0")&amp;" kg a punto de salir del filtro: despachar primero (FEFO). ","")&amp;IF(Y198="SÍ","Pedidos "&amp;IF(N(U198)&gt;0,"sobre","bajo")&amp;" FCST "&amp;TEXT(ABS(N(U198)),"0%")&amp;": revisar forecast con KAM.","")</f>
        <v/>
      </c>
    </row>
    <row r="199" customFormat="false" ht="15" hidden="false" customHeight="false" outlineLevel="0" collapsed="false">
      <c r="A199" s="18" t="n">
        <f aca="false">Stock_Seguridad!A199</f>
        <v>30001710</v>
      </c>
      <c r="B199" s="18" t="str">
        <f aca="false">Stock_Seguridad!B199</f>
        <v>YOGURT LCO S/LACT TZO DZNO POTE 24X140G</v>
      </c>
      <c r="C199" s="18" t="str">
        <f aca="false">Stock_Seguridad!C199</f>
        <v>YOGURT</v>
      </c>
      <c r="D199" s="18" t="str">
        <f aca="false">Stock_Seguridad!F199</f>
        <v>AX</v>
      </c>
      <c r="E199" s="19" t="str">
        <f aca="false">Stock_Seguridad!X199</f>
        <v>BAJO P.REORDEN</v>
      </c>
      <c r="F199" s="20" t="n">
        <f aca="false">Stock_Seguridad!W199</f>
        <v>0.750411753079913</v>
      </c>
      <c r="G199" s="21" t="n">
        <f aca="false">Stock_Seguridad!T199</f>
        <v>4556.2</v>
      </c>
      <c r="H199" s="21" t="n">
        <f aca="false">Stock_Seguridad!R199</f>
        <v>4465.8274552445</v>
      </c>
      <c r="I199" s="21" t="n">
        <f aca="false">Stock_Seguridad!S199</f>
        <v>10537.4274552445</v>
      </c>
      <c r="J199" s="21" t="n">
        <f aca="false">Stock_Seguridad!U199</f>
        <v>0</v>
      </c>
      <c r="K199" s="22"/>
      <c r="L199" s="23" t="n">
        <v>67.2</v>
      </c>
      <c r="M199" s="23" t="n">
        <v>0</v>
      </c>
      <c r="N199" s="23" t="n">
        <v>67.2</v>
      </c>
      <c r="O199" s="24" t="n">
        <v>0.126493699036323</v>
      </c>
      <c r="P199" s="24" t="n">
        <f aca="false">IF(ISNUMBER(Stock_Seguridad!N199),Stock_Seguridad!N199,"")</f>
        <v>0.295774647887324</v>
      </c>
      <c r="Q199" s="24" t="n">
        <f aca="false">IF(AND(ISNUMBER(O199),ISNUMBER(P199)),P199-O199,"")</f>
        <v>0.169280948851001</v>
      </c>
      <c r="R199" s="23" t="n">
        <f aca="false">MAX(0,G199-N(L199))</f>
        <v>4489</v>
      </c>
      <c r="S199" s="23" t="n">
        <f aca="false">SUMIFS(Cadenas_vs_FCST!$D$17:$D$2437,Cadenas_vs_FCST!$A$17:$A$2437,A199)</f>
        <v>23150.4</v>
      </c>
      <c r="T199" s="23" t="n">
        <f aca="false">SUMIFS(Cadenas_vs_FCST!$E$17:$E$2437,Cadenas_vs_FCST!$A$17:$A$2437,A199)</f>
        <v>24467.8153712827</v>
      </c>
      <c r="U199" s="24" t="n">
        <f aca="false">IF(T199&gt;0,S199/T199-1,"")</f>
        <v>-0.0538427869955631</v>
      </c>
      <c r="V199" s="3" t="str">
        <f aca="false">IF(OR(E199="BAJO SS",E199="BAJO SS (XLIB CUBRE)"),"SÍ","")</f>
        <v/>
      </c>
      <c r="W199" s="3" t="str">
        <f aca="false">IF(AND(V199="",N(L199)&gt;=Parametros!$B$17,G199&gt;=H199,R199&lt;H199),"SÍ","")</f>
        <v/>
      </c>
      <c r="X199" s="3" t="str">
        <f aca="false">IF(OR(E199="SOBRE MAX VENDIBLE",N(N199)&gt;=Parametros!$B$17,N(M199)&gt;=Parametros!$B$17),"SÍ","")</f>
        <v/>
      </c>
      <c r="Y199" s="3" t="str">
        <f aca="false">IF(AND(ISNUMBER(U199),MAX(S199,T199)&gt;=Parametros!$B$15,ABS(N(U199))&gt;Parametros!$B$14),"SÍ","")</f>
        <v/>
      </c>
      <c r="Z199" s="3" t="n">
        <f aca="false">COUNTIF(V199:Y199,"SÍ")</f>
        <v>0</v>
      </c>
      <c r="AA199" s="3" t="n">
        <f aca="false">(3*(V199="SÍ")+2*(W199="SÍ")+2*(X199="SÍ")+(Y199="SÍ"))*IF(LEFT(D199,1)="A",3,IF(OR(LEFT(D199,1)="B",D199="SIN HIST"),2,1))</f>
        <v>0</v>
      </c>
      <c r="AB199" s="3" t="str">
        <f aca="false">IF(AA199&gt;=9,"1-ALTA",IF(AA199&gt;=4,"2-MEDIA",IF(AA199&gt;0,"3-BAJA","")))</f>
        <v/>
      </c>
      <c r="AC199" s="3" t="str">
        <f aca="false">IF(E199="BAJO SS","Stock + XLIB bajo el SS: riesgo real de quiebre, adelantar producción. ","")&amp;IF(E199="BAJO SS (XLIB CUBRE)","Disponible bajo el SS; depende de liberar "&amp;TEXT(J199,"#,##0")&amp;" kg"&amp;IF(ISNUMBER(K199)," el "&amp;TEXT(K199,"dd-mm"),"")&amp;". ","")&amp;IF(W199="SÍ","Stock parece sano pero "&amp;TEXT(L199,"#,##0")&amp;" kg no pasan filtro "&amp;Stock_Seguridad!O199&amp;": sin ellos queda bajo el SS para esa cadena. ","")&amp;IF(E199="SOBRE MAX VENDIBLE","Sobrestock vs vida útil: frenar producción/activar venta. ","")&amp;IF(N(N199)&gt;=Parametros!$B$17,TEXT(N199,"#,##0")&amp;" kg ya no los acepta ninguna cadena: venta intermedia/liquidación. ","")&amp;IF(N(M199)&gt;=Parametros!$B$17,TEXT(M199,"#,##0")&amp;" kg a punto de salir del filtro: despachar primero (FEFO). ","")&amp;IF(Y199="SÍ","Pedidos "&amp;IF(N(U199)&gt;0,"sobre","bajo")&amp;" FCST "&amp;TEXT(ABS(N(U199)),"0%")&amp;": revisar forecast con KAM.","")</f>
        <v/>
      </c>
    </row>
    <row r="200" customFormat="false" ht="15" hidden="false" customHeight="false" outlineLevel="0" collapsed="false">
      <c r="A200" s="18" t="n">
        <f aca="false">Stock_Seguridad!A200</f>
        <v>30000630</v>
      </c>
      <c r="B200" s="18" t="str">
        <f aca="false">Stock_Seguridad!B200</f>
        <v>CHOCLO DULCE WASIL 16X340GR</v>
      </c>
      <c r="C200" s="18" t="str">
        <f aca="false">Stock_Seguridad!C200</f>
        <v>CONSERVAS Y PLATOS LISTOS</v>
      </c>
      <c r="D200" s="18" t="str">
        <f aca="false">Stock_Seguridad!F200</f>
        <v>BX</v>
      </c>
      <c r="E200" s="19" t="str">
        <f aca="false">Stock_Seguridad!X200</f>
        <v>OK</v>
      </c>
      <c r="F200" s="20" t="n">
        <f aca="false">Stock_Seguridad!W200</f>
        <v>18.8027147823208</v>
      </c>
      <c r="G200" s="21" t="n">
        <f aca="false">Stock_Seguridad!T200</f>
        <v>113587.2</v>
      </c>
      <c r="H200" s="21" t="n">
        <f aca="false">Stock_Seguridad!R200</f>
        <v>2702.73183705637</v>
      </c>
      <c r="I200" s="21" t="n">
        <f aca="false">Stock_Seguridad!S200</f>
        <v>8743.73183705636</v>
      </c>
      <c r="J200" s="21" t="n">
        <f aca="false">Stock_Seguridad!U200</f>
        <v>0</v>
      </c>
      <c r="K200" s="22"/>
      <c r="L200" s="23" t="n">
        <v>0</v>
      </c>
      <c r="M200" s="23" t="n">
        <v>0</v>
      </c>
      <c r="N200" s="23" t="n">
        <v>0</v>
      </c>
      <c r="O200" s="24" t="n">
        <v>0.088570196867366</v>
      </c>
      <c r="P200" s="24" t="n">
        <f aca="false">IF(ISNUMBER(Stock_Seguridad!N200),Stock_Seguridad!N200,"")</f>
        <v>0.328767123287671</v>
      </c>
      <c r="Q200" s="24" t="n">
        <f aca="false">IF(AND(ISNUMBER(O200),ISNUMBER(P200)),P200-O200,"")</f>
        <v>0.240196926420305</v>
      </c>
      <c r="R200" s="23" t="n">
        <f aca="false">MAX(0,G200-N(L200))</f>
        <v>113587.2</v>
      </c>
      <c r="S200" s="23" t="n">
        <f aca="false">SUMIFS(Cadenas_vs_FCST!$D$17:$D$2437,Cadenas_vs_FCST!$A$17:$A$2437,A200)</f>
        <v>24708.48</v>
      </c>
      <c r="T200" s="23" t="n">
        <f aca="false">SUMIFS(Cadenas_vs_FCST!$E$17:$E$2437,Cadenas_vs_FCST!$A$17:$A$2437,A200)</f>
        <v>22300</v>
      </c>
      <c r="U200" s="24" t="n">
        <f aca="false">IF(T200&gt;0,S200/T200-1,"")</f>
        <v>0.108003587443946</v>
      </c>
      <c r="V200" s="3" t="str">
        <f aca="false">IF(OR(E200="BAJO SS",E200="BAJO SS (XLIB CUBRE)"),"SÍ","")</f>
        <v/>
      </c>
      <c r="W200" s="3" t="str">
        <f aca="false">IF(AND(V200="",N(L200)&gt;=Parametros!$B$17,G200&gt;=H200,R200&lt;H200),"SÍ","")</f>
        <v/>
      </c>
      <c r="X200" s="3" t="str">
        <f aca="false">IF(OR(E200="SOBRE MAX VENDIBLE",N(N200)&gt;=Parametros!$B$17,N(M200)&gt;=Parametros!$B$17),"SÍ","")</f>
        <v/>
      </c>
      <c r="Y200" s="3" t="str">
        <f aca="false">IF(AND(ISNUMBER(U200),MAX(S200,T200)&gt;=Parametros!$B$15,ABS(N(U200))&gt;Parametros!$B$14),"SÍ","")</f>
        <v/>
      </c>
      <c r="Z200" s="3" t="n">
        <f aca="false">COUNTIF(V200:Y200,"SÍ")</f>
        <v>0</v>
      </c>
      <c r="AA200" s="3" t="n">
        <f aca="false">(3*(V200="SÍ")+2*(W200="SÍ")+2*(X200="SÍ")+(Y200="SÍ"))*IF(LEFT(D200,1)="A",3,IF(OR(LEFT(D200,1)="B",D200="SIN HIST"),2,1))</f>
        <v>0</v>
      </c>
      <c r="AB200" s="3" t="str">
        <f aca="false">IF(AA200&gt;=9,"1-ALTA",IF(AA200&gt;=4,"2-MEDIA",IF(AA200&gt;0,"3-BAJA","")))</f>
        <v/>
      </c>
      <c r="AC200" s="3" t="str">
        <f aca="false">IF(E200="BAJO SS","Stock + XLIB bajo el SS: riesgo real de quiebre, adelantar producción. ","")&amp;IF(E200="BAJO SS (XLIB CUBRE)","Disponible bajo el SS; depende de liberar "&amp;TEXT(J200,"#,##0")&amp;" kg"&amp;IF(ISNUMBER(K200)," el "&amp;TEXT(K200,"dd-mm"),"")&amp;". ","")&amp;IF(W200="SÍ","Stock parece sano pero "&amp;TEXT(L200,"#,##0")&amp;" kg no pasan filtro "&amp;Stock_Seguridad!O200&amp;": sin ellos queda bajo el SS para esa cadena. ","")&amp;IF(E200="SOBRE MAX VENDIBLE","Sobrestock vs vida útil: frenar producción/activar venta. ","")&amp;IF(N(N200)&gt;=Parametros!$B$17,TEXT(N200,"#,##0")&amp;" kg ya no los acepta ninguna cadena: venta intermedia/liquidación. ","")&amp;IF(N(M200)&gt;=Parametros!$B$17,TEXT(M200,"#,##0")&amp;" kg a punto de salir del filtro: despachar primero (FEFO). ","")&amp;IF(Y200="SÍ","Pedidos "&amp;IF(N(U200)&gt;0,"sobre","bajo")&amp;" FCST "&amp;TEXT(ABS(N(U200)),"0%")&amp;": revisar forecast con KAM.","")</f>
        <v/>
      </c>
    </row>
    <row r="201" customFormat="false" ht="15" hidden="false" customHeight="false" outlineLevel="0" collapsed="false">
      <c r="A201" s="18" t="n">
        <f aca="false">Stock_Seguridad!A201</f>
        <v>30001487</v>
      </c>
      <c r="B201" s="18" t="str">
        <f aca="false">Stock_Seguridad!B201</f>
        <v>JUGO 100% WATTS MZNA LV 30X200ML</v>
      </c>
      <c r="C201" s="18" t="str">
        <f aca="false">Stock_Seguridad!C201</f>
        <v>JUGOS Y NECTARES</v>
      </c>
      <c r="D201" s="18" t="str">
        <f aca="false">Stock_Seguridad!F201</f>
        <v>BX</v>
      </c>
      <c r="E201" s="19" t="str">
        <f aca="false">Stock_Seguridad!X201</f>
        <v>OK</v>
      </c>
      <c r="F201" s="20" t="n">
        <f aca="false">Stock_Seguridad!W201</f>
        <v>4.0527788354883</v>
      </c>
      <c r="G201" s="21" t="n">
        <f aca="false">Stock_Seguridad!T201</f>
        <v>11316</v>
      </c>
      <c r="H201" s="21" t="n">
        <f aca="false">Stock_Seguridad!R201</f>
        <v>3645.71871546868</v>
      </c>
      <c r="I201" s="21" t="n">
        <f aca="false">Stock_Seguridad!S201</f>
        <v>9686.01871546868</v>
      </c>
      <c r="J201" s="21" t="n">
        <f aca="false">Stock_Seguridad!U201</f>
        <v>13164</v>
      </c>
      <c r="K201" s="22" t="n">
        <v>46318</v>
      </c>
      <c r="L201" s="23" t="n">
        <v>30</v>
      </c>
      <c r="M201" s="23" t="n">
        <v>246</v>
      </c>
      <c r="N201" s="23" t="n">
        <v>0</v>
      </c>
      <c r="O201" s="24" t="n">
        <v>0.0503341523341523</v>
      </c>
      <c r="P201" s="24" t="n">
        <f aca="false">IF(ISNUMBER(Stock_Seguridad!N201),Stock_Seguridad!N201,"")</f>
        <v>0.311111111111111</v>
      </c>
      <c r="Q201" s="24" t="n">
        <f aca="false">IF(AND(ISNUMBER(O201),ISNUMBER(P201)),P201-O201,"")</f>
        <v>0.260776958776959</v>
      </c>
      <c r="R201" s="23" t="n">
        <f aca="false">MAX(0,G201-N(L201))</f>
        <v>11286</v>
      </c>
      <c r="S201" s="23" t="n">
        <f aca="false">SUMIFS(Cadenas_vs_FCST!$D$17:$D$2437,Cadenas_vs_FCST!$A$17:$A$2437,A201)</f>
        <v>26442</v>
      </c>
      <c r="T201" s="23" t="n">
        <f aca="false">SUMIFS(Cadenas_vs_FCST!$E$17:$E$2437,Cadenas_vs_FCST!$A$17:$A$2437,A201)</f>
        <v>23999.773722626</v>
      </c>
      <c r="U201" s="24" t="n">
        <f aca="false">IF(T201&gt;0,S201/T201-1,"")</f>
        <v>0.101760387643637</v>
      </c>
      <c r="V201" s="3" t="str">
        <f aca="false">IF(OR(E201="BAJO SS",E201="BAJO SS (XLIB CUBRE)"),"SÍ","")</f>
        <v/>
      </c>
      <c r="W201" s="3" t="str">
        <f aca="false">IF(AND(V201="",N(L201)&gt;=Parametros!$B$17,G201&gt;=H201,R201&lt;H201),"SÍ","")</f>
        <v/>
      </c>
      <c r="X201" s="3" t="str">
        <f aca="false">IF(OR(E201="SOBRE MAX VENDIBLE",N(N201)&gt;=Parametros!$B$17,N(M201)&gt;=Parametros!$B$17),"SÍ","")</f>
        <v/>
      </c>
      <c r="Y201" s="3" t="str">
        <f aca="false">IF(AND(ISNUMBER(U201),MAX(S201,T201)&gt;=Parametros!$B$15,ABS(N(U201))&gt;Parametros!$B$14),"SÍ","")</f>
        <v/>
      </c>
      <c r="Z201" s="3" t="n">
        <f aca="false">COUNTIF(V201:Y201,"SÍ")</f>
        <v>0</v>
      </c>
      <c r="AA201" s="3" t="n">
        <f aca="false">(3*(V201="SÍ")+2*(W201="SÍ")+2*(X201="SÍ")+(Y201="SÍ"))*IF(LEFT(D201,1)="A",3,IF(OR(LEFT(D201,1)="B",D201="SIN HIST"),2,1))</f>
        <v>0</v>
      </c>
      <c r="AB201" s="3" t="str">
        <f aca="false">IF(AA201&gt;=9,"1-ALTA",IF(AA201&gt;=4,"2-MEDIA",IF(AA201&gt;0,"3-BAJA","")))</f>
        <v/>
      </c>
      <c r="AC201" s="3" t="str">
        <f aca="false">IF(E201="BAJO SS","Stock + XLIB bajo el SS: riesgo real de quiebre, adelantar producción. ","")&amp;IF(E201="BAJO SS (XLIB CUBRE)","Disponible bajo el SS; depende de liberar "&amp;TEXT(J201,"#,##0")&amp;" kg"&amp;IF(ISNUMBER(K201)," el "&amp;TEXT(K201,"dd-mm"),"")&amp;". ","")&amp;IF(W201="SÍ","Stock parece sano pero "&amp;TEXT(L201,"#,##0")&amp;" kg no pasan filtro "&amp;Stock_Seguridad!O201&amp;": sin ellos queda bajo el SS para esa cadena. ","")&amp;IF(E201="SOBRE MAX VENDIBLE","Sobrestock vs vida útil: frenar producción/activar venta. ","")&amp;IF(N(N201)&gt;=Parametros!$B$17,TEXT(N201,"#,##0")&amp;" kg ya no los acepta ninguna cadena: venta intermedia/liquidación. ","")&amp;IF(N(M201)&gt;=Parametros!$B$17,TEXT(M201,"#,##0")&amp;" kg a punto de salir del filtro: despachar primero (FEFO). ","")&amp;IF(Y201="SÍ","Pedidos "&amp;IF(N(U201)&gt;0,"sobre","bajo")&amp;" FCST "&amp;TEXT(ABS(N(U201)),"0%")&amp;": revisar forecast con KAM.","")</f>
        <v/>
      </c>
    </row>
    <row r="202" customFormat="false" ht="15" hidden="false" customHeight="false" outlineLevel="0" collapsed="false">
      <c r="A202" s="18" t="n">
        <f aca="false">Stock_Seguridad!A202</f>
        <v>30001093</v>
      </c>
      <c r="B202" s="18" t="str">
        <f aca="false">Stock_Seguridad!B202</f>
        <v>YOGURT GRIEGO OIKOS CF PPYA 48X150GR</v>
      </c>
      <c r="C202" s="18" t="str">
        <f aca="false">Stock_Seguridad!C202</f>
        <v>YOGURT</v>
      </c>
      <c r="D202" s="18" t="str">
        <f aca="false">Stock_Seguridad!F202</f>
        <v>AX</v>
      </c>
      <c r="E202" s="19" t="str">
        <f aca="false">Stock_Seguridad!X202</f>
        <v>OK</v>
      </c>
      <c r="F202" s="20" t="n">
        <f aca="false">Stock_Seguridad!W202</f>
        <v>1.52368957459854</v>
      </c>
      <c r="G202" s="21" t="n">
        <f aca="false">Stock_Seguridad!T202</f>
        <v>9194.4</v>
      </c>
      <c r="H202" s="21" t="n">
        <f aca="false">Stock_Seguridad!R202</f>
        <v>2934.52841231083</v>
      </c>
      <c r="I202" s="21" t="n">
        <f aca="false">Stock_Seguridad!S202</f>
        <v>8968.82841231083</v>
      </c>
      <c r="J202" s="21" t="n">
        <f aca="false">Stock_Seguridad!U202</f>
        <v>0</v>
      </c>
      <c r="K202" s="22"/>
      <c r="L202" s="23" t="n">
        <v>36</v>
      </c>
      <c r="M202" s="23" t="n">
        <v>0</v>
      </c>
      <c r="N202" s="23" t="n">
        <v>36</v>
      </c>
      <c r="O202" s="24" t="n">
        <v>0.0737322834645669</v>
      </c>
      <c r="P202" s="24" t="n">
        <f aca="false">IF(ISNUMBER(Stock_Seguridad!N202),Stock_Seguridad!N202,"")</f>
        <v>0.298245614035088</v>
      </c>
      <c r="Q202" s="24" t="n">
        <f aca="false">IF(AND(ISNUMBER(O202),ISNUMBER(P202)),P202-O202,"")</f>
        <v>0.224513330570521</v>
      </c>
      <c r="R202" s="23" t="n">
        <f aca="false">MAX(0,G202-N(L202))</f>
        <v>9158.4</v>
      </c>
      <c r="S202" s="23" t="n">
        <f aca="false">SUMIFS(Cadenas_vs_FCST!$D$17:$D$2437,Cadenas_vs_FCST!$A$17:$A$2437,A202)</f>
        <v>26193.6</v>
      </c>
      <c r="T202" s="23" t="n">
        <f aca="false">SUMIFS(Cadenas_vs_FCST!$E$17:$E$2437,Cadenas_vs_FCST!$A$17:$A$2437,A202)</f>
        <v>25478.1906549754</v>
      </c>
      <c r="U202" s="24" t="n">
        <f aca="false">IF(T202&gt;0,S202/T202-1,"")</f>
        <v>0.028079283757338</v>
      </c>
      <c r="V202" s="3" t="str">
        <f aca="false">IF(OR(E202="BAJO SS",E202="BAJO SS (XLIB CUBRE)"),"SÍ","")</f>
        <v/>
      </c>
      <c r="W202" s="3" t="str">
        <f aca="false">IF(AND(V202="",N(L202)&gt;=Parametros!$B$17,G202&gt;=H202,R202&lt;H202),"SÍ","")</f>
        <v/>
      </c>
      <c r="X202" s="3" t="str">
        <f aca="false">IF(OR(E202="SOBRE MAX VENDIBLE",N(N202)&gt;=Parametros!$B$17,N(M202)&gt;=Parametros!$B$17),"SÍ","")</f>
        <v/>
      </c>
      <c r="Y202" s="3" t="str">
        <f aca="false">IF(AND(ISNUMBER(U202),MAX(S202,T202)&gt;=Parametros!$B$15,ABS(N(U202))&gt;Parametros!$B$14),"SÍ","")</f>
        <v/>
      </c>
      <c r="Z202" s="3" t="n">
        <f aca="false">COUNTIF(V202:Y202,"SÍ")</f>
        <v>0</v>
      </c>
      <c r="AA202" s="3" t="n">
        <f aca="false">(3*(V202="SÍ")+2*(W202="SÍ")+2*(X202="SÍ")+(Y202="SÍ"))*IF(LEFT(D202,1)="A",3,IF(OR(LEFT(D202,1)="B",D202="SIN HIST"),2,1))</f>
        <v>0</v>
      </c>
      <c r="AB202" s="3" t="str">
        <f aca="false">IF(AA202&gt;=9,"1-ALTA",IF(AA202&gt;=4,"2-MEDIA",IF(AA202&gt;0,"3-BAJA","")))</f>
        <v/>
      </c>
      <c r="AC202" s="3" t="str">
        <f aca="false">IF(E202="BAJO SS","Stock + XLIB bajo el SS: riesgo real de quiebre, adelantar producción. ","")&amp;IF(E202="BAJO SS (XLIB CUBRE)","Disponible bajo el SS; depende de liberar "&amp;TEXT(J202,"#,##0")&amp;" kg"&amp;IF(ISNUMBER(K202)," el "&amp;TEXT(K202,"dd-mm"),"")&amp;". ","")&amp;IF(W202="SÍ","Stock parece sano pero "&amp;TEXT(L202,"#,##0")&amp;" kg no pasan filtro "&amp;Stock_Seguridad!O202&amp;": sin ellos queda bajo el SS para esa cadena. ","")&amp;IF(E202="SOBRE MAX VENDIBLE","Sobrestock vs vida útil: frenar producción/activar venta. ","")&amp;IF(N(N202)&gt;=Parametros!$B$17,TEXT(N202,"#,##0")&amp;" kg ya no los acepta ninguna cadena: venta intermedia/liquidación. ","")&amp;IF(N(M202)&gt;=Parametros!$B$17,TEXT(M202,"#,##0")&amp;" kg a punto de salir del filtro: despachar primero (FEFO). ","")&amp;IF(Y202="SÍ","Pedidos "&amp;IF(N(U202)&gt;0,"sobre","bajo")&amp;" FCST "&amp;TEXT(ABS(N(U202)),"0%")&amp;": revisar forecast con KAM.","")</f>
        <v/>
      </c>
    </row>
    <row r="203" customFormat="false" ht="15" hidden="false" customHeight="false" outlineLevel="0" collapsed="false">
      <c r="A203" s="18" t="n">
        <f aca="false">Stock_Seguridad!A203</f>
        <v>30002198</v>
      </c>
      <c r="B203" s="18" t="str">
        <f aca="false">Stock_Seguridad!B203</f>
        <v>YOG BALDE LONCO PROTEIN NAT 6X800GR</v>
      </c>
      <c r="C203" s="18" t="str">
        <f aca="false">Stock_Seguridad!C203</f>
        <v>YOGURT</v>
      </c>
      <c r="D203" s="18" t="str">
        <f aca="false">Stock_Seguridad!F203</f>
        <v>BX</v>
      </c>
      <c r="E203" s="19" t="str">
        <f aca="false">Stock_Seguridad!X203</f>
        <v>BAJO SS</v>
      </c>
      <c r="F203" s="20" t="n">
        <f aca="false">Stock_Seguridad!W203</f>
        <v>0.115067390867029</v>
      </c>
      <c r="G203" s="21" t="n">
        <f aca="false">Stock_Seguridad!T203</f>
        <v>686.4</v>
      </c>
      <c r="H203" s="21" t="n">
        <f aca="false">Stock_Seguridad!R203</f>
        <v>2598.0517814824</v>
      </c>
      <c r="I203" s="21" t="n">
        <f aca="false">Stock_Seguridad!S203</f>
        <v>8563.2517814824</v>
      </c>
      <c r="J203" s="21" t="n">
        <f aca="false">Stock_Seguridad!U203</f>
        <v>0</v>
      </c>
      <c r="K203" s="22"/>
      <c r="L203" s="23" t="n">
        <v>177.6</v>
      </c>
      <c r="M203" s="23" t="n">
        <v>508.8</v>
      </c>
      <c r="N203" s="23" t="n">
        <v>19.2</v>
      </c>
      <c r="O203" s="24" t="n">
        <v>0.243356643356643</v>
      </c>
      <c r="P203" s="24" t="n">
        <f aca="false">IF(ISNUMBER(Stock_Seguridad!N203),Stock_Seguridad!N203,"")</f>
        <v>0.238095238095238</v>
      </c>
      <c r="Q203" s="24" t="n">
        <f aca="false">IF(AND(ISNUMBER(O203),ISNUMBER(P203)),P203-O203,"")</f>
        <v>-0.00526140526140528</v>
      </c>
      <c r="R203" s="23" t="n">
        <f aca="false">MAX(0,G203-N(L203))</f>
        <v>508.8</v>
      </c>
      <c r="S203" s="23" t="n">
        <f aca="false">SUMIFS(Cadenas_vs_FCST!$D$17:$D$2437,Cadenas_vs_FCST!$A$17:$A$2437,A203)</f>
        <v>22276.8</v>
      </c>
      <c r="T203" s="23" t="n">
        <f aca="false">SUMIFS(Cadenas_vs_FCST!$E$17:$E$2437,Cadenas_vs_FCST!$A$17:$A$2437,A203)</f>
        <v>23465.6309372092</v>
      </c>
      <c r="U203" s="24" t="n">
        <f aca="false">IF(T203&gt;0,S203/T203-1,"")</f>
        <v>-0.0506626453126428</v>
      </c>
      <c r="V203" s="3" t="str">
        <f aca="false">IF(OR(E203="BAJO SS",E203="BAJO SS (XLIB CUBRE)"),"SÍ","")</f>
        <v>SÍ</v>
      </c>
      <c r="W203" s="3" t="str">
        <f aca="false">IF(AND(V203="",N(L203)&gt;=Parametros!$B$17,G203&gt;=H203,R203&lt;H203),"SÍ","")</f>
        <v/>
      </c>
      <c r="X203" s="3" t="str">
        <f aca="false">IF(OR(E203="SOBRE MAX VENDIBLE",N(N203)&gt;=Parametros!$B$17,N(M203)&gt;=Parametros!$B$17),"SÍ","")</f>
        <v>SÍ</v>
      </c>
      <c r="Y203" s="3" t="str">
        <f aca="false">IF(AND(ISNUMBER(U203),MAX(S203,T203)&gt;=Parametros!$B$15,ABS(N(U203))&gt;Parametros!$B$14),"SÍ","")</f>
        <v/>
      </c>
      <c r="Z203" s="3" t="n">
        <f aca="false">COUNTIF(V203:Y203,"SÍ")</f>
        <v>2</v>
      </c>
      <c r="AA203" s="3" t="n">
        <f aca="false">(3*(V203="SÍ")+2*(W203="SÍ")+2*(X203="SÍ")+(Y203="SÍ"))*IF(LEFT(D203,1)="A",3,IF(OR(LEFT(D203,1)="B",D203="SIN HIST"),2,1))</f>
        <v>10</v>
      </c>
      <c r="AB203" s="3" t="str">
        <f aca="false">IF(AA203&gt;=9,"1-ALTA",IF(AA203&gt;=4,"2-MEDIA",IF(AA203&gt;0,"3-BAJA","")))</f>
        <v>1-ALTA</v>
      </c>
      <c r="AC203" s="3" t="str">
        <f aca="false">IF(E203="BAJO SS","Stock + XLIB bajo el SS: riesgo real de quiebre, adelantar producción. ","")&amp;IF(E203="BAJO SS (XLIB CUBRE)","Disponible bajo el SS; depende de liberar "&amp;TEXT(J203,"#,##0")&amp;" kg"&amp;IF(ISNUMBER(K203)," el "&amp;TEXT(K203,"dd-mm"),"")&amp;". ","")&amp;IF(W203="SÍ","Stock parece sano pero "&amp;TEXT(L203,"#,##0")&amp;" kg no pasan filtro "&amp;Stock_Seguridad!O203&amp;": sin ellos queda bajo el SS para esa cadena. ","")&amp;IF(E203="SOBRE MAX VENDIBLE","Sobrestock vs vida útil: frenar producción/activar venta. ","")&amp;IF(N(N203)&gt;=Parametros!$B$17,TEXT(N203,"#,##0")&amp;" kg ya no los acepta ninguna cadena: venta intermedia/liquidación. ","")&amp;IF(N(M203)&gt;=Parametros!$B$17,TEXT(M203,"#,##0")&amp;" kg a punto de salir del filtro: despachar primero (FEFO). ","")&amp;IF(Y203="SÍ","Pedidos "&amp;IF(N(U203)&gt;0,"sobre","bajo")&amp;" FCST "&amp;TEXT(ABS(N(U203)),"0%")&amp;": revisar forecast con KAM.","")</f>
        <v>Stock + XLIB bajo el SS: riesgo real de quiebre, adelantar producción. 509 kg a punto de salir del filtro: despachar primero (FEFO). </v>
      </c>
    </row>
    <row r="204" customFormat="false" ht="15" hidden="false" customHeight="false" outlineLevel="0" collapsed="false">
      <c r="A204" s="18" t="n">
        <f aca="false">Stock_Seguridad!A204</f>
        <v>30000739</v>
      </c>
      <c r="B204" s="18" t="str">
        <f aca="false">Stock_Seguridad!B204</f>
        <v>ARVEJA IQF 25X200GR</v>
      </c>
      <c r="C204" s="18" t="str">
        <f aca="false">Stock_Seguridad!C204</f>
        <v>FRUTAS Y HORTALIZAS CONGELADAS</v>
      </c>
      <c r="D204" s="18" t="str">
        <f aca="false">Stock_Seguridad!F204</f>
        <v>SIN HIST</v>
      </c>
      <c r="E204" s="19" t="str">
        <f aca="false">Stock_Seguridad!X204</f>
        <v>OK</v>
      </c>
      <c r="F204" s="20" t="n">
        <f aca="false">Stock_Seguridad!W204</f>
        <v>3.63138998119337</v>
      </c>
      <c r="G204" s="21" t="n">
        <f aca="false">Stock_Seguridad!T204</f>
        <v>21240</v>
      </c>
      <c r="H204" s="21" t="n">
        <f aca="false">Stock_Seguridad!R204</f>
        <v>2886.22465921175</v>
      </c>
      <c r="I204" s="21" t="n">
        <f aca="false">Stock_Seguridad!S204</f>
        <v>8735.22465921175</v>
      </c>
      <c r="J204" s="21" t="n">
        <f aca="false">Stock_Seguridad!U204</f>
        <v>0</v>
      </c>
      <c r="K204" s="22"/>
      <c r="L204" s="23" t="n">
        <v>0</v>
      </c>
      <c r="M204" s="23" t="n">
        <v>0</v>
      </c>
      <c r="N204" s="23" t="n">
        <v>0</v>
      </c>
      <c r="O204" s="24" t="n">
        <v>0.0232156308851224</v>
      </c>
      <c r="P204" s="24" t="str">
        <f aca="false">IF(ISNUMBER(Stock_Seguridad!N204),Stock_Seguridad!N204,"")</f>
        <v/>
      </c>
      <c r="Q204" s="24" t="str">
        <f aca="false">IF(AND(ISNUMBER(O204),ISNUMBER(P204)),P204-O204,"")</f>
        <v/>
      </c>
      <c r="R204" s="23" t="n">
        <f aca="false">MAX(0,G204-N(L204))</f>
        <v>21240</v>
      </c>
      <c r="S204" s="23" t="n">
        <f aca="false">SUMIFS(Cadenas_vs_FCST!$D$17:$D$2437,Cadenas_vs_FCST!$A$17:$A$2437,A204)</f>
        <v>0</v>
      </c>
      <c r="T204" s="23" t="n">
        <f aca="false">SUMIFS(Cadenas_vs_FCST!$E$17:$E$2437,Cadenas_vs_FCST!$A$17:$A$2437,A204)</f>
        <v>0</v>
      </c>
      <c r="U204" s="24" t="str">
        <f aca="false">IF(T204&gt;0,S204/T204-1,"")</f>
        <v/>
      </c>
      <c r="V204" s="3" t="str">
        <f aca="false">IF(OR(E204="BAJO SS",E204="BAJO SS (XLIB CUBRE)"),"SÍ","")</f>
        <v/>
      </c>
      <c r="W204" s="3" t="str">
        <f aca="false">IF(AND(V204="",N(L204)&gt;=Parametros!$B$17,G204&gt;=H204,R204&lt;H204),"SÍ","")</f>
        <v/>
      </c>
      <c r="X204" s="3" t="str">
        <f aca="false">IF(OR(E204="SOBRE MAX VENDIBLE",N(N204)&gt;=Parametros!$B$17,N(M204)&gt;=Parametros!$B$17),"SÍ","")</f>
        <v/>
      </c>
      <c r="Y204" s="3" t="str">
        <f aca="false">IF(AND(ISNUMBER(U204),MAX(S204,T204)&gt;=Parametros!$B$15,ABS(N(U204))&gt;Parametros!$B$14),"SÍ","")</f>
        <v/>
      </c>
      <c r="Z204" s="3" t="n">
        <f aca="false">COUNTIF(V204:Y204,"SÍ")</f>
        <v>0</v>
      </c>
      <c r="AA204" s="3" t="n">
        <f aca="false">(3*(V204="SÍ")+2*(W204="SÍ")+2*(X204="SÍ")+(Y204="SÍ"))*IF(LEFT(D204,1)="A",3,IF(OR(LEFT(D204,1)="B",D204="SIN HIST"),2,1))</f>
        <v>0</v>
      </c>
      <c r="AB204" s="3" t="str">
        <f aca="false">IF(AA204&gt;=9,"1-ALTA",IF(AA204&gt;=4,"2-MEDIA",IF(AA204&gt;0,"3-BAJA","")))</f>
        <v/>
      </c>
      <c r="AC204" s="3" t="str">
        <f aca="false">IF(E204="BAJO SS","Stock + XLIB bajo el SS: riesgo real de quiebre, adelantar producción. ","")&amp;IF(E204="BAJO SS (XLIB CUBRE)","Disponible bajo el SS; depende de liberar "&amp;TEXT(J204,"#,##0")&amp;" kg"&amp;IF(ISNUMBER(K204)," el "&amp;TEXT(K204,"dd-mm"),"")&amp;". ","")&amp;IF(W204="SÍ","Stock parece sano pero "&amp;TEXT(L204,"#,##0")&amp;" kg no pasan filtro "&amp;Stock_Seguridad!O204&amp;": sin ellos queda bajo el SS para esa cadena. ","")&amp;IF(E204="SOBRE MAX VENDIBLE","Sobrestock vs vida útil: frenar producción/activar venta. ","")&amp;IF(N(N204)&gt;=Parametros!$B$17,TEXT(N204,"#,##0")&amp;" kg ya no los acepta ninguna cadena: venta intermedia/liquidación. ","")&amp;IF(N(M204)&gt;=Parametros!$B$17,TEXT(M204,"#,##0")&amp;" kg a punto de salir del filtro: despachar primero (FEFO). ","")&amp;IF(Y204="SÍ","Pedidos "&amp;IF(N(U204)&gt;0,"sobre","bajo")&amp;" FCST "&amp;TEXT(ABS(N(U204)),"0%")&amp;": revisar forecast con KAM.","")</f>
        <v/>
      </c>
    </row>
    <row r="205" customFormat="false" ht="15" hidden="false" customHeight="false" outlineLevel="0" collapsed="false">
      <c r="A205" s="18" t="n">
        <f aca="false">Stock_Seguridad!A205</f>
        <v>30001490</v>
      </c>
      <c r="B205" s="18" t="str">
        <f aca="false">Stock_Seguridad!B205</f>
        <v>YOGURT OIKOS NUTS CARAMEL CRUNCH 12X142G</v>
      </c>
      <c r="C205" s="18" t="str">
        <f aca="false">Stock_Seguridad!C205</f>
        <v>YOGURT</v>
      </c>
      <c r="D205" s="18" t="str">
        <f aca="false">Stock_Seguridad!F205</f>
        <v>BX</v>
      </c>
      <c r="E205" s="19" t="str">
        <f aca="false">Stock_Seguridad!X205</f>
        <v>SOBRE MAX VENDIBLE</v>
      </c>
      <c r="F205" s="20" t="n">
        <f aca="false">Stock_Seguridad!W205</f>
        <v>1.99305531798433</v>
      </c>
      <c r="G205" s="21" t="n">
        <f aca="false">Stock_Seguridad!T205</f>
        <v>11651.8</v>
      </c>
      <c r="H205" s="21" t="n">
        <f aca="false">Stock_Seguridad!R205</f>
        <v>1910.18324528849</v>
      </c>
      <c r="I205" s="21" t="n">
        <f aca="false">Stock_Seguridad!S205</f>
        <v>7756.38324528849</v>
      </c>
      <c r="J205" s="21" t="n">
        <f aca="false">Stock_Seguridad!U205</f>
        <v>0</v>
      </c>
      <c r="K205" s="22"/>
      <c r="L205" s="23" t="n">
        <v>1479</v>
      </c>
      <c r="M205" s="23" t="n">
        <v>0</v>
      </c>
      <c r="N205" s="23" t="n">
        <v>164.9</v>
      </c>
      <c r="O205" s="24" t="n">
        <v>0.128889699445579</v>
      </c>
      <c r="P205" s="24" t="n">
        <f aca="false">IF(ISNUMBER(Stock_Seguridad!N205),Stock_Seguridad!N205,"")</f>
        <v>0.228070175438597</v>
      </c>
      <c r="Q205" s="24" t="n">
        <f aca="false">IF(AND(ISNUMBER(O205),ISNUMBER(P205)),P205-O205,"")</f>
        <v>0.0991804759930173</v>
      </c>
      <c r="R205" s="23" t="n">
        <f aca="false">MAX(0,G205-N(L205))</f>
        <v>10172.8</v>
      </c>
      <c r="S205" s="23" t="n">
        <f aca="false">SUMIFS(Cadenas_vs_FCST!$D$17:$D$2437,Cadenas_vs_FCST!$A$17:$A$2437,A205)</f>
        <v>24435.8</v>
      </c>
      <c r="T205" s="23" t="n">
        <f aca="false">SUMIFS(Cadenas_vs_FCST!$E$17:$E$2437,Cadenas_vs_FCST!$A$17:$A$2437,A205)</f>
        <v>24565.5626376757</v>
      </c>
      <c r="U205" s="24" t="n">
        <f aca="false">IF(T205&gt;0,S205/T205-1,"")</f>
        <v>-0.00528229862224805</v>
      </c>
      <c r="V205" s="3" t="str">
        <f aca="false">IF(OR(E205="BAJO SS",E205="BAJO SS (XLIB CUBRE)"),"SÍ","")</f>
        <v/>
      </c>
      <c r="W205" s="3" t="str">
        <f aca="false">IF(AND(V205="",N(L205)&gt;=Parametros!$B$17,G205&gt;=H205,R205&lt;H205),"SÍ","")</f>
        <v/>
      </c>
      <c r="X205" s="3" t="str">
        <f aca="false">IF(OR(E205="SOBRE MAX VENDIBLE",N(N205)&gt;=Parametros!$B$17,N(M205)&gt;=Parametros!$B$17),"SÍ","")</f>
        <v>SÍ</v>
      </c>
      <c r="Y205" s="3" t="str">
        <f aca="false">IF(AND(ISNUMBER(U205),MAX(S205,T205)&gt;=Parametros!$B$15,ABS(N(U205))&gt;Parametros!$B$14),"SÍ","")</f>
        <v/>
      </c>
      <c r="Z205" s="3" t="n">
        <f aca="false">COUNTIF(V205:Y205,"SÍ")</f>
        <v>1</v>
      </c>
      <c r="AA205" s="3" t="n">
        <f aca="false">(3*(V205="SÍ")+2*(W205="SÍ")+2*(X205="SÍ")+(Y205="SÍ"))*IF(LEFT(D205,1)="A",3,IF(OR(LEFT(D205,1)="B",D205="SIN HIST"),2,1))</f>
        <v>4</v>
      </c>
      <c r="AB205" s="3" t="str">
        <f aca="false">IF(AA205&gt;=9,"1-ALTA",IF(AA205&gt;=4,"2-MEDIA",IF(AA205&gt;0,"3-BAJA","")))</f>
        <v>2-MEDIA</v>
      </c>
      <c r="AC205" s="3" t="str">
        <f aca="false">IF(E205="BAJO SS","Stock + XLIB bajo el SS: riesgo real de quiebre, adelantar producción. ","")&amp;IF(E205="BAJO SS (XLIB CUBRE)","Disponible bajo el SS; depende de liberar "&amp;TEXT(J205,"#,##0")&amp;" kg"&amp;IF(ISNUMBER(K205)," el "&amp;TEXT(K205,"dd-mm"),"")&amp;". ","")&amp;IF(W205="SÍ","Stock parece sano pero "&amp;TEXT(L205,"#,##0")&amp;" kg no pasan filtro "&amp;Stock_Seguridad!O205&amp;": sin ellos queda bajo el SS para esa cadena. ","")&amp;IF(E205="SOBRE MAX VENDIBLE","Sobrestock vs vida útil: frenar producción/activar venta. ","")&amp;IF(N(N205)&gt;=Parametros!$B$17,TEXT(N205,"#,##0")&amp;" kg ya no los acepta ninguna cadena: venta intermedia/liquidación. ","")&amp;IF(N(M205)&gt;=Parametros!$B$17,TEXT(M205,"#,##0")&amp;" kg a punto de salir del filtro: despachar primero (FEFO). ","")&amp;IF(Y205="SÍ","Pedidos "&amp;IF(N(U205)&gt;0,"sobre","bajo")&amp;" FCST "&amp;TEXT(ABS(N(U205)),"0%")&amp;": revisar forecast con KAM.","")</f>
        <v>Sobrestock vs vida útil: frenar producción/activar venta. </v>
      </c>
    </row>
    <row r="206" customFormat="false" ht="15" hidden="false" customHeight="false" outlineLevel="0" collapsed="false">
      <c r="A206" s="18" t="n">
        <f aca="false">Stock_Seguridad!A206</f>
        <v>30001031</v>
      </c>
      <c r="B206" s="18" t="str">
        <f aca="false">Stock_Seguridad!B206</f>
        <v>YOGURT DANONE L&amp;F FRUT BOLSA 12X900GR</v>
      </c>
      <c r="C206" s="18" t="str">
        <f aca="false">Stock_Seguridad!C206</f>
        <v>YOGURT</v>
      </c>
      <c r="D206" s="18" t="str">
        <f aca="false">Stock_Seguridad!F206</f>
        <v>AX</v>
      </c>
      <c r="E206" s="19" t="str">
        <f aca="false">Stock_Seguridad!X206</f>
        <v>BAJO P.REORDEN</v>
      </c>
      <c r="F206" s="20" t="n">
        <f aca="false">Stock_Seguridad!W206</f>
        <v>1.36193543965458</v>
      </c>
      <c r="G206" s="21" t="n">
        <f aca="false">Stock_Seguridad!T206</f>
        <v>7948.8</v>
      </c>
      <c r="H206" s="21" t="n">
        <f aca="false">Stock_Seguridad!R206</f>
        <v>3943.13044235957</v>
      </c>
      <c r="I206" s="21" t="n">
        <f aca="false">Stock_Seguridad!S206</f>
        <v>9779.53044235957</v>
      </c>
      <c r="J206" s="21" t="n">
        <f aca="false">Stock_Seguridad!U206</f>
        <v>0</v>
      </c>
      <c r="K206" s="22"/>
      <c r="L206" s="23" t="n">
        <v>216</v>
      </c>
      <c r="M206" s="23" t="n">
        <v>2527.2</v>
      </c>
      <c r="N206" s="23" t="n">
        <v>216</v>
      </c>
      <c r="O206" s="24" t="n">
        <v>0.123228454172367</v>
      </c>
      <c r="P206" s="24" t="n">
        <f aca="false">IF(ISNUMBER(Stock_Seguridad!N206),Stock_Seguridad!N206,"")</f>
        <v>0.193548387096774</v>
      </c>
      <c r="Q206" s="24" t="n">
        <f aca="false">IF(AND(ISNUMBER(O206),ISNUMBER(P206)),P206-O206,"")</f>
        <v>0.0703199329244076</v>
      </c>
      <c r="R206" s="23" t="n">
        <f aca="false">MAX(0,G206-N(L206))</f>
        <v>7732.8</v>
      </c>
      <c r="S206" s="23" t="n">
        <f aca="false">SUMIFS(Cadenas_vs_FCST!$D$17:$D$2437,Cadenas_vs_FCST!$A$17:$A$2437,A206)</f>
        <v>24742.8</v>
      </c>
      <c r="T206" s="23" t="n">
        <f aca="false">SUMIFS(Cadenas_vs_FCST!$E$17:$E$2437,Cadenas_vs_FCST!$A$17:$A$2437,A206)</f>
        <v>23950.292600988</v>
      </c>
      <c r="U206" s="24" t="n">
        <f aca="false">IF(T206&gt;0,S206/T206-1,"")</f>
        <v>0.0330896750288261</v>
      </c>
      <c r="V206" s="3" t="str">
        <f aca="false">IF(OR(E206="BAJO SS",E206="BAJO SS (XLIB CUBRE)"),"SÍ","")</f>
        <v/>
      </c>
      <c r="W206" s="3" t="str">
        <f aca="false">IF(AND(V206="",N(L206)&gt;=Parametros!$B$17,G206&gt;=H206,R206&lt;H206),"SÍ","")</f>
        <v/>
      </c>
      <c r="X206" s="3" t="str">
        <f aca="false">IF(OR(E206="SOBRE MAX VENDIBLE",N(N206)&gt;=Parametros!$B$17,N(M206)&gt;=Parametros!$B$17),"SÍ","")</f>
        <v>SÍ</v>
      </c>
      <c r="Y206" s="3" t="str">
        <f aca="false">IF(AND(ISNUMBER(U206),MAX(S206,T206)&gt;=Parametros!$B$15,ABS(N(U206))&gt;Parametros!$B$14),"SÍ","")</f>
        <v/>
      </c>
      <c r="Z206" s="3" t="n">
        <f aca="false">COUNTIF(V206:Y206,"SÍ")</f>
        <v>1</v>
      </c>
      <c r="AA206" s="3" t="n">
        <f aca="false">(3*(V206="SÍ")+2*(W206="SÍ")+2*(X206="SÍ")+(Y206="SÍ"))*IF(LEFT(D206,1)="A",3,IF(OR(LEFT(D206,1)="B",D206="SIN HIST"),2,1))</f>
        <v>6</v>
      </c>
      <c r="AB206" s="3" t="str">
        <f aca="false">IF(AA206&gt;=9,"1-ALTA",IF(AA206&gt;=4,"2-MEDIA",IF(AA206&gt;0,"3-BAJA","")))</f>
        <v>2-MEDIA</v>
      </c>
      <c r="AC206" s="3" t="str">
        <f aca="false">IF(E206="BAJO SS","Stock + XLIB bajo el SS: riesgo real de quiebre, adelantar producción. ","")&amp;IF(E206="BAJO SS (XLIB CUBRE)","Disponible bajo el SS; depende de liberar "&amp;TEXT(J206,"#,##0")&amp;" kg"&amp;IF(ISNUMBER(K206)," el "&amp;TEXT(K206,"dd-mm"),"")&amp;". ","")&amp;IF(W206="SÍ","Stock parece sano pero "&amp;TEXT(L206,"#,##0")&amp;" kg no pasan filtro "&amp;Stock_Seguridad!O206&amp;": sin ellos queda bajo el SS para esa cadena. ","")&amp;IF(E206="SOBRE MAX VENDIBLE","Sobrestock vs vida útil: frenar producción/activar venta. ","")&amp;IF(N(N206)&gt;=Parametros!$B$17,TEXT(N206,"#,##0")&amp;" kg ya no los acepta ninguna cadena: venta intermedia/liquidación. ","")&amp;IF(N(M206)&gt;=Parametros!$B$17,TEXT(M206,"#,##0")&amp;" kg a punto de salir del filtro: despachar primero (FEFO). ","")&amp;IF(Y206="SÍ","Pedidos "&amp;IF(N(U206)&gt;0,"sobre","bajo")&amp;" FCST "&amp;TEXT(ABS(N(U206)),"0%")&amp;": revisar forecast con KAM.","")</f>
        <v>2,527 kg a punto de salir del filtro: despachar primero (FEFO). </v>
      </c>
    </row>
    <row r="207" customFormat="false" ht="15" hidden="false" customHeight="false" outlineLevel="0" collapsed="false">
      <c r="A207" s="18" t="n">
        <f aca="false">Stock_Seguridad!A207</f>
        <v>30001758</v>
      </c>
      <c r="B207" s="18" t="str">
        <f aca="false">Stock_Seguridad!B207</f>
        <v>MERMELADA WATTS DURAZNO 12X225GR</v>
      </c>
      <c r="C207" s="18" t="str">
        <f aca="false">Stock_Seguridad!C207</f>
        <v>MERMELADAS</v>
      </c>
      <c r="D207" s="18" t="str">
        <f aca="false">Stock_Seguridad!F207</f>
        <v>BX</v>
      </c>
      <c r="E207" s="19" t="str">
        <f aca="false">Stock_Seguridad!X207</f>
        <v>OK</v>
      </c>
      <c r="F207" s="20" t="n">
        <f aca="false">Stock_Seguridad!W207</f>
        <v>3.71742489270386</v>
      </c>
      <c r="G207" s="21" t="n">
        <f aca="false">Stock_Seguridad!T207</f>
        <v>21654</v>
      </c>
      <c r="H207" s="21" t="n">
        <f aca="false">Stock_Seguridad!R207</f>
        <v>2414.9247977121</v>
      </c>
      <c r="I207" s="21" t="n">
        <f aca="false">Stock_Seguridad!S207</f>
        <v>8239.9247977121</v>
      </c>
      <c r="J207" s="21" t="n">
        <f aca="false">Stock_Seguridad!U207</f>
        <v>0</v>
      </c>
      <c r="K207" s="22"/>
      <c r="L207" s="23" t="n">
        <v>0</v>
      </c>
      <c r="M207" s="23" t="n">
        <v>91.8</v>
      </c>
      <c r="N207" s="23" t="n">
        <v>0</v>
      </c>
      <c r="O207" s="24" t="n">
        <v>0.0796259351620948</v>
      </c>
      <c r="P207" s="24" t="n">
        <f aca="false">IF(ISNUMBER(Stock_Seguridad!N207),Stock_Seguridad!N207,"")</f>
        <v>0.273972602739726</v>
      </c>
      <c r="Q207" s="24" t="n">
        <f aca="false">IF(AND(ISNUMBER(O207),ISNUMBER(P207)),P207-O207,"")</f>
        <v>0.194346667577631</v>
      </c>
      <c r="R207" s="23" t="n">
        <f aca="false">MAX(0,G207-N(L207))</f>
        <v>21654</v>
      </c>
      <c r="S207" s="23" t="n">
        <f aca="false">SUMIFS(Cadenas_vs_FCST!$D$17:$D$2437,Cadenas_vs_FCST!$A$17:$A$2437,A207)</f>
        <v>22283.1</v>
      </c>
      <c r="T207" s="23" t="n">
        <f aca="false">SUMIFS(Cadenas_vs_FCST!$E$17:$E$2437,Cadenas_vs_FCST!$A$17:$A$2437,A207)</f>
        <v>16300</v>
      </c>
      <c r="U207" s="24" t="n">
        <f aca="false">IF(T207&gt;0,S207/T207-1,"")</f>
        <v>0.367061349693252</v>
      </c>
      <c r="V207" s="3" t="str">
        <f aca="false">IF(OR(E207="BAJO SS",E207="BAJO SS (XLIB CUBRE)"),"SÍ","")</f>
        <v/>
      </c>
      <c r="W207" s="3" t="str">
        <f aca="false">IF(AND(V207="",N(L207)&gt;=Parametros!$B$17,G207&gt;=H207,R207&lt;H207),"SÍ","")</f>
        <v/>
      </c>
      <c r="X207" s="3" t="str">
        <f aca="false">IF(OR(E207="SOBRE MAX VENDIBLE",N(N207)&gt;=Parametros!$B$17,N(M207)&gt;=Parametros!$B$17),"SÍ","")</f>
        <v/>
      </c>
      <c r="Y207" s="3" t="str">
        <f aca="false">IF(AND(ISNUMBER(U207),MAX(S207,T207)&gt;=Parametros!$B$15,ABS(N(U207))&gt;Parametros!$B$14),"SÍ","")</f>
        <v>SÍ</v>
      </c>
      <c r="Z207" s="3" t="n">
        <f aca="false">COUNTIF(V207:Y207,"SÍ")</f>
        <v>1</v>
      </c>
      <c r="AA207" s="3" t="n">
        <f aca="false">(3*(V207="SÍ")+2*(W207="SÍ")+2*(X207="SÍ")+(Y207="SÍ"))*IF(LEFT(D207,1)="A",3,IF(OR(LEFT(D207,1)="B",D207="SIN HIST"),2,1))</f>
        <v>2</v>
      </c>
      <c r="AB207" s="3" t="str">
        <f aca="false">IF(AA207&gt;=9,"1-ALTA",IF(AA207&gt;=4,"2-MEDIA",IF(AA207&gt;0,"3-BAJA","")))</f>
        <v>3-BAJA</v>
      </c>
      <c r="AC207" s="3" t="str">
        <f aca="false">IF(E207="BAJO SS","Stock + XLIB bajo el SS: riesgo real de quiebre, adelantar producción. ","")&amp;IF(E207="BAJO SS (XLIB CUBRE)","Disponible bajo el SS; depende de liberar "&amp;TEXT(J207,"#,##0")&amp;" kg"&amp;IF(ISNUMBER(K207)," el "&amp;TEXT(K207,"dd-mm"),"")&amp;". ","")&amp;IF(W207="SÍ","Stock parece sano pero "&amp;TEXT(L207,"#,##0")&amp;" kg no pasan filtro "&amp;Stock_Seguridad!O207&amp;": sin ellos queda bajo el SS para esa cadena. ","")&amp;IF(E207="SOBRE MAX VENDIBLE","Sobrestock vs vida útil: frenar producción/activar venta. ","")&amp;IF(N(N207)&gt;=Parametros!$B$17,TEXT(N207,"#,##0")&amp;" kg ya no los acepta ninguna cadena: venta intermedia/liquidación. ","")&amp;IF(N(M207)&gt;=Parametros!$B$17,TEXT(M207,"#,##0")&amp;" kg a punto de salir del filtro: despachar primero (FEFO). ","")&amp;IF(Y207="SÍ","Pedidos "&amp;IF(N(U207)&gt;0,"sobre","bajo")&amp;" FCST "&amp;TEXT(ABS(N(U207)),"0%")&amp;": revisar forecast con KAM.","")</f>
        <v>Pedidos sobre FCST 37%: revisar forecast con KAM.</v>
      </c>
    </row>
    <row r="208" customFormat="false" ht="15" hidden="false" customHeight="false" outlineLevel="0" collapsed="false">
      <c r="A208" s="18" t="n">
        <f aca="false">Stock_Seguridad!A208</f>
        <v>30000629</v>
      </c>
      <c r="B208" s="18" t="str">
        <f aca="false">Stock_Seguridad!B208</f>
        <v>DURAZNO CUBITOS REGIMEL 16X380GR</v>
      </c>
      <c r="C208" s="18" t="str">
        <f aca="false">Stock_Seguridad!C208</f>
        <v>CONSERVAS Y PLATOS LISTOS</v>
      </c>
      <c r="D208" s="18" t="str">
        <f aca="false">Stock_Seguridad!F208</f>
        <v>BX</v>
      </c>
      <c r="E208" s="19" t="str">
        <f aca="false">Stock_Seguridad!X208</f>
        <v>OK</v>
      </c>
      <c r="F208" s="20" t="n">
        <f aca="false">Stock_Seguridad!W208</f>
        <v>10.132815868909</v>
      </c>
      <c r="G208" s="21" t="n">
        <f aca="false">Stock_Seguridad!T208</f>
        <v>58745</v>
      </c>
      <c r="H208" s="21" t="n">
        <f aca="false">Stock_Seguridad!R208</f>
        <v>4132.828775826</v>
      </c>
      <c r="I208" s="21" t="n">
        <f aca="false">Stock_Seguridad!S208</f>
        <v>9930.328775826</v>
      </c>
      <c r="J208" s="21" t="n">
        <f aca="false">Stock_Seguridad!U208</f>
        <v>0</v>
      </c>
      <c r="K208" s="22"/>
      <c r="L208" s="23" t="n">
        <v>0</v>
      </c>
      <c r="M208" s="23" t="n">
        <v>0</v>
      </c>
      <c r="N208" s="23" t="n">
        <v>0</v>
      </c>
      <c r="O208" s="24" t="n">
        <v>0.27</v>
      </c>
      <c r="P208" s="24" t="n">
        <f aca="false">IF(ISNUMBER(Stock_Seguridad!N208),Stock_Seguridad!N208,"")</f>
        <v>0.468627450980392</v>
      </c>
      <c r="Q208" s="24" t="n">
        <f aca="false">IF(AND(ISNUMBER(O208),ISNUMBER(P208)),P208-O208,"")</f>
        <v>0.198627450980392</v>
      </c>
      <c r="R208" s="23" t="n">
        <f aca="false">MAX(0,G208-N(L208))</f>
        <v>58745</v>
      </c>
      <c r="S208" s="23" t="n">
        <f aca="false">SUMIFS(Cadenas_vs_FCST!$D$17:$D$2437,Cadenas_vs_FCST!$A$17:$A$2437,A208)</f>
        <v>23845.76</v>
      </c>
      <c r="T208" s="23" t="n">
        <f aca="false">SUMIFS(Cadenas_vs_FCST!$E$17:$E$2437,Cadenas_vs_FCST!$A$17:$A$2437,A208)</f>
        <v>26509.12</v>
      </c>
      <c r="U208" s="24" t="n">
        <f aca="false">IF(T208&gt;0,S208/T208-1,"")</f>
        <v>-0.100469574244637</v>
      </c>
      <c r="V208" s="3" t="str">
        <f aca="false">IF(OR(E208="BAJO SS",E208="BAJO SS (XLIB CUBRE)"),"SÍ","")</f>
        <v/>
      </c>
      <c r="W208" s="3" t="str">
        <f aca="false">IF(AND(V208="",N(L208)&gt;=Parametros!$B$17,G208&gt;=H208,R208&lt;H208),"SÍ","")</f>
        <v/>
      </c>
      <c r="X208" s="3" t="str">
        <f aca="false">IF(OR(E208="SOBRE MAX VENDIBLE",N(N208)&gt;=Parametros!$B$17,N(M208)&gt;=Parametros!$B$17),"SÍ","")</f>
        <v/>
      </c>
      <c r="Y208" s="3" t="str">
        <f aca="false">IF(AND(ISNUMBER(U208),MAX(S208,T208)&gt;=Parametros!$B$15,ABS(N(U208))&gt;Parametros!$B$14),"SÍ","")</f>
        <v/>
      </c>
      <c r="Z208" s="3" t="n">
        <f aca="false">COUNTIF(V208:Y208,"SÍ")</f>
        <v>0</v>
      </c>
      <c r="AA208" s="3" t="n">
        <f aca="false">(3*(V208="SÍ")+2*(W208="SÍ")+2*(X208="SÍ")+(Y208="SÍ"))*IF(LEFT(D208,1)="A",3,IF(OR(LEFT(D208,1)="B",D208="SIN HIST"),2,1))</f>
        <v>0</v>
      </c>
      <c r="AB208" s="3" t="str">
        <f aca="false">IF(AA208&gt;=9,"1-ALTA",IF(AA208&gt;=4,"2-MEDIA",IF(AA208&gt;0,"3-BAJA","")))</f>
        <v/>
      </c>
      <c r="AC208" s="3" t="str">
        <f aca="false">IF(E208="BAJO SS","Stock + XLIB bajo el SS: riesgo real de quiebre, adelantar producción. ","")&amp;IF(E208="BAJO SS (XLIB CUBRE)","Disponible bajo el SS; depende de liberar "&amp;TEXT(J208,"#,##0")&amp;" kg"&amp;IF(ISNUMBER(K208)," el "&amp;TEXT(K208,"dd-mm"),"")&amp;". ","")&amp;IF(W208="SÍ","Stock parece sano pero "&amp;TEXT(L208,"#,##0")&amp;" kg no pasan filtro "&amp;Stock_Seguridad!O208&amp;": sin ellos queda bajo el SS para esa cadena. ","")&amp;IF(E208="SOBRE MAX VENDIBLE","Sobrestock vs vida útil: frenar producción/activar venta. ","")&amp;IF(N(N208)&gt;=Parametros!$B$17,TEXT(N208,"#,##0")&amp;" kg ya no los acepta ninguna cadena: venta intermedia/liquidación. ","")&amp;IF(N(M208)&gt;=Parametros!$B$17,TEXT(M208,"#,##0")&amp;" kg a punto de salir del filtro: despachar primero (FEFO). ","")&amp;IF(Y208="SÍ","Pedidos "&amp;IF(N(U208)&gt;0,"sobre","bajo")&amp;" FCST "&amp;TEXT(ABS(N(U208)),"0%")&amp;": revisar forecast con KAM.","")</f>
        <v/>
      </c>
    </row>
    <row r="209" customFormat="false" ht="15" hidden="false" customHeight="false" outlineLevel="0" collapsed="false">
      <c r="A209" s="18" t="n">
        <f aca="false">Stock_Seguridad!A209</f>
        <v>30000176</v>
      </c>
      <c r="B209" s="18" t="str">
        <f aca="false">Stock_Seguridad!B209</f>
        <v>MERMELADA WATTS S/A DZNO SACHET 24X200GR</v>
      </c>
      <c r="C209" s="18" t="str">
        <f aca="false">Stock_Seguridad!C209</f>
        <v>MERMELADAS</v>
      </c>
      <c r="D209" s="18" t="str">
        <f aca="false">Stock_Seguridad!F209</f>
        <v>BX</v>
      </c>
      <c r="E209" s="19" t="str">
        <f aca="false">Stock_Seguridad!X209</f>
        <v>OK</v>
      </c>
      <c r="F209" s="20" t="n">
        <f aca="false">Stock_Seguridad!W209</f>
        <v>4.95125574566999</v>
      </c>
      <c r="G209" s="21" t="n">
        <f aca="false">Stock_Seguridad!T209</f>
        <v>28329.6</v>
      </c>
      <c r="H209" s="21" t="n">
        <f aca="false">Stock_Seguridad!R209</f>
        <v>2275.97414212216</v>
      </c>
      <c r="I209" s="21" t="n">
        <f aca="false">Stock_Seguridad!S209</f>
        <v>7997.67414212216</v>
      </c>
      <c r="J209" s="21" t="n">
        <f aca="false">Stock_Seguridad!U209</f>
        <v>0</v>
      </c>
      <c r="K209" s="22"/>
      <c r="L209" s="23" t="n">
        <v>0</v>
      </c>
      <c r="M209" s="23" t="n">
        <v>57.6</v>
      </c>
      <c r="N209" s="23" t="n">
        <v>0</v>
      </c>
      <c r="O209" s="24" t="n">
        <v>0.0697763470010166</v>
      </c>
      <c r="P209" s="24" t="n">
        <f aca="false">IF(ISNUMBER(Stock_Seguridad!N209),Stock_Seguridad!N209,"")</f>
        <v>0.28804347826087</v>
      </c>
      <c r="Q209" s="24" t="n">
        <f aca="false">IF(AND(ISNUMBER(O209),ISNUMBER(P209)),P209-O209,"")</f>
        <v>0.218267131259853</v>
      </c>
      <c r="R209" s="23" t="n">
        <f aca="false">MAX(0,G209-N(L209))</f>
        <v>28329.6</v>
      </c>
      <c r="S209" s="23" t="n">
        <f aca="false">SUMIFS(Cadenas_vs_FCST!$D$17:$D$2437,Cadenas_vs_FCST!$A$17:$A$2437,A209)</f>
        <v>18264</v>
      </c>
      <c r="T209" s="23" t="n">
        <f aca="false">SUMIFS(Cadenas_vs_FCST!$E$17:$E$2437,Cadenas_vs_FCST!$A$17:$A$2437,A209)</f>
        <v>19839.5869168189</v>
      </c>
      <c r="U209" s="24" t="n">
        <f aca="false">IF(T209&gt;0,S209/T209-1,"")</f>
        <v>-0.07941631665139</v>
      </c>
      <c r="V209" s="3" t="str">
        <f aca="false">IF(OR(E209="BAJO SS",E209="BAJO SS (XLIB CUBRE)"),"SÍ","")</f>
        <v/>
      </c>
      <c r="W209" s="3" t="str">
        <f aca="false">IF(AND(V209="",N(L209)&gt;=Parametros!$B$17,G209&gt;=H209,R209&lt;H209),"SÍ","")</f>
        <v/>
      </c>
      <c r="X209" s="3" t="str">
        <f aca="false">IF(OR(E209="SOBRE MAX VENDIBLE",N(N209)&gt;=Parametros!$B$17,N(M209)&gt;=Parametros!$B$17),"SÍ","")</f>
        <v/>
      </c>
      <c r="Y209" s="3" t="str">
        <f aca="false">IF(AND(ISNUMBER(U209),MAX(S209,T209)&gt;=Parametros!$B$15,ABS(N(U209))&gt;Parametros!$B$14),"SÍ","")</f>
        <v/>
      </c>
      <c r="Z209" s="3" t="n">
        <f aca="false">COUNTIF(V209:Y209,"SÍ")</f>
        <v>0</v>
      </c>
      <c r="AA209" s="3" t="n">
        <f aca="false">(3*(V209="SÍ")+2*(W209="SÍ")+2*(X209="SÍ")+(Y209="SÍ"))*IF(LEFT(D209,1)="A",3,IF(OR(LEFT(D209,1)="B",D209="SIN HIST"),2,1))</f>
        <v>0</v>
      </c>
      <c r="AB209" s="3" t="str">
        <f aca="false">IF(AA209&gt;=9,"1-ALTA",IF(AA209&gt;=4,"2-MEDIA",IF(AA209&gt;0,"3-BAJA","")))</f>
        <v/>
      </c>
      <c r="AC209" s="3" t="str">
        <f aca="false">IF(E209="BAJO SS","Stock + XLIB bajo el SS: riesgo real de quiebre, adelantar producción. ","")&amp;IF(E209="BAJO SS (XLIB CUBRE)","Disponible bajo el SS; depende de liberar "&amp;TEXT(J209,"#,##0")&amp;" kg"&amp;IF(ISNUMBER(K209)," el "&amp;TEXT(K209,"dd-mm"),"")&amp;". ","")&amp;IF(W209="SÍ","Stock parece sano pero "&amp;TEXT(L209,"#,##0")&amp;" kg no pasan filtro "&amp;Stock_Seguridad!O209&amp;": sin ellos queda bajo el SS para esa cadena. ","")&amp;IF(E209="SOBRE MAX VENDIBLE","Sobrestock vs vida útil: frenar producción/activar venta. ","")&amp;IF(N(N209)&gt;=Parametros!$B$17,TEXT(N209,"#,##0")&amp;" kg ya no los acepta ninguna cadena: venta intermedia/liquidación. ","")&amp;IF(N(M209)&gt;=Parametros!$B$17,TEXT(M209,"#,##0")&amp;" kg a punto de salir del filtro: despachar primero (FEFO). ","")&amp;IF(Y209="SÍ","Pedidos "&amp;IF(N(U209)&gt;0,"sobre","bajo")&amp;" FCST "&amp;TEXT(ABS(N(U209)),"0%")&amp;": revisar forecast con KAM.","")</f>
        <v/>
      </c>
    </row>
    <row r="210" customFormat="false" ht="15" hidden="false" customHeight="false" outlineLevel="0" collapsed="false">
      <c r="A210" s="18" t="n">
        <f aca="false">Stock_Seguridad!A210</f>
        <v>30002098</v>
      </c>
      <c r="B210" s="18" t="str">
        <f aca="false">Stock_Seguridad!B210</f>
        <v>MANJAR LONCOLECHE DP 12X750GR</v>
      </c>
      <c r="C210" s="18" t="str">
        <f aca="false">Stock_Seguridad!C210</f>
        <v>MANJAR</v>
      </c>
      <c r="D210" s="18" t="str">
        <f aca="false">Stock_Seguridad!F210</f>
        <v>BX</v>
      </c>
      <c r="E210" s="19" t="str">
        <f aca="false">Stock_Seguridad!X210</f>
        <v>OK</v>
      </c>
      <c r="F210" s="20" t="n">
        <f aca="false">Stock_Seguridad!W210</f>
        <v>2.95388716126166</v>
      </c>
      <c r="G210" s="21" t="n">
        <f aca="false">Stock_Seguridad!T210</f>
        <v>16623</v>
      </c>
      <c r="H210" s="21" t="n">
        <f aca="false">Stock_Seguridad!R210</f>
        <v>2177.58146636708</v>
      </c>
      <c r="I210" s="21" t="n">
        <f aca="false">Stock_Seguridad!S210</f>
        <v>7805.08146636708</v>
      </c>
      <c r="J210" s="21" t="n">
        <f aca="false">Stock_Seguridad!U210</f>
        <v>0</v>
      </c>
      <c r="K210" s="22"/>
      <c r="L210" s="23" t="n">
        <v>6345</v>
      </c>
      <c r="M210" s="23" t="n">
        <v>0</v>
      </c>
      <c r="N210" s="23" t="n">
        <v>45</v>
      </c>
      <c r="O210" s="24" t="n">
        <v>0.148132106118029</v>
      </c>
      <c r="P210" s="24" t="n">
        <f aca="false">IF(ISNUMBER(Stock_Seguridad!N210),Stock_Seguridad!N210,"")</f>
        <v>0.190217391304348</v>
      </c>
      <c r="Q210" s="24" t="n">
        <f aca="false">IF(AND(ISNUMBER(O210),ISNUMBER(P210)),P210-O210,"")</f>
        <v>0.0420852851863186</v>
      </c>
      <c r="R210" s="23" t="n">
        <f aca="false">MAX(0,G210-N(L210))</f>
        <v>10278</v>
      </c>
      <c r="S210" s="23" t="n">
        <f aca="false">SUMIFS(Cadenas_vs_FCST!$D$17:$D$2437,Cadenas_vs_FCST!$A$17:$A$2437,A210)</f>
        <v>10602</v>
      </c>
      <c r="T210" s="23" t="n">
        <f aca="false">SUMIFS(Cadenas_vs_FCST!$E$17:$E$2437,Cadenas_vs_FCST!$A$17:$A$2437,A210)</f>
        <v>15603.6915907113</v>
      </c>
      <c r="U210" s="24" t="n">
        <f aca="false">IF(T210&gt;0,S210/T210-1,"")</f>
        <v>-0.320545401813039</v>
      </c>
      <c r="V210" s="3" t="str">
        <f aca="false">IF(OR(E210="BAJO SS",E210="BAJO SS (XLIB CUBRE)"),"SÍ","")</f>
        <v/>
      </c>
      <c r="W210" s="3" t="str">
        <f aca="false">IF(AND(V210="",N(L210)&gt;=Parametros!$B$17,G210&gt;=H210,R210&lt;H210),"SÍ","")</f>
        <v/>
      </c>
      <c r="X210" s="3" t="str">
        <f aca="false">IF(OR(E210="SOBRE MAX VENDIBLE",N(N210)&gt;=Parametros!$B$17,N(M210)&gt;=Parametros!$B$17),"SÍ","")</f>
        <v/>
      </c>
      <c r="Y210" s="3" t="str">
        <f aca="false">IF(AND(ISNUMBER(U210),MAX(S210,T210)&gt;=Parametros!$B$15,ABS(N(U210))&gt;Parametros!$B$14),"SÍ","")</f>
        <v>SÍ</v>
      </c>
      <c r="Z210" s="3" t="n">
        <f aca="false">COUNTIF(V210:Y210,"SÍ")</f>
        <v>1</v>
      </c>
      <c r="AA210" s="3" t="n">
        <f aca="false">(3*(V210="SÍ")+2*(W210="SÍ")+2*(X210="SÍ")+(Y210="SÍ"))*IF(LEFT(D210,1)="A",3,IF(OR(LEFT(D210,1)="B",D210="SIN HIST"),2,1))</f>
        <v>2</v>
      </c>
      <c r="AB210" s="3" t="str">
        <f aca="false">IF(AA210&gt;=9,"1-ALTA",IF(AA210&gt;=4,"2-MEDIA",IF(AA210&gt;0,"3-BAJA","")))</f>
        <v>3-BAJA</v>
      </c>
      <c r="AC210" s="3" t="str">
        <f aca="false">IF(E210="BAJO SS","Stock + XLIB bajo el SS: riesgo real de quiebre, adelantar producción. ","")&amp;IF(E210="BAJO SS (XLIB CUBRE)","Disponible bajo el SS; depende de liberar "&amp;TEXT(J210,"#,##0")&amp;" kg"&amp;IF(ISNUMBER(K210)," el "&amp;TEXT(K210,"dd-mm"),"")&amp;". ","")&amp;IF(W210="SÍ","Stock parece sano pero "&amp;TEXT(L210,"#,##0")&amp;" kg no pasan filtro "&amp;Stock_Seguridad!O210&amp;": sin ellos queda bajo el SS para esa cadena. ","")&amp;IF(E210="SOBRE MAX VENDIBLE","Sobrestock vs vida útil: frenar producción/activar venta. ","")&amp;IF(N(N210)&gt;=Parametros!$B$17,TEXT(N210,"#,##0")&amp;" kg ya no los acepta ninguna cadena: venta intermedia/liquidación. ","")&amp;IF(N(M210)&gt;=Parametros!$B$17,TEXT(M210,"#,##0")&amp;" kg a punto de salir del filtro: despachar primero (FEFO). ","")&amp;IF(Y210="SÍ","Pedidos "&amp;IF(N(U210)&gt;0,"sobre","bajo")&amp;" FCST "&amp;TEXT(ABS(N(U210)),"0%")&amp;": revisar forecast con KAM.","")</f>
        <v>Pedidos bajo FCST 32%: revisar forecast con KAM.</v>
      </c>
    </row>
    <row r="211" customFormat="false" ht="15" hidden="false" customHeight="false" outlineLevel="0" collapsed="false">
      <c r="A211" s="18" t="n">
        <f aca="false">Stock_Seguridad!A211</f>
        <v>30001656</v>
      </c>
      <c r="B211" s="18" t="str">
        <f aca="false">Stock_Seguridad!B211</f>
        <v>MERMELADA WATTS MORA 12X360GR</v>
      </c>
      <c r="C211" s="18" t="str">
        <f aca="false">Stock_Seguridad!C211</f>
        <v>MERMELADAS</v>
      </c>
      <c r="D211" s="18" t="str">
        <f aca="false">Stock_Seguridad!F211</f>
        <v>BX</v>
      </c>
      <c r="E211" s="19" t="str">
        <f aca="false">Stock_Seguridad!X211</f>
        <v>BAJO SS</v>
      </c>
      <c r="F211" s="20" t="n">
        <f aca="false">Stock_Seguridad!W211</f>
        <v>0.209975160385282</v>
      </c>
      <c r="G211" s="21" t="n">
        <f aca="false">Stock_Seguridad!T211</f>
        <v>1175</v>
      </c>
      <c r="H211" s="21" t="n">
        <f aca="false">Stock_Seguridad!R211</f>
        <v>2089.78352184061</v>
      </c>
      <c r="I211" s="21" t="n">
        <f aca="false">Stock_Seguridad!S211</f>
        <v>7685.68352184061</v>
      </c>
      <c r="J211" s="21" t="n">
        <f aca="false">Stock_Seguridad!U211</f>
        <v>0</v>
      </c>
      <c r="K211" s="22"/>
      <c r="L211" s="23" t="n">
        <v>0</v>
      </c>
      <c r="M211" s="23" t="n">
        <v>4.32</v>
      </c>
      <c r="N211" s="23" t="n">
        <v>0</v>
      </c>
      <c r="O211" s="24" t="n">
        <v>0.051622641509434</v>
      </c>
      <c r="P211" s="24" t="n">
        <f aca="false">IF(ISNUMBER(Stock_Seguridad!N211),Stock_Seguridad!N211,"")</f>
        <v>0.273972602739726</v>
      </c>
      <c r="Q211" s="24" t="n">
        <f aca="false">IF(AND(ISNUMBER(O211),ISNUMBER(P211)),P211-O211,"")</f>
        <v>0.222349961230292</v>
      </c>
      <c r="R211" s="23" t="n">
        <f aca="false">MAX(0,G211-N(L211))</f>
        <v>1175</v>
      </c>
      <c r="S211" s="23" t="n">
        <f aca="false">SUMIFS(Cadenas_vs_FCST!$D$17:$D$2437,Cadenas_vs_FCST!$A$17:$A$2437,A211)</f>
        <v>24010.56</v>
      </c>
      <c r="T211" s="23" t="n">
        <f aca="false">SUMIFS(Cadenas_vs_FCST!$E$17:$E$2437,Cadenas_vs_FCST!$A$17:$A$2437,A211)</f>
        <v>21431.76</v>
      </c>
      <c r="U211" s="24" t="n">
        <f aca="false">IF(T211&gt;0,S211/T211-1,"")</f>
        <v>0.120326095476993</v>
      </c>
      <c r="V211" s="3" t="str">
        <f aca="false">IF(OR(E211="BAJO SS",E211="BAJO SS (XLIB CUBRE)"),"SÍ","")</f>
        <v>SÍ</v>
      </c>
      <c r="W211" s="3" t="str">
        <f aca="false">IF(AND(V211="",N(L211)&gt;=Parametros!$B$17,G211&gt;=H211,R211&lt;H211),"SÍ","")</f>
        <v/>
      </c>
      <c r="X211" s="3" t="str">
        <f aca="false">IF(OR(E211="SOBRE MAX VENDIBLE",N(N211)&gt;=Parametros!$B$17,N(M211)&gt;=Parametros!$B$17),"SÍ","")</f>
        <v/>
      </c>
      <c r="Y211" s="3" t="str">
        <f aca="false">IF(AND(ISNUMBER(U211),MAX(S211,T211)&gt;=Parametros!$B$15,ABS(N(U211))&gt;Parametros!$B$14),"SÍ","")</f>
        <v/>
      </c>
      <c r="Z211" s="3" t="n">
        <f aca="false">COUNTIF(V211:Y211,"SÍ")</f>
        <v>1</v>
      </c>
      <c r="AA211" s="3" t="n">
        <f aca="false">(3*(V211="SÍ")+2*(W211="SÍ")+2*(X211="SÍ")+(Y211="SÍ"))*IF(LEFT(D211,1)="A",3,IF(OR(LEFT(D211,1)="B",D211="SIN HIST"),2,1))</f>
        <v>6</v>
      </c>
      <c r="AB211" s="3" t="str">
        <f aca="false">IF(AA211&gt;=9,"1-ALTA",IF(AA211&gt;=4,"2-MEDIA",IF(AA211&gt;0,"3-BAJA","")))</f>
        <v>2-MEDIA</v>
      </c>
      <c r="AC211" s="3" t="str">
        <f aca="false">IF(E211="BAJO SS","Stock + XLIB bajo el SS: riesgo real de quiebre, adelantar producción. ","")&amp;IF(E211="BAJO SS (XLIB CUBRE)","Disponible bajo el SS; depende de liberar "&amp;TEXT(J211,"#,##0")&amp;" kg"&amp;IF(ISNUMBER(K211)," el "&amp;TEXT(K211,"dd-mm"),"")&amp;". ","")&amp;IF(W211="SÍ","Stock parece sano pero "&amp;TEXT(L211,"#,##0")&amp;" kg no pasan filtro "&amp;Stock_Seguridad!O211&amp;": sin ellos queda bajo el SS para esa cadena. ","")&amp;IF(E211="SOBRE MAX VENDIBLE","Sobrestock vs vida útil: frenar producción/activar venta. ","")&amp;IF(N(N211)&gt;=Parametros!$B$17,TEXT(N211,"#,##0")&amp;" kg ya no los acepta ninguna cadena: venta intermedia/liquidación. ","")&amp;IF(N(M211)&gt;=Parametros!$B$17,TEXT(M211,"#,##0")&amp;" kg a punto de salir del filtro: despachar primero (FEFO). ","")&amp;IF(Y211="SÍ","Pedidos "&amp;IF(N(U211)&gt;0,"sobre","bajo")&amp;" FCST "&amp;TEXT(ABS(N(U211)),"0%")&amp;": revisar forecast con KAM.","")</f>
        <v>Stock + XLIB bajo el SS: riesgo real de quiebre, adelantar producción. </v>
      </c>
    </row>
    <row r="212" customFormat="false" ht="15" hidden="false" customHeight="false" outlineLevel="0" collapsed="false">
      <c r="A212" s="18" t="n">
        <f aca="false">Stock_Seguridad!A212</f>
        <v>30001481</v>
      </c>
      <c r="B212" s="18" t="str">
        <f aca="false">Stock_Seguridad!B212</f>
        <v>POUCH WATT'S DURAZNO 36X90GR</v>
      </c>
      <c r="C212" s="18" t="str">
        <f aca="false">Stock_Seguridad!C212</f>
        <v>COLACIONES EN CONSERVA</v>
      </c>
      <c r="D212" s="18" t="str">
        <f aca="false">Stock_Seguridad!F212</f>
        <v>CZ</v>
      </c>
      <c r="E212" s="19" t="str">
        <f aca="false">Stock_Seguridad!X212</f>
        <v>OK</v>
      </c>
      <c r="F212" s="20" t="n">
        <f aca="false">Stock_Seguridad!W212</f>
        <v>2.58076619273302</v>
      </c>
      <c r="G212" s="21" t="n">
        <f aca="false">Stock_Seguridad!T212</f>
        <v>4254.1</v>
      </c>
      <c r="H212" s="21" t="n">
        <f aca="false">Stock_Seguridad!R212</f>
        <v>1255.48137085932</v>
      </c>
      <c r="I212" s="21" t="n">
        <f aca="false">Stock_Seguridad!S212</f>
        <v>6825.88137085932</v>
      </c>
      <c r="J212" s="21" t="n">
        <f aca="false">Stock_Seguridad!U212</f>
        <v>10121.8</v>
      </c>
      <c r="K212" s="22" t="n">
        <v>46317</v>
      </c>
      <c r="L212" s="23" t="n">
        <v>187.92</v>
      </c>
      <c r="M212" s="23" t="n">
        <v>0</v>
      </c>
      <c r="N212" s="23" t="n">
        <v>0</v>
      </c>
      <c r="O212" s="24" t="n">
        <v>0.0239769647696477</v>
      </c>
      <c r="P212" s="24" t="n">
        <f aca="false">IF(ISNUMBER(Stock_Seguridad!N212),Stock_Seguridad!N212,"")</f>
        <v>0.194520547945206</v>
      </c>
      <c r="Q212" s="24" t="n">
        <f aca="false">IF(AND(ISNUMBER(O212),ISNUMBER(P212)),P212-O212,"")</f>
        <v>0.170543583175558</v>
      </c>
      <c r="R212" s="23" t="n">
        <f aca="false">MAX(0,G212-N(L212))</f>
        <v>4066.18</v>
      </c>
      <c r="S212" s="23" t="n">
        <f aca="false">SUMIFS(Cadenas_vs_FCST!$D$17:$D$2437,Cadenas_vs_FCST!$A$17:$A$2437,A212)</f>
        <v>184.68</v>
      </c>
      <c r="T212" s="23" t="n">
        <f aca="false">SUMIFS(Cadenas_vs_FCST!$E$17:$E$2437,Cadenas_vs_FCST!$A$17:$A$2437,A212)</f>
        <v>1250</v>
      </c>
      <c r="U212" s="24" t="n">
        <f aca="false">IF(T212&gt;0,S212/T212-1,"")</f>
        <v>-0.852256</v>
      </c>
      <c r="V212" s="3" t="str">
        <f aca="false">IF(OR(E212="BAJO SS",E212="BAJO SS (XLIB CUBRE)"),"SÍ","")</f>
        <v/>
      </c>
      <c r="W212" s="3" t="str">
        <f aca="false">IF(AND(V212="",N(L212)&gt;=Parametros!$B$17,G212&gt;=H212,R212&lt;H212),"SÍ","")</f>
        <v/>
      </c>
      <c r="X212" s="3" t="str">
        <f aca="false">IF(OR(E212="SOBRE MAX VENDIBLE",N(N212)&gt;=Parametros!$B$17,N(M212)&gt;=Parametros!$B$17),"SÍ","")</f>
        <v/>
      </c>
      <c r="Y212" s="3" t="str">
        <f aca="false">IF(AND(ISNUMBER(U212),MAX(S212,T212)&gt;=Parametros!$B$15,ABS(N(U212))&gt;Parametros!$B$14),"SÍ","")</f>
        <v/>
      </c>
      <c r="Z212" s="3" t="n">
        <f aca="false">COUNTIF(V212:Y212,"SÍ")</f>
        <v>0</v>
      </c>
      <c r="AA212" s="3" t="n">
        <f aca="false">(3*(V212="SÍ")+2*(W212="SÍ")+2*(X212="SÍ")+(Y212="SÍ"))*IF(LEFT(D212,1)="A",3,IF(OR(LEFT(D212,1)="B",D212="SIN HIST"),2,1))</f>
        <v>0</v>
      </c>
      <c r="AB212" s="3" t="str">
        <f aca="false">IF(AA212&gt;=9,"1-ALTA",IF(AA212&gt;=4,"2-MEDIA",IF(AA212&gt;0,"3-BAJA","")))</f>
        <v/>
      </c>
      <c r="AC212" s="3" t="str">
        <f aca="false">IF(E212="BAJO SS","Stock + XLIB bajo el SS: riesgo real de quiebre, adelantar producción. ","")&amp;IF(E212="BAJO SS (XLIB CUBRE)","Disponible bajo el SS; depende de liberar "&amp;TEXT(J212,"#,##0")&amp;" kg"&amp;IF(ISNUMBER(K212)," el "&amp;TEXT(K212,"dd-mm"),"")&amp;". ","")&amp;IF(W212="SÍ","Stock parece sano pero "&amp;TEXT(L212,"#,##0")&amp;" kg no pasan filtro "&amp;Stock_Seguridad!O212&amp;": sin ellos queda bajo el SS para esa cadena. ","")&amp;IF(E212="SOBRE MAX VENDIBLE","Sobrestock vs vida útil: frenar producción/activar venta. ","")&amp;IF(N(N212)&gt;=Parametros!$B$17,TEXT(N212,"#,##0")&amp;" kg ya no los acepta ninguna cadena: venta intermedia/liquidación. ","")&amp;IF(N(M212)&gt;=Parametros!$B$17,TEXT(M212,"#,##0")&amp;" kg a punto de salir del filtro: despachar primero (FEFO). ","")&amp;IF(Y212="SÍ","Pedidos "&amp;IF(N(U212)&gt;0,"sobre","bajo")&amp;" FCST "&amp;TEXT(ABS(N(U212)),"0%")&amp;": revisar forecast con KAM.","")</f>
        <v/>
      </c>
    </row>
    <row r="213" customFormat="false" ht="15" hidden="false" customHeight="false" outlineLevel="0" collapsed="false">
      <c r="A213" s="18" t="n">
        <f aca="false">Stock_Seguridad!A213</f>
        <v>30001715</v>
      </c>
      <c r="B213" s="18" t="str">
        <f aca="false">Stock_Seguridad!B213</f>
        <v>LECHE POLVO LONCO SEMIDESCREMADA10X760GR</v>
      </c>
      <c r="C213" s="18" t="str">
        <f aca="false">Stock_Seguridad!C213</f>
        <v>LECHES EN POLVO</v>
      </c>
      <c r="D213" s="18" t="str">
        <f aca="false">Stock_Seguridad!F213</f>
        <v>AX</v>
      </c>
      <c r="E213" s="19" t="str">
        <f aca="false">Stock_Seguridad!X213</f>
        <v>OK</v>
      </c>
      <c r="F213" s="20" t="n">
        <f aca="false">Stock_Seguridad!W213</f>
        <v>5.29427264409881</v>
      </c>
      <c r="G213" s="21" t="n">
        <f aca="false">Stock_Seguridad!T213</f>
        <v>28933.2</v>
      </c>
      <c r="H213" s="21" t="n">
        <f aca="false">Stock_Seguridad!R213</f>
        <v>12259.9261600379</v>
      </c>
      <c r="I213" s="21" t="n">
        <f aca="false">Stock_Seguridad!S213</f>
        <v>17724.9261600379</v>
      </c>
      <c r="J213" s="21" t="n">
        <f aca="false">Stock_Seguridad!U213</f>
        <v>0</v>
      </c>
      <c r="K213" s="22"/>
      <c r="L213" s="23" t="n">
        <v>0</v>
      </c>
      <c r="M213" s="23" t="n">
        <v>129.2</v>
      </c>
      <c r="N213" s="23" t="n">
        <v>0</v>
      </c>
      <c r="O213" s="24" t="n">
        <v>0.0638328075709779</v>
      </c>
      <c r="P213" s="24" t="n">
        <f aca="false">IF(ISNUMBER(Stock_Seguridad!N213),Stock_Seguridad!N213,"")</f>
        <v>0.194520547945206</v>
      </c>
      <c r="Q213" s="24" t="n">
        <f aca="false">IF(AND(ISNUMBER(O213),ISNUMBER(P213)),P213-O213,"")</f>
        <v>0.130687740374228</v>
      </c>
      <c r="R213" s="23" t="n">
        <f aca="false">MAX(0,G213-N(L213))</f>
        <v>28933.2</v>
      </c>
      <c r="S213" s="23" t="n">
        <f aca="false">SUMIFS(Cadenas_vs_FCST!$D$17:$D$2437,Cadenas_vs_FCST!$A$17:$A$2437,A213)</f>
        <v>23848.8</v>
      </c>
      <c r="T213" s="23" t="n">
        <f aca="false">SUMIFS(Cadenas_vs_FCST!$E$17:$E$2437,Cadenas_vs_FCST!$A$17:$A$2437,A213)</f>
        <v>40004.8540381682</v>
      </c>
      <c r="U213" s="24" t="n">
        <f aca="false">IF(T213&gt;0,S213/T213-1,"")</f>
        <v>-0.403852343087013</v>
      </c>
      <c r="V213" s="3" t="str">
        <f aca="false">IF(OR(E213="BAJO SS",E213="BAJO SS (XLIB CUBRE)"),"SÍ","")</f>
        <v/>
      </c>
      <c r="W213" s="3" t="str">
        <f aca="false">IF(AND(V213="",N(L213)&gt;=Parametros!$B$17,G213&gt;=H213,R213&lt;H213),"SÍ","")</f>
        <v/>
      </c>
      <c r="X213" s="3" t="str">
        <f aca="false">IF(OR(E213="SOBRE MAX VENDIBLE",N(N213)&gt;=Parametros!$B$17,N(M213)&gt;=Parametros!$B$17),"SÍ","")</f>
        <v/>
      </c>
      <c r="Y213" s="3" t="str">
        <f aca="false">IF(AND(ISNUMBER(U213),MAX(S213,T213)&gt;=Parametros!$B$15,ABS(N(U213))&gt;Parametros!$B$14),"SÍ","")</f>
        <v>SÍ</v>
      </c>
      <c r="Z213" s="3" t="n">
        <f aca="false">COUNTIF(V213:Y213,"SÍ")</f>
        <v>1</v>
      </c>
      <c r="AA213" s="3" t="n">
        <f aca="false">(3*(V213="SÍ")+2*(W213="SÍ")+2*(X213="SÍ")+(Y213="SÍ"))*IF(LEFT(D213,1)="A",3,IF(OR(LEFT(D213,1)="B",D213="SIN HIST"),2,1))</f>
        <v>3</v>
      </c>
      <c r="AB213" s="3" t="str">
        <f aca="false">IF(AA213&gt;=9,"1-ALTA",IF(AA213&gt;=4,"2-MEDIA",IF(AA213&gt;0,"3-BAJA","")))</f>
        <v>3-BAJA</v>
      </c>
      <c r="AC213" s="3" t="str">
        <f aca="false">IF(E213="BAJO SS","Stock + XLIB bajo el SS: riesgo real de quiebre, adelantar producción. ","")&amp;IF(E213="BAJO SS (XLIB CUBRE)","Disponible bajo el SS; depende de liberar "&amp;TEXT(J213,"#,##0")&amp;" kg"&amp;IF(ISNUMBER(K213)," el "&amp;TEXT(K213,"dd-mm"),"")&amp;". ","")&amp;IF(W213="SÍ","Stock parece sano pero "&amp;TEXT(L213,"#,##0")&amp;" kg no pasan filtro "&amp;Stock_Seguridad!O213&amp;": sin ellos queda bajo el SS para esa cadena. ","")&amp;IF(E213="SOBRE MAX VENDIBLE","Sobrestock vs vida útil: frenar producción/activar venta. ","")&amp;IF(N(N213)&gt;=Parametros!$B$17,TEXT(N213,"#,##0")&amp;" kg ya no los acepta ninguna cadena: venta intermedia/liquidación. ","")&amp;IF(N(M213)&gt;=Parametros!$B$17,TEXT(M213,"#,##0")&amp;" kg a punto de salir del filtro: despachar primero (FEFO). ","")&amp;IF(Y213="SÍ","Pedidos "&amp;IF(N(U213)&gt;0,"sobre","bajo")&amp;" FCST "&amp;TEXT(ABS(N(U213)),"0%")&amp;": revisar forecast con KAM.","")</f>
        <v>Pedidos bajo FCST 40%: revisar forecast con KAM.</v>
      </c>
    </row>
    <row r="214" customFormat="false" ht="15" hidden="false" customHeight="false" outlineLevel="0" collapsed="false">
      <c r="A214" s="18" t="n">
        <f aca="false">Stock_Seguridad!A214</f>
        <v>30001019</v>
      </c>
      <c r="B214" s="18" t="str">
        <f aca="false">Stock_Seguridad!B214</f>
        <v>YOGURT DANONE L&amp;F ARANDANO 48X115GR</v>
      </c>
      <c r="C214" s="18" t="str">
        <f aca="false">Stock_Seguridad!C214</f>
        <v>YOGURT</v>
      </c>
      <c r="D214" s="18" t="str">
        <f aca="false">Stock_Seguridad!F214</f>
        <v>BX</v>
      </c>
      <c r="E214" s="19" t="str">
        <f aca="false">Stock_Seguridad!X214</f>
        <v>BAJO SS (XLIB CUBRE)</v>
      </c>
      <c r="F214" s="20" t="n">
        <f aca="false">Stock_Seguridad!W214</f>
        <v>1.81048675405628</v>
      </c>
      <c r="G214" s="21" t="n">
        <f aca="false">Stock_Seguridad!T214</f>
        <v>3251.3</v>
      </c>
      <c r="H214" s="21" t="n">
        <f aca="false">Stock_Seguridad!R214</f>
        <v>3454.73388740598</v>
      </c>
      <c r="I214" s="21" t="n">
        <f aca="false">Stock_Seguridad!S214</f>
        <v>8909.23388740598</v>
      </c>
      <c r="J214" s="21" t="n">
        <f aca="false">Stock_Seguridad!U214</f>
        <v>6624</v>
      </c>
      <c r="K214" s="22" t="n">
        <v>46317</v>
      </c>
      <c r="L214" s="23" t="n">
        <v>0</v>
      </c>
      <c r="M214" s="23" t="n">
        <v>0</v>
      </c>
      <c r="N214" s="23" t="n">
        <v>0</v>
      </c>
      <c r="O214" s="24" t="n">
        <v>0.0500335382895472</v>
      </c>
      <c r="P214" s="24" t="n">
        <f aca="false">IF(ISNUMBER(Stock_Seguridad!N214),Stock_Seguridad!N214,"")</f>
        <v>0.323076923076923</v>
      </c>
      <c r="Q214" s="24" t="n">
        <f aca="false">IF(AND(ISNUMBER(O214),ISNUMBER(P214)),P214-O214,"")</f>
        <v>0.273043384787376</v>
      </c>
      <c r="R214" s="23" t="n">
        <f aca="false">MAX(0,G214-N(L214))</f>
        <v>3251.3</v>
      </c>
      <c r="S214" s="23" t="n">
        <f aca="false">SUMIFS(Cadenas_vs_FCST!$D$17:$D$2437,Cadenas_vs_FCST!$A$17:$A$2437,A214)</f>
        <v>23266.8</v>
      </c>
      <c r="T214" s="23" t="n">
        <f aca="false">SUMIFS(Cadenas_vs_FCST!$E$17:$E$2437,Cadenas_vs_FCST!$A$17:$A$2437,A214)</f>
        <v>15481.4026891076</v>
      </c>
      <c r="U214" s="24" t="n">
        <f aca="false">IF(T214&gt;0,S214/T214-1,"")</f>
        <v>0.502887074720304</v>
      </c>
      <c r="V214" s="3" t="str">
        <f aca="false">IF(OR(E214="BAJO SS",E214="BAJO SS (XLIB CUBRE)"),"SÍ","")</f>
        <v>SÍ</v>
      </c>
      <c r="W214" s="3" t="str">
        <f aca="false">IF(AND(V214="",N(L214)&gt;=Parametros!$B$17,G214&gt;=H214,R214&lt;H214),"SÍ","")</f>
        <v/>
      </c>
      <c r="X214" s="3" t="str">
        <f aca="false">IF(OR(E214="SOBRE MAX VENDIBLE",N(N214)&gt;=Parametros!$B$17,N(M214)&gt;=Parametros!$B$17),"SÍ","")</f>
        <v/>
      </c>
      <c r="Y214" s="3" t="str">
        <f aca="false">IF(AND(ISNUMBER(U214),MAX(S214,T214)&gt;=Parametros!$B$15,ABS(N(U214))&gt;Parametros!$B$14),"SÍ","")</f>
        <v>SÍ</v>
      </c>
      <c r="Z214" s="3" t="n">
        <f aca="false">COUNTIF(V214:Y214,"SÍ")</f>
        <v>2</v>
      </c>
      <c r="AA214" s="3" t="n">
        <f aca="false">(3*(V214="SÍ")+2*(W214="SÍ")+2*(X214="SÍ")+(Y214="SÍ"))*IF(LEFT(D214,1)="A",3,IF(OR(LEFT(D214,1)="B",D214="SIN HIST"),2,1))</f>
        <v>8</v>
      </c>
      <c r="AB214" s="3" t="str">
        <f aca="false">IF(AA214&gt;=9,"1-ALTA",IF(AA214&gt;=4,"2-MEDIA",IF(AA214&gt;0,"3-BAJA","")))</f>
        <v>2-MEDIA</v>
      </c>
      <c r="AC214" s="3" t="str">
        <f aca="false">IF(E214="BAJO SS","Stock + XLIB bajo el SS: riesgo real de quiebre, adelantar producción. ","")&amp;IF(E214="BAJO SS (XLIB CUBRE)","Disponible bajo el SS; depende de liberar "&amp;TEXT(J214,"#,##0")&amp;" kg"&amp;IF(ISNUMBER(K214)," el "&amp;TEXT(K214,"dd-mm"),"")&amp;". ","")&amp;IF(W214="SÍ","Stock parece sano pero "&amp;TEXT(L214,"#,##0")&amp;" kg no pasan filtro "&amp;Stock_Seguridad!O214&amp;": sin ellos queda bajo el SS para esa cadena. ","")&amp;IF(E214="SOBRE MAX VENDIBLE","Sobrestock vs vida útil: frenar producción/activar venta. ","")&amp;IF(N(N214)&gt;=Parametros!$B$17,TEXT(N214,"#,##0")&amp;" kg ya no los acepta ninguna cadena: venta intermedia/liquidación. ","")&amp;IF(N(M214)&gt;=Parametros!$B$17,TEXT(M214,"#,##0")&amp;" kg a punto de salir del filtro: despachar primero (FEFO). ","")&amp;IF(Y214="SÍ","Pedidos "&amp;IF(N(U214)&gt;0,"sobre","bajo")&amp;" FCST "&amp;TEXT(ABS(N(U214)),"0%")&amp;": revisar forecast con KAM.","")</f>
        <v>Disponible bajo el SS; depende de liberar 6,624 kg el 22-10. Pedidos sobre FCST 50%: revisar forecast con KAM.</v>
      </c>
    </row>
    <row r="215" customFormat="false" ht="15" hidden="false" customHeight="false" outlineLevel="0" collapsed="false">
      <c r="A215" s="18" t="n">
        <f aca="false">Stock_Seguridad!A215</f>
        <v>30000736</v>
      </c>
      <c r="B215" s="18" t="str">
        <f aca="false">Stock_Seguridad!B215</f>
        <v>ENSALADA PRIMAVERA IQF FDM 16X1KG</v>
      </c>
      <c r="C215" s="18" t="str">
        <f aca="false">Stock_Seguridad!C215</f>
        <v>FRUTAS Y HORTALIZAS CONGELADAS</v>
      </c>
      <c r="D215" s="18" t="str">
        <f aca="false">Stock_Seguridad!F215</f>
        <v>SIN HIST</v>
      </c>
      <c r="E215" s="19" t="str">
        <f aca="false">Stock_Seguridad!X215</f>
        <v>OK</v>
      </c>
      <c r="F215" s="20" t="n">
        <f aca="false">Stock_Seguridad!W215</f>
        <v>12.0856556174831</v>
      </c>
      <c r="G215" s="21" t="n">
        <f aca="false">Stock_Seguridad!T215</f>
        <v>65920</v>
      </c>
      <c r="H215" s="21" t="n">
        <f aca="false">Stock_Seguridad!R215</f>
        <v>2691.50688685323</v>
      </c>
      <c r="I215" s="21" t="n">
        <f aca="false">Stock_Seguridad!S215</f>
        <v>8145.90688685323</v>
      </c>
      <c r="J215" s="21" t="n">
        <f aca="false">Stock_Seguridad!U215</f>
        <v>0</v>
      </c>
      <c r="K215" s="22"/>
      <c r="L215" s="23" t="n">
        <v>0</v>
      </c>
      <c r="M215" s="23" t="n">
        <v>0</v>
      </c>
      <c r="N215" s="23" t="n">
        <v>0</v>
      </c>
      <c r="O215" s="24" t="n">
        <v>0.0512111650485437</v>
      </c>
      <c r="P215" s="24" t="str">
        <f aca="false">IF(ISNUMBER(Stock_Seguridad!N215),Stock_Seguridad!N215,"")</f>
        <v/>
      </c>
      <c r="Q215" s="24" t="str">
        <f aca="false">IF(AND(ISNUMBER(O215),ISNUMBER(P215)),P215-O215,"")</f>
        <v/>
      </c>
      <c r="R215" s="23" t="n">
        <f aca="false">MAX(0,G215-N(L215))</f>
        <v>65920</v>
      </c>
      <c r="S215" s="23" t="n">
        <f aca="false">SUMIFS(Cadenas_vs_FCST!$D$17:$D$2437,Cadenas_vs_FCST!$A$17:$A$2437,A215)</f>
        <v>0</v>
      </c>
      <c r="T215" s="23" t="n">
        <f aca="false">SUMIFS(Cadenas_vs_FCST!$E$17:$E$2437,Cadenas_vs_FCST!$A$17:$A$2437,A215)</f>
        <v>0</v>
      </c>
      <c r="U215" s="24" t="str">
        <f aca="false">IF(T215&gt;0,S215/T215-1,"")</f>
        <v/>
      </c>
      <c r="V215" s="3" t="str">
        <f aca="false">IF(OR(E215="BAJO SS",E215="BAJO SS (XLIB CUBRE)"),"SÍ","")</f>
        <v/>
      </c>
      <c r="W215" s="3" t="str">
        <f aca="false">IF(AND(V215="",N(L215)&gt;=Parametros!$B$17,G215&gt;=H215,R215&lt;H215),"SÍ","")</f>
        <v/>
      </c>
      <c r="X215" s="3" t="str">
        <f aca="false">IF(OR(E215="SOBRE MAX VENDIBLE",N(N215)&gt;=Parametros!$B$17,N(M215)&gt;=Parametros!$B$17),"SÍ","")</f>
        <v/>
      </c>
      <c r="Y215" s="3" t="str">
        <f aca="false">IF(AND(ISNUMBER(U215),MAX(S215,T215)&gt;=Parametros!$B$15,ABS(N(U215))&gt;Parametros!$B$14),"SÍ","")</f>
        <v/>
      </c>
      <c r="Z215" s="3" t="n">
        <f aca="false">COUNTIF(V215:Y215,"SÍ")</f>
        <v>0</v>
      </c>
      <c r="AA215" s="3" t="n">
        <f aca="false">(3*(V215="SÍ")+2*(W215="SÍ")+2*(X215="SÍ")+(Y215="SÍ"))*IF(LEFT(D215,1)="A",3,IF(OR(LEFT(D215,1)="B",D215="SIN HIST"),2,1))</f>
        <v>0</v>
      </c>
      <c r="AB215" s="3" t="str">
        <f aca="false">IF(AA215&gt;=9,"1-ALTA",IF(AA215&gt;=4,"2-MEDIA",IF(AA215&gt;0,"3-BAJA","")))</f>
        <v/>
      </c>
      <c r="AC215" s="3" t="str">
        <f aca="false">IF(E215="BAJO SS","Stock + XLIB bajo el SS: riesgo real de quiebre, adelantar producción. ","")&amp;IF(E215="BAJO SS (XLIB CUBRE)","Disponible bajo el SS; depende de liberar "&amp;TEXT(J215,"#,##0")&amp;" kg"&amp;IF(ISNUMBER(K215)," el "&amp;TEXT(K215,"dd-mm"),"")&amp;". ","")&amp;IF(W215="SÍ","Stock parece sano pero "&amp;TEXT(L215,"#,##0")&amp;" kg no pasan filtro "&amp;Stock_Seguridad!O215&amp;": sin ellos queda bajo el SS para esa cadena. ","")&amp;IF(E215="SOBRE MAX VENDIBLE","Sobrestock vs vida útil: frenar producción/activar venta. ","")&amp;IF(N(N215)&gt;=Parametros!$B$17,TEXT(N215,"#,##0")&amp;" kg ya no los acepta ninguna cadena: venta intermedia/liquidación. ","")&amp;IF(N(M215)&gt;=Parametros!$B$17,TEXT(M215,"#,##0")&amp;" kg a punto de salir del filtro: despachar primero (FEFO). ","")&amp;IF(Y215="SÍ","Pedidos "&amp;IF(N(U215)&gt;0,"sobre","bajo")&amp;" FCST "&amp;TEXT(ABS(N(U215)),"0%")&amp;": revisar forecast con KAM.","")</f>
        <v/>
      </c>
    </row>
    <row r="216" customFormat="false" ht="15" hidden="false" customHeight="false" outlineLevel="0" collapsed="false">
      <c r="A216" s="18" t="n">
        <f aca="false">Stock_Seguridad!A216</f>
        <v>30000097</v>
      </c>
      <c r="B216" s="18" t="str">
        <f aca="false">Stock_Seguridad!B216</f>
        <v>MARGARINA CALO MIX 12X350GR</v>
      </c>
      <c r="C216" s="18" t="str">
        <f aca="false">Stock_Seguridad!C216</f>
        <v>MARGARINAS</v>
      </c>
      <c r="D216" s="18" t="str">
        <f aca="false">Stock_Seguridad!F216</f>
        <v>BX</v>
      </c>
      <c r="E216" s="19" t="str">
        <f aca="false">Stock_Seguridad!X216</f>
        <v>OK</v>
      </c>
      <c r="F216" s="20" t="n">
        <f aca="false">Stock_Seguridad!W216</f>
        <v>4.00502752293578</v>
      </c>
      <c r="G216" s="21" t="n">
        <f aca="false">Stock_Seguridad!T216</f>
        <v>21827.4</v>
      </c>
      <c r="H216" s="21" t="n">
        <f aca="false">Stock_Seguridad!R216</f>
        <v>1745.72497675271</v>
      </c>
      <c r="I216" s="21" t="n">
        <f aca="false">Stock_Seguridad!S216</f>
        <v>7195.72497675271</v>
      </c>
      <c r="J216" s="21" t="n">
        <f aca="false">Stock_Seguridad!U216</f>
        <v>0</v>
      </c>
      <c r="K216" s="22"/>
      <c r="L216" s="23" t="n">
        <v>340.2</v>
      </c>
      <c r="M216" s="23" t="n">
        <v>4468.8</v>
      </c>
      <c r="N216" s="23" t="n">
        <v>0</v>
      </c>
      <c r="O216" s="24" t="n">
        <v>0.113497688751926</v>
      </c>
      <c r="P216" s="24" t="n">
        <f aca="false">IF(ISNUMBER(Stock_Seguridad!N216),Stock_Seguridad!N216,"")</f>
        <v>0.244565217391304</v>
      </c>
      <c r="Q216" s="24" t="n">
        <f aca="false">IF(AND(ISNUMBER(O216),ISNUMBER(P216)),P216-O216,"")</f>
        <v>0.131067528639378</v>
      </c>
      <c r="R216" s="23" t="n">
        <f aca="false">MAX(0,G216-N(L216))</f>
        <v>21487.2</v>
      </c>
      <c r="S216" s="23" t="n">
        <f aca="false">SUMIFS(Cadenas_vs_FCST!$D$17:$D$2437,Cadenas_vs_FCST!$A$17:$A$2437,A216)</f>
        <v>23163</v>
      </c>
      <c r="T216" s="23" t="n">
        <f aca="false">SUMIFS(Cadenas_vs_FCST!$E$17:$E$2437,Cadenas_vs_FCST!$A$17:$A$2437,A216)</f>
        <v>25203.2327603374</v>
      </c>
      <c r="U216" s="24" t="n">
        <f aca="false">IF(T216&gt;0,S216/T216-1,"")</f>
        <v>-0.0809512327144046</v>
      </c>
      <c r="V216" s="3" t="str">
        <f aca="false">IF(OR(E216="BAJO SS",E216="BAJO SS (XLIB CUBRE)"),"SÍ","")</f>
        <v/>
      </c>
      <c r="W216" s="3" t="str">
        <f aca="false">IF(AND(V216="",N(L216)&gt;=Parametros!$B$17,G216&gt;=H216,R216&lt;H216),"SÍ","")</f>
        <v/>
      </c>
      <c r="X216" s="3" t="str">
        <f aca="false">IF(OR(E216="SOBRE MAX VENDIBLE",N(N216)&gt;=Parametros!$B$17,N(M216)&gt;=Parametros!$B$17),"SÍ","")</f>
        <v>SÍ</v>
      </c>
      <c r="Y216" s="3" t="str">
        <f aca="false">IF(AND(ISNUMBER(U216),MAX(S216,T216)&gt;=Parametros!$B$15,ABS(N(U216))&gt;Parametros!$B$14),"SÍ","")</f>
        <v/>
      </c>
      <c r="Z216" s="3" t="n">
        <f aca="false">COUNTIF(V216:Y216,"SÍ")</f>
        <v>1</v>
      </c>
      <c r="AA216" s="3" t="n">
        <f aca="false">(3*(V216="SÍ")+2*(W216="SÍ")+2*(X216="SÍ")+(Y216="SÍ"))*IF(LEFT(D216,1)="A",3,IF(OR(LEFT(D216,1)="B",D216="SIN HIST"),2,1))</f>
        <v>4</v>
      </c>
      <c r="AB216" s="3" t="str">
        <f aca="false">IF(AA216&gt;=9,"1-ALTA",IF(AA216&gt;=4,"2-MEDIA",IF(AA216&gt;0,"3-BAJA","")))</f>
        <v>2-MEDIA</v>
      </c>
      <c r="AC216" s="3" t="str">
        <f aca="false">IF(E216="BAJO SS","Stock + XLIB bajo el SS: riesgo real de quiebre, adelantar producción. ","")&amp;IF(E216="BAJO SS (XLIB CUBRE)","Disponible bajo el SS; depende de liberar "&amp;TEXT(J216,"#,##0")&amp;" kg"&amp;IF(ISNUMBER(K216)," el "&amp;TEXT(K216,"dd-mm"),"")&amp;". ","")&amp;IF(W216="SÍ","Stock parece sano pero "&amp;TEXT(L216,"#,##0")&amp;" kg no pasan filtro "&amp;Stock_Seguridad!O216&amp;": sin ellos queda bajo el SS para esa cadena. ","")&amp;IF(E216="SOBRE MAX VENDIBLE","Sobrestock vs vida útil: frenar producción/activar venta. ","")&amp;IF(N(N216)&gt;=Parametros!$B$17,TEXT(N216,"#,##0")&amp;" kg ya no los acepta ninguna cadena: venta intermedia/liquidación. ","")&amp;IF(N(M216)&gt;=Parametros!$B$17,TEXT(M216,"#,##0")&amp;" kg a punto de salir del filtro: despachar primero (FEFO). ","")&amp;IF(Y216="SÍ","Pedidos "&amp;IF(N(U216)&gt;0,"sobre","bajo")&amp;" FCST "&amp;TEXT(ABS(N(U216)),"0%")&amp;": revisar forecast con KAM.","")</f>
        <v>4,469 kg a punto de salir del filtro: despachar primero (FEFO). </v>
      </c>
    </row>
    <row r="217" customFormat="false" ht="15" hidden="false" customHeight="false" outlineLevel="0" collapsed="false">
      <c r="A217" s="18" t="n">
        <f aca="false">Stock_Seguridad!A217</f>
        <v>30001756</v>
      </c>
      <c r="B217" s="18" t="str">
        <f aca="false">Stock_Seguridad!B217</f>
        <v>MERMELADA WATTS MORA 12X225GR</v>
      </c>
      <c r="C217" s="18" t="str">
        <f aca="false">Stock_Seguridad!C217</f>
        <v>MERMELADAS</v>
      </c>
      <c r="D217" s="18" t="str">
        <f aca="false">Stock_Seguridad!F217</f>
        <v>BX</v>
      </c>
      <c r="E217" s="19" t="str">
        <f aca="false">Stock_Seguridad!X217</f>
        <v>OK</v>
      </c>
      <c r="F217" s="20" t="n">
        <f aca="false">Stock_Seguridad!W217</f>
        <v>1.61346976744186</v>
      </c>
      <c r="G217" s="21" t="n">
        <f aca="false">Stock_Seguridad!T217</f>
        <v>8672.4</v>
      </c>
      <c r="H217" s="21" t="n">
        <f aca="false">Stock_Seguridad!R217</f>
        <v>1862.68123092687</v>
      </c>
      <c r="I217" s="21" t="n">
        <f aca="false">Stock_Seguridad!S217</f>
        <v>7237.68123092687</v>
      </c>
      <c r="J217" s="21" t="n">
        <f aca="false">Stock_Seguridad!U217</f>
        <v>0</v>
      </c>
      <c r="K217" s="22"/>
      <c r="L217" s="23" t="n">
        <v>0</v>
      </c>
      <c r="M217" s="23" t="n">
        <v>348.3</v>
      </c>
      <c r="N217" s="23" t="n">
        <v>0</v>
      </c>
      <c r="O217" s="24" t="n">
        <v>0.051192403486924</v>
      </c>
      <c r="P217" s="24" t="n">
        <f aca="false">IF(ISNUMBER(Stock_Seguridad!N217),Stock_Seguridad!N217,"")</f>
        <v>0.273972602739726</v>
      </c>
      <c r="Q217" s="24" t="n">
        <f aca="false">IF(AND(ISNUMBER(O217),ISNUMBER(P217)),P217-O217,"")</f>
        <v>0.222780199252802</v>
      </c>
      <c r="R217" s="23" t="n">
        <f aca="false">MAX(0,G217-N(L217))</f>
        <v>8672.4</v>
      </c>
      <c r="S217" s="23" t="n">
        <f aca="false">SUMIFS(Cadenas_vs_FCST!$D$17:$D$2437,Cadenas_vs_FCST!$A$17:$A$2437,A217)</f>
        <v>19423.8</v>
      </c>
      <c r="T217" s="23" t="n">
        <f aca="false">SUMIFS(Cadenas_vs_FCST!$E$17:$E$2437,Cadenas_vs_FCST!$A$17:$A$2437,A217)</f>
        <v>17500</v>
      </c>
      <c r="U217" s="24" t="n">
        <f aca="false">IF(T217&gt;0,S217/T217-1,"")</f>
        <v>0.109931428571429</v>
      </c>
      <c r="V217" s="3" t="str">
        <f aca="false">IF(OR(E217="BAJO SS",E217="BAJO SS (XLIB CUBRE)"),"SÍ","")</f>
        <v/>
      </c>
      <c r="W217" s="3" t="str">
        <f aca="false">IF(AND(V217="",N(L217)&gt;=Parametros!$B$17,G217&gt;=H217,R217&lt;H217),"SÍ","")</f>
        <v/>
      </c>
      <c r="X217" s="3" t="str">
        <f aca="false">IF(OR(E217="SOBRE MAX VENDIBLE",N(N217)&gt;=Parametros!$B$17,N(M217)&gt;=Parametros!$B$17),"SÍ","")</f>
        <v/>
      </c>
      <c r="Y217" s="3" t="str">
        <f aca="false">IF(AND(ISNUMBER(U217),MAX(S217,T217)&gt;=Parametros!$B$15,ABS(N(U217))&gt;Parametros!$B$14),"SÍ","")</f>
        <v/>
      </c>
      <c r="Z217" s="3" t="n">
        <f aca="false">COUNTIF(V217:Y217,"SÍ")</f>
        <v>0</v>
      </c>
      <c r="AA217" s="3" t="n">
        <f aca="false">(3*(V217="SÍ")+2*(W217="SÍ")+2*(X217="SÍ")+(Y217="SÍ"))*IF(LEFT(D217,1)="A",3,IF(OR(LEFT(D217,1)="B",D217="SIN HIST"),2,1))</f>
        <v>0</v>
      </c>
      <c r="AB217" s="3" t="str">
        <f aca="false">IF(AA217&gt;=9,"1-ALTA",IF(AA217&gt;=4,"2-MEDIA",IF(AA217&gt;0,"3-BAJA","")))</f>
        <v/>
      </c>
      <c r="AC217" s="3" t="str">
        <f aca="false">IF(E217="BAJO SS","Stock + XLIB bajo el SS: riesgo real de quiebre, adelantar producción. ","")&amp;IF(E217="BAJO SS (XLIB CUBRE)","Disponible bajo el SS; depende de liberar "&amp;TEXT(J217,"#,##0")&amp;" kg"&amp;IF(ISNUMBER(K217)," el "&amp;TEXT(K217,"dd-mm"),"")&amp;". ","")&amp;IF(W217="SÍ","Stock parece sano pero "&amp;TEXT(L217,"#,##0")&amp;" kg no pasan filtro "&amp;Stock_Seguridad!O217&amp;": sin ellos queda bajo el SS para esa cadena. ","")&amp;IF(E217="SOBRE MAX VENDIBLE","Sobrestock vs vida útil: frenar producción/activar venta. ","")&amp;IF(N(N217)&gt;=Parametros!$B$17,TEXT(N217,"#,##0")&amp;" kg ya no los acepta ninguna cadena: venta intermedia/liquidación. ","")&amp;IF(N(M217)&gt;=Parametros!$B$17,TEXT(M217,"#,##0")&amp;" kg a punto de salir del filtro: despachar primero (FEFO). ","")&amp;IF(Y217="SÍ","Pedidos "&amp;IF(N(U217)&gt;0,"sobre","bajo")&amp;" FCST "&amp;TEXT(ABS(N(U217)),"0%")&amp;": revisar forecast con KAM.","")</f>
        <v/>
      </c>
    </row>
    <row r="218" customFormat="false" ht="15" hidden="false" customHeight="false" outlineLevel="0" collapsed="false">
      <c r="A218" s="18" t="n">
        <f aca="false">Stock_Seguridad!A218</f>
        <v>30000775</v>
      </c>
      <c r="B218" s="18" t="str">
        <f aca="false">Stock_Seguridad!B218</f>
        <v>CHOCLO TROZO COBERT FM 10X200GR</v>
      </c>
      <c r="C218" s="18" t="str">
        <f aca="false">Stock_Seguridad!C218</f>
        <v>FRUTAS Y HORTALIZAS CONGELADAS</v>
      </c>
      <c r="D218" s="18" t="str">
        <f aca="false">Stock_Seguridad!F218</f>
        <v>SIN HIST</v>
      </c>
      <c r="E218" s="19" t="str">
        <f aca="false">Stock_Seguridad!X218</f>
        <v>OK</v>
      </c>
      <c r="F218" s="20" t="n">
        <f aca="false">Stock_Seguridad!W218</f>
        <v>2.37581395348837</v>
      </c>
      <c r="G218" s="21" t="n">
        <f aca="false">Stock_Seguridad!T218</f>
        <v>5920</v>
      </c>
      <c r="H218" s="21" t="n">
        <f aca="false">Stock_Seguridad!R218</f>
        <v>2652.32647345925</v>
      </c>
      <c r="I218" s="21" t="n">
        <f aca="false">Stock_Seguridad!S218</f>
        <v>8027.32647345925</v>
      </c>
      <c r="J218" s="21" t="n">
        <f aca="false">Stock_Seguridad!U218</f>
        <v>6850</v>
      </c>
      <c r="K218" s="22" t="n">
        <v>46317</v>
      </c>
      <c r="L218" s="23" t="n">
        <v>0</v>
      </c>
      <c r="M218" s="23" t="n">
        <v>0</v>
      </c>
      <c r="N218" s="23" t="n">
        <v>0</v>
      </c>
      <c r="O218" s="24" t="n">
        <v>0.00246515270164448</v>
      </c>
      <c r="P218" s="24" t="str">
        <f aca="false">IF(ISNUMBER(Stock_Seguridad!N218),Stock_Seguridad!N218,"")</f>
        <v/>
      </c>
      <c r="Q218" s="24" t="str">
        <f aca="false">IF(AND(ISNUMBER(O218),ISNUMBER(P218)),P218-O218,"")</f>
        <v/>
      </c>
      <c r="R218" s="23" t="n">
        <f aca="false">MAX(0,G218-N(L218))</f>
        <v>5920</v>
      </c>
      <c r="S218" s="23" t="n">
        <f aca="false">SUMIFS(Cadenas_vs_FCST!$D$17:$D$2437,Cadenas_vs_FCST!$A$17:$A$2437,A218)</f>
        <v>0</v>
      </c>
      <c r="T218" s="23" t="n">
        <f aca="false">SUMIFS(Cadenas_vs_FCST!$E$17:$E$2437,Cadenas_vs_FCST!$A$17:$A$2437,A218)</f>
        <v>0</v>
      </c>
      <c r="U218" s="24" t="str">
        <f aca="false">IF(T218&gt;0,S218/T218-1,"")</f>
        <v/>
      </c>
      <c r="V218" s="3" t="str">
        <f aca="false">IF(OR(E218="BAJO SS",E218="BAJO SS (XLIB CUBRE)"),"SÍ","")</f>
        <v/>
      </c>
      <c r="W218" s="3" t="str">
        <f aca="false">IF(AND(V218="",N(L218)&gt;=Parametros!$B$17,G218&gt;=H218,R218&lt;H218),"SÍ","")</f>
        <v/>
      </c>
      <c r="X218" s="3" t="str">
        <f aca="false">IF(OR(E218="SOBRE MAX VENDIBLE",N(N218)&gt;=Parametros!$B$17,N(M218)&gt;=Parametros!$B$17),"SÍ","")</f>
        <v/>
      </c>
      <c r="Y218" s="3" t="str">
        <f aca="false">IF(AND(ISNUMBER(U218),MAX(S218,T218)&gt;=Parametros!$B$15,ABS(N(U218))&gt;Parametros!$B$14),"SÍ","")</f>
        <v/>
      </c>
      <c r="Z218" s="3" t="n">
        <f aca="false">COUNTIF(V218:Y218,"SÍ")</f>
        <v>0</v>
      </c>
      <c r="AA218" s="3" t="n">
        <f aca="false">(3*(V218="SÍ")+2*(W218="SÍ")+2*(X218="SÍ")+(Y218="SÍ"))*IF(LEFT(D218,1)="A",3,IF(OR(LEFT(D218,1)="B",D218="SIN HIST"),2,1))</f>
        <v>0</v>
      </c>
      <c r="AB218" s="3" t="str">
        <f aca="false">IF(AA218&gt;=9,"1-ALTA",IF(AA218&gt;=4,"2-MEDIA",IF(AA218&gt;0,"3-BAJA","")))</f>
        <v/>
      </c>
      <c r="AC218" s="3" t="str">
        <f aca="false">IF(E218="BAJO SS","Stock + XLIB bajo el SS: riesgo real de quiebre, adelantar producción. ","")&amp;IF(E218="BAJO SS (XLIB CUBRE)","Disponible bajo el SS; depende de liberar "&amp;TEXT(J218,"#,##0")&amp;" kg"&amp;IF(ISNUMBER(K218)," el "&amp;TEXT(K218,"dd-mm"),"")&amp;". ","")&amp;IF(W218="SÍ","Stock parece sano pero "&amp;TEXT(L218,"#,##0")&amp;" kg no pasan filtro "&amp;Stock_Seguridad!O218&amp;": sin ellos queda bajo el SS para esa cadena. ","")&amp;IF(E218="SOBRE MAX VENDIBLE","Sobrestock vs vida útil: frenar producción/activar venta. ","")&amp;IF(N(N218)&gt;=Parametros!$B$17,TEXT(N218,"#,##0")&amp;" kg ya no los acepta ninguna cadena: venta intermedia/liquidación. ","")&amp;IF(N(M218)&gt;=Parametros!$B$17,TEXT(M218,"#,##0")&amp;" kg a punto de salir del filtro: despachar primero (FEFO). ","")&amp;IF(Y218="SÍ","Pedidos "&amp;IF(N(U218)&gt;0,"sobre","bajo")&amp;" FCST "&amp;TEXT(ABS(N(U218)),"0%")&amp;": revisar forecast con KAM.","")</f>
        <v/>
      </c>
    </row>
    <row r="219" customFormat="false" ht="15" hidden="false" customHeight="false" outlineLevel="0" collapsed="false">
      <c r="A219" s="18" t="n">
        <f aca="false">Stock_Seguridad!A219</f>
        <v>30000321</v>
      </c>
      <c r="B219" s="18" t="str">
        <f aca="false">Stock_Seguridad!B219</f>
        <v>LECHE POLVO LONCO S/LACT 10X800GR</v>
      </c>
      <c r="C219" s="18" t="str">
        <f aca="false">Stock_Seguridad!C219</f>
        <v>LECHES EN POLVO</v>
      </c>
      <c r="D219" s="18" t="str">
        <f aca="false">Stock_Seguridad!F219</f>
        <v>BX</v>
      </c>
      <c r="E219" s="19" t="str">
        <f aca="false">Stock_Seguridad!X219</f>
        <v>OK</v>
      </c>
      <c r="F219" s="20" t="n">
        <f aca="false">Stock_Seguridad!W219</f>
        <v>3.14951254000149</v>
      </c>
      <c r="G219" s="21" t="n">
        <f aca="false">Stock_Seguridad!T219</f>
        <v>16928</v>
      </c>
      <c r="H219" s="21" t="n">
        <f aca="false">Stock_Seguridad!R219</f>
        <v>1134.14417675049</v>
      </c>
      <c r="I219" s="21" t="n">
        <f aca="false">Stock_Seguridad!S219</f>
        <v>6508.94417675049</v>
      </c>
      <c r="J219" s="21" t="n">
        <f aca="false">Stock_Seguridad!U219</f>
        <v>0</v>
      </c>
      <c r="K219" s="22"/>
      <c r="L219" s="23" t="n">
        <v>0</v>
      </c>
      <c r="M219" s="23" t="n">
        <v>0</v>
      </c>
      <c r="N219" s="23" t="n">
        <v>0</v>
      </c>
      <c r="O219" s="24" t="n">
        <v>0.0524680246328754</v>
      </c>
      <c r="P219" s="24" t="n">
        <f aca="false">IF(ISNUMBER(Stock_Seguridad!N219),Stock_Seguridad!N219,"")</f>
        <v>0.32054794520548</v>
      </c>
      <c r="Q219" s="24" t="n">
        <f aca="false">IF(AND(ISNUMBER(O219),ISNUMBER(P219)),P219-O219,"")</f>
        <v>0.268079920572604</v>
      </c>
      <c r="R219" s="23" t="n">
        <f aca="false">MAX(0,G219-N(L219))</f>
        <v>16928</v>
      </c>
      <c r="S219" s="23" t="n">
        <f aca="false">SUMIFS(Cadenas_vs_FCST!$D$17:$D$2437,Cadenas_vs_FCST!$A$17:$A$2437,A219)</f>
        <v>21128</v>
      </c>
      <c r="T219" s="23" t="n">
        <f aca="false">SUMIFS(Cadenas_vs_FCST!$E$17:$E$2437,Cadenas_vs_FCST!$A$17:$A$2437,A219)</f>
        <v>19478.5230550219</v>
      </c>
      <c r="U219" s="24" t="n">
        <f aca="false">IF(T219&gt;0,S219/T219-1,"")</f>
        <v>0.0846818283048847</v>
      </c>
      <c r="V219" s="3" t="str">
        <f aca="false">IF(OR(E219="BAJO SS",E219="BAJO SS (XLIB CUBRE)"),"SÍ","")</f>
        <v/>
      </c>
      <c r="W219" s="3" t="str">
        <f aca="false">IF(AND(V219="",N(L219)&gt;=Parametros!$B$17,G219&gt;=H219,R219&lt;H219),"SÍ","")</f>
        <v/>
      </c>
      <c r="X219" s="3" t="str">
        <f aca="false">IF(OR(E219="SOBRE MAX VENDIBLE",N(N219)&gt;=Parametros!$B$17,N(M219)&gt;=Parametros!$B$17),"SÍ","")</f>
        <v/>
      </c>
      <c r="Y219" s="3" t="str">
        <f aca="false">IF(AND(ISNUMBER(U219),MAX(S219,T219)&gt;=Parametros!$B$15,ABS(N(U219))&gt;Parametros!$B$14),"SÍ","")</f>
        <v/>
      </c>
      <c r="Z219" s="3" t="n">
        <f aca="false">COUNTIF(V219:Y219,"SÍ")</f>
        <v>0</v>
      </c>
      <c r="AA219" s="3" t="n">
        <f aca="false">(3*(V219="SÍ")+2*(W219="SÍ")+2*(X219="SÍ")+(Y219="SÍ"))*IF(LEFT(D219,1)="A",3,IF(OR(LEFT(D219,1)="B",D219="SIN HIST"),2,1))</f>
        <v>0</v>
      </c>
      <c r="AB219" s="3" t="str">
        <f aca="false">IF(AA219&gt;=9,"1-ALTA",IF(AA219&gt;=4,"2-MEDIA",IF(AA219&gt;0,"3-BAJA","")))</f>
        <v/>
      </c>
      <c r="AC219" s="3" t="str">
        <f aca="false">IF(E219="BAJO SS","Stock + XLIB bajo el SS: riesgo real de quiebre, adelantar producción. ","")&amp;IF(E219="BAJO SS (XLIB CUBRE)","Disponible bajo el SS; depende de liberar "&amp;TEXT(J219,"#,##0")&amp;" kg"&amp;IF(ISNUMBER(K219)," el "&amp;TEXT(K219,"dd-mm"),"")&amp;". ","")&amp;IF(W219="SÍ","Stock parece sano pero "&amp;TEXT(L219,"#,##0")&amp;" kg no pasan filtro "&amp;Stock_Seguridad!O219&amp;": sin ellos queda bajo el SS para esa cadena. ","")&amp;IF(E219="SOBRE MAX VENDIBLE","Sobrestock vs vida útil: frenar producción/activar venta. ","")&amp;IF(N(N219)&gt;=Parametros!$B$17,TEXT(N219,"#,##0")&amp;" kg ya no los acepta ninguna cadena: venta intermedia/liquidación. ","")&amp;IF(N(M219)&gt;=Parametros!$B$17,TEXT(M219,"#,##0")&amp;" kg a punto de salir del filtro: despachar primero (FEFO). ","")&amp;IF(Y219="SÍ","Pedidos "&amp;IF(N(U219)&gt;0,"sobre","bajo")&amp;" FCST "&amp;TEXT(ABS(N(U219)),"0%")&amp;": revisar forecast con KAM.","")</f>
        <v/>
      </c>
    </row>
    <row r="220" customFormat="false" ht="15" hidden="false" customHeight="false" outlineLevel="0" collapsed="false">
      <c r="A220" s="18" t="n">
        <f aca="false">Stock_Seguridad!A220</f>
        <v>30000054</v>
      </c>
      <c r="B220" s="18" t="str">
        <f aca="false">Stock_Seguridad!B220</f>
        <v>ACEITE CHEF PEPITA UVA 12X1LT</v>
      </c>
      <c r="C220" s="18" t="str">
        <f aca="false">Stock_Seguridad!C220</f>
        <v>ACEITES</v>
      </c>
      <c r="D220" s="18" t="str">
        <f aca="false">Stock_Seguridad!F220</f>
        <v>BX</v>
      </c>
      <c r="E220" s="19" t="str">
        <f aca="false">Stock_Seguridad!X220</f>
        <v>OK</v>
      </c>
      <c r="F220" s="20" t="n">
        <f aca="false">Stock_Seguridad!W220</f>
        <v>4.59096938108315</v>
      </c>
      <c r="G220" s="21" t="n">
        <f aca="false">Stock_Seguridad!T220</f>
        <v>24575</v>
      </c>
      <c r="H220" s="21" t="n">
        <f aca="false">Stock_Seguridad!R220</f>
        <v>4610.6348265277</v>
      </c>
      <c r="I220" s="21" t="n">
        <f aca="false">Stock_Seguridad!S220</f>
        <v>9963.5348265277</v>
      </c>
      <c r="J220" s="21" t="n">
        <f aca="false">Stock_Seguridad!U220</f>
        <v>0</v>
      </c>
      <c r="K220" s="22"/>
      <c r="L220" s="23" t="n">
        <v>0</v>
      </c>
      <c r="M220" s="23" t="n">
        <v>0</v>
      </c>
      <c r="N220" s="23" t="n">
        <v>0</v>
      </c>
      <c r="O220" s="24" t="n">
        <v>0.0372841726618705</v>
      </c>
      <c r="P220" s="24" t="n">
        <f aca="false">IF(ISNUMBER(Stock_Seguridad!N220),Stock_Seguridad!N220,"")</f>
        <v>0.32054794520548</v>
      </c>
      <c r="Q220" s="24" t="n">
        <f aca="false">IF(AND(ISNUMBER(O220),ISNUMBER(P220)),P220-O220,"")</f>
        <v>0.283263772543609</v>
      </c>
      <c r="R220" s="23" t="n">
        <f aca="false">MAX(0,G220-N(L220))</f>
        <v>24575</v>
      </c>
      <c r="S220" s="23" t="n">
        <f aca="false">SUMIFS(Cadenas_vs_FCST!$D$17:$D$2437,Cadenas_vs_FCST!$A$17:$A$2437,A220)</f>
        <v>23614.56</v>
      </c>
      <c r="T220" s="23" t="n">
        <f aca="false">SUMIFS(Cadenas_vs_FCST!$E$17:$E$2437,Cadenas_vs_FCST!$A$17:$A$2437,A220)</f>
        <v>19350.48</v>
      </c>
      <c r="U220" s="24" t="n">
        <f aca="false">IF(T220&gt;0,S220/T220-1,"")</f>
        <v>0.220360425167748</v>
      </c>
      <c r="V220" s="3" t="str">
        <f aca="false">IF(OR(E220="BAJO SS",E220="BAJO SS (XLIB CUBRE)"),"SÍ","")</f>
        <v/>
      </c>
      <c r="W220" s="3" t="str">
        <f aca="false">IF(AND(V220="",N(L220)&gt;=Parametros!$B$17,G220&gt;=H220,R220&lt;H220),"SÍ","")</f>
        <v/>
      </c>
      <c r="X220" s="3" t="str">
        <f aca="false">IF(OR(E220="SOBRE MAX VENDIBLE",N(N220)&gt;=Parametros!$B$17,N(M220)&gt;=Parametros!$B$17),"SÍ","")</f>
        <v/>
      </c>
      <c r="Y220" s="3" t="str">
        <f aca="false">IF(AND(ISNUMBER(U220),MAX(S220,T220)&gt;=Parametros!$B$15,ABS(N(U220))&gt;Parametros!$B$14),"SÍ","")</f>
        <v>SÍ</v>
      </c>
      <c r="Z220" s="3" t="n">
        <f aca="false">COUNTIF(V220:Y220,"SÍ")</f>
        <v>1</v>
      </c>
      <c r="AA220" s="3" t="n">
        <f aca="false">(3*(V220="SÍ")+2*(W220="SÍ")+2*(X220="SÍ")+(Y220="SÍ"))*IF(LEFT(D220,1)="A",3,IF(OR(LEFT(D220,1)="B",D220="SIN HIST"),2,1))</f>
        <v>2</v>
      </c>
      <c r="AB220" s="3" t="str">
        <f aca="false">IF(AA220&gt;=9,"1-ALTA",IF(AA220&gt;=4,"2-MEDIA",IF(AA220&gt;0,"3-BAJA","")))</f>
        <v>3-BAJA</v>
      </c>
      <c r="AC220" s="3" t="str">
        <f aca="false">IF(E220="BAJO SS","Stock + XLIB bajo el SS: riesgo real de quiebre, adelantar producción. ","")&amp;IF(E220="BAJO SS (XLIB CUBRE)","Disponible bajo el SS; depende de liberar "&amp;TEXT(J220,"#,##0")&amp;" kg"&amp;IF(ISNUMBER(K220)," el "&amp;TEXT(K220,"dd-mm"),"")&amp;". ","")&amp;IF(W220="SÍ","Stock parece sano pero "&amp;TEXT(L220,"#,##0")&amp;" kg no pasan filtro "&amp;Stock_Seguridad!O220&amp;": sin ellos queda bajo el SS para esa cadena. ","")&amp;IF(E220="SOBRE MAX VENDIBLE","Sobrestock vs vida útil: frenar producción/activar venta. ","")&amp;IF(N(N220)&gt;=Parametros!$B$17,TEXT(N220,"#,##0")&amp;" kg ya no los acepta ninguna cadena: venta intermedia/liquidación. ","")&amp;IF(N(M220)&gt;=Parametros!$B$17,TEXT(M220,"#,##0")&amp;" kg a punto de salir del filtro: despachar primero (FEFO). ","")&amp;IF(Y220="SÍ","Pedidos "&amp;IF(N(U220)&gt;0,"sobre","bajo")&amp;" FCST "&amp;TEXT(ABS(N(U220)),"0%")&amp;": revisar forecast con KAM.","")</f>
        <v>Pedidos sobre FCST 22%: revisar forecast con KAM.</v>
      </c>
    </row>
    <row r="221" customFormat="false" ht="15" hidden="false" customHeight="false" outlineLevel="0" collapsed="false">
      <c r="A221" s="18" t="n">
        <f aca="false">Stock_Seguridad!A221</f>
        <v>30000111</v>
      </c>
      <c r="B221" s="18" t="str">
        <f aca="false">Stock_Seguridad!B221</f>
        <v>MANTECA CRUCINA PLUS 10X1KG</v>
      </c>
      <c r="C221" s="18" t="str">
        <f aca="false">Stock_Seguridad!C221</f>
        <v>MANTECAS</v>
      </c>
      <c r="D221" s="18" t="str">
        <f aca="false">Stock_Seguridad!F221</f>
        <v>SIN HIST</v>
      </c>
      <c r="E221" s="19" t="str">
        <f aca="false">Stock_Seguridad!X221</f>
        <v>OK</v>
      </c>
      <c r="F221" s="20" t="n">
        <f aca="false">Stock_Seguridad!W221</f>
        <v>2.42484295542926</v>
      </c>
      <c r="G221" s="21" t="n">
        <f aca="false">Stock_Seguridad!T221</f>
        <v>12960</v>
      </c>
      <c r="H221" s="21" t="n">
        <f aca="false">Stock_Seguridad!R221</f>
        <v>2639.39792395141</v>
      </c>
      <c r="I221" s="21" t="n">
        <f aca="false">Stock_Seguridad!S221</f>
        <v>7988.19792395141</v>
      </c>
      <c r="J221" s="21" t="n">
        <f aca="false">Stock_Seguridad!U221</f>
        <v>10</v>
      </c>
      <c r="K221" s="22" t="n">
        <v>46288</v>
      </c>
      <c r="L221" s="23" t="n">
        <v>0</v>
      </c>
      <c r="M221" s="23" t="n">
        <v>860</v>
      </c>
      <c r="N221" s="23" t="n">
        <v>0</v>
      </c>
      <c r="O221" s="24" t="n">
        <v>0.0546057767369243</v>
      </c>
      <c r="P221" s="24" t="n">
        <f aca="false">IF(ISNUMBER(Stock_Seguridad!N221),Stock_Seguridad!N221,"")</f>
        <v>0.220408163265306</v>
      </c>
      <c r="Q221" s="24" t="n">
        <f aca="false">IF(AND(ISNUMBER(O221),ISNUMBER(P221)),P221-O221,"")</f>
        <v>0.165802386528382</v>
      </c>
      <c r="R221" s="23" t="n">
        <f aca="false">MAX(0,G221-N(L221))</f>
        <v>12960</v>
      </c>
      <c r="S221" s="23" t="n">
        <f aca="false">SUMIFS(Cadenas_vs_FCST!$D$17:$D$2437,Cadenas_vs_FCST!$A$17:$A$2437,A221)</f>
        <v>0</v>
      </c>
      <c r="T221" s="23" t="n">
        <f aca="false">SUMIFS(Cadenas_vs_FCST!$E$17:$E$2437,Cadenas_vs_FCST!$A$17:$A$2437,A221)</f>
        <v>0</v>
      </c>
      <c r="U221" s="24" t="str">
        <f aca="false">IF(T221&gt;0,S221/T221-1,"")</f>
        <v/>
      </c>
      <c r="V221" s="3" t="str">
        <f aca="false">IF(OR(E221="BAJO SS",E221="BAJO SS (XLIB CUBRE)"),"SÍ","")</f>
        <v/>
      </c>
      <c r="W221" s="3" t="str">
        <f aca="false">IF(AND(V221="",N(L221)&gt;=Parametros!$B$17,G221&gt;=H221,R221&lt;H221),"SÍ","")</f>
        <v/>
      </c>
      <c r="X221" s="3" t="str">
        <f aca="false">IF(OR(E221="SOBRE MAX VENDIBLE",N(N221)&gt;=Parametros!$B$17,N(M221)&gt;=Parametros!$B$17),"SÍ","")</f>
        <v>SÍ</v>
      </c>
      <c r="Y221" s="3" t="str">
        <f aca="false">IF(AND(ISNUMBER(U221),MAX(S221,T221)&gt;=Parametros!$B$15,ABS(N(U221))&gt;Parametros!$B$14),"SÍ","")</f>
        <v/>
      </c>
      <c r="Z221" s="3" t="n">
        <f aca="false">COUNTIF(V221:Y221,"SÍ")</f>
        <v>1</v>
      </c>
      <c r="AA221" s="3" t="n">
        <f aca="false">(3*(V221="SÍ")+2*(W221="SÍ")+2*(X221="SÍ")+(Y221="SÍ"))*IF(LEFT(D221,1)="A",3,IF(OR(LEFT(D221,1)="B",D221="SIN HIST"),2,1))</f>
        <v>4</v>
      </c>
      <c r="AB221" s="3" t="str">
        <f aca="false">IF(AA221&gt;=9,"1-ALTA",IF(AA221&gt;=4,"2-MEDIA",IF(AA221&gt;0,"3-BAJA","")))</f>
        <v>2-MEDIA</v>
      </c>
      <c r="AC221" s="3" t="str">
        <f aca="false">IF(E221="BAJO SS","Stock + XLIB bajo el SS: riesgo real de quiebre, adelantar producción. ","")&amp;IF(E221="BAJO SS (XLIB CUBRE)","Disponible bajo el SS; depende de liberar "&amp;TEXT(J221,"#,##0")&amp;" kg"&amp;IF(ISNUMBER(K221)," el "&amp;TEXT(K221,"dd-mm"),"")&amp;". ","")&amp;IF(W221="SÍ","Stock parece sano pero "&amp;TEXT(L221,"#,##0")&amp;" kg no pasan filtro "&amp;Stock_Seguridad!O221&amp;": sin ellos queda bajo el SS para esa cadena. ","")&amp;IF(E221="SOBRE MAX VENDIBLE","Sobrestock vs vida útil: frenar producción/activar venta. ","")&amp;IF(N(N221)&gt;=Parametros!$B$17,TEXT(N221,"#,##0")&amp;" kg ya no los acepta ninguna cadena: venta intermedia/liquidación. ","")&amp;IF(N(M221)&gt;=Parametros!$B$17,TEXT(M221,"#,##0")&amp;" kg a punto de salir del filtro: despachar primero (FEFO). ","")&amp;IF(Y221="SÍ","Pedidos "&amp;IF(N(U221)&gt;0,"sobre","bajo")&amp;" FCST "&amp;TEXT(ABS(N(U221)),"0%")&amp;": revisar forecast con KAM.","")</f>
        <v>860 kg a punto de salir del filtro: despachar primero (FEFO). </v>
      </c>
    </row>
    <row r="222" customFormat="false" ht="15" hidden="false" customHeight="false" outlineLevel="0" collapsed="false">
      <c r="A222" s="18" t="n">
        <f aca="false">Stock_Seguridad!A222</f>
        <v>30000814</v>
      </c>
      <c r="B222" s="18" t="str">
        <f aca="false">Stock_Seguridad!B222</f>
        <v>CHAPSUI WOK IQF 20X500GR</v>
      </c>
      <c r="C222" s="18" t="str">
        <f aca="false">Stock_Seguridad!C222</f>
        <v>FRUTAS Y HORTALIZAS CONGELADAS</v>
      </c>
      <c r="D222" s="18" t="str">
        <f aca="false">Stock_Seguridad!F222</f>
        <v>SIN HIST</v>
      </c>
      <c r="E222" s="19" t="str">
        <f aca="false">Stock_Seguridad!X222</f>
        <v>OK</v>
      </c>
      <c r="F222" s="20" t="n">
        <f aca="false">Stock_Seguridad!W222</f>
        <v>1.96866586897996</v>
      </c>
      <c r="G222" s="21" t="n">
        <f aca="false">Stock_Seguridad!T222</f>
        <v>10530</v>
      </c>
      <c r="H222" s="21" t="n">
        <f aca="false">Stock_Seguridad!R222</f>
        <v>2639.39792395141</v>
      </c>
      <c r="I222" s="21" t="n">
        <f aca="false">Stock_Seguridad!S222</f>
        <v>7988.19792395141</v>
      </c>
      <c r="J222" s="21" t="n">
        <f aca="false">Stock_Seguridad!U222</f>
        <v>0</v>
      </c>
      <c r="K222" s="22"/>
      <c r="L222" s="23" t="n">
        <v>0</v>
      </c>
      <c r="M222" s="23" t="n">
        <v>0</v>
      </c>
      <c r="N222" s="23" t="n">
        <v>0</v>
      </c>
      <c r="O222" s="24" t="n">
        <v>0.01</v>
      </c>
      <c r="P222" s="24" t="str">
        <f aca="false">IF(ISNUMBER(Stock_Seguridad!N222),Stock_Seguridad!N222,"")</f>
        <v/>
      </c>
      <c r="Q222" s="24" t="str">
        <f aca="false">IF(AND(ISNUMBER(O222),ISNUMBER(P222)),P222-O222,"")</f>
        <v/>
      </c>
      <c r="R222" s="23" t="n">
        <f aca="false">MAX(0,G222-N(L222))</f>
        <v>10530</v>
      </c>
      <c r="S222" s="23" t="n">
        <f aca="false">SUMIFS(Cadenas_vs_FCST!$D$17:$D$2437,Cadenas_vs_FCST!$A$17:$A$2437,A222)</f>
        <v>0</v>
      </c>
      <c r="T222" s="23" t="n">
        <f aca="false">SUMIFS(Cadenas_vs_FCST!$E$17:$E$2437,Cadenas_vs_FCST!$A$17:$A$2437,A222)</f>
        <v>0</v>
      </c>
      <c r="U222" s="24" t="str">
        <f aca="false">IF(T222&gt;0,S222/T222-1,"")</f>
        <v/>
      </c>
      <c r="V222" s="3" t="str">
        <f aca="false">IF(OR(E222="BAJO SS",E222="BAJO SS (XLIB CUBRE)"),"SÍ","")</f>
        <v/>
      </c>
      <c r="W222" s="3" t="str">
        <f aca="false">IF(AND(V222="",N(L222)&gt;=Parametros!$B$17,G222&gt;=H222,R222&lt;H222),"SÍ","")</f>
        <v/>
      </c>
      <c r="X222" s="3" t="str">
        <f aca="false">IF(OR(E222="SOBRE MAX VENDIBLE",N(N222)&gt;=Parametros!$B$17,N(M222)&gt;=Parametros!$B$17),"SÍ","")</f>
        <v/>
      </c>
      <c r="Y222" s="3" t="str">
        <f aca="false">IF(AND(ISNUMBER(U222),MAX(S222,T222)&gt;=Parametros!$B$15,ABS(N(U222))&gt;Parametros!$B$14),"SÍ","")</f>
        <v/>
      </c>
      <c r="Z222" s="3" t="n">
        <f aca="false">COUNTIF(V222:Y222,"SÍ")</f>
        <v>0</v>
      </c>
      <c r="AA222" s="3" t="n">
        <f aca="false">(3*(V222="SÍ")+2*(W222="SÍ")+2*(X222="SÍ")+(Y222="SÍ"))*IF(LEFT(D222,1)="A",3,IF(OR(LEFT(D222,1)="B",D222="SIN HIST"),2,1))</f>
        <v>0</v>
      </c>
      <c r="AB222" s="3" t="str">
        <f aca="false">IF(AA222&gt;=9,"1-ALTA",IF(AA222&gt;=4,"2-MEDIA",IF(AA222&gt;0,"3-BAJA","")))</f>
        <v/>
      </c>
      <c r="AC222" s="3" t="str">
        <f aca="false">IF(E222="BAJO SS","Stock + XLIB bajo el SS: riesgo real de quiebre, adelantar producción. ","")&amp;IF(E222="BAJO SS (XLIB CUBRE)","Disponible bajo el SS; depende de liberar "&amp;TEXT(J222,"#,##0")&amp;" kg"&amp;IF(ISNUMBER(K222)," el "&amp;TEXT(K222,"dd-mm"),"")&amp;". ","")&amp;IF(W222="SÍ","Stock parece sano pero "&amp;TEXT(L222,"#,##0")&amp;" kg no pasan filtro "&amp;Stock_Seguridad!O222&amp;": sin ellos queda bajo el SS para esa cadena. ","")&amp;IF(E222="SOBRE MAX VENDIBLE","Sobrestock vs vida útil: frenar producción/activar venta. ","")&amp;IF(N(N222)&gt;=Parametros!$B$17,TEXT(N222,"#,##0")&amp;" kg ya no los acepta ninguna cadena: venta intermedia/liquidación. ","")&amp;IF(N(M222)&gt;=Parametros!$B$17,TEXT(M222,"#,##0")&amp;" kg a punto de salir del filtro: despachar primero (FEFO). ","")&amp;IF(Y222="SÍ","Pedidos "&amp;IF(N(U222)&gt;0,"sobre","bajo")&amp;" FCST "&amp;TEXT(ABS(N(U222)),"0%")&amp;": revisar forecast con KAM.","")</f>
        <v/>
      </c>
    </row>
    <row r="223" customFormat="false" ht="15" hidden="false" customHeight="false" outlineLevel="0" collapsed="false">
      <c r="A223" s="18" t="n">
        <f aca="false">Stock_Seguridad!A223</f>
        <v>30001410</v>
      </c>
      <c r="B223" s="18" t="str">
        <f aca="false">Stock_Seguridad!B223</f>
        <v>LECHE POLVO CALO ENTERA INST 6X1,440KG</v>
      </c>
      <c r="C223" s="18" t="str">
        <f aca="false">Stock_Seguridad!C223</f>
        <v>LECHES EN POLVO</v>
      </c>
      <c r="D223" s="18" t="str">
        <f aca="false">Stock_Seguridad!F223</f>
        <v>AX</v>
      </c>
      <c r="E223" s="19" t="str">
        <f aca="false">Stock_Seguridad!X223</f>
        <v>OK</v>
      </c>
      <c r="F223" s="20" t="n">
        <f aca="false">Stock_Seguridad!W223</f>
        <v>6.22525603754584</v>
      </c>
      <c r="G223" s="21" t="n">
        <f aca="false">Stock_Seguridad!T223</f>
        <v>26853.1</v>
      </c>
      <c r="H223" s="21" t="n">
        <f aca="false">Stock_Seguridad!R223</f>
        <v>5032.91289037609</v>
      </c>
      <c r="I223" s="21" t="n">
        <f aca="false">Stock_Seguridad!S223</f>
        <v>10295.8128903761</v>
      </c>
      <c r="J223" s="21" t="n">
        <f aca="false">Stock_Seguridad!U223</f>
        <v>5909.8</v>
      </c>
      <c r="K223" s="22" t="n">
        <v>46321</v>
      </c>
      <c r="L223" s="23" t="n">
        <v>630.72</v>
      </c>
      <c r="M223" s="23" t="n">
        <v>0</v>
      </c>
      <c r="N223" s="23" t="n">
        <v>0</v>
      </c>
      <c r="O223" s="24" t="n">
        <v>0.0361919831223629</v>
      </c>
      <c r="P223" s="24" t="n">
        <f aca="false">IF(ISNUMBER(Stock_Seguridad!N223),Stock_Seguridad!N223,"")</f>
        <v>0.194520547945206</v>
      </c>
      <c r="Q223" s="24" t="n">
        <f aca="false">IF(AND(ISNUMBER(O223),ISNUMBER(P223)),P223-O223,"")</f>
        <v>0.158328564822843</v>
      </c>
      <c r="R223" s="23" t="n">
        <f aca="false">MAX(0,G223-N(L223))</f>
        <v>26222.38</v>
      </c>
      <c r="S223" s="23" t="n">
        <f aca="false">SUMIFS(Cadenas_vs_FCST!$D$17:$D$2437,Cadenas_vs_FCST!$A$17:$A$2437,A223)</f>
        <v>26049.6</v>
      </c>
      <c r="T223" s="23" t="n">
        <f aca="false">SUMIFS(Cadenas_vs_FCST!$E$17:$E$2437,Cadenas_vs_FCST!$A$17:$A$2437,A223)</f>
        <v>22796.1106011939</v>
      </c>
      <c r="U223" s="24" t="n">
        <f aca="false">IF(T223&gt;0,S223/T223-1,"")</f>
        <v>0.142721249941459</v>
      </c>
      <c r="V223" s="3" t="str">
        <f aca="false">IF(OR(E223="BAJO SS",E223="BAJO SS (XLIB CUBRE)"),"SÍ","")</f>
        <v/>
      </c>
      <c r="W223" s="3" t="str">
        <f aca="false">IF(AND(V223="",N(L223)&gt;=Parametros!$B$17,G223&gt;=H223,R223&lt;H223),"SÍ","")</f>
        <v/>
      </c>
      <c r="X223" s="3" t="str">
        <f aca="false">IF(OR(E223="SOBRE MAX VENDIBLE",N(N223)&gt;=Parametros!$B$17,N(M223)&gt;=Parametros!$B$17),"SÍ","")</f>
        <v/>
      </c>
      <c r="Y223" s="3" t="str">
        <f aca="false">IF(AND(ISNUMBER(U223),MAX(S223,T223)&gt;=Parametros!$B$15,ABS(N(U223))&gt;Parametros!$B$14),"SÍ","")</f>
        <v/>
      </c>
      <c r="Z223" s="3" t="n">
        <f aca="false">COUNTIF(V223:Y223,"SÍ")</f>
        <v>0</v>
      </c>
      <c r="AA223" s="3" t="n">
        <f aca="false">(3*(V223="SÍ")+2*(W223="SÍ")+2*(X223="SÍ")+(Y223="SÍ"))*IF(LEFT(D223,1)="A",3,IF(OR(LEFT(D223,1)="B",D223="SIN HIST"),2,1))</f>
        <v>0</v>
      </c>
      <c r="AB223" s="3" t="str">
        <f aca="false">IF(AA223&gt;=9,"1-ALTA",IF(AA223&gt;=4,"2-MEDIA",IF(AA223&gt;0,"3-BAJA","")))</f>
        <v/>
      </c>
      <c r="AC223" s="3" t="str">
        <f aca="false">IF(E223="BAJO SS","Stock + XLIB bajo el SS: riesgo real de quiebre, adelantar producción. ","")&amp;IF(E223="BAJO SS (XLIB CUBRE)","Disponible bajo el SS; depende de liberar "&amp;TEXT(J223,"#,##0")&amp;" kg"&amp;IF(ISNUMBER(K223)," el "&amp;TEXT(K223,"dd-mm"),"")&amp;". ","")&amp;IF(W223="SÍ","Stock parece sano pero "&amp;TEXT(L223,"#,##0")&amp;" kg no pasan filtro "&amp;Stock_Seguridad!O223&amp;": sin ellos queda bajo el SS para esa cadena. ","")&amp;IF(E223="SOBRE MAX VENDIBLE","Sobrestock vs vida útil: frenar producción/activar venta. ","")&amp;IF(N(N223)&gt;=Parametros!$B$17,TEXT(N223,"#,##0")&amp;" kg ya no los acepta ninguna cadena: venta intermedia/liquidación. ","")&amp;IF(N(M223)&gt;=Parametros!$B$17,TEXT(M223,"#,##0")&amp;" kg a punto de salir del filtro: despachar primero (FEFO). ","")&amp;IF(Y223="SÍ","Pedidos "&amp;IF(N(U223)&gt;0,"sobre","bajo")&amp;" FCST "&amp;TEXT(ABS(N(U223)),"0%")&amp;": revisar forecast con KAM.","")</f>
        <v/>
      </c>
    </row>
    <row r="224" customFormat="false" ht="15" hidden="false" customHeight="false" outlineLevel="0" collapsed="false">
      <c r="A224" s="18" t="n">
        <f aca="false">Stock_Seguridad!A224</f>
        <v>30000709</v>
      </c>
      <c r="B224" s="18" t="str">
        <f aca="false">Stock_Seguridad!B224</f>
        <v>CHARQUICAN FDM 18X750GR</v>
      </c>
      <c r="C224" s="18" t="str">
        <f aca="false">Stock_Seguridad!C224</f>
        <v>FRUTAS Y HORTALIZAS CONGELADAS</v>
      </c>
      <c r="D224" s="18" t="str">
        <f aca="false">Stock_Seguridad!F224</f>
        <v>SIN HIST</v>
      </c>
      <c r="E224" s="19" t="str">
        <f aca="false">Stock_Seguridad!X224</f>
        <v>OK</v>
      </c>
      <c r="F224" s="20" t="n">
        <f aca="false">Stock_Seguridad!W224</f>
        <v>1.68546113572292</v>
      </c>
      <c r="G224" s="21" t="n">
        <f aca="false">Stock_Seguridad!T224</f>
        <v>8788.5</v>
      </c>
      <c r="H224" s="21" t="n">
        <f aca="false">Stock_Seguridad!R224</f>
        <v>2573.02808010392</v>
      </c>
      <c r="I224" s="21" t="n">
        <f aca="false">Stock_Seguridad!S224</f>
        <v>7787.32808010392</v>
      </c>
      <c r="J224" s="21" t="n">
        <f aca="false">Stock_Seguridad!U224</f>
        <v>0</v>
      </c>
      <c r="K224" s="22"/>
      <c r="L224" s="23" t="n">
        <v>0</v>
      </c>
      <c r="M224" s="23" t="n">
        <v>0</v>
      </c>
      <c r="N224" s="23" t="n">
        <v>0</v>
      </c>
      <c r="O224" s="24" t="n">
        <v>0.0652995391705069</v>
      </c>
      <c r="P224" s="24" t="str">
        <f aca="false">IF(ISNUMBER(Stock_Seguridad!N224),Stock_Seguridad!N224,"")</f>
        <v/>
      </c>
      <c r="Q224" s="24" t="str">
        <f aca="false">IF(AND(ISNUMBER(O224),ISNUMBER(P224)),P224-O224,"")</f>
        <v/>
      </c>
      <c r="R224" s="23" t="n">
        <f aca="false">MAX(0,G224-N(L224))</f>
        <v>8788.5</v>
      </c>
      <c r="S224" s="23" t="n">
        <f aca="false">SUMIFS(Cadenas_vs_FCST!$D$17:$D$2437,Cadenas_vs_FCST!$A$17:$A$2437,A224)</f>
        <v>0</v>
      </c>
      <c r="T224" s="23" t="n">
        <f aca="false">SUMIFS(Cadenas_vs_FCST!$E$17:$E$2437,Cadenas_vs_FCST!$A$17:$A$2437,A224)</f>
        <v>0</v>
      </c>
      <c r="U224" s="24" t="str">
        <f aca="false">IF(T224&gt;0,S224/T224-1,"")</f>
        <v/>
      </c>
      <c r="V224" s="3" t="str">
        <f aca="false">IF(OR(E224="BAJO SS",E224="BAJO SS (XLIB CUBRE)"),"SÍ","")</f>
        <v/>
      </c>
      <c r="W224" s="3" t="str">
        <f aca="false">IF(AND(V224="",N(L224)&gt;=Parametros!$B$17,G224&gt;=H224,R224&lt;H224),"SÍ","")</f>
        <v/>
      </c>
      <c r="X224" s="3" t="str">
        <f aca="false">IF(OR(E224="SOBRE MAX VENDIBLE",N(N224)&gt;=Parametros!$B$17,N(M224)&gt;=Parametros!$B$17),"SÍ","")</f>
        <v/>
      </c>
      <c r="Y224" s="3" t="str">
        <f aca="false">IF(AND(ISNUMBER(U224),MAX(S224,T224)&gt;=Parametros!$B$15,ABS(N(U224))&gt;Parametros!$B$14),"SÍ","")</f>
        <v/>
      </c>
      <c r="Z224" s="3" t="n">
        <f aca="false">COUNTIF(V224:Y224,"SÍ")</f>
        <v>0</v>
      </c>
      <c r="AA224" s="3" t="n">
        <f aca="false">(3*(V224="SÍ")+2*(W224="SÍ")+2*(X224="SÍ")+(Y224="SÍ"))*IF(LEFT(D224,1)="A",3,IF(OR(LEFT(D224,1)="B",D224="SIN HIST"),2,1))</f>
        <v>0</v>
      </c>
      <c r="AB224" s="3" t="str">
        <f aca="false">IF(AA224&gt;=9,"1-ALTA",IF(AA224&gt;=4,"2-MEDIA",IF(AA224&gt;0,"3-BAJA","")))</f>
        <v/>
      </c>
      <c r="AC224" s="3" t="str">
        <f aca="false">IF(E224="BAJO SS","Stock + XLIB bajo el SS: riesgo real de quiebre, adelantar producción. ","")&amp;IF(E224="BAJO SS (XLIB CUBRE)","Disponible bajo el SS; depende de liberar "&amp;TEXT(J224,"#,##0")&amp;" kg"&amp;IF(ISNUMBER(K224)," el "&amp;TEXT(K224,"dd-mm"),"")&amp;". ","")&amp;IF(W224="SÍ","Stock parece sano pero "&amp;TEXT(L224,"#,##0")&amp;" kg no pasan filtro "&amp;Stock_Seguridad!O224&amp;": sin ellos queda bajo el SS para esa cadena. ","")&amp;IF(E224="SOBRE MAX VENDIBLE","Sobrestock vs vida útil: frenar producción/activar venta. ","")&amp;IF(N(N224)&gt;=Parametros!$B$17,TEXT(N224,"#,##0")&amp;" kg ya no los acepta ninguna cadena: venta intermedia/liquidación. ","")&amp;IF(N(M224)&gt;=Parametros!$B$17,TEXT(M224,"#,##0")&amp;" kg a punto de salir del filtro: despachar primero (FEFO). ","")&amp;IF(Y224="SÍ","Pedidos "&amp;IF(N(U224)&gt;0,"sobre","bajo")&amp;" FCST "&amp;TEXT(ABS(N(U224)),"0%")&amp;": revisar forecast con KAM.","")</f>
        <v/>
      </c>
    </row>
    <row r="225" customFormat="false" ht="15" hidden="false" customHeight="false" outlineLevel="0" collapsed="false">
      <c r="A225" s="18" t="n">
        <f aca="false">Stock_Seguridad!A225</f>
        <v>30000559</v>
      </c>
      <c r="B225" s="18" t="str">
        <f aca="false">Stock_Seguridad!B225</f>
        <v>QUESO LAS PARCELAS TROZO 16X350GR</v>
      </c>
      <c r="C225" s="18" t="str">
        <f aca="false">Stock_Seguridad!C225</f>
        <v>QUESOS</v>
      </c>
      <c r="D225" s="18" t="str">
        <f aca="false">Stock_Seguridad!F225</f>
        <v>BX</v>
      </c>
      <c r="E225" s="19" t="str">
        <f aca="false">Stock_Seguridad!X225</f>
        <v>OK</v>
      </c>
      <c r="F225" s="20" t="n">
        <f aca="false">Stock_Seguridad!W225</f>
        <v>2.35738461538462</v>
      </c>
      <c r="G225" s="21" t="n">
        <f aca="false">Stock_Seguridad!T225</f>
        <v>12258.4</v>
      </c>
      <c r="H225" s="21" t="n">
        <f aca="false">Stock_Seguridad!R225</f>
        <v>1745.15264884721</v>
      </c>
      <c r="I225" s="21" t="n">
        <f aca="false">Stock_Seguridad!S225</f>
        <v>6945.15264884722</v>
      </c>
      <c r="J225" s="21" t="n">
        <f aca="false">Stock_Seguridad!U225</f>
        <v>0</v>
      </c>
      <c r="K225" s="22"/>
      <c r="L225" s="23" t="n">
        <v>16.8</v>
      </c>
      <c r="M225" s="23" t="n">
        <v>0</v>
      </c>
      <c r="N225" s="23" t="n">
        <v>16.8</v>
      </c>
      <c r="O225" s="24" t="n">
        <v>0.082243033348561</v>
      </c>
      <c r="P225" s="24" t="n">
        <f aca="false">IF(ISNUMBER(Stock_Seguridad!N225),Stock_Seguridad!N225,"")</f>
        <v>0.315217391304348</v>
      </c>
      <c r="Q225" s="24" t="n">
        <f aca="false">IF(AND(ISNUMBER(O225),ISNUMBER(P225)),P225-O225,"")</f>
        <v>0.232974357955787</v>
      </c>
      <c r="R225" s="23" t="n">
        <f aca="false">MAX(0,G225-N(L225))</f>
        <v>12241.6</v>
      </c>
      <c r="S225" s="23" t="n">
        <f aca="false">SUMIFS(Cadenas_vs_FCST!$D$17:$D$2437,Cadenas_vs_FCST!$A$17:$A$2437,A225)</f>
        <v>17712.8</v>
      </c>
      <c r="T225" s="23" t="n">
        <f aca="false">SUMIFS(Cadenas_vs_FCST!$E$17:$E$2437,Cadenas_vs_FCST!$A$17:$A$2437,A225)</f>
        <v>15944.1628602266</v>
      </c>
      <c r="U225" s="24" t="n">
        <f aca="false">IF(T225&gt;0,S225/T225-1,"")</f>
        <v>0.110926936414165</v>
      </c>
      <c r="V225" s="3" t="str">
        <f aca="false">IF(OR(E225="BAJO SS",E225="BAJO SS (XLIB CUBRE)"),"SÍ","")</f>
        <v/>
      </c>
      <c r="W225" s="3" t="str">
        <f aca="false">IF(AND(V225="",N(L225)&gt;=Parametros!$B$17,G225&gt;=H225,R225&lt;H225),"SÍ","")</f>
        <v/>
      </c>
      <c r="X225" s="3" t="str">
        <f aca="false">IF(OR(E225="SOBRE MAX VENDIBLE",N(N225)&gt;=Parametros!$B$17,N(M225)&gt;=Parametros!$B$17),"SÍ","")</f>
        <v/>
      </c>
      <c r="Y225" s="3" t="str">
        <f aca="false">IF(AND(ISNUMBER(U225),MAX(S225,T225)&gt;=Parametros!$B$15,ABS(N(U225))&gt;Parametros!$B$14),"SÍ","")</f>
        <v/>
      </c>
      <c r="Z225" s="3" t="n">
        <f aca="false">COUNTIF(V225:Y225,"SÍ")</f>
        <v>0</v>
      </c>
      <c r="AA225" s="3" t="n">
        <f aca="false">(3*(V225="SÍ")+2*(W225="SÍ")+2*(X225="SÍ")+(Y225="SÍ"))*IF(LEFT(D225,1)="A",3,IF(OR(LEFT(D225,1)="B",D225="SIN HIST"),2,1))</f>
        <v>0</v>
      </c>
      <c r="AB225" s="3" t="str">
        <f aca="false">IF(AA225&gt;=9,"1-ALTA",IF(AA225&gt;=4,"2-MEDIA",IF(AA225&gt;0,"3-BAJA","")))</f>
        <v/>
      </c>
      <c r="AC225" s="3" t="str">
        <f aca="false">IF(E225="BAJO SS","Stock + XLIB bajo el SS: riesgo real de quiebre, adelantar producción. ","")&amp;IF(E225="BAJO SS (XLIB CUBRE)","Disponible bajo el SS; depende de liberar "&amp;TEXT(J225,"#,##0")&amp;" kg"&amp;IF(ISNUMBER(K225)," el "&amp;TEXT(K225,"dd-mm"),"")&amp;". ","")&amp;IF(W225="SÍ","Stock parece sano pero "&amp;TEXT(L225,"#,##0")&amp;" kg no pasan filtro "&amp;Stock_Seguridad!O225&amp;": sin ellos queda bajo el SS para esa cadena. ","")&amp;IF(E225="SOBRE MAX VENDIBLE","Sobrestock vs vida útil: frenar producción/activar venta. ","")&amp;IF(N(N225)&gt;=Parametros!$B$17,TEXT(N225,"#,##0")&amp;" kg ya no los acepta ninguna cadena: venta intermedia/liquidación. ","")&amp;IF(N(M225)&gt;=Parametros!$B$17,TEXT(M225,"#,##0")&amp;" kg a punto de salir del filtro: despachar primero (FEFO). ","")&amp;IF(Y225="SÍ","Pedidos "&amp;IF(N(U225)&gt;0,"sobre","bajo")&amp;" FCST "&amp;TEXT(ABS(N(U225)),"0%")&amp;": revisar forecast con KAM.","")</f>
        <v/>
      </c>
    </row>
    <row r="226" customFormat="false" ht="15" hidden="false" customHeight="false" outlineLevel="0" collapsed="false">
      <c r="A226" s="18" t="n">
        <f aca="false">Stock_Seguridad!A226</f>
        <v>30002200</v>
      </c>
      <c r="B226" s="18" t="str">
        <f aca="false">Stock_Seguridad!B226</f>
        <v>YOG LONCO PROTEIN NAT S/E BALDE 6X800GR</v>
      </c>
      <c r="C226" s="18" t="str">
        <f aca="false">Stock_Seguridad!C226</f>
        <v>YOGURT</v>
      </c>
      <c r="D226" s="18" t="str">
        <f aca="false">Stock_Seguridad!F226</f>
        <v>BX</v>
      </c>
      <c r="E226" s="19" t="str">
        <f aca="false">Stock_Seguridad!X226</f>
        <v>BAJO SS</v>
      </c>
      <c r="F226" s="20" t="n">
        <f aca="false">Stock_Seguridad!W226</f>
        <v>0.0193846153846154</v>
      </c>
      <c r="G226" s="21" t="n">
        <f aca="false">Stock_Seguridad!T226</f>
        <v>100.8</v>
      </c>
      <c r="H226" s="21" t="n">
        <f aca="false">Stock_Seguridad!R226</f>
        <v>4036.70457113191</v>
      </c>
      <c r="I226" s="21" t="n">
        <f aca="false">Stock_Seguridad!S226</f>
        <v>9236.70457113191</v>
      </c>
      <c r="J226" s="21" t="n">
        <f aca="false">Stock_Seguridad!U226</f>
        <v>0</v>
      </c>
      <c r="K226" s="22"/>
      <c r="L226" s="23" t="n">
        <v>0</v>
      </c>
      <c r="M226" s="23" t="n">
        <v>0</v>
      </c>
      <c r="N226" s="23" t="n">
        <v>0</v>
      </c>
      <c r="O226" s="24" t="n">
        <v>0.318571428571429</v>
      </c>
      <c r="P226" s="24" t="str">
        <f aca="false">IF(ISNUMBER(Stock_Seguridad!N226),Stock_Seguridad!N226,"")</f>
        <v/>
      </c>
      <c r="Q226" s="24" t="str">
        <f aca="false">IF(AND(ISNUMBER(O226),ISNUMBER(P226)),P226-O226,"")</f>
        <v/>
      </c>
      <c r="R226" s="23" t="n">
        <f aca="false">MAX(0,G226-N(L226))</f>
        <v>100.8</v>
      </c>
      <c r="S226" s="23" t="n">
        <f aca="false">SUMIFS(Cadenas_vs_FCST!$D$17:$D$2437,Cadenas_vs_FCST!$A$17:$A$2437,A226)</f>
        <v>23808</v>
      </c>
      <c r="T226" s="23" t="n">
        <f aca="false">SUMIFS(Cadenas_vs_FCST!$E$17:$E$2437,Cadenas_vs_FCST!$A$17:$A$2437,A226)</f>
        <v>19162.5750654957</v>
      </c>
      <c r="U226" s="24" t="n">
        <f aca="false">IF(T226&gt;0,S226/T226-1,"")</f>
        <v>0.242421747527494</v>
      </c>
      <c r="V226" s="3" t="str">
        <f aca="false">IF(OR(E226="BAJO SS",E226="BAJO SS (XLIB CUBRE)"),"SÍ","")</f>
        <v>SÍ</v>
      </c>
      <c r="W226" s="3" t="str">
        <f aca="false">IF(AND(V226="",N(L226)&gt;=Parametros!$B$17,G226&gt;=H226,R226&lt;H226),"SÍ","")</f>
        <v/>
      </c>
      <c r="X226" s="3" t="str">
        <f aca="false">IF(OR(E226="SOBRE MAX VENDIBLE",N(N226)&gt;=Parametros!$B$17,N(M226)&gt;=Parametros!$B$17),"SÍ","")</f>
        <v/>
      </c>
      <c r="Y226" s="3" t="str">
        <f aca="false">IF(AND(ISNUMBER(U226),MAX(S226,T226)&gt;=Parametros!$B$15,ABS(N(U226))&gt;Parametros!$B$14),"SÍ","")</f>
        <v>SÍ</v>
      </c>
      <c r="Z226" s="3" t="n">
        <f aca="false">COUNTIF(V226:Y226,"SÍ")</f>
        <v>2</v>
      </c>
      <c r="AA226" s="3" t="n">
        <f aca="false">(3*(V226="SÍ")+2*(W226="SÍ")+2*(X226="SÍ")+(Y226="SÍ"))*IF(LEFT(D226,1)="A",3,IF(OR(LEFT(D226,1)="B",D226="SIN HIST"),2,1))</f>
        <v>8</v>
      </c>
      <c r="AB226" s="3" t="str">
        <f aca="false">IF(AA226&gt;=9,"1-ALTA",IF(AA226&gt;=4,"2-MEDIA",IF(AA226&gt;0,"3-BAJA","")))</f>
        <v>2-MEDIA</v>
      </c>
      <c r="AC226" s="3" t="str">
        <f aca="false">IF(E226="BAJO SS","Stock + XLIB bajo el SS: riesgo real de quiebre, adelantar producción. ","")&amp;IF(E226="BAJO SS (XLIB CUBRE)","Disponible bajo el SS; depende de liberar "&amp;TEXT(J226,"#,##0")&amp;" kg"&amp;IF(ISNUMBER(K226)," el "&amp;TEXT(K226,"dd-mm"),"")&amp;". ","")&amp;IF(W226="SÍ","Stock parece sano pero "&amp;TEXT(L226,"#,##0")&amp;" kg no pasan filtro "&amp;Stock_Seguridad!O226&amp;": sin ellos queda bajo el SS para esa cadena. ","")&amp;IF(E226="SOBRE MAX VENDIBLE","Sobrestock vs vida útil: frenar producción/activar venta. ","")&amp;IF(N(N226)&gt;=Parametros!$B$17,TEXT(N226,"#,##0")&amp;" kg ya no los acepta ninguna cadena: venta intermedia/liquidación. ","")&amp;IF(N(M226)&gt;=Parametros!$B$17,TEXT(M226,"#,##0")&amp;" kg a punto de salir del filtro: despachar primero (FEFO). ","")&amp;IF(Y226="SÍ","Pedidos "&amp;IF(N(U226)&gt;0,"sobre","bajo")&amp;" FCST "&amp;TEXT(ABS(N(U226)),"0%")&amp;": revisar forecast con KAM.","")</f>
        <v>Stock + XLIB bajo el SS: riesgo real de quiebre, adelantar producción. Pedidos sobre FCST 24%: revisar forecast con KAM.</v>
      </c>
    </row>
    <row r="227" customFormat="false" ht="15" hidden="false" customHeight="false" outlineLevel="0" collapsed="false">
      <c r="A227" s="18" t="n">
        <f aca="false">Stock_Seguridad!A227</f>
        <v>30002125</v>
      </c>
      <c r="B227" s="18" t="str">
        <f aca="false">Stock_Seguridad!B227</f>
        <v>LECHE EN POLVO ENTERA LONCO 20X760GR</v>
      </c>
      <c r="C227" s="18" t="str">
        <f aca="false">Stock_Seguridad!C227</f>
        <v>LECHES EN POLVO</v>
      </c>
      <c r="D227" s="18" t="str">
        <f aca="false">Stock_Seguridad!F227</f>
        <v>BY</v>
      </c>
      <c r="E227" s="19" t="str">
        <f aca="false">Stock_Seguridad!X227</f>
        <v>OK</v>
      </c>
      <c r="F227" s="20" t="n">
        <f aca="false">Stock_Seguridad!W227</f>
        <v>3.04240112504575</v>
      </c>
      <c r="G227" s="21" t="n">
        <f aca="false">Stock_Seguridad!T227</f>
        <v>15792.8</v>
      </c>
      <c r="H227" s="21" t="n">
        <f aca="false">Stock_Seguridad!R227</f>
        <v>896.322869291421</v>
      </c>
      <c r="I227" s="21" t="n">
        <f aca="false">Stock_Seguridad!S227</f>
        <v>6087.22286929142</v>
      </c>
      <c r="J227" s="21" t="n">
        <f aca="false">Stock_Seguridad!U227</f>
        <v>0</v>
      </c>
      <c r="K227" s="22"/>
      <c r="L227" s="23" t="n">
        <v>0</v>
      </c>
      <c r="M227" s="23" t="n">
        <v>0</v>
      </c>
      <c r="N227" s="23" t="n">
        <v>0</v>
      </c>
      <c r="O227" s="24" t="n">
        <v>0.0608084696823869</v>
      </c>
      <c r="P227" s="24" t="n">
        <f aca="false">IF(ISNUMBER(Stock_Seguridad!N227),Stock_Seguridad!N227,"")</f>
        <v>0.32054794520548</v>
      </c>
      <c r="Q227" s="24" t="n">
        <f aca="false">IF(AND(ISNUMBER(O227),ISNUMBER(P227)),P227-O227,"")</f>
        <v>0.259739475523093</v>
      </c>
      <c r="R227" s="23" t="n">
        <f aca="false">MAX(0,G227-N(L227))</f>
        <v>15792.8</v>
      </c>
      <c r="S227" s="23" t="n">
        <f aca="false">SUMIFS(Cadenas_vs_FCST!$D$17:$D$2437,Cadenas_vs_FCST!$A$17:$A$2437,A227)</f>
        <v>8284</v>
      </c>
      <c r="T227" s="23" t="n">
        <f aca="false">SUMIFS(Cadenas_vs_FCST!$E$17:$E$2437,Cadenas_vs_FCST!$A$17:$A$2437,A227)</f>
        <v>9350.12540488613</v>
      </c>
      <c r="U227" s="24" t="n">
        <f aca="false">IF(T227&gt;0,S227/T227-1,"")</f>
        <v>-0.114022578170876</v>
      </c>
      <c r="V227" s="3" t="str">
        <f aca="false">IF(OR(E227="BAJO SS",E227="BAJO SS (XLIB CUBRE)"),"SÍ","")</f>
        <v/>
      </c>
      <c r="W227" s="3" t="str">
        <f aca="false">IF(AND(V227="",N(L227)&gt;=Parametros!$B$17,G227&gt;=H227,R227&lt;H227),"SÍ","")</f>
        <v/>
      </c>
      <c r="X227" s="3" t="str">
        <f aca="false">IF(OR(E227="SOBRE MAX VENDIBLE",N(N227)&gt;=Parametros!$B$17,N(M227)&gt;=Parametros!$B$17),"SÍ","")</f>
        <v/>
      </c>
      <c r="Y227" s="3" t="str">
        <f aca="false">IF(AND(ISNUMBER(U227),MAX(S227,T227)&gt;=Parametros!$B$15,ABS(N(U227))&gt;Parametros!$B$14),"SÍ","")</f>
        <v/>
      </c>
      <c r="Z227" s="3" t="n">
        <f aca="false">COUNTIF(V227:Y227,"SÍ")</f>
        <v>0</v>
      </c>
      <c r="AA227" s="3" t="n">
        <f aca="false">(3*(V227="SÍ")+2*(W227="SÍ")+2*(X227="SÍ")+(Y227="SÍ"))*IF(LEFT(D227,1)="A",3,IF(OR(LEFT(D227,1)="B",D227="SIN HIST"),2,1))</f>
        <v>0</v>
      </c>
      <c r="AB227" s="3" t="str">
        <f aca="false">IF(AA227&gt;=9,"1-ALTA",IF(AA227&gt;=4,"2-MEDIA",IF(AA227&gt;0,"3-BAJA","")))</f>
        <v/>
      </c>
      <c r="AC227" s="3" t="str">
        <f aca="false">IF(E227="BAJO SS","Stock + XLIB bajo el SS: riesgo real de quiebre, adelantar producción. ","")&amp;IF(E227="BAJO SS (XLIB CUBRE)","Disponible bajo el SS; depende de liberar "&amp;TEXT(J227,"#,##0")&amp;" kg"&amp;IF(ISNUMBER(K227)," el "&amp;TEXT(K227,"dd-mm"),"")&amp;". ","")&amp;IF(W227="SÍ","Stock parece sano pero "&amp;TEXT(L227,"#,##0")&amp;" kg no pasan filtro "&amp;Stock_Seguridad!O227&amp;": sin ellos queda bajo el SS para esa cadena. ","")&amp;IF(E227="SOBRE MAX VENDIBLE","Sobrestock vs vida útil: frenar producción/activar venta. ","")&amp;IF(N(N227)&gt;=Parametros!$B$17,TEXT(N227,"#,##0")&amp;" kg ya no los acepta ninguna cadena: venta intermedia/liquidación. ","")&amp;IF(N(M227)&gt;=Parametros!$B$17,TEXT(M227,"#,##0")&amp;" kg a punto de salir del filtro: despachar primero (FEFO). ","")&amp;IF(Y227="SÍ","Pedidos "&amp;IF(N(U227)&gt;0,"sobre","bajo")&amp;" FCST "&amp;TEXT(ABS(N(U227)),"0%")&amp;": revisar forecast con KAM.","")</f>
        <v/>
      </c>
    </row>
    <row r="228" customFormat="false" ht="15" hidden="false" customHeight="false" outlineLevel="0" collapsed="false">
      <c r="A228" s="18" t="n">
        <f aca="false">Stock_Seguridad!A228</f>
        <v>30001018</v>
      </c>
      <c r="B228" s="18" t="str">
        <f aca="false">Stock_Seguridad!B228</f>
        <v>YOGURT DANONE L&amp;F NATURAL 48X115GR</v>
      </c>
      <c r="C228" s="18" t="str">
        <f aca="false">Stock_Seguridad!C228</f>
        <v>YOGURT</v>
      </c>
      <c r="D228" s="18" t="str">
        <f aca="false">Stock_Seguridad!F228</f>
        <v>BX</v>
      </c>
      <c r="E228" s="19" t="str">
        <f aca="false">Stock_Seguridad!X228</f>
        <v>OK</v>
      </c>
      <c r="F228" s="20" t="n">
        <f aca="false">Stock_Seguridad!W228</f>
        <v>1.74602684174954</v>
      </c>
      <c r="G228" s="21" t="n">
        <f aca="false">Stock_Seguridad!T228</f>
        <v>9041.8</v>
      </c>
      <c r="H228" s="21" t="n">
        <f aca="false">Stock_Seguridad!R228</f>
        <v>1411.36828112018</v>
      </c>
      <c r="I228" s="21" t="n">
        <f aca="false">Stock_Seguridad!S228</f>
        <v>6589.86828112018</v>
      </c>
      <c r="J228" s="21" t="n">
        <f aca="false">Stock_Seguridad!U228</f>
        <v>0</v>
      </c>
      <c r="K228" s="22"/>
      <c r="L228" s="23" t="n">
        <v>0</v>
      </c>
      <c r="M228" s="23" t="n">
        <v>0</v>
      </c>
      <c r="N228" s="23" t="n">
        <v>0</v>
      </c>
      <c r="O228" s="24" t="n">
        <v>0.0831334149326806</v>
      </c>
      <c r="P228" s="24" t="n">
        <f aca="false">IF(ISNUMBER(Stock_Seguridad!N228),Stock_Seguridad!N228,"")</f>
        <v>0.323076923076923</v>
      </c>
      <c r="Q228" s="24" t="n">
        <f aca="false">IF(AND(ISNUMBER(O228),ISNUMBER(P228)),P228-O228,"")</f>
        <v>0.239943508144242</v>
      </c>
      <c r="R228" s="23" t="n">
        <f aca="false">MAX(0,G228-N(L228))</f>
        <v>9041.8</v>
      </c>
      <c r="S228" s="23" t="n">
        <f aca="false">SUMIFS(Cadenas_vs_FCST!$D$17:$D$2437,Cadenas_vs_FCST!$A$17:$A$2437,A228)</f>
        <v>17730.24</v>
      </c>
      <c r="T228" s="23" t="n">
        <f aca="false">SUMIFS(Cadenas_vs_FCST!$E$17:$E$2437,Cadenas_vs_FCST!$A$17:$A$2437,A228)</f>
        <v>16424.2768189265</v>
      </c>
      <c r="U228" s="24" t="n">
        <f aca="false">IF(T228&gt;0,S228/T228-1,"")</f>
        <v>0.0795141969093318</v>
      </c>
      <c r="V228" s="3" t="str">
        <f aca="false">IF(OR(E228="BAJO SS",E228="BAJO SS (XLIB CUBRE)"),"SÍ","")</f>
        <v/>
      </c>
      <c r="W228" s="3" t="str">
        <f aca="false">IF(AND(V228="",N(L228)&gt;=Parametros!$B$17,G228&gt;=H228,R228&lt;H228),"SÍ","")</f>
        <v/>
      </c>
      <c r="X228" s="3" t="str">
        <f aca="false">IF(OR(E228="SOBRE MAX VENDIBLE",N(N228)&gt;=Parametros!$B$17,N(M228)&gt;=Parametros!$B$17),"SÍ","")</f>
        <v/>
      </c>
      <c r="Y228" s="3" t="str">
        <f aca="false">IF(AND(ISNUMBER(U228),MAX(S228,T228)&gt;=Parametros!$B$15,ABS(N(U228))&gt;Parametros!$B$14),"SÍ","")</f>
        <v/>
      </c>
      <c r="Z228" s="3" t="n">
        <f aca="false">COUNTIF(V228:Y228,"SÍ")</f>
        <v>0</v>
      </c>
      <c r="AA228" s="3" t="n">
        <f aca="false">(3*(V228="SÍ")+2*(W228="SÍ")+2*(X228="SÍ")+(Y228="SÍ"))*IF(LEFT(D228,1)="A",3,IF(OR(LEFT(D228,1)="B",D228="SIN HIST"),2,1))</f>
        <v>0</v>
      </c>
      <c r="AB228" s="3" t="str">
        <f aca="false">IF(AA228&gt;=9,"1-ALTA",IF(AA228&gt;=4,"2-MEDIA",IF(AA228&gt;0,"3-BAJA","")))</f>
        <v/>
      </c>
      <c r="AC228" s="3" t="str">
        <f aca="false">IF(E228="BAJO SS","Stock + XLIB bajo el SS: riesgo real de quiebre, adelantar producción. ","")&amp;IF(E228="BAJO SS (XLIB CUBRE)","Disponible bajo el SS; depende de liberar "&amp;TEXT(J228,"#,##0")&amp;" kg"&amp;IF(ISNUMBER(K228)," el "&amp;TEXT(K228,"dd-mm"),"")&amp;". ","")&amp;IF(W228="SÍ","Stock parece sano pero "&amp;TEXT(L228,"#,##0")&amp;" kg no pasan filtro "&amp;Stock_Seguridad!O228&amp;": sin ellos queda bajo el SS para esa cadena. ","")&amp;IF(E228="SOBRE MAX VENDIBLE","Sobrestock vs vida útil: frenar producción/activar venta. ","")&amp;IF(N(N228)&gt;=Parametros!$B$17,TEXT(N228,"#,##0")&amp;" kg ya no los acepta ninguna cadena: venta intermedia/liquidación. ","")&amp;IF(N(M228)&gt;=Parametros!$B$17,TEXT(M228,"#,##0")&amp;" kg a punto de salir del filtro: despachar primero (FEFO). ","")&amp;IF(Y228="SÍ","Pedidos "&amp;IF(N(U228)&gt;0,"sobre","bajo")&amp;" FCST "&amp;TEXT(ABS(N(U228)),"0%")&amp;": revisar forecast con KAM.","")</f>
        <v/>
      </c>
    </row>
    <row r="229" customFormat="false" ht="15" hidden="false" customHeight="false" outlineLevel="0" collapsed="false">
      <c r="A229" s="18" t="n">
        <f aca="false">Stock_Seguridad!A229</f>
        <v>30000244</v>
      </c>
      <c r="B229" s="18" t="str">
        <f aca="false">Stock_Seguridad!B229</f>
        <v>NECTAR WATTS NARANJA 12X1LT</v>
      </c>
      <c r="C229" s="18" t="str">
        <f aca="false">Stock_Seguridad!C229</f>
        <v>JUGOS Y NECTARES</v>
      </c>
      <c r="D229" s="18" t="str">
        <f aca="false">Stock_Seguridad!F229</f>
        <v>BX</v>
      </c>
      <c r="E229" s="19" t="str">
        <f aca="false">Stock_Seguridad!X229</f>
        <v>OK</v>
      </c>
      <c r="F229" s="20" t="n">
        <f aca="false">Stock_Seguridad!W229</f>
        <v>6.22588891471067</v>
      </c>
      <c r="G229" s="21" t="n">
        <f aca="false">Stock_Seguridad!T229</f>
        <v>32148</v>
      </c>
      <c r="H229" s="21" t="n">
        <f aca="false">Stock_Seguridad!R229</f>
        <v>2946.65590315056</v>
      </c>
      <c r="I229" s="21" t="n">
        <f aca="false">Stock_Seguridad!S229</f>
        <v>8110.25590315056</v>
      </c>
      <c r="J229" s="21" t="n">
        <f aca="false">Stock_Seguridad!U229</f>
        <v>0</v>
      </c>
      <c r="K229" s="22"/>
      <c r="L229" s="23" t="n">
        <v>0</v>
      </c>
      <c r="M229" s="23" t="n">
        <v>672</v>
      </c>
      <c r="N229" s="23" t="n">
        <v>0</v>
      </c>
      <c r="O229" s="24" t="n">
        <v>0.0572740851381628</v>
      </c>
      <c r="P229" s="24" t="n">
        <f aca="false">IF(ISNUMBER(Stock_Seguridad!N229),Stock_Seguridad!N229,"")</f>
        <v>0.194520547945206</v>
      </c>
      <c r="Q229" s="24" t="n">
        <f aca="false">IF(AND(ISNUMBER(O229),ISNUMBER(P229)),P229-O229,"")</f>
        <v>0.137246462807043</v>
      </c>
      <c r="R229" s="23" t="n">
        <f aca="false">MAX(0,G229-N(L229))</f>
        <v>32148</v>
      </c>
      <c r="S229" s="23" t="n">
        <f aca="false">SUMIFS(Cadenas_vs_FCST!$D$17:$D$2437,Cadenas_vs_FCST!$A$17:$A$2437,A229)</f>
        <v>15384</v>
      </c>
      <c r="T229" s="23" t="n">
        <f aca="false">SUMIFS(Cadenas_vs_FCST!$E$17:$E$2437,Cadenas_vs_FCST!$A$17:$A$2437,A229)</f>
        <v>23268.9388714098</v>
      </c>
      <c r="U229" s="24" t="n">
        <f aca="false">IF(T229&gt;0,S229/T229-1,"")</f>
        <v>-0.338861127917523</v>
      </c>
      <c r="V229" s="3" t="str">
        <f aca="false">IF(OR(E229="BAJO SS",E229="BAJO SS (XLIB CUBRE)"),"SÍ","")</f>
        <v/>
      </c>
      <c r="W229" s="3" t="str">
        <f aca="false">IF(AND(V229="",N(L229)&gt;=Parametros!$B$17,G229&gt;=H229,R229&lt;H229),"SÍ","")</f>
        <v/>
      </c>
      <c r="X229" s="3" t="str">
        <f aca="false">IF(OR(E229="SOBRE MAX VENDIBLE",N(N229)&gt;=Parametros!$B$17,N(M229)&gt;=Parametros!$B$17),"SÍ","")</f>
        <v>SÍ</v>
      </c>
      <c r="Y229" s="3" t="str">
        <f aca="false">IF(AND(ISNUMBER(U229),MAX(S229,T229)&gt;=Parametros!$B$15,ABS(N(U229))&gt;Parametros!$B$14),"SÍ","")</f>
        <v>SÍ</v>
      </c>
      <c r="Z229" s="3" t="n">
        <f aca="false">COUNTIF(V229:Y229,"SÍ")</f>
        <v>2</v>
      </c>
      <c r="AA229" s="3" t="n">
        <f aca="false">(3*(V229="SÍ")+2*(W229="SÍ")+2*(X229="SÍ")+(Y229="SÍ"))*IF(LEFT(D229,1)="A",3,IF(OR(LEFT(D229,1)="B",D229="SIN HIST"),2,1))</f>
        <v>6</v>
      </c>
      <c r="AB229" s="3" t="str">
        <f aca="false">IF(AA229&gt;=9,"1-ALTA",IF(AA229&gt;=4,"2-MEDIA",IF(AA229&gt;0,"3-BAJA","")))</f>
        <v>2-MEDIA</v>
      </c>
      <c r="AC229" s="3" t="str">
        <f aca="false">IF(E229="BAJO SS","Stock + XLIB bajo el SS: riesgo real de quiebre, adelantar producción. ","")&amp;IF(E229="BAJO SS (XLIB CUBRE)","Disponible bajo el SS; depende de liberar "&amp;TEXT(J229,"#,##0")&amp;" kg"&amp;IF(ISNUMBER(K229)," el "&amp;TEXT(K229,"dd-mm"),"")&amp;". ","")&amp;IF(W229="SÍ","Stock parece sano pero "&amp;TEXT(L229,"#,##0")&amp;" kg no pasan filtro "&amp;Stock_Seguridad!O229&amp;": sin ellos queda bajo el SS para esa cadena. ","")&amp;IF(E229="SOBRE MAX VENDIBLE","Sobrestock vs vida útil: frenar producción/activar venta. ","")&amp;IF(N(N229)&gt;=Parametros!$B$17,TEXT(N229,"#,##0")&amp;" kg ya no los acepta ninguna cadena: venta intermedia/liquidación. ","")&amp;IF(N(M229)&gt;=Parametros!$B$17,TEXT(M229,"#,##0")&amp;" kg a punto de salir del filtro: despachar primero (FEFO). ","")&amp;IF(Y229="SÍ","Pedidos "&amp;IF(N(U229)&gt;0,"sobre","bajo")&amp;" FCST "&amp;TEXT(ABS(N(U229)),"0%")&amp;": revisar forecast con KAM.","")</f>
        <v>672 kg a punto de salir del filtro: despachar primero (FEFO). Pedidos bajo FCST 34%: revisar forecast con KAM.</v>
      </c>
    </row>
    <row r="230" customFormat="false" ht="15" hidden="false" customHeight="false" outlineLevel="0" collapsed="false">
      <c r="A230" s="18" t="n">
        <f aca="false">Stock_Seguridad!A230</f>
        <v>30000543</v>
      </c>
      <c r="B230" s="18" t="str">
        <f aca="false">Stock_Seguridad!B230</f>
        <v>BEBIDA VEGETAL LONCO AVENA LCO 6X1LT</v>
      </c>
      <c r="C230" s="18" t="str">
        <f aca="false">Stock_Seguridad!C230</f>
        <v>LECHES LIQUIDAS</v>
      </c>
      <c r="D230" s="18" t="str">
        <f aca="false">Stock_Seguridad!F230</f>
        <v>BX</v>
      </c>
      <c r="E230" s="19" t="str">
        <f aca="false">Stock_Seguridad!X230</f>
        <v>BAJO P.REORDEN</v>
      </c>
      <c r="F230" s="20" t="n">
        <f aca="false">Stock_Seguridad!W230</f>
        <v>0.894068873809571</v>
      </c>
      <c r="G230" s="21" t="n">
        <f aca="false">Stock_Seguridad!T230</f>
        <v>4572</v>
      </c>
      <c r="H230" s="21" t="n">
        <f aca="false">Stock_Seguridad!R230</f>
        <v>3387.50054120744</v>
      </c>
      <c r="I230" s="21" t="n">
        <f aca="false">Stock_Seguridad!S230</f>
        <v>8501.20054120744</v>
      </c>
      <c r="J230" s="21" t="n">
        <f aca="false">Stock_Seguridad!U230</f>
        <v>0</v>
      </c>
      <c r="K230" s="22"/>
      <c r="L230" s="23" t="n">
        <v>0</v>
      </c>
      <c r="M230" s="23" t="n">
        <v>0</v>
      </c>
      <c r="N230" s="23" t="n">
        <v>0</v>
      </c>
      <c r="O230" s="24" t="n">
        <v>0.273923884514436</v>
      </c>
      <c r="P230" s="24" t="n">
        <f aca="false">IF(ISNUMBER(Stock_Seguridad!N230),Stock_Seguridad!N230,"")</f>
        <v>0.479452054794521</v>
      </c>
      <c r="Q230" s="24" t="n">
        <f aca="false">IF(AND(ISNUMBER(O230),ISNUMBER(P230)),P230-O230,"")</f>
        <v>0.205528170280085</v>
      </c>
      <c r="R230" s="23" t="n">
        <f aca="false">MAX(0,G230-N(L230))</f>
        <v>4572</v>
      </c>
      <c r="S230" s="23" t="n">
        <f aca="false">SUMIFS(Cadenas_vs_FCST!$D$17:$D$2437,Cadenas_vs_FCST!$A$17:$A$2437,A230)</f>
        <v>11862</v>
      </c>
      <c r="T230" s="23" t="n">
        <f aca="false">SUMIFS(Cadenas_vs_FCST!$E$17:$E$2437,Cadenas_vs_FCST!$A$17:$A$2437,A230)</f>
        <v>17969.5209315898</v>
      </c>
      <c r="U230" s="24" t="n">
        <f aca="false">IF(T230&gt;0,S230/T230-1,"")</f>
        <v>-0.339882234748562</v>
      </c>
      <c r="V230" s="3" t="str">
        <f aca="false">IF(OR(E230="BAJO SS",E230="BAJO SS (XLIB CUBRE)"),"SÍ","")</f>
        <v/>
      </c>
      <c r="W230" s="3" t="str">
        <f aca="false">IF(AND(V230="",N(L230)&gt;=Parametros!$B$17,G230&gt;=H230,R230&lt;H230),"SÍ","")</f>
        <v/>
      </c>
      <c r="X230" s="3" t="str">
        <f aca="false">IF(OR(E230="SOBRE MAX VENDIBLE",N(N230)&gt;=Parametros!$B$17,N(M230)&gt;=Parametros!$B$17),"SÍ","")</f>
        <v/>
      </c>
      <c r="Y230" s="3" t="str">
        <f aca="false">IF(AND(ISNUMBER(U230),MAX(S230,T230)&gt;=Parametros!$B$15,ABS(N(U230))&gt;Parametros!$B$14),"SÍ","")</f>
        <v>SÍ</v>
      </c>
      <c r="Z230" s="3" t="n">
        <f aca="false">COUNTIF(V230:Y230,"SÍ")</f>
        <v>1</v>
      </c>
      <c r="AA230" s="3" t="n">
        <f aca="false">(3*(V230="SÍ")+2*(W230="SÍ")+2*(X230="SÍ")+(Y230="SÍ"))*IF(LEFT(D230,1)="A",3,IF(OR(LEFT(D230,1)="B",D230="SIN HIST"),2,1))</f>
        <v>2</v>
      </c>
      <c r="AB230" s="3" t="str">
        <f aca="false">IF(AA230&gt;=9,"1-ALTA",IF(AA230&gt;=4,"2-MEDIA",IF(AA230&gt;0,"3-BAJA","")))</f>
        <v>3-BAJA</v>
      </c>
      <c r="AC230" s="3" t="str">
        <f aca="false">IF(E230="BAJO SS","Stock + XLIB bajo el SS: riesgo real de quiebre, adelantar producción. ","")&amp;IF(E230="BAJO SS (XLIB CUBRE)","Disponible bajo el SS; depende de liberar "&amp;TEXT(J230,"#,##0")&amp;" kg"&amp;IF(ISNUMBER(K230)," el "&amp;TEXT(K230,"dd-mm"),"")&amp;". ","")&amp;IF(W230="SÍ","Stock parece sano pero "&amp;TEXT(L230,"#,##0")&amp;" kg no pasan filtro "&amp;Stock_Seguridad!O230&amp;": sin ellos queda bajo el SS para esa cadena. ","")&amp;IF(E230="SOBRE MAX VENDIBLE","Sobrestock vs vida útil: frenar producción/activar venta. ","")&amp;IF(N(N230)&gt;=Parametros!$B$17,TEXT(N230,"#,##0")&amp;" kg ya no los acepta ninguna cadena: venta intermedia/liquidación. ","")&amp;IF(N(M230)&gt;=Parametros!$B$17,TEXT(M230,"#,##0")&amp;" kg a punto de salir del filtro: despachar primero (FEFO). ","")&amp;IF(Y230="SÍ","Pedidos "&amp;IF(N(U230)&gt;0,"sobre","bajo")&amp;" FCST "&amp;TEXT(ABS(N(U230)),"0%")&amp;": revisar forecast con KAM.","")</f>
        <v>Pedidos bajo FCST 34%: revisar forecast con KAM.</v>
      </c>
    </row>
    <row r="231" customFormat="false" ht="15" hidden="false" customHeight="false" outlineLevel="0" collapsed="false">
      <c r="A231" s="18" t="n">
        <f aca="false">Stock_Seguridad!A231</f>
        <v>30000758</v>
      </c>
      <c r="B231" s="18" t="str">
        <f aca="false">Stock_Seguridad!B231</f>
        <v>ENSALADA JARDINERA IQF 30X500GR</v>
      </c>
      <c r="C231" s="18" t="str">
        <f aca="false">Stock_Seguridad!C231</f>
        <v>FRUTAS Y HORTALIZAS CONGELADAS</v>
      </c>
      <c r="D231" s="18" t="str">
        <f aca="false">Stock_Seguridad!F231</f>
        <v>SIN HIST</v>
      </c>
      <c r="E231" s="19" t="str">
        <f aca="false">Stock_Seguridad!X231</f>
        <v>OK</v>
      </c>
      <c r="F231" s="20" t="n">
        <f aca="false">Stock_Seguridad!W231</f>
        <v>6.82339561969373</v>
      </c>
      <c r="G231" s="21" t="n">
        <f aca="false">Stock_Seguridad!T231</f>
        <v>34800</v>
      </c>
      <c r="H231" s="21" t="n">
        <f aca="false">Stock_Seguridad!R231</f>
        <v>2516.67539484456</v>
      </c>
      <c r="I231" s="21" t="n">
        <f aca="false">Stock_Seguridad!S231</f>
        <v>7616.77539484456</v>
      </c>
      <c r="J231" s="21" t="n">
        <f aca="false">Stock_Seguridad!U231</f>
        <v>0</v>
      </c>
      <c r="K231" s="22"/>
      <c r="L231" s="23" t="n">
        <v>0</v>
      </c>
      <c r="M231" s="23" t="n">
        <v>0</v>
      </c>
      <c r="N231" s="23" t="n">
        <v>0</v>
      </c>
      <c r="O231" s="24" t="n">
        <v>0.0348577586206897</v>
      </c>
      <c r="P231" s="24" t="str">
        <f aca="false">IF(ISNUMBER(Stock_Seguridad!N231),Stock_Seguridad!N231,"")</f>
        <v/>
      </c>
      <c r="Q231" s="24" t="str">
        <f aca="false">IF(AND(ISNUMBER(O231),ISNUMBER(P231)),P231-O231,"")</f>
        <v/>
      </c>
      <c r="R231" s="23" t="n">
        <f aca="false">MAX(0,G231-N(L231))</f>
        <v>34800</v>
      </c>
      <c r="S231" s="23" t="n">
        <f aca="false">SUMIFS(Cadenas_vs_FCST!$D$17:$D$2437,Cadenas_vs_FCST!$A$17:$A$2437,A231)</f>
        <v>0</v>
      </c>
      <c r="T231" s="23" t="n">
        <f aca="false">SUMIFS(Cadenas_vs_FCST!$E$17:$E$2437,Cadenas_vs_FCST!$A$17:$A$2437,A231)</f>
        <v>0</v>
      </c>
      <c r="U231" s="24" t="str">
        <f aca="false">IF(T231&gt;0,S231/T231-1,"")</f>
        <v/>
      </c>
      <c r="V231" s="3" t="str">
        <f aca="false">IF(OR(E231="BAJO SS",E231="BAJO SS (XLIB CUBRE)"),"SÍ","")</f>
        <v/>
      </c>
      <c r="W231" s="3" t="str">
        <f aca="false">IF(AND(V231="",N(L231)&gt;=Parametros!$B$17,G231&gt;=H231,R231&lt;H231),"SÍ","")</f>
        <v/>
      </c>
      <c r="X231" s="3" t="str">
        <f aca="false">IF(OR(E231="SOBRE MAX VENDIBLE",N(N231)&gt;=Parametros!$B$17,N(M231)&gt;=Parametros!$B$17),"SÍ","")</f>
        <v/>
      </c>
      <c r="Y231" s="3" t="str">
        <f aca="false">IF(AND(ISNUMBER(U231),MAX(S231,T231)&gt;=Parametros!$B$15,ABS(N(U231))&gt;Parametros!$B$14),"SÍ","")</f>
        <v/>
      </c>
      <c r="Z231" s="3" t="n">
        <f aca="false">COUNTIF(V231:Y231,"SÍ")</f>
        <v>0</v>
      </c>
      <c r="AA231" s="3" t="n">
        <f aca="false">(3*(V231="SÍ")+2*(W231="SÍ")+2*(X231="SÍ")+(Y231="SÍ"))*IF(LEFT(D231,1)="A",3,IF(OR(LEFT(D231,1)="B",D231="SIN HIST"),2,1))</f>
        <v>0</v>
      </c>
      <c r="AB231" s="3" t="str">
        <f aca="false">IF(AA231&gt;=9,"1-ALTA",IF(AA231&gt;=4,"2-MEDIA",IF(AA231&gt;0,"3-BAJA","")))</f>
        <v/>
      </c>
      <c r="AC231" s="3" t="str">
        <f aca="false">IF(E231="BAJO SS","Stock + XLIB bajo el SS: riesgo real de quiebre, adelantar producción. ","")&amp;IF(E231="BAJO SS (XLIB CUBRE)","Disponible bajo el SS; depende de liberar "&amp;TEXT(J231,"#,##0")&amp;" kg"&amp;IF(ISNUMBER(K231)," el "&amp;TEXT(K231,"dd-mm"),"")&amp;". ","")&amp;IF(W231="SÍ","Stock parece sano pero "&amp;TEXT(L231,"#,##0")&amp;" kg no pasan filtro "&amp;Stock_Seguridad!O231&amp;": sin ellos queda bajo el SS para esa cadena. ","")&amp;IF(E231="SOBRE MAX VENDIBLE","Sobrestock vs vida útil: frenar producción/activar venta. ","")&amp;IF(N(N231)&gt;=Parametros!$B$17,TEXT(N231,"#,##0")&amp;" kg ya no los acepta ninguna cadena: venta intermedia/liquidación. ","")&amp;IF(N(M231)&gt;=Parametros!$B$17,TEXT(M231,"#,##0")&amp;" kg a punto de salir del filtro: despachar primero (FEFO). ","")&amp;IF(Y231="SÍ","Pedidos "&amp;IF(N(U231)&gt;0,"sobre","bajo")&amp;" FCST "&amp;TEXT(ABS(N(U231)),"0%")&amp;": revisar forecast con KAM.","")</f>
        <v/>
      </c>
    </row>
    <row r="232" customFormat="false" ht="15" hidden="false" customHeight="false" outlineLevel="0" collapsed="false">
      <c r="A232" s="18" t="n">
        <f aca="false">Stock_Seguridad!A232</f>
        <v>30000075</v>
      </c>
      <c r="B232" s="18" t="str">
        <f aca="false">Stock_Seguridad!B232</f>
        <v>MARGARINA CALO CAJA LISTA 6X12X125GR</v>
      </c>
      <c r="C232" s="18" t="str">
        <f aca="false">Stock_Seguridad!C232</f>
        <v>MARGARINAS</v>
      </c>
      <c r="D232" s="18" t="str">
        <f aca="false">Stock_Seguridad!F232</f>
        <v>BY</v>
      </c>
      <c r="E232" s="19" t="str">
        <f aca="false">Stock_Seguridad!X232</f>
        <v>OK</v>
      </c>
      <c r="F232" s="20" t="n">
        <f aca="false">Stock_Seguridad!W232</f>
        <v>5.4</v>
      </c>
      <c r="G232" s="21" t="n">
        <f aca="false">Stock_Seguridad!T232</f>
        <v>22230</v>
      </c>
      <c r="H232" s="21" t="n">
        <f aca="false">Stock_Seguridad!R232</f>
        <v>5607.1913373877</v>
      </c>
      <c r="I232" s="21" t="n">
        <f aca="false">Stock_Seguridad!S232</f>
        <v>10607.1913373877</v>
      </c>
      <c r="J232" s="21" t="n">
        <f aca="false">Stock_Seguridad!U232</f>
        <v>4770</v>
      </c>
      <c r="K232" s="22" t="n">
        <v>46316</v>
      </c>
      <c r="L232" s="23" t="n">
        <v>13167</v>
      </c>
      <c r="M232" s="23" t="n">
        <v>0</v>
      </c>
      <c r="N232" s="23" t="n">
        <v>0</v>
      </c>
      <c r="O232" s="24" t="n">
        <v>0.138283333333333</v>
      </c>
      <c r="P232" s="24" t="n">
        <f aca="false">IF(ISNUMBER(Stock_Seguridad!N232),Stock_Seguridad!N232,"")</f>
        <v>0.217391304347826</v>
      </c>
      <c r="Q232" s="24" t="n">
        <f aca="false">IF(AND(ISNUMBER(O232),ISNUMBER(P232)),P232-O232,"")</f>
        <v>0.0791079710144928</v>
      </c>
      <c r="R232" s="23" t="n">
        <f aca="false">MAX(0,G232-N(L232))</f>
        <v>9063</v>
      </c>
      <c r="S232" s="23" t="n">
        <f aca="false">SUMIFS(Cadenas_vs_FCST!$D$17:$D$2437,Cadenas_vs_FCST!$A$17:$A$2437,A232)</f>
        <v>16812</v>
      </c>
      <c r="T232" s="23" t="n">
        <f aca="false">SUMIFS(Cadenas_vs_FCST!$E$17:$E$2437,Cadenas_vs_FCST!$A$17:$A$2437,A232)</f>
        <v>24633.5239029192</v>
      </c>
      <c r="U232" s="24" t="n">
        <f aca="false">IF(T232&gt;0,S232/T232-1,"")</f>
        <v>-0.317515428719977</v>
      </c>
      <c r="V232" s="3" t="str">
        <f aca="false">IF(OR(E232="BAJO SS",E232="BAJO SS (XLIB CUBRE)"),"SÍ","")</f>
        <v/>
      </c>
      <c r="W232" s="3" t="str">
        <f aca="false">IF(AND(V232="",N(L232)&gt;=Parametros!$B$17,G232&gt;=H232,R232&lt;H232),"SÍ","")</f>
        <v/>
      </c>
      <c r="X232" s="3" t="str">
        <f aca="false">IF(OR(E232="SOBRE MAX VENDIBLE",N(N232)&gt;=Parametros!$B$17,N(M232)&gt;=Parametros!$B$17),"SÍ","")</f>
        <v/>
      </c>
      <c r="Y232" s="3" t="str">
        <f aca="false">IF(AND(ISNUMBER(U232),MAX(S232,T232)&gt;=Parametros!$B$15,ABS(N(U232))&gt;Parametros!$B$14),"SÍ","")</f>
        <v>SÍ</v>
      </c>
      <c r="Z232" s="3" t="n">
        <f aca="false">COUNTIF(V232:Y232,"SÍ")</f>
        <v>1</v>
      </c>
      <c r="AA232" s="3" t="n">
        <f aca="false">(3*(V232="SÍ")+2*(W232="SÍ")+2*(X232="SÍ")+(Y232="SÍ"))*IF(LEFT(D232,1)="A",3,IF(OR(LEFT(D232,1)="B",D232="SIN HIST"),2,1))</f>
        <v>2</v>
      </c>
      <c r="AB232" s="3" t="str">
        <f aca="false">IF(AA232&gt;=9,"1-ALTA",IF(AA232&gt;=4,"2-MEDIA",IF(AA232&gt;0,"3-BAJA","")))</f>
        <v>3-BAJA</v>
      </c>
      <c r="AC232" s="3" t="str">
        <f aca="false">IF(E232="BAJO SS","Stock + XLIB bajo el SS: riesgo real de quiebre, adelantar producción. ","")&amp;IF(E232="BAJO SS (XLIB CUBRE)","Disponible bajo el SS; depende de liberar "&amp;TEXT(J232,"#,##0")&amp;" kg"&amp;IF(ISNUMBER(K232)," el "&amp;TEXT(K232,"dd-mm"),"")&amp;". ","")&amp;IF(W232="SÍ","Stock parece sano pero "&amp;TEXT(L232,"#,##0")&amp;" kg no pasan filtro "&amp;Stock_Seguridad!O232&amp;": sin ellos queda bajo el SS para esa cadena. ","")&amp;IF(E232="SOBRE MAX VENDIBLE","Sobrestock vs vida útil: frenar producción/activar venta. ","")&amp;IF(N(N232)&gt;=Parametros!$B$17,TEXT(N232,"#,##0")&amp;" kg ya no los acepta ninguna cadena: venta intermedia/liquidación. ","")&amp;IF(N(M232)&gt;=Parametros!$B$17,TEXT(M232,"#,##0")&amp;" kg a punto de salir del filtro: despachar primero (FEFO). ","")&amp;IF(Y232="SÍ","Pedidos "&amp;IF(N(U232)&gt;0,"sobre","bajo")&amp;" FCST "&amp;TEXT(ABS(N(U232)),"0%")&amp;": revisar forecast con KAM.","")</f>
        <v>Pedidos bajo FCST 32%: revisar forecast con KAM.</v>
      </c>
    </row>
    <row r="233" customFormat="false" ht="15" hidden="false" customHeight="false" outlineLevel="0" collapsed="false">
      <c r="A233" s="18" t="n">
        <f aca="false">Stock_Seguridad!A233</f>
        <v>30002277</v>
      </c>
      <c r="B233" s="18" t="str">
        <f aca="false">Stock_Seguridad!B233</f>
        <v>QUESO LPV CHANCO 8X434 AS</v>
      </c>
      <c r="C233" s="18" t="str">
        <f aca="false">Stock_Seguridad!C233</f>
        <v>QUESOS</v>
      </c>
      <c r="D233" s="18" t="str">
        <f aca="false">Stock_Seguridad!F233</f>
        <v>BY</v>
      </c>
      <c r="E233" s="19" t="str">
        <f aca="false">Stock_Seguridad!X233</f>
        <v>BAJO P.REORDEN</v>
      </c>
      <c r="F233" s="20" t="n">
        <f aca="false">Stock_Seguridad!W233</f>
        <v>1.37908</v>
      </c>
      <c r="G233" s="21" t="n">
        <f aca="false">Stock_Seguridad!T233</f>
        <v>6895.4</v>
      </c>
      <c r="H233" s="21" t="n">
        <f aca="false">Stock_Seguridad!R233</f>
        <v>4198.1939259473</v>
      </c>
      <c r="I233" s="21" t="n">
        <f aca="false">Stock_Seguridad!S233</f>
        <v>9198.1939259473</v>
      </c>
      <c r="J233" s="21" t="n">
        <f aca="false">Stock_Seguridad!U233</f>
        <v>0</v>
      </c>
      <c r="K233" s="22"/>
      <c r="L233" s="23" t="n">
        <v>0</v>
      </c>
      <c r="M233" s="23" t="n">
        <v>0</v>
      </c>
      <c r="N233" s="23" t="n">
        <v>0</v>
      </c>
      <c r="O233" s="24" t="n">
        <v>0.0956092648539779</v>
      </c>
      <c r="P233" s="24" t="str">
        <f aca="false">IF(ISNUMBER(Stock_Seguridad!N233),Stock_Seguridad!N233,"")</f>
        <v/>
      </c>
      <c r="Q233" s="24" t="str">
        <f aca="false">IF(AND(ISNUMBER(O233),ISNUMBER(P233)),P233-O233,"")</f>
        <v/>
      </c>
      <c r="R233" s="23" t="n">
        <f aca="false">MAX(0,G233-N(L233))</f>
        <v>6895.4</v>
      </c>
      <c r="S233" s="23" t="n">
        <f aca="false">SUMIFS(Cadenas_vs_FCST!$D$17:$D$2437,Cadenas_vs_FCST!$A$17:$A$2437,A233)</f>
        <v>12599.888</v>
      </c>
      <c r="T233" s="23" t="n">
        <f aca="false">SUMIFS(Cadenas_vs_FCST!$E$17:$E$2437,Cadenas_vs_FCST!$A$17:$A$2437,A233)</f>
        <v>22000</v>
      </c>
      <c r="U233" s="24" t="n">
        <f aca="false">IF(T233&gt;0,S233/T233-1,"")</f>
        <v>-0.427277818181818</v>
      </c>
      <c r="V233" s="3" t="str">
        <f aca="false">IF(OR(E233="BAJO SS",E233="BAJO SS (XLIB CUBRE)"),"SÍ","")</f>
        <v/>
      </c>
      <c r="W233" s="3" t="str">
        <f aca="false">IF(AND(V233="",N(L233)&gt;=Parametros!$B$17,G233&gt;=H233,R233&lt;H233),"SÍ","")</f>
        <v/>
      </c>
      <c r="X233" s="3" t="str">
        <f aca="false">IF(OR(E233="SOBRE MAX VENDIBLE",N(N233)&gt;=Parametros!$B$17,N(M233)&gt;=Parametros!$B$17),"SÍ","")</f>
        <v/>
      </c>
      <c r="Y233" s="3" t="str">
        <f aca="false">IF(AND(ISNUMBER(U233),MAX(S233,T233)&gt;=Parametros!$B$15,ABS(N(U233))&gt;Parametros!$B$14),"SÍ","")</f>
        <v>SÍ</v>
      </c>
      <c r="Z233" s="3" t="n">
        <f aca="false">COUNTIF(V233:Y233,"SÍ")</f>
        <v>1</v>
      </c>
      <c r="AA233" s="3" t="n">
        <f aca="false">(3*(V233="SÍ")+2*(W233="SÍ")+2*(X233="SÍ")+(Y233="SÍ"))*IF(LEFT(D233,1)="A",3,IF(OR(LEFT(D233,1)="B",D233="SIN HIST"),2,1))</f>
        <v>2</v>
      </c>
      <c r="AB233" s="3" t="str">
        <f aca="false">IF(AA233&gt;=9,"1-ALTA",IF(AA233&gt;=4,"2-MEDIA",IF(AA233&gt;0,"3-BAJA","")))</f>
        <v>3-BAJA</v>
      </c>
      <c r="AC233" s="3" t="str">
        <f aca="false">IF(E233="BAJO SS","Stock + XLIB bajo el SS: riesgo real de quiebre, adelantar producción. ","")&amp;IF(E233="BAJO SS (XLIB CUBRE)","Disponible bajo el SS; depende de liberar "&amp;TEXT(J233,"#,##0")&amp;" kg"&amp;IF(ISNUMBER(K233)," el "&amp;TEXT(K233,"dd-mm"),"")&amp;". ","")&amp;IF(W233="SÍ","Stock parece sano pero "&amp;TEXT(L233,"#,##0")&amp;" kg no pasan filtro "&amp;Stock_Seguridad!O233&amp;": sin ellos queda bajo el SS para esa cadena. ","")&amp;IF(E233="SOBRE MAX VENDIBLE","Sobrestock vs vida útil: frenar producción/activar venta. ","")&amp;IF(N(N233)&gt;=Parametros!$B$17,TEXT(N233,"#,##0")&amp;" kg ya no los acepta ninguna cadena: venta intermedia/liquidación. ","")&amp;IF(N(M233)&gt;=Parametros!$B$17,TEXT(M233,"#,##0")&amp;" kg a punto de salir del filtro: despachar primero (FEFO). ","")&amp;IF(Y233="SÍ","Pedidos "&amp;IF(N(U233)&gt;0,"sobre","bajo")&amp;" FCST "&amp;TEXT(ABS(N(U233)),"0%")&amp;": revisar forecast con KAM.","")</f>
        <v>Pedidos bajo FCST 43%: revisar forecast con KAM.</v>
      </c>
    </row>
    <row r="234" customFormat="false" ht="15" hidden="false" customHeight="false" outlineLevel="0" collapsed="false">
      <c r="A234" s="18" t="n">
        <f aca="false">Stock_Seguridad!A234</f>
        <v>30001764</v>
      </c>
      <c r="B234" s="18" t="str">
        <f aca="false">Stock_Seguridad!B234</f>
        <v>MERMELADA LOS LAGOS MORA 24X225GR</v>
      </c>
      <c r="C234" s="18" t="str">
        <f aca="false">Stock_Seguridad!C234</f>
        <v>MERMELADAS</v>
      </c>
      <c r="D234" s="18" t="str">
        <f aca="false">Stock_Seguridad!F234</f>
        <v>BX</v>
      </c>
      <c r="E234" s="19" t="str">
        <f aca="false">Stock_Seguridad!X234</f>
        <v>OK</v>
      </c>
      <c r="F234" s="20" t="n">
        <f aca="false">Stock_Seguridad!W234</f>
        <v>3.89813276762663</v>
      </c>
      <c r="G234" s="21" t="n">
        <f aca="false">Stock_Seguridad!T234</f>
        <v>19477.8</v>
      </c>
      <c r="H234" s="21" t="n">
        <f aca="false">Stock_Seguridad!R234</f>
        <v>1654.64471715371</v>
      </c>
      <c r="I234" s="21" t="n">
        <f aca="false">Stock_Seguridad!S234</f>
        <v>6651.34471715371</v>
      </c>
      <c r="J234" s="21" t="n">
        <f aca="false">Stock_Seguridad!U234</f>
        <v>0</v>
      </c>
      <c r="K234" s="22"/>
      <c r="L234" s="23" t="n">
        <v>0</v>
      </c>
      <c r="M234" s="23" t="n">
        <v>0</v>
      </c>
      <c r="N234" s="23" t="n">
        <v>0</v>
      </c>
      <c r="O234" s="24" t="n">
        <v>0.0511383928571429</v>
      </c>
      <c r="P234" s="24" t="n">
        <f aca="false">IF(ISNUMBER(Stock_Seguridad!N234),Stock_Seguridad!N234,"")</f>
        <v>0.273972602739726</v>
      </c>
      <c r="Q234" s="24" t="n">
        <f aca="false">IF(AND(ISNUMBER(O234),ISNUMBER(P234)),P234-O234,"")</f>
        <v>0.222834209882583</v>
      </c>
      <c r="R234" s="23" t="n">
        <f aca="false">MAX(0,G234-N(L234))</f>
        <v>19477.8</v>
      </c>
      <c r="S234" s="23" t="n">
        <f aca="false">SUMIFS(Cadenas_vs_FCST!$D$17:$D$2437,Cadenas_vs_FCST!$A$17:$A$2437,A234)</f>
        <v>17647.2</v>
      </c>
      <c r="T234" s="23" t="n">
        <f aca="false">SUMIFS(Cadenas_vs_FCST!$E$17:$E$2437,Cadenas_vs_FCST!$A$17:$A$2437,A234)</f>
        <v>17015</v>
      </c>
      <c r="U234" s="24" t="n">
        <f aca="false">IF(T234&gt;0,S234/T234-1,"")</f>
        <v>0.0371554510725831</v>
      </c>
      <c r="V234" s="3" t="str">
        <f aca="false">IF(OR(E234="BAJO SS",E234="BAJO SS (XLIB CUBRE)"),"SÍ","")</f>
        <v/>
      </c>
      <c r="W234" s="3" t="str">
        <f aca="false">IF(AND(V234="",N(L234)&gt;=Parametros!$B$17,G234&gt;=H234,R234&lt;H234),"SÍ","")</f>
        <v/>
      </c>
      <c r="X234" s="3" t="str">
        <f aca="false">IF(OR(E234="SOBRE MAX VENDIBLE",N(N234)&gt;=Parametros!$B$17,N(M234)&gt;=Parametros!$B$17),"SÍ","")</f>
        <v/>
      </c>
      <c r="Y234" s="3" t="str">
        <f aca="false">IF(AND(ISNUMBER(U234),MAX(S234,T234)&gt;=Parametros!$B$15,ABS(N(U234))&gt;Parametros!$B$14),"SÍ","")</f>
        <v/>
      </c>
      <c r="Z234" s="3" t="n">
        <f aca="false">COUNTIF(V234:Y234,"SÍ")</f>
        <v>0</v>
      </c>
      <c r="AA234" s="3" t="n">
        <f aca="false">(3*(V234="SÍ")+2*(W234="SÍ")+2*(X234="SÍ")+(Y234="SÍ"))*IF(LEFT(D234,1)="A",3,IF(OR(LEFT(D234,1)="B",D234="SIN HIST"),2,1))</f>
        <v>0</v>
      </c>
      <c r="AB234" s="3" t="str">
        <f aca="false">IF(AA234&gt;=9,"1-ALTA",IF(AA234&gt;=4,"2-MEDIA",IF(AA234&gt;0,"3-BAJA","")))</f>
        <v/>
      </c>
      <c r="AC234" s="3" t="str">
        <f aca="false">IF(E234="BAJO SS","Stock + XLIB bajo el SS: riesgo real de quiebre, adelantar producción. ","")&amp;IF(E234="BAJO SS (XLIB CUBRE)","Disponible bajo el SS; depende de liberar "&amp;TEXT(J234,"#,##0")&amp;" kg"&amp;IF(ISNUMBER(K234)," el "&amp;TEXT(K234,"dd-mm"),"")&amp;". ","")&amp;IF(W234="SÍ","Stock parece sano pero "&amp;TEXT(L234,"#,##0")&amp;" kg no pasan filtro "&amp;Stock_Seguridad!O234&amp;": sin ellos queda bajo el SS para esa cadena. ","")&amp;IF(E234="SOBRE MAX VENDIBLE","Sobrestock vs vida útil: frenar producción/activar venta. ","")&amp;IF(N(N234)&gt;=Parametros!$B$17,TEXT(N234,"#,##0")&amp;" kg ya no los acepta ninguna cadena: venta intermedia/liquidación. ","")&amp;IF(N(M234)&gt;=Parametros!$B$17,TEXT(M234,"#,##0")&amp;" kg a punto de salir del filtro: despachar primero (FEFO). ","")&amp;IF(Y234="SÍ","Pedidos "&amp;IF(N(U234)&gt;0,"sobre","bajo")&amp;" FCST "&amp;TEXT(ABS(N(U234)),"0%")&amp;": revisar forecast con KAM.","")</f>
        <v/>
      </c>
    </row>
    <row r="235" customFormat="false" ht="15" hidden="false" customHeight="false" outlineLevel="0" collapsed="false">
      <c r="A235" s="18" t="n">
        <f aca="false">Stock_Seguridad!A235</f>
        <v>30002077</v>
      </c>
      <c r="B235" s="18" t="str">
        <f aca="false">Stock_Seguridad!B235</f>
        <v>LECHE VAINILLA LONCOLECHE 12X1LT</v>
      </c>
      <c r="C235" s="18" t="str">
        <f aca="false">Stock_Seguridad!C235</f>
        <v>LECHES LIQUIDAS</v>
      </c>
      <c r="D235" s="18" t="str">
        <f aca="false">Stock_Seguridad!F235</f>
        <v>BY</v>
      </c>
      <c r="E235" s="19" t="str">
        <f aca="false">Stock_Seguridad!X235</f>
        <v>OK</v>
      </c>
      <c r="F235" s="20" t="n">
        <f aca="false">Stock_Seguridad!W235</f>
        <v>2.7328431372549</v>
      </c>
      <c r="G235" s="21" t="n">
        <f aca="false">Stock_Seguridad!T235</f>
        <v>7332</v>
      </c>
      <c r="H235" s="21" t="n">
        <f aca="false">Stock_Seguridad!R235</f>
        <v>6891.37098291145</v>
      </c>
      <c r="I235" s="21" t="n">
        <f aca="false">Stock_Seguridad!S235</f>
        <v>11787.3709829114</v>
      </c>
      <c r="J235" s="21" t="n">
        <f aca="false">Stock_Seguridad!U235</f>
        <v>6048</v>
      </c>
      <c r="K235" s="22" t="n">
        <v>46322</v>
      </c>
      <c r="L235" s="23" t="n">
        <v>180</v>
      </c>
      <c r="M235" s="23" t="n">
        <v>0</v>
      </c>
      <c r="N235" s="23" t="n">
        <v>72</v>
      </c>
      <c r="O235" s="24" t="n">
        <v>0.0640179372197309</v>
      </c>
      <c r="P235" s="24" t="n">
        <f aca="false">IF(ISNUMBER(Stock_Seguridad!N235),Stock_Seguridad!N235,"")</f>
        <v>0.219626168224299</v>
      </c>
      <c r="Q235" s="24" t="n">
        <f aca="false">IF(AND(ISNUMBER(O235),ISNUMBER(P235)),P235-O235,"")</f>
        <v>0.155608231004568</v>
      </c>
      <c r="R235" s="23" t="n">
        <f aca="false">MAX(0,G235-N(L235))</f>
        <v>7152</v>
      </c>
      <c r="S235" s="23" t="n">
        <f aca="false">SUMIFS(Cadenas_vs_FCST!$D$17:$D$2437,Cadenas_vs_FCST!$A$17:$A$2437,A235)</f>
        <v>19944</v>
      </c>
      <c r="T235" s="23" t="n">
        <f aca="false">SUMIFS(Cadenas_vs_FCST!$E$17:$E$2437,Cadenas_vs_FCST!$A$17:$A$2437,A235)</f>
        <v>12652.8895677265</v>
      </c>
      <c r="U235" s="24" t="n">
        <f aca="false">IF(T235&gt;0,S235/T235-1,"")</f>
        <v>0.576240738785138</v>
      </c>
      <c r="V235" s="3" t="str">
        <f aca="false">IF(OR(E235="BAJO SS",E235="BAJO SS (XLIB CUBRE)"),"SÍ","")</f>
        <v/>
      </c>
      <c r="W235" s="3" t="str">
        <f aca="false">IF(AND(V235="",N(L235)&gt;=Parametros!$B$17,G235&gt;=H235,R235&lt;H235),"SÍ","")</f>
        <v/>
      </c>
      <c r="X235" s="3" t="str">
        <f aca="false">IF(OR(E235="SOBRE MAX VENDIBLE",N(N235)&gt;=Parametros!$B$17,N(M235)&gt;=Parametros!$B$17),"SÍ","")</f>
        <v/>
      </c>
      <c r="Y235" s="3" t="str">
        <f aca="false">IF(AND(ISNUMBER(U235),MAX(S235,T235)&gt;=Parametros!$B$15,ABS(N(U235))&gt;Parametros!$B$14),"SÍ","")</f>
        <v>SÍ</v>
      </c>
      <c r="Z235" s="3" t="n">
        <f aca="false">COUNTIF(V235:Y235,"SÍ")</f>
        <v>1</v>
      </c>
      <c r="AA235" s="3" t="n">
        <f aca="false">(3*(V235="SÍ")+2*(W235="SÍ")+2*(X235="SÍ")+(Y235="SÍ"))*IF(LEFT(D235,1)="A",3,IF(OR(LEFT(D235,1)="B",D235="SIN HIST"),2,1))</f>
        <v>2</v>
      </c>
      <c r="AB235" s="3" t="str">
        <f aca="false">IF(AA235&gt;=9,"1-ALTA",IF(AA235&gt;=4,"2-MEDIA",IF(AA235&gt;0,"3-BAJA","")))</f>
        <v>3-BAJA</v>
      </c>
      <c r="AC235" s="3" t="str">
        <f aca="false">IF(E235="BAJO SS","Stock + XLIB bajo el SS: riesgo real de quiebre, adelantar producción. ","")&amp;IF(E235="BAJO SS (XLIB CUBRE)","Disponible bajo el SS; depende de liberar "&amp;TEXT(J235,"#,##0")&amp;" kg"&amp;IF(ISNUMBER(K235)," el "&amp;TEXT(K235,"dd-mm"),"")&amp;". ","")&amp;IF(W235="SÍ","Stock parece sano pero "&amp;TEXT(L235,"#,##0")&amp;" kg no pasan filtro "&amp;Stock_Seguridad!O235&amp;": sin ellos queda bajo el SS para esa cadena. ","")&amp;IF(E235="SOBRE MAX VENDIBLE","Sobrestock vs vida útil: frenar producción/activar venta. ","")&amp;IF(N(N235)&gt;=Parametros!$B$17,TEXT(N235,"#,##0")&amp;" kg ya no los acepta ninguna cadena: venta intermedia/liquidación. ","")&amp;IF(N(M235)&gt;=Parametros!$B$17,TEXT(M235,"#,##0")&amp;" kg a punto de salir del filtro: despachar primero (FEFO). ","")&amp;IF(Y235="SÍ","Pedidos "&amp;IF(N(U235)&gt;0,"sobre","bajo")&amp;" FCST "&amp;TEXT(ABS(N(U235)),"0%")&amp;": revisar forecast con KAM.","")</f>
        <v>Pedidos sobre FCST 58%: revisar forecast con KAM.</v>
      </c>
    </row>
    <row r="236" customFormat="false" ht="15" hidden="false" customHeight="false" outlineLevel="0" collapsed="false">
      <c r="A236" s="18" t="n">
        <f aca="false">Stock_Seguridad!A236</f>
        <v>30000763</v>
      </c>
      <c r="B236" s="18" t="str">
        <f aca="false">Stock_Seguridad!B236</f>
        <v>HABAS FM 8X2KG</v>
      </c>
      <c r="C236" s="18" t="str">
        <f aca="false">Stock_Seguridad!C236</f>
        <v>FRUTAS Y HORTALIZAS CONGELADAS</v>
      </c>
      <c r="D236" s="18" t="str">
        <f aca="false">Stock_Seguridad!F236</f>
        <v>SIN HIST</v>
      </c>
      <c r="E236" s="19" t="str">
        <f aca="false">Stock_Seguridad!X236</f>
        <v>OK</v>
      </c>
      <c r="F236" s="20" t="n">
        <f aca="false">Stock_Seguridad!W236</f>
        <v>11.2439339025739</v>
      </c>
      <c r="G236" s="21" t="n">
        <f aca="false">Stock_Seguridad!T236</f>
        <v>54912</v>
      </c>
      <c r="H236" s="21" t="n">
        <f aca="false">Stock_Seguridad!R236</f>
        <v>2409.89149738287</v>
      </c>
      <c r="I236" s="21" t="n">
        <f aca="false">Stock_Seguridad!S236</f>
        <v>7293.59149738287</v>
      </c>
      <c r="J236" s="21" t="n">
        <f aca="false">Stock_Seguridad!U236</f>
        <v>0</v>
      </c>
      <c r="K236" s="22"/>
      <c r="L236" s="23" t="n">
        <v>0</v>
      </c>
      <c r="M236" s="23" t="n">
        <v>0</v>
      </c>
      <c r="N236" s="23" t="n">
        <v>0</v>
      </c>
      <c r="O236" s="24" t="n">
        <v>0.120189393939394</v>
      </c>
      <c r="P236" s="24" t="str">
        <f aca="false">IF(ISNUMBER(Stock_Seguridad!N236),Stock_Seguridad!N236,"")</f>
        <v/>
      </c>
      <c r="Q236" s="24" t="str">
        <f aca="false">IF(AND(ISNUMBER(O236),ISNUMBER(P236)),P236-O236,"")</f>
        <v/>
      </c>
      <c r="R236" s="23" t="n">
        <f aca="false">MAX(0,G236-N(L236))</f>
        <v>54912</v>
      </c>
      <c r="S236" s="23" t="n">
        <f aca="false">SUMIFS(Cadenas_vs_FCST!$D$17:$D$2437,Cadenas_vs_FCST!$A$17:$A$2437,A236)</f>
        <v>0</v>
      </c>
      <c r="T236" s="23" t="n">
        <f aca="false">SUMIFS(Cadenas_vs_FCST!$E$17:$E$2437,Cadenas_vs_FCST!$A$17:$A$2437,A236)</f>
        <v>0</v>
      </c>
      <c r="U236" s="24" t="str">
        <f aca="false">IF(T236&gt;0,S236/T236-1,"")</f>
        <v/>
      </c>
      <c r="V236" s="3" t="str">
        <f aca="false">IF(OR(E236="BAJO SS",E236="BAJO SS (XLIB CUBRE)"),"SÍ","")</f>
        <v/>
      </c>
      <c r="W236" s="3" t="str">
        <f aca="false">IF(AND(V236="",N(L236)&gt;=Parametros!$B$17,G236&gt;=H236,R236&lt;H236),"SÍ","")</f>
        <v/>
      </c>
      <c r="X236" s="3" t="str">
        <f aca="false">IF(OR(E236="SOBRE MAX VENDIBLE",N(N236)&gt;=Parametros!$B$17,N(M236)&gt;=Parametros!$B$17),"SÍ","")</f>
        <v/>
      </c>
      <c r="Y236" s="3" t="str">
        <f aca="false">IF(AND(ISNUMBER(U236),MAX(S236,T236)&gt;=Parametros!$B$15,ABS(N(U236))&gt;Parametros!$B$14),"SÍ","")</f>
        <v/>
      </c>
      <c r="Z236" s="3" t="n">
        <f aca="false">COUNTIF(V236:Y236,"SÍ")</f>
        <v>0</v>
      </c>
      <c r="AA236" s="3" t="n">
        <f aca="false">(3*(V236="SÍ")+2*(W236="SÍ")+2*(X236="SÍ")+(Y236="SÍ"))*IF(LEFT(D236,1)="A",3,IF(OR(LEFT(D236,1)="B",D236="SIN HIST"),2,1))</f>
        <v>0</v>
      </c>
      <c r="AB236" s="3" t="str">
        <f aca="false">IF(AA236&gt;=9,"1-ALTA",IF(AA236&gt;=4,"2-MEDIA",IF(AA236&gt;0,"3-BAJA","")))</f>
        <v/>
      </c>
      <c r="AC236" s="3" t="str">
        <f aca="false">IF(E236="BAJO SS","Stock + XLIB bajo el SS: riesgo real de quiebre, adelantar producción. ","")&amp;IF(E236="BAJO SS (XLIB CUBRE)","Disponible bajo el SS; depende de liberar "&amp;TEXT(J236,"#,##0")&amp;" kg"&amp;IF(ISNUMBER(K236)," el "&amp;TEXT(K236,"dd-mm"),"")&amp;". ","")&amp;IF(W236="SÍ","Stock parece sano pero "&amp;TEXT(L236,"#,##0")&amp;" kg no pasan filtro "&amp;Stock_Seguridad!O236&amp;": sin ellos queda bajo el SS para esa cadena. ","")&amp;IF(E236="SOBRE MAX VENDIBLE","Sobrestock vs vida útil: frenar producción/activar venta. ","")&amp;IF(N(N236)&gt;=Parametros!$B$17,TEXT(N236,"#,##0")&amp;" kg ya no los acepta ninguna cadena: venta intermedia/liquidación. ","")&amp;IF(N(M236)&gt;=Parametros!$B$17,TEXT(M236,"#,##0")&amp;" kg a punto de salir del filtro: despachar primero (FEFO). ","")&amp;IF(Y236="SÍ","Pedidos "&amp;IF(N(U236)&gt;0,"sobre","bajo")&amp;" FCST "&amp;TEXT(ABS(N(U236)),"0%")&amp;": revisar forecast con KAM.","")</f>
        <v/>
      </c>
    </row>
    <row r="237" customFormat="false" ht="15" hidden="false" customHeight="false" outlineLevel="0" collapsed="false">
      <c r="A237" s="18" t="n">
        <f aca="false">Stock_Seguridad!A237</f>
        <v>30000741</v>
      </c>
      <c r="B237" s="18" t="str">
        <f aca="false">Stock_Seguridad!B237</f>
        <v>ARVEJA IQF 15X1KG</v>
      </c>
      <c r="C237" s="18" t="str">
        <f aca="false">Stock_Seguridad!C237</f>
        <v>FRUTAS Y HORTALIZAS CONGELADAS</v>
      </c>
      <c r="D237" s="18" t="str">
        <f aca="false">Stock_Seguridad!F237</f>
        <v>SIN HIST</v>
      </c>
      <c r="E237" s="19" t="str">
        <f aca="false">Stock_Seguridad!X237</f>
        <v>OK</v>
      </c>
      <c r="F237" s="20" t="n">
        <f aca="false">Stock_Seguridad!W237</f>
        <v>16.7578028999754</v>
      </c>
      <c r="G237" s="21" t="n">
        <f aca="false">Stock_Seguridad!T237</f>
        <v>81825</v>
      </c>
      <c r="H237" s="21" t="n">
        <f aca="false">Stock_Seguridad!R237</f>
        <v>2409.44738690359</v>
      </c>
      <c r="I237" s="21" t="n">
        <f aca="false">Stock_Seguridad!S237</f>
        <v>7292.24738690359</v>
      </c>
      <c r="J237" s="21" t="n">
        <f aca="false">Stock_Seguridad!U237</f>
        <v>0</v>
      </c>
      <c r="K237" s="22"/>
      <c r="L237" s="23" t="n">
        <v>0</v>
      </c>
      <c r="M237" s="23" t="n">
        <v>0</v>
      </c>
      <c r="N237" s="23" t="n">
        <v>0</v>
      </c>
      <c r="O237" s="24" t="n">
        <v>0.0998735105407883</v>
      </c>
      <c r="P237" s="24" t="str">
        <f aca="false">IF(ISNUMBER(Stock_Seguridad!N237),Stock_Seguridad!N237,"")</f>
        <v/>
      </c>
      <c r="Q237" s="24" t="str">
        <f aca="false">IF(AND(ISNUMBER(O237),ISNUMBER(P237)),P237-O237,"")</f>
        <v/>
      </c>
      <c r="R237" s="23" t="n">
        <f aca="false">MAX(0,G237-N(L237))</f>
        <v>81825</v>
      </c>
      <c r="S237" s="23" t="n">
        <f aca="false">SUMIFS(Cadenas_vs_FCST!$D$17:$D$2437,Cadenas_vs_FCST!$A$17:$A$2437,A237)</f>
        <v>0</v>
      </c>
      <c r="T237" s="23" t="n">
        <f aca="false">SUMIFS(Cadenas_vs_FCST!$E$17:$E$2437,Cadenas_vs_FCST!$A$17:$A$2437,A237)</f>
        <v>0</v>
      </c>
      <c r="U237" s="24" t="str">
        <f aca="false">IF(T237&gt;0,S237/T237-1,"")</f>
        <v/>
      </c>
      <c r="V237" s="3" t="str">
        <f aca="false">IF(OR(E237="BAJO SS",E237="BAJO SS (XLIB CUBRE)"),"SÍ","")</f>
        <v/>
      </c>
      <c r="W237" s="3" t="str">
        <f aca="false">IF(AND(V237="",N(L237)&gt;=Parametros!$B$17,G237&gt;=H237,R237&lt;H237),"SÍ","")</f>
        <v/>
      </c>
      <c r="X237" s="3" t="str">
        <f aca="false">IF(OR(E237="SOBRE MAX VENDIBLE",N(N237)&gt;=Parametros!$B$17,N(M237)&gt;=Parametros!$B$17),"SÍ","")</f>
        <v/>
      </c>
      <c r="Y237" s="3" t="str">
        <f aca="false">IF(AND(ISNUMBER(U237),MAX(S237,T237)&gt;=Parametros!$B$15,ABS(N(U237))&gt;Parametros!$B$14),"SÍ","")</f>
        <v/>
      </c>
      <c r="Z237" s="3" t="n">
        <f aca="false">COUNTIF(V237:Y237,"SÍ")</f>
        <v>0</v>
      </c>
      <c r="AA237" s="3" t="n">
        <f aca="false">(3*(V237="SÍ")+2*(W237="SÍ")+2*(X237="SÍ")+(Y237="SÍ"))*IF(LEFT(D237,1)="A",3,IF(OR(LEFT(D237,1)="B",D237="SIN HIST"),2,1))</f>
        <v>0</v>
      </c>
      <c r="AB237" s="3" t="str">
        <f aca="false">IF(AA237&gt;=9,"1-ALTA",IF(AA237&gt;=4,"2-MEDIA",IF(AA237&gt;0,"3-BAJA","")))</f>
        <v/>
      </c>
      <c r="AC237" s="3" t="str">
        <f aca="false">IF(E237="BAJO SS","Stock + XLIB bajo el SS: riesgo real de quiebre, adelantar producción. ","")&amp;IF(E237="BAJO SS (XLIB CUBRE)","Disponible bajo el SS; depende de liberar "&amp;TEXT(J237,"#,##0")&amp;" kg"&amp;IF(ISNUMBER(K237)," el "&amp;TEXT(K237,"dd-mm"),"")&amp;". ","")&amp;IF(W237="SÍ","Stock parece sano pero "&amp;TEXT(L237,"#,##0")&amp;" kg no pasan filtro "&amp;Stock_Seguridad!O237&amp;": sin ellos queda bajo el SS para esa cadena. ","")&amp;IF(E237="SOBRE MAX VENDIBLE","Sobrestock vs vida útil: frenar producción/activar venta. ","")&amp;IF(N(N237)&gt;=Parametros!$B$17,TEXT(N237,"#,##0")&amp;" kg ya no los acepta ninguna cadena: venta intermedia/liquidación. ","")&amp;IF(N(M237)&gt;=Parametros!$B$17,TEXT(M237,"#,##0")&amp;" kg a punto de salir del filtro: despachar primero (FEFO). ","")&amp;IF(Y237="SÍ","Pedidos "&amp;IF(N(U237)&gt;0,"sobre","bajo")&amp;" FCST "&amp;TEXT(ABS(N(U237)),"0%")&amp;": revisar forecast con KAM.","")</f>
        <v/>
      </c>
    </row>
    <row r="238" customFormat="false" ht="15" hidden="false" customHeight="false" outlineLevel="0" collapsed="false">
      <c r="A238" s="18" t="n">
        <f aca="false">Stock_Seguridad!A238</f>
        <v>30001506</v>
      </c>
      <c r="B238" s="18" t="str">
        <f aca="false">Stock_Seguridad!B238</f>
        <v>YOGURT YOGU YOGU FLLA TETRA 5X6X115GR</v>
      </c>
      <c r="C238" s="18" t="str">
        <f aca="false">Stock_Seguridad!C238</f>
        <v>YOGURT</v>
      </c>
      <c r="D238" s="18" t="str">
        <f aca="false">Stock_Seguridad!F238</f>
        <v>BX</v>
      </c>
      <c r="E238" s="19" t="str">
        <f aca="false">Stock_Seguridad!X238</f>
        <v>OK</v>
      </c>
      <c r="F238" s="20" t="n">
        <f aca="false">Stock_Seguridad!W238</f>
        <v>1.9342975715988</v>
      </c>
      <c r="G238" s="21" t="n">
        <f aca="false">Stock_Seguridad!T238</f>
        <v>4767.9</v>
      </c>
      <c r="H238" s="21" t="n">
        <f aca="false">Stock_Seguridad!R238</f>
        <v>2052.87534131939</v>
      </c>
      <c r="I238" s="21" t="n">
        <f aca="false">Stock_Seguridad!S238</f>
        <v>6920.27534131938</v>
      </c>
      <c r="J238" s="21" t="n">
        <f aca="false">Stock_Seguridad!U238</f>
        <v>4647.1</v>
      </c>
      <c r="K238" s="22" t="n">
        <v>46318</v>
      </c>
      <c r="L238" s="23" t="n">
        <v>420.9</v>
      </c>
      <c r="M238" s="23" t="n">
        <v>0</v>
      </c>
      <c r="N238" s="23" t="n">
        <v>0</v>
      </c>
      <c r="O238" s="24" t="n">
        <v>0.0787435328898744</v>
      </c>
      <c r="P238" s="24" t="n">
        <f aca="false">IF(ISNUMBER(Stock_Seguridad!N238),Stock_Seguridad!N238,"")</f>
        <v>0.26027397260274</v>
      </c>
      <c r="Q238" s="24" t="n">
        <f aca="false">IF(AND(ISNUMBER(O238),ISNUMBER(P238)),P238-O238,"")</f>
        <v>0.181530439712865</v>
      </c>
      <c r="R238" s="23" t="n">
        <f aca="false">MAX(0,G238-N(L238))</f>
        <v>4347</v>
      </c>
      <c r="S238" s="23" t="n">
        <f aca="false">SUMIFS(Cadenas_vs_FCST!$D$17:$D$2437,Cadenas_vs_FCST!$A$17:$A$2437,A238)</f>
        <v>22259.4</v>
      </c>
      <c r="T238" s="23" t="n">
        <f aca="false">SUMIFS(Cadenas_vs_FCST!$E$17:$E$2437,Cadenas_vs_FCST!$A$17:$A$2437,A238)</f>
        <v>18640.3695896922</v>
      </c>
      <c r="U238" s="24" t="n">
        <f aca="false">IF(T238&gt;0,S238/T238-1,"")</f>
        <v>0.194150142404316</v>
      </c>
      <c r="V238" s="3" t="str">
        <f aca="false">IF(OR(E238="BAJO SS",E238="BAJO SS (XLIB CUBRE)"),"SÍ","")</f>
        <v/>
      </c>
      <c r="W238" s="3" t="str">
        <f aca="false">IF(AND(V238="",N(L238)&gt;=Parametros!$B$17,G238&gt;=H238,R238&lt;H238),"SÍ","")</f>
        <v/>
      </c>
      <c r="X238" s="3" t="str">
        <f aca="false">IF(OR(E238="SOBRE MAX VENDIBLE",N(N238)&gt;=Parametros!$B$17,N(M238)&gt;=Parametros!$B$17),"SÍ","")</f>
        <v/>
      </c>
      <c r="Y238" s="3" t="str">
        <f aca="false">IF(AND(ISNUMBER(U238),MAX(S238,T238)&gt;=Parametros!$B$15,ABS(N(U238))&gt;Parametros!$B$14),"SÍ","")</f>
        <v/>
      </c>
      <c r="Z238" s="3" t="n">
        <f aca="false">COUNTIF(V238:Y238,"SÍ")</f>
        <v>0</v>
      </c>
      <c r="AA238" s="3" t="n">
        <f aca="false">(3*(V238="SÍ")+2*(W238="SÍ")+2*(X238="SÍ")+(Y238="SÍ"))*IF(LEFT(D238,1)="A",3,IF(OR(LEFT(D238,1)="B",D238="SIN HIST"),2,1))</f>
        <v>0</v>
      </c>
      <c r="AB238" s="3" t="str">
        <f aca="false">IF(AA238&gt;=9,"1-ALTA",IF(AA238&gt;=4,"2-MEDIA",IF(AA238&gt;0,"3-BAJA","")))</f>
        <v/>
      </c>
      <c r="AC238" s="3" t="str">
        <f aca="false">IF(E238="BAJO SS","Stock + XLIB bajo el SS: riesgo real de quiebre, adelantar producción. ","")&amp;IF(E238="BAJO SS (XLIB CUBRE)","Disponible bajo el SS; depende de liberar "&amp;TEXT(J238,"#,##0")&amp;" kg"&amp;IF(ISNUMBER(K238)," el "&amp;TEXT(K238,"dd-mm"),"")&amp;". ","")&amp;IF(W238="SÍ","Stock parece sano pero "&amp;TEXT(L238,"#,##0")&amp;" kg no pasan filtro "&amp;Stock_Seguridad!O238&amp;": sin ellos queda bajo el SS para esa cadena. ","")&amp;IF(E238="SOBRE MAX VENDIBLE","Sobrestock vs vida útil: frenar producción/activar venta. ","")&amp;IF(N(N238)&gt;=Parametros!$B$17,TEXT(N238,"#,##0")&amp;" kg ya no los acepta ninguna cadena: venta intermedia/liquidación. ","")&amp;IF(N(M238)&gt;=Parametros!$B$17,TEXT(M238,"#,##0")&amp;" kg a punto de salir del filtro: despachar primero (FEFO). ","")&amp;IF(Y238="SÍ","Pedidos "&amp;IF(N(U238)&gt;0,"sobre","bajo")&amp;" FCST "&amp;TEXT(ABS(N(U238)),"0%")&amp;": revisar forecast con KAM.","")</f>
        <v/>
      </c>
    </row>
    <row r="239" customFormat="false" ht="15" hidden="false" customHeight="false" outlineLevel="0" collapsed="false">
      <c r="A239" s="18" t="n">
        <f aca="false">Stock_Seguridad!A239</f>
        <v>30000307</v>
      </c>
      <c r="B239" s="18" t="str">
        <f aca="false">Stock_Seguridad!B239</f>
        <v>YOGU YOGU PINA 30X200GR</v>
      </c>
      <c r="C239" s="18" t="str">
        <f aca="false">Stock_Seguridad!C239</f>
        <v>LECHES LIQUIDAS</v>
      </c>
      <c r="D239" s="18" t="str">
        <f aca="false">Stock_Seguridad!F239</f>
        <v>BX</v>
      </c>
      <c r="E239" s="19" t="str">
        <f aca="false">Stock_Seguridad!X239</f>
        <v>OK</v>
      </c>
      <c r="F239" s="20" t="n">
        <f aca="false">Stock_Seguridad!W239</f>
        <v>3.25223966466672</v>
      </c>
      <c r="G239" s="21" t="n">
        <f aca="false">Stock_Seguridad!T239</f>
        <v>15828</v>
      </c>
      <c r="H239" s="21" t="n">
        <f aca="false">Stock_Seguridad!R239</f>
        <v>1916.44993793339</v>
      </c>
      <c r="I239" s="21" t="n">
        <f aca="false">Stock_Seguridad!S239</f>
        <v>6783.24993793339</v>
      </c>
      <c r="J239" s="21" t="n">
        <f aca="false">Stock_Seguridad!U239</f>
        <v>0</v>
      </c>
      <c r="K239" s="22"/>
      <c r="L239" s="23" t="n">
        <v>48</v>
      </c>
      <c r="M239" s="23" t="n">
        <v>1266</v>
      </c>
      <c r="N239" s="23" t="n">
        <v>0</v>
      </c>
      <c r="O239" s="24" t="n">
        <v>0.117862305058958</v>
      </c>
      <c r="P239" s="24" t="n">
        <f aca="false">IF(ISNUMBER(Stock_Seguridad!N239),Stock_Seguridad!N239,"")</f>
        <v>0.220408163265306</v>
      </c>
      <c r="Q239" s="24" t="n">
        <f aca="false">IF(AND(ISNUMBER(O239),ISNUMBER(P239)),P239-O239,"")</f>
        <v>0.102545858206348</v>
      </c>
      <c r="R239" s="23" t="n">
        <f aca="false">MAX(0,G239-N(L239))</f>
        <v>15780</v>
      </c>
      <c r="S239" s="23" t="n">
        <f aca="false">SUMIFS(Cadenas_vs_FCST!$D$17:$D$2437,Cadenas_vs_FCST!$A$17:$A$2437,A239)</f>
        <v>14226</v>
      </c>
      <c r="T239" s="23" t="n">
        <f aca="false">SUMIFS(Cadenas_vs_FCST!$E$17:$E$2437,Cadenas_vs_FCST!$A$17:$A$2437,A239)</f>
        <v>16885.7271272726</v>
      </c>
      <c r="U239" s="24" t="n">
        <f aca="false">IF(T239&gt;0,S239/T239-1,"")</f>
        <v>-0.157513331065075</v>
      </c>
      <c r="V239" s="3" t="str">
        <f aca="false">IF(OR(E239="BAJO SS",E239="BAJO SS (XLIB CUBRE)"),"SÍ","")</f>
        <v/>
      </c>
      <c r="W239" s="3" t="str">
        <f aca="false">IF(AND(V239="",N(L239)&gt;=Parametros!$B$17,G239&gt;=H239,R239&lt;H239),"SÍ","")</f>
        <v/>
      </c>
      <c r="X239" s="3" t="str">
        <f aca="false">IF(OR(E239="SOBRE MAX VENDIBLE",N(N239)&gt;=Parametros!$B$17,N(M239)&gt;=Parametros!$B$17),"SÍ","")</f>
        <v>SÍ</v>
      </c>
      <c r="Y239" s="3" t="str">
        <f aca="false">IF(AND(ISNUMBER(U239),MAX(S239,T239)&gt;=Parametros!$B$15,ABS(N(U239))&gt;Parametros!$B$14),"SÍ","")</f>
        <v/>
      </c>
      <c r="Z239" s="3" t="n">
        <f aca="false">COUNTIF(V239:Y239,"SÍ")</f>
        <v>1</v>
      </c>
      <c r="AA239" s="3" t="n">
        <f aca="false">(3*(V239="SÍ")+2*(W239="SÍ")+2*(X239="SÍ")+(Y239="SÍ"))*IF(LEFT(D239,1)="A",3,IF(OR(LEFT(D239,1)="B",D239="SIN HIST"),2,1))</f>
        <v>4</v>
      </c>
      <c r="AB239" s="3" t="str">
        <f aca="false">IF(AA239&gt;=9,"1-ALTA",IF(AA239&gt;=4,"2-MEDIA",IF(AA239&gt;0,"3-BAJA","")))</f>
        <v>2-MEDIA</v>
      </c>
      <c r="AC239" s="3" t="str">
        <f aca="false">IF(E239="BAJO SS","Stock + XLIB bajo el SS: riesgo real de quiebre, adelantar producción. ","")&amp;IF(E239="BAJO SS (XLIB CUBRE)","Disponible bajo el SS; depende de liberar "&amp;TEXT(J239,"#,##0")&amp;" kg"&amp;IF(ISNUMBER(K239)," el "&amp;TEXT(K239,"dd-mm"),"")&amp;". ","")&amp;IF(W239="SÍ","Stock parece sano pero "&amp;TEXT(L239,"#,##0")&amp;" kg no pasan filtro "&amp;Stock_Seguridad!O239&amp;": sin ellos queda bajo el SS para esa cadena. ","")&amp;IF(E239="SOBRE MAX VENDIBLE","Sobrestock vs vida útil: frenar producción/activar venta. ","")&amp;IF(N(N239)&gt;=Parametros!$B$17,TEXT(N239,"#,##0")&amp;" kg ya no los acepta ninguna cadena: venta intermedia/liquidación. ","")&amp;IF(N(M239)&gt;=Parametros!$B$17,TEXT(M239,"#,##0")&amp;" kg a punto de salir del filtro: despachar primero (FEFO). ","")&amp;IF(Y239="SÍ","Pedidos "&amp;IF(N(U239)&gt;0,"sobre","bajo")&amp;" FCST "&amp;TEXT(ABS(N(U239)),"0%")&amp;": revisar forecast con KAM.","")</f>
        <v>1,266 kg a punto de salir del filtro: despachar primero (FEFO). </v>
      </c>
    </row>
    <row r="240" customFormat="false" ht="15" hidden="false" customHeight="false" outlineLevel="0" collapsed="false">
      <c r="A240" s="18" t="n">
        <f aca="false">Stock_Seguridad!A240</f>
        <v>30001045</v>
      </c>
      <c r="B240" s="18" t="str">
        <f aca="false">Stock_Seguridad!B240</f>
        <v>PROBIOTICO CALAN FLLA UNV BOT 8X6X90G</v>
      </c>
      <c r="C240" s="18" t="str">
        <f aca="false">Stock_Seguridad!C240</f>
        <v>LECHES LIQUIDAS</v>
      </c>
      <c r="D240" s="18" t="str">
        <f aca="false">Stock_Seguridad!F240</f>
        <v>BX</v>
      </c>
      <c r="E240" s="19" t="str">
        <f aca="false">Stock_Seguridad!X240</f>
        <v>BAJO SS (XLIB CUBRE)</v>
      </c>
      <c r="F240" s="20" t="n">
        <f aca="false">Stock_Seguridad!W240</f>
        <v>1.309655272246</v>
      </c>
      <c r="G240" s="21" t="n">
        <f aca="false">Stock_Seguridad!T240</f>
        <v>1581.1</v>
      </c>
      <c r="H240" s="21" t="n">
        <f aca="false">Stock_Seguridad!R240</f>
        <v>3091.68335356007</v>
      </c>
      <c r="I240" s="21" t="n">
        <f aca="false">Stock_Seguridad!S240</f>
        <v>7927.38335356007</v>
      </c>
      <c r="J240" s="21" t="n">
        <f aca="false">Stock_Seguridad!U240</f>
        <v>4752</v>
      </c>
      <c r="K240" s="22" t="n">
        <v>46318</v>
      </c>
      <c r="L240" s="23" t="n">
        <v>514.08</v>
      </c>
      <c r="M240" s="23" t="n">
        <v>0</v>
      </c>
      <c r="N240" s="23" t="n">
        <v>0</v>
      </c>
      <c r="O240" s="24" t="n">
        <v>0.0651991614255765</v>
      </c>
      <c r="P240" s="24" t="n">
        <f aca="false">IF(ISNUMBER(Stock_Seguridad!N240),Stock_Seguridad!N240,"")</f>
        <v>0.232876712328767</v>
      </c>
      <c r="Q240" s="24" t="n">
        <f aca="false">IF(AND(ISNUMBER(O240),ISNUMBER(P240)),P240-O240,"")</f>
        <v>0.167677550903191</v>
      </c>
      <c r="R240" s="23" t="n">
        <f aca="false">MAX(0,G240-N(L240))</f>
        <v>1067.02</v>
      </c>
      <c r="S240" s="23" t="n">
        <f aca="false">SUMIFS(Cadenas_vs_FCST!$D$17:$D$2437,Cadenas_vs_FCST!$A$17:$A$2437,A240)</f>
        <v>18580.32</v>
      </c>
      <c r="T240" s="23" t="n">
        <f aca="false">SUMIFS(Cadenas_vs_FCST!$E$17:$E$2437,Cadenas_vs_FCST!$A$17:$A$2437,A240)</f>
        <v>21253.9546062311</v>
      </c>
      <c r="U240" s="24" t="n">
        <f aca="false">IF(T240&gt;0,S240/T240-1,"")</f>
        <v>-0.125794688836271</v>
      </c>
      <c r="V240" s="3" t="str">
        <f aca="false">IF(OR(E240="BAJO SS",E240="BAJO SS (XLIB CUBRE)"),"SÍ","")</f>
        <v>SÍ</v>
      </c>
      <c r="W240" s="3" t="str">
        <f aca="false">IF(AND(V240="",N(L240)&gt;=Parametros!$B$17,G240&gt;=H240,R240&lt;H240),"SÍ","")</f>
        <v/>
      </c>
      <c r="X240" s="3" t="str">
        <f aca="false">IF(OR(E240="SOBRE MAX VENDIBLE",N(N240)&gt;=Parametros!$B$17,N(M240)&gt;=Parametros!$B$17),"SÍ","")</f>
        <v/>
      </c>
      <c r="Y240" s="3" t="str">
        <f aca="false">IF(AND(ISNUMBER(U240),MAX(S240,T240)&gt;=Parametros!$B$15,ABS(N(U240))&gt;Parametros!$B$14),"SÍ","")</f>
        <v/>
      </c>
      <c r="Z240" s="3" t="n">
        <f aca="false">COUNTIF(V240:Y240,"SÍ")</f>
        <v>1</v>
      </c>
      <c r="AA240" s="3" t="n">
        <f aca="false">(3*(V240="SÍ")+2*(W240="SÍ")+2*(X240="SÍ")+(Y240="SÍ"))*IF(LEFT(D240,1)="A",3,IF(OR(LEFT(D240,1)="B",D240="SIN HIST"),2,1))</f>
        <v>6</v>
      </c>
      <c r="AB240" s="3" t="str">
        <f aca="false">IF(AA240&gt;=9,"1-ALTA",IF(AA240&gt;=4,"2-MEDIA",IF(AA240&gt;0,"3-BAJA","")))</f>
        <v>2-MEDIA</v>
      </c>
      <c r="AC240" s="3" t="str">
        <f aca="false">IF(E240="BAJO SS","Stock + XLIB bajo el SS: riesgo real de quiebre, adelantar producción. ","")&amp;IF(E240="BAJO SS (XLIB CUBRE)","Disponible bajo el SS; depende de liberar "&amp;TEXT(J240,"#,##0")&amp;" kg"&amp;IF(ISNUMBER(K240)," el "&amp;TEXT(K240,"dd-mm"),"")&amp;". ","")&amp;IF(W240="SÍ","Stock parece sano pero "&amp;TEXT(L240,"#,##0")&amp;" kg no pasan filtro "&amp;Stock_Seguridad!O240&amp;": sin ellos queda bajo el SS para esa cadena. ","")&amp;IF(E240="SOBRE MAX VENDIBLE","Sobrestock vs vida útil: frenar producción/activar venta. ","")&amp;IF(N(N240)&gt;=Parametros!$B$17,TEXT(N240,"#,##0")&amp;" kg ya no los acepta ninguna cadena: venta intermedia/liquidación. ","")&amp;IF(N(M240)&gt;=Parametros!$B$17,TEXT(M240,"#,##0")&amp;" kg a punto de salir del filtro: despachar primero (FEFO). ","")&amp;IF(Y240="SÍ","Pedidos "&amp;IF(N(U240)&gt;0,"sobre","bajo")&amp;" FCST "&amp;TEXT(ABS(N(U240)),"0%")&amp;": revisar forecast con KAM.","")</f>
        <v>Disponible bajo el SS; depende de liberar 4,752 kg el 23-10. </v>
      </c>
    </row>
    <row r="241" customFormat="false" ht="15" hidden="false" customHeight="false" outlineLevel="0" collapsed="false">
      <c r="A241" s="18" t="n">
        <f aca="false">Stock_Seguridad!A241</f>
        <v>30001876</v>
      </c>
      <c r="B241" s="18" t="str">
        <f aca="false">Stock_Seguridad!B241</f>
        <v>QUESO LAS PARCELAS TROZO 12X450GR</v>
      </c>
      <c r="C241" s="18" t="str">
        <f aca="false">Stock_Seguridad!C241</f>
        <v>QUESOS</v>
      </c>
      <c r="D241" s="18" t="str">
        <f aca="false">Stock_Seguridad!F241</f>
        <v>BX</v>
      </c>
      <c r="E241" s="19" t="str">
        <f aca="false">Stock_Seguridad!X241</f>
        <v>OK</v>
      </c>
      <c r="F241" s="20" t="n">
        <f aca="false">Stock_Seguridad!W241</f>
        <v>6.67991489361702</v>
      </c>
      <c r="G241" s="21" t="n">
        <f aca="false">Stock_Seguridad!T241</f>
        <v>31395.6</v>
      </c>
      <c r="H241" s="21" t="n">
        <f aca="false">Stock_Seguridad!R241</f>
        <v>3257.75027098176</v>
      </c>
      <c r="I241" s="21" t="n">
        <f aca="false">Stock_Seguridad!S241</f>
        <v>7957.75027098176</v>
      </c>
      <c r="J241" s="21" t="n">
        <f aca="false">Stock_Seguridad!U241</f>
        <v>0</v>
      </c>
      <c r="K241" s="22"/>
      <c r="L241" s="23" t="n">
        <v>0</v>
      </c>
      <c r="M241" s="23" t="n">
        <v>0</v>
      </c>
      <c r="N241" s="23" t="n">
        <v>0</v>
      </c>
      <c r="O241" s="24" t="n">
        <v>0.095374957000344</v>
      </c>
      <c r="P241" s="24" t="n">
        <f aca="false">IF(ISNUMBER(Stock_Seguridad!N241),Stock_Seguridad!N241,"")</f>
        <v>0.315217391304348</v>
      </c>
      <c r="Q241" s="24" t="n">
        <f aca="false">IF(AND(ISNUMBER(O241),ISNUMBER(P241)),P241-O241,"")</f>
        <v>0.219842434304004</v>
      </c>
      <c r="R241" s="23" t="n">
        <f aca="false">MAX(0,G241-N(L241))</f>
        <v>31395.6</v>
      </c>
      <c r="S241" s="23" t="n">
        <f aca="false">SUMIFS(Cadenas_vs_FCST!$D$17:$D$2437,Cadenas_vs_FCST!$A$17:$A$2437,A241)</f>
        <v>18381.6</v>
      </c>
      <c r="T241" s="23" t="n">
        <f aca="false">SUMIFS(Cadenas_vs_FCST!$E$17:$E$2437,Cadenas_vs_FCST!$A$17:$A$2437,A241)</f>
        <v>19519.0127292351</v>
      </c>
      <c r="U241" s="24" t="n">
        <f aca="false">IF(T241&gt;0,S241/T241-1,"")</f>
        <v>-0.0582720419835319</v>
      </c>
      <c r="V241" s="3" t="str">
        <f aca="false">IF(OR(E241="BAJO SS",E241="BAJO SS (XLIB CUBRE)"),"SÍ","")</f>
        <v/>
      </c>
      <c r="W241" s="3" t="str">
        <f aca="false">IF(AND(V241="",N(L241)&gt;=Parametros!$B$17,G241&gt;=H241,R241&lt;H241),"SÍ","")</f>
        <v/>
      </c>
      <c r="X241" s="3" t="str">
        <f aca="false">IF(OR(E241="SOBRE MAX VENDIBLE",N(N241)&gt;=Parametros!$B$17,N(M241)&gt;=Parametros!$B$17),"SÍ","")</f>
        <v/>
      </c>
      <c r="Y241" s="3" t="str">
        <f aca="false">IF(AND(ISNUMBER(U241),MAX(S241,T241)&gt;=Parametros!$B$15,ABS(N(U241))&gt;Parametros!$B$14),"SÍ","")</f>
        <v/>
      </c>
      <c r="Z241" s="3" t="n">
        <f aca="false">COUNTIF(V241:Y241,"SÍ")</f>
        <v>0</v>
      </c>
      <c r="AA241" s="3" t="n">
        <f aca="false">(3*(V241="SÍ")+2*(W241="SÍ")+2*(X241="SÍ")+(Y241="SÍ"))*IF(LEFT(D241,1)="A",3,IF(OR(LEFT(D241,1)="B",D241="SIN HIST"),2,1))</f>
        <v>0</v>
      </c>
      <c r="AB241" s="3" t="str">
        <f aca="false">IF(AA241&gt;=9,"1-ALTA",IF(AA241&gt;=4,"2-MEDIA",IF(AA241&gt;0,"3-BAJA","")))</f>
        <v/>
      </c>
      <c r="AC241" s="3" t="str">
        <f aca="false">IF(E241="BAJO SS","Stock + XLIB bajo el SS: riesgo real de quiebre, adelantar producción. ","")&amp;IF(E241="BAJO SS (XLIB CUBRE)","Disponible bajo el SS; depende de liberar "&amp;TEXT(J241,"#,##0")&amp;" kg"&amp;IF(ISNUMBER(K241)," el "&amp;TEXT(K241,"dd-mm"),"")&amp;". ","")&amp;IF(W241="SÍ","Stock parece sano pero "&amp;TEXT(L241,"#,##0")&amp;" kg no pasan filtro "&amp;Stock_Seguridad!O241&amp;": sin ellos queda bajo el SS para esa cadena. ","")&amp;IF(E241="SOBRE MAX VENDIBLE","Sobrestock vs vida útil: frenar producción/activar venta. ","")&amp;IF(N(N241)&gt;=Parametros!$B$17,TEXT(N241,"#,##0")&amp;" kg ya no los acepta ninguna cadena: venta intermedia/liquidación. ","")&amp;IF(N(M241)&gt;=Parametros!$B$17,TEXT(M241,"#,##0")&amp;" kg a punto de salir del filtro: despachar primero (FEFO). ","")&amp;IF(Y241="SÍ","Pedidos "&amp;IF(N(U241)&gt;0,"sobre","bajo")&amp;" FCST "&amp;TEXT(ABS(N(U241)),"0%")&amp;": revisar forecast con KAM.","")</f>
        <v/>
      </c>
    </row>
    <row r="242" customFormat="false" ht="15" hidden="false" customHeight="false" outlineLevel="0" collapsed="false">
      <c r="A242" s="18" t="n">
        <f aca="false">Stock_Seguridad!A242</f>
        <v>30002180</v>
      </c>
      <c r="B242" s="18" t="str">
        <f aca="false">Stock_Seguridad!B242</f>
        <v>SHAKE SHAKE MANJAR 30X190ML</v>
      </c>
      <c r="C242" s="18" t="str">
        <f aca="false">Stock_Seguridad!C242</f>
        <v>LECHES LIQUIDAS</v>
      </c>
      <c r="D242" s="18" t="str">
        <f aca="false">Stock_Seguridad!F242</f>
        <v>BX</v>
      </c>
      <c r="E242" s="19" t="str">
        <f aca="false">Stock_Seguridad!X242</f>
        <v>OK</v>
      </c>
      <c r="F242" s="20" t="n">
        <f aca="false">Stock_Seguridad!W242</f>
        <v>4.29837660259829</v>
      </c>
      <c r="G242" s="21" t="n">
        <f aca="false">Stock_Seguridad!T242</f>
        <v>14540.7</v>
      </c>
      <c r="H242" s="21" t="n">
        <f aca="false">Stock_Seguridad!R242</f>
        <v>2418.26059088643</v>
      </c>
      <c r="I242" s="21" t="n">
        <f aca="false">Stock_Seguridad!S242</f>
        <v>7105.96059088643</v>
      </c>
      <c r="J242" s="21" t="n">
        <f aca="false">Stock_Seguridad!U242</f>
        <v>5608.8</v>
      </c>
      <c r="K242" s="22" t="n">
        <v>46319</v>
      </c>
      <c r="L242" s="23" t="n">
        <v>4708.2</v>
      </c>
      <c r="M242" s="23" t="n">
        <v>0</v>
      </c>
      <c r="N242" s="23" t="n">
        <v>0</v>
      </c>
      <c r="O242" s="24" t="n">
        <v>0.0926562942008487</v>
      </c>
      <c r="P242" s="24" t="n">
        <f aca="false">IF(ISNUMBER(Stock_Seguridad!N242),Stock_Seguridad!N242,"")</f>
        <v>0.19</v>
      </c>
      <c r="Q242" s="24" t="n">
        <f aca="false">IF(AND(ISNUMBER(O242),ISNUMBER(P242)),P242-O242,"")</f>
        <v>0.0973437057991513</v>
      </c>
      <c r="R242" s="23" t="n">
        <f aca="false">MAX(0,G242-N(L242))</f>
        <v>9832.5</v>
      </c>
      <c r="S242" s="23" t="n">
        <f aca="false">SUMIFS(Cadenas_vs_FCST!$D$17:$D$2437,Cadenas_vs_FCST!$A$17:$A$2437,A242)</f>
        <v>10157.4</v>
      </c>
      <c r="T242" s="23" t="n">
        <f aca="false">SUMIFS(Cadenas_vs_FCST!$E$17:$E$2437,Cadenas_vs_FCST!$A$17:$A$2437,A242)</f>
        <v>16777.4860590093</v>
      </c>
      <c r="U242" s="24" t="n">
        <f aca="false">IF(T242&gt;0,S242/T242-1,"")</f>
        <v>-0.394581526441168</v>
      </c>
      <c r="V242" s="3" t="str">
        <f aca="false">IF(OR(E242="BAJO SS",E242="BAJO SS (XLIB CUBRE)"),"SÍ","")</f>
        <v/>
      </c>
      <c r="W242" s="3" t="str">
        <f aca="false">IF(AND(V242="",N(L242)&gt;=Parametros!$B$17,G242&gt;=H242,R242&lt;H242),"SÍ","")</f>
        <v/>
      </c>
      <c r="X242" s="3" t="str">
        <f aca="false">IF(OR(E242="SOBRE MAX VENDIBLE",N(N242)&gt;=Parametros!$B$17,N(M242)&gt;=Parametros!$B$17),"SÍ","")</f>
        <v/>
      </c>
      <c r="Y242" s="3" t="str">
        <f aca="false">IF(AND(ISNUMBER(U242),MAX(S242,T242)&gt;=Parametros!$B$15,ABS(N(U242))&gt;Parametros!$B$14),"SÍ","")</f>
        <v>SÍ</v>
      </c>
      <c r="Z242" s="3" t="n">
        <f aca="false">COUNTIF(V242:Y242,"SÍ")</f>
        <v>1</v>
      </c>
      <c r="AA242" s="3" t="n">
        <f aca="false">(3*(V242="SÍ")+2*(W242="SÍ")+2*(X242="SÍ")+(Y242="SÍ"))*IF(LEFT(D242,1)="A",3,IF(OR(LEFT(D242,1)="B",D242="SIN HIST"),2,1))</f>
        <v>2</v>
      </c>
      <c r="AB242" s="3" t="str">
        <f aca="false">IF(AA242&gt;=9,"1-ALTA",IF(AA242&gt;=4,"2-MEDIA",IF(AA242&gt;0,"3-BAJA","")))</f>
        <v>3-BAJA</v>
      </c>
      <c r="AC242" s="3" t="str">
        <f aca="false">IF(E242="BAJO SS","Stock + XLIB bajo el SS: riesgo real de quiebre, adelantar producción. ","")&amp;IF(E242="BAJO SS (XLIB CUBRE)","Disponible bajo el SS; depende de liberar "&amp;TEXT(J242,"#,##0")&amp;" kg"&amp;IF(ISNUMBER(K242)," el "&amp;TEXT(K242,"dd-mm"),"")&amp;". ","")&amp;IF(W242="SÍ","Stock parece sano pero "&amp;TEXT(L242,"#,##0")&amp;" kg no pasan filtro "&amp;Stock_Seguridad!O242&amp;": sin ellos queda bajo el SS para esa cadena. ","")&amp;IF(E242="SOBRE MAX VENDIBLE","Sobrestock vs vida útil: frenar producción/activar venta. ","")&amp;IF(N(N242)&gt;=Parametros!$B$17,TEXT(N242,"#,##0")&amp;" kg ya no los acepta ninguna cadena: venta intermedia/liquidación. ","")&amp;IF(N(M242)&gt;=Parametros!$B$17,TEXT(M242,"#,##0")&amp;" kg a punto de salir del filtro: despachar primero (FEFO). ","")&amp;IF(Y242="SÍ","Pedidos "&amp;IF(N(U242)&gt;0,"sobre","bajo")&amp;" FCST "&amp;TEXT(ABS(N(U242)),"0%")&amp;": revisar forecast con KAM.","")</f>
        <v>Pedidos bajo FCST 39%: revisar forecast con KAM.</v>
      </c>
    </row>
    <row r="243" customFormat="false" ht="15" hidden="false" customHeight="false" outlineLevel="0" collapsed="false">
      <c r="A243" s="18" t="n">
        <f aca="false">Stock_Seguridad!A243</f>
        <v>30000740</v>
      </c>
      <c r="B243" s="18" t="str">
        <f aca="false">Stock_Seguridad!B243</f>
        <v>ARVEJA FM 12X200GR</v>
      </c>
      <c r="C243" s="18" t="str">
        <f aca="false">Stock_Seguridad!C243</f>
        <v>FRUTAS Y HORTALIZAS CONGELADAS</v>
      </c>
      <c r="D243" s="18" t="str">
        <f aca="false">Stock_Seguridad!F243</f>
        <v>SIN HIST</v>
      </c>
      <c r="E243" s="19" t="str">
        <f aca="false">Stock_Seguridad!X243</f>
        <v>OK</v>
      </c>
      <c r="F243" s="20" t="n">
        <f aca="false">Stock_Seguridad!W243</f>
        <v>1.8873751523836</v>
      </c>
      <c r="G243" s="21" t="n">
        <f aca="false">Stock_Seguridad!T243</f>
        <v>8824.8</v>
      </c>
      <c r="H243" s="21" t="n">
        <f aca="false">Stock_Seguridad!R243</f>
        <v>2307.2526310611</v>
      </c>
      <c r="I243" s="21" t="n">
        <f aca="false">Stock_Seguridad!S243</f>
        <v>6982.9526310611</v>
      </c>
      <c r="J243" s="21" t="n">
        <f aca="false">Stock_Seguridad!U243</f>
        <v>0</v>
      </c>
      <c r="K243" s="22"/>
      <c r="L243" s="23" t="n">
        <v>0</v>
      </c>
      <c r="M243" s="23" t="n">
        <v>0</v>
      </c>
      <c r="N243" s="23" t="n">
        <v>0</v>
      </c>
      <c r="O243" s="24" t="n">
        <v>0.0322578890097933</v>
      </c>
      <c r="P243" s="24" t="str">
        <f aca="false">IF(ISNUMBER(Stock_Seguridad!N243),Stock_Seguridad!N243,"")</f>
        <v/>
      </c>
      <c r="Q243" s="24" t="str">
        <f aca="false">IF(AND(ISNUMBER(O243),ISNUMBER(P243)),P243-O243,"")</f>
        <v/>
      </c>
      <c r="R243" s="23" t="n">
        <f aca="false">MAX(0,G243-N(L243))</f>
        <v>8824.8</v>
      </c>
      <c r="S243" s="23" t="n">
        <f aca="false">SUMIFS(Cadenas_vs_FCST!$D$17:$D$2437,Cadenas_vs_FCST!$A$17:$A$2437,A243)</f>
        <v>0</v>
      </c>
      <c r="T243" s="23" t="n">
        <f aca="false">SUMIFS(Cadenas_vs_FCST!$E$17:$E$2437,Cadenas_vs_FCST!$A$17:$A$2437,A243)</f>
        <v>0</v>
      </c>
      <c r="U243" s="24" t="str">
        <f aca="false">IF(T243&gt;0,S243/T243-1,"")</f>
        <v/>
      </c>
      <c r="V243" s="3" t="str">
        <f aca="false">IF(OR(E243="BAJO SS",E243="BAJO SS (XLIB CUBRE)"),"SÍ","")</f>
        <v/>
      </c>
      <c r="W243" s="3" t="str">
        <f aca="false">IF(AND(V243="",N(L243)&gt;=Parametros!$B$17,G243&gt;=H243,R243&lt;H243),"SÍ","")</f>
        <v/>
      </c>
      <c r="X243" s="3" t="str">
        <f aca="false">IF(OR(E243="SOBRE MAX VENDIBLE",N(N243)&gt;=Parametros!$B$17,N(M243)&gt;=Parametros!$B$17),"SÍ","")</f>
        <v/>
      </c>
      <c r="Y243" s="3" t="str">
        <f aca="false">IF(AND(ISNUMBER(U243),MAX(S243,T243)&gt;=Parametros!$B$15,ABS(N(U243))&gt;Parametros!$B$14),"SÍ","")</f>
        <v/>
      </c>
      <c r="Z243" s="3" t="n">
        <f aca="false">COUNTIF(V243:Y243,"SÍ")</f>
        <v>0</v>
      </c>
      <c r="AA243" s="3" t="n">
        <f aca="false">(3*(V243="SÍ")+2*(W243="SÍ")+2*(X243="SÍ")+(Y243="SÍ"))*IF(LEFT(D243,1)="A",3,IF(OR(LEFT(D243,1)="B",D243="SIN HIST"),2,1))</f>
        <v>0</v>
      </c>
      <c r="AB243" s="3" t="str">
        <f aca="false">IF(AA243&gt;=9,"1-ALTA",IF(AA243&gt;=4,"2-MEDIA",IF(AA243&gt;0,"3-BAJA","")))</f>
        <v/>
      </c>
      <c r="AC243" s="3" t="str">
        <f aca="false">IF(E243="BAJO SS","Stock + XLIB bajo el SS: riesgo real de quiebre, adelantar producción. ","")&amp;IF(E243="BAJO SS (XLIB CUBRE)","Disponible bajo el SS; depende de liberar "&amp;TEXT(J243,"#,##0")&amp;" kg"&amp;IF(ISNUMBER(K243)," el "&amp;TEXT(K243,"dd-mm"),"")&amp;". ","")&amp;IF(W243="SÍ","Stock parece sano pero "&amp;TEXT(L243,"#,##0")&amp;" kg no pasan filtro "&amp;Stock_Seguridad!O243&amp;": sin ellos queda bajo el SS para esa cadena. ","")&amp;IF(E243="SOBRE MAX VENDIBLE","Sobrestock vs vida útil: frenar producción/activar venta. ","")&amp;IF(N(N243)&gt;=Parametros!$B$17,TEXT(N243,"#,##0")&amp;" kg ya no los acepta ninguna cadena: venta intermedia/liquidación. ","")&amp;IF(N(M243)&gt;=Parametros!$B$17,TEXT(M243,"#,##0")&amp;" kg a punto de salir del filtro: despachar primero (FEFO). ","")&amp;IF(Y243="SÍ","Pedidos "&amp;IF(N(U243)&gt;0,"sobre","bajo")&amp;" FCST "&amp;TEXT(ABS(N(U243)),"0%")&amp;": revisar forecast con KAM.","")</f>
        <v/>
      </c>
    </row>
    <row r="244" customFormat="false" ht="15" hidden="false" customHeight="false" outlineLevel="0" collapsed="false">
      <c r="A244" s="18" t="n">
        <f aca="false">Stock_Seguridad!A244</f>
        <v>30001479</v>
      </c>
      <c r="B244" s="18" t="str">
        <f aca="false">Stock_Seguridad!B244</f>
        <v>POUCH WATT'S PERA 36X90GR</v>
      </c>
      <c r="C244" s="18" t="str">
        <f aca="false">Stock_Seguridad!C244</f>
        <v>COLACIONES EN CONSERVA</v>
      </c>
      <c r="D244" s="18" t="str">
        <f aca="false">Stock_Seguridad!F244</f>
        <v>CZ</v>
      </c>
      <c r="E244" s="19" t="str">
        <f aca="false">Stock_Seguridad!X244</f>
        <v>OK</v>
      </c>
      <c r="F244" s="20" t="n">
        <f aca="false">Stock_Seguridad!W244</f>
        <v>2.3500933496427</v>
      </c>
      <c r="G244" s="21" t="n">
        <f aca="false">Stock_Seguridad!T244</f>
        <v>10565.6</v>
      </c>
      <c r="H244" s="21" t="n">
        <f aca="false">Stock_Seguridad!R244</f>
        <v>1340.08796165651</v>
      </c>
      <c r="I244" s="21" t="n">
        <f aca="false">Stock_Seguridad!S244</f>
        <v>5999.98796165651</v>
      </c>
      <c r="J244" s="21" t="n">
        <f aca="false">Stock_Seguridad!U244</f>
        <v>385.6</v>
      </c>
      <c r="K244" s="22" t="n">
        <v>46315</v>
      </c>
      <c r="L244" s="23" t="n">
        <v>3826.44</v>
      </c>
      <c r="M244" s="23" t="n">
        <v>0</v>
      </c>
      <c r="N244" s="23" t="n">
        <v>0</v>
      </c>
      <c r="O244" s="24" t="n">
        <v>0.11833135391924</v>
      </c>
      <c r="P244" s="24" t="n">
        <f aca="false">IF(ISNUMBER(Stock_Seguridad!N244),Stock_Seguridad!N244,"")</f>
        <v>0.194520547945206</v>
      </c>
      <c r="Q244" s="24" t="n">
        <f aca="false">IF(AND(ISNUMBER(O244),ISNUMBER(P244)),P244-O244,"")</f>
        <v>0.0761891940259656</v>
      </c>
      <c r="R244" s="23" t="n">
        <f aca="false">MAX(0,G244-N(L244))</f>
        <v>6739.16</v>
      </c>
      <c r="S244" s="23" t="n">
        <f aca="false">SUMIFS(Cadenas_vs_FCST!$D$17:$D$2437,Cadenas_vs_FCST!$A$17:$A$2437,A244)</f>
        <v>278.64</v>
      </c>
      <c r="T244" s="23" t="n">
        <f aca="false">SUMIFS(Cadenas_vs_FCST!$E$17:$E$2437,Cadenas_vs_FCST!$A$17:$A$2437,A244)</f>
        <v>1550</v>
      </c>
      <c r="U244" s="24" t="n">
        <f aca="false">IF(T244&gt;0,S244/T244-1,"")</f>
        <v>-0.820232258064516</v>
      </c>
      <c r="V244" s="3" t="str">
        <f aca="false">IF(OR(E244="BAJO SS",E244="BAJO SS (XLIB CUBRE)"),"SÍ","")</f>
        <v/>
      </c>
      <c r="W244" s="3" t="str">
        <f aca="false">IF(AND(V244="",N(L244)&gt;=Parametros!$B$17,G244&gt;=H244,R244&lt;H244),"SÍ","")</f>
        <v/>
      </c>
      <c r="X244" s="3" t="str">
        <f aca="false">IF(OR(E244="SOBRE MAX VENDIBLE",N(N244)&gt;=Parametros!$B$17,N(M244)&gt;=Parametros!$B$17),"SÍ","")</f>
        <v/>
      </c>
      <c r="Y244" s="3" t="str">
        <f aca="false">IF(AND(ISNUMBER(U244),MAX(S244,T244)&gt;=Parametros!$B$15,ABS(N(U244))&gt;Parametros!$B$14),"SÍ","")</f>
        <v/>
      </c>
      <c r="Z244" s="3" t="n">
        <f aca="false">COUNTIF(V244:Y244,"SÍ")</f>
        <v>0</v>
      </c>
      <c r="AA244" s="3" t="n">
        <f aca="false">(3*(V244="SÍ")+2*(W244="SÍ")+2*(X244="SÍ")+(Y244="SÍ"))*IF(LEFT(D244,1)="A",3,IF(OR(LEFT(D244,1)="B",D244="SIN HIST"),2,1))</f>
        <v>0</v>
      </c>
      <c r="AB244" s="3" t="str">
        <f aca="false">IF(AA244&gt;=9,"1-ALTA",IF(AA244&gt;=4,"2-MEDIA",IF(AA244&gt;0,"3-BAJA","")))</f>
        <v/>
      </c>
      <c r="AC244" s="3" t="str">
        <f aca="false">IF(E244="BAJO SS","Stock + XLIB bajo el SS: riesgo real de quiebre, adelantar producción. ","")&amp;IF(E244="BAJO SS (XLIB CUBRE)","Disponible bajo el SS; depende de liberar "&amp;TEXT(J244,"#,##0")&amp;" kg"&amp;IF(ISNUMBER(K244)," el "&amp;TEXT(K244,"dd-mm"),"")&amp;". ","")&amp;IF(W244="SÍ","Stock parece sano pero "&amp;TEXT(L244,"#,##0")&amp;" kg no pasan filtro "&amp;Stock_Seguridad!O244&amp;": sin ellos queda bajo el SS para esa cadena. ","")&amp;IF(E244="SOBRE MAX VENDIBLE","Sobrestock vs vida útil: frenar producción/activar venta. ","")&amp;IF(N(N244)&gt;=Parametros!$B$17,TEXT(N244,"#,##0")&amp;" kg ya no los acepta ninguna cadena: venta intermedia/liquidación. ","")&amp;IF(N(M244)&gt;=Parametros!$B$17,TEXT(M244,"#,##0")&amp;" kg a punto de salir del filtro: despachar primero (FEFO). ","")&amp;IF(Y244="SÍ","Pedidos "&amp;IF(N(U244)&gt;0,"sobre","bajo")&amp;" FCST "&amp;TEXT(ABS(N(U244)),"0%")&amp;": revisar forecast con KAM.","")</f>
        <v/>
      </c>
    </row>
    <row r="245" customFormat="false" ht="15" hidden="false" customHeight="false" outlineLevel="0" collapsed="false">
      <c r="A245" s="18" t="n">
        <f aca="false">Stock_Seguridad!A245</f>
        <v>30000719</v>
      </c>
      <c r="B245" s="18" t="str">
        <f aca="false">Stock_Seguridad!B245</f>
        <v>CHOCLO CONGELADO FM 12X200GR</v>
      </c>
      <c r="C245" s="18" t="str">
        <f aca="false">Stock_Seguridad!C245</f>
        <v>FRUTAS Y HORTALIZAS CONGELADAS</v>
      </c>
      <c r="D245" s="18" t="str">
        <f aca="false">Stock_Seguridad!F245</f>
        <v>SIN HIST</v>
      </c>
      <c r="E245" s="19" t="str">
        <f aca="false">Stock_Seguridad!X245</f>
        <v>OK</v>
      </c>
      <c r="F245" s="20" t="n">
        <f aca="false">Stock_Seguridad!W245</f>
        <v>2.19453044375645</v>
      </c>
      <c r="G245" s="21" t="n">
        <f aca="false">Stock_Seguridad!T245</f>
        <v>10207.2</v>
      </c>
      <c r="H245" s="21" t="n">
        <f aca="false">Stock_Seguridad!R245</f>
        <v>2295.16295690301</v>
      </c>
      <c r="I245" s="21" t="n">
        <f aca="false">Stock_Seguridad!S245</f>
        <v>6946.36295690301</v>
      </c>
      <c r="J245" s="21" t="n">
        <f aca="false">Stock_Seguridad!U245</f>
        <v>0</v>
      </c>
      <c r="K245" s="22"/>
      <c r="L245" s="23" t="n">
        <v>0</v>
      </c>
      <c r="M245" s="23" t="n">
        <v>0</v>
      </c>
      <c r="N245" s="23" t="n">
        <v>0</v>
      </c>
      <c r="O245" s="24" t="n">
        <v>0.0105384434516812</v>
      </c>
      <c r="P245" s="24" t="str">
        <f aca="false">IF(ISNUMBER(Stock_Seguridad!N245),Stock_Seguridad!N245,"")</f>
        <v/>
      </c>
      <c r="Q245" s="24" t="str">
        <f aca="false">IF(AND(ISNUMBER(O245),ISNUMBER(P245)),P245-O245,"")</f>
        <v/>
      </c>
      <c r="R245" s="23" t="n">
        <f aca="false">MAX(0,G245-N(L245))</f>
        <v>10207.2</v>
      </c>
      <c r="S245" s="23" t="n">
        <f aca="false">SUMIFS(Cadenas_vs_FCST!$D$17:$D$2437,Cadenas_vs_FCST!$A$17:$A$2437,A245)</f>
        <v>0</v>
      </c>
      <c r="T245" s="23" t="n">
        <f aca="false">SUMIFS(Cadenas_vs_FCST!$E$17:$E$2437,Cadenas_vs_FCST!$A$17:$A$2437,A245)</f>
        <v>0</v>
      </c>
      <c r="U245" s="24" t="str">
        <f aca="false">IF(T245&gt;0,S245/T245-1,"")</f>
        <v/>
      </c>
      <c r="V245" s="3" t="str">
        <f aca="false">IF(OR(E245="BAJO SS",E245="BAJO SS (XLIB CUBRE)"),"SÍ","")</f>
        <v/>
      </c>
      <c r="W245" s="3" t="str">
        <f aca="false">IF(AND(V245="",N(L245)&gt;=Parametros!$B$17,G245&gt;=H245,R245&lt;H245),"SÍ","")</f>
        <v/>
      </c>
      <c r="X245" s="3" t="str">
        <f aca="false">IF(OR(E245="SOBRE MAX VENDIBLE",N(N245)&gt;=Parametros!$B$17,N(M245)&gt;=Parametros!$B$17),"SÍ","")</f>
        <v/>
      </c>
      <c r="Y245" s="3" t="str">
        <f aca="false">IF(AND(ISNUMBER(U245),MAX(S245,T245)&gt;=Parametros!$B$15,ABS(N(U245))&gt;Parametros!$B$14),"SÍ","")</f>
        <v/>
      </c>
      <c r="Z245" s="3" t="n">
        <f aca="false">COUNTIF(V245:Y245,"SÍ")</f>
        <v>0</v>
      </c>
      <c r="AA245" s="3" t="n">
        <f aca="false">(3*(V245="SÍ")+2*(W245="SÍ")+2*(X245="SÍ")+(Y245="SÍ"))*IF(LEFT(D245,1)="A",3,IF(OR(LEFT(D245,1)="B",D245="SIN HIST"),2,1))</f>
        <v>0</v>
      </c>
      <c r="AB245" s="3" t="str">
        <f aca="false">IF(AA245&gt;=9,"1-ALTA",IF(AA245&gt;=4,"2-MEDIA",IF(AA245&gt;0,"3-BAJA","")))</f>
        <v/>
      </c>
      <c r="AC245" s="3" t="str">
        <f aca="false">IF(E245="BAJO SS","Stock + XLIB bajo el SS: riesgo real de quiebre, adelantar producción. ","")&amp;IF(E245="BAJO SS (XLIB CUBRE)","Disponible bajo el SS; depende de liberar "&amp;TEXT(J245,"#,##0")&amp;" kg"&amp;IF(ISNUMBER(K245)," el "&amp;TEXT(K245,"dd-mm"),"")&amp;". ","")&amp;IF(W245="SÍ","Stock parece sano pero "&amp;TEXT(L245,"#,##0")&amp;" kg no pasan filtro "&amp;Stock_Seguridad!O245&amp;": sin ellos queda bajo el SS para esa cadena. ","")&amp;IF(E245="SOBRE MAX VENDIBLE","Sobrestock vs vida útil: frenar producción/activar venta. ","")&amp;IF(N(N245)&gt;=Parametros!$B$17,TEXT(N245,"#,##0")&amp;" kg ya no los acepta ninguna cadena: venta intermedia/liquidación. ","")&amp;IF(N(M245)&gt;=Parametros!$B$17,TEXT(M245,"#,##0")&amp;" kg a punto de salir del filtro: despachar primero (FEFO). ","")&amp;IF(Y245="SÍ","Pedidos "&amp;IF(N(U245)&gt;0,"sobre","bajo")&amp;" FCST "&amp;TEXT(ABS(N(U245)),"0%")&amp;": revisar forecast con KAM.","")</f>
        <v/>
      </c>
    </row>
    <row r="246" customFormat="false" ht="15" hidden="false" customHeight="false" outlineLevel="0" collapsed="false">
      <c r="A246" s="18" t="n">
        <f aca="false">Stock_Seguridad!A246</f>
        <v>30000783</v>
      </c>
      <c r="B246" s="18" t="str">
        <f aca="false">Stock_Seguridad!B246</f>
        <v>ZANAHORIA CUBO NESTLE 6X6CM</v>
      </c>
      <c r="C246" s="18" t="str">
        <f aca="false">Stock_Seguridad!C246</f>
        <v>FRUTAS Y HORTALIZAS CONGELADAS</v>
      </c>
      <c r="D246" s="18" t="str">
        <f aca="false">Stock_Seguridad!F246</f>
        <v>SIN HIST</v>
      </c>
      <c r="E246" s="19" t="str">
        <f aca="false">Stock_Seguridad!X246</f>
        <v>OK</v>
      </c>
      <c r="F246" s="20" t="n">
        <f aca="false">Stock_Seguridad!W246</f>
        <v>6.97712418300654</v>
      </c>
      <c r="G246" s="21" t="n">
        <f aca="false">Stock_Seguridad!T246</f>
        <v>22848</v>
      </c>
      <c r="H246" s="21" t="n">
        <f aca="false">Stock_Seguridad!R246</f>
        <v>2295.16295690301</v>
      </c>
      <c r="I246" s="21" t="n">
        <f aca="false">Stock_Seguridad!S246</f>
        <v>6946.36295690301</v>
      </c>
      <c r="J246" s="21" t="n">
        <f aca="false">Stock_Seguridad!U246</f>
        <v>9604</v>
      </c>
      <c r="K246" s="22" t="n">
        <v>46317</v>
      </c>
      <c r="L246" s="23" t="n">
        <v>0</v>
      </c>
      <c r="M246" s="23" t="n">
        <v>0</v>
      </c>
      <c r="N246" s="23" t="n">
        <v>0</v>
      </c>
      <c r="O246" s="24" t="n">
        <v>0.126082830025884</v>
      </c>
      <c r="P246" s="24" t="str">
        <f aca="false">IF(ISNUMBER(Stock_Seguridad!N246),Stock_Seguridad!N246,"")</f>
        <v/>
      </c>
      <c r="Q246" s="24" t="str">
        <f aca="false">IF(AND(ISNUMBER(O246),ISNUMBER(P246)),P246-O246,"")</f>
        <v/>
      </c>
      <c r="R246" s="23" t="n">
        <f aca="false">MAX(0,G246-N(L246))</f>
        <v>22848</v>
      </c>
      <c r="S246" s="23" t="n">
        <f aca="false">SUMIFS(Cadenas_vs_FCST!$D$17:$D$2437,Cadenas_vs_FCST!$A$17:$A$2437,A246)</f>
        <v>0</v>
      </c>
      <c r="T246" s="23" t="n">
        <f aca="false">SUMIFS(Cadenas_vs_FCST!$E$17:$E$2437,Cadenas_vs_FCST!$A$17:$A$2437,A246)</f>
        <v>0</v>
      </c>
      <c r="U246" s="24" t="str">
        <f aca="false">IF(T246&gt;0,S246/T246-1,"")</f>
        <v/>
      </c>
      <c r="V246" s="3" t="str">
        <f aca="false">IF(OR(E246="BAJO SS",E246="BAJO SS (XLIB CUBRE)"),"SÍ","")</f>
        <v/>
      </c>
      <c r="W246" s="3" t="str">
        <f aca="false">IF(AND(V246="",N(L246)&gt;=Parametros!$B$17,G246&gt;=H246,R246&lt;H246),"SÍ","")</f>
        <v/>
      </c>
      <c r="X246" s="3" t="str">
        <f aca="false">IF(OR(E246="SOBRE MAX VENDIBLE",N(N246)&gt;=Parametros!$B$17,N(M246)&gt;=Parametros!$B$17),"SÍ","")</f>
        <v/>
      </c>
      <c r="Y246" s="3" t="str">
        <f aca="false">IF(AND(ISNUMBER(U246),MAX(S246,T246)&gt;=Parametros!$B$15,ABS(N(U246))&gt;Parametros!$B$14),"SÍ","")</f>
        <v/>
      </c>
      <c r="Z246" s="3" t="n">
        <f aca="false">COUNTIF(V246:Y246,"SÍ")</f>
        <v>0</v>
      </c>
      <c r="AA246" s="3" t="n">
        <f aca="false">(3*(V246="SÍ")+2*(W246="SÍ")+2*(X246="SÍ")+(Y246="SÍ"))*IF(LEFT(D246,1)="A",3,IF(OR(LEFT(D246,1)="B",D246="SIN HIST"),2,1))</f>
        <v>0</v>
      </c>
      <c r="AB246" s="3" t="str">
        <f aca="false">IF(AA246&gt;=9,"1-ALTA",IF(AA246&gt;=4,"2-MEDIA",IF(AA246&gt;0,"3-BAJA","")))</f>
        <v/>
      </c>
      <c r="AC246" s="3" t="str">
        <f aca="false">IF(E246="BAJO SS","Stock + XLIB bajo el SS: riesgo real de quiebre, adelantar producción. ","")&amp;IF(E246="BAJO SS (XLIB CUBRE)","Disponible bajo el SS; depende de liberar "&amp;TEXT(J246,"#,##0")&amp;" kg"&amp;IF(ISNUMBER(K246)," el "&amp;TEXT(K246,"dd-mm"),"")&amp;". ","")&amp;IF(W246="SÍ","Stock parece sano pero "&amp;TEXT(L246,"#,##0")&amp;" kg no pasan filtro "&amp;Stock_Seguridad!O246&amp;": sin ellos queda bajo el SS para esa cadena. ","")&amp;IF(E246="SOBRE MAX VENDIBLE","Sobrestock vs vida útil: frenar producción/activar venta. ","")&amp;IF(N(N246)&gt;=Parametros!$B$17,TEXT(N246,"#,##0")&amp;" kg ya no los acepta ninguna cadena: venta intermedia/liquidación. ","")&amp;IF(N(M246)&gt;=Parametros!$B$17,TEXT(M246,"#,##0")&amp;" kg a punto de salir del filtro: despachar primero (FEFO). ","")&amp;IF(Y246="SÍ","Pedidos "&amp;IF(N(U246)&gt;0,"sobre","bajo")&amp;" FCST "&amp;TEXT(ABS(N(U246)),"0%")&amp;": revisar forecast con KAM.","")</f>
        <v/>
      </c>
    </row>
    <row r="247" customFormat="false" ht="15" hidden="false" customHeight="false" outlineLevel="0" collapsed="false">
      <c r="A247" s="18" t="n">
        <f aca="false">Stock_Seguridad!A247</f>
        <v>30000102</v>
      </c>
      <c r="B247" s="18" t="str">
        <f aca="false">Stock_Seguridad!B247</f>
        <v>MARGARINA CONDESA HOJA VEGETAL 10X2KG</v>
      </c>
      <c r="C247" s="18" t="str">
        <f aca="false">Stock_Seguridad!C247</f>
        <v>MARGARINAS</v>
      </c>
      <c r="D247" s="18" t="str">
        <f aca="false">Stock_Seguridad!F247</f>
        <v>SIN HIST</v>
      </c>
      <c r="E247" s="19" t="str">
        <f aca="false">Stock_Seguridad!X247</f>
        <v>BAJO P.REORDEN</v>
      </c>
      <c r="F247" s="20" t="n">
        <f aca="false">Stock_Seguridad!W247</f>
        <v>1.22979016167871</v>
      </c>
      <c r="G247" s="21" t="n">
        <f aca="false">Stock_Seguridad!T247</f>
        <v>2960</v>
      </c>
      <c r="H247" s="21" t="n">
        <f aca="false">Stock_Seguridad!R247</f>
        <v>2295.16295690301</v>
      </c>
      <c r="I247" s="21" t="n">
        <f aca="false">Stock_Seguridad!S247</f>
        <v>6946.36295690301</v>
      </c>
      <c r="J247" s="21" t="n">
        <f aca="false">Stock_Seguridad!U247</f>
        <v>2760</v>
      </c>
      <c r="K247" s="22" t="n">
        <v>46319</v>
      </c>
      <c r="L247" s="23" t="n">
        <v>60</v>
      </c>
      <c r="M247" s="23" t="n">
        <v>0</v>
      </c>
      <c r="N247" s="23" t="n">
        <v>0</v>
      </c>
      <c r="O247" s="24" t="n">
        <v>0.0290909090909091</v>
      </c>
      <c r="P247" s="24" t="n">
        <f aca="false">IF(ISNUMBER(Stock_Seguridad!N247),Stock_Seguridad!N247,"")</f>
        <v>0.272131147540984</v>
      </c>
      <c r="Q247" s="24" t="n">
        <f aca="false">IF(AND(ISNUMBER(O247),ISNUMBER(P247)),P247-O247,"")</f>
        <v>0.243040238450075</v>
      </c>
      <c r="R247" s="23" t="n">
        <f aca="false">MAX(0,G247-N(L247))</f>
        <v>2900</v>
      </c>
      <c r="S247" s="23" t="n">
        <f aca="false">SUMIFS(Cadenas_vs_FCST!$D$17:$D$2437,Cadenas_vs_FCST!$A$17:$A$2437,A247)</f>
        <v>0</v>
      </c>
      <c r="T247" s="23" t="n">
        <f aca="false">SUMIFS(Cadenas_vs_FCST!$E$17:$E$2437,Cadenas_vs_FCST!$A$17:$A$2437,A247)</f>
        <v>0</v>
      </c>
      <c r="U247" s="24" t="str">
        <f aca="false">IF(T247&gt;0,S247/T247-1,"")</f>
        <v/>
      </c>
      <c r="V247" s="3" t="str">
        <f aca="false">IF(OR(E247="BAJO SS",E247="BAJO SS (XLIB CUBRE)"),"SÍ","")</f>
        <v/>
      </c>
      <c r="W247" s="3" t="str">
        <f aca="false">IF(AND(V247="",N(L247)&gt;=Parametros!$B$17,G247&gt;=H247,R247&lt;H247),"SÍ","")</f>
        <v/>
      </c>
      <c r="X247" s="3" t="str">
        <f aca="false">IF(OR(E247="SOBRE MAX VENDIBLE",N(N247)&gt;=Parametros!$B$17,N(M247)&gt;=Parametros!$B$17),"SÍ","")</f>
        <v/>
      </c>
      <c r="Y247" s="3" t="str">
        <f aca="false">IF(AND(ISNUMBER(U247),MAX(S247,T247)&gt;=Parametros!$B$15,ABS(N(U247))&gt;Parametros!$B$14),"SÍ","")</f>
        <v/>
      </c>
      <c r="Z247" s="3" t="n">
        <f aca="false">COUNTIF(V247:Y247,"SÍ")</f>
        <v>0</v>
      </c>
      <c r="AA247" s="3" t="n">
        <f aca="false">(3*(V247="SÍ")+2*(W247="SÍ")+2*(X247="SÍ")+(Y247="SÍ"))*IF(LEFT(D247,1)="A",3,IF(OR(LEFT(D247,1)="B",D247="SIN HIST"),2,1))</f>
        <v>0</v>
      </c>
      <c r="AB247" s="3" t="str">
        <f aca="false">IF(AA247&gt;=9,"1-ALTA",IF(AA247&gt;=4,"2-MEDIA",IF(AA247&gt;0,"3-BAJA","")))</f>
        <v/>
      </c>
      <c r="AC247" s="3" t="str">
        <f aca="false">IF(E247="BAJO SS","Stock + XLIB bajo el SS: riesgo real de quiebre, adelantar producción. ","")&amp;IF(E247="BAJO SS (XLIB CUBRE)","Disponible bajo el SS; depende de liberar "&amp;TEXT(J247,"#,##0")&amp;" kg"&amp;IF(ISNUMBER(K247)," el "&amp;TEXT(K247,"dd-mm"),"")&amp;". ","")&amp;IF(W247="SÍ","Stock parece sano pero "&amp;TEXT(L247,"#,##0")&amp;" kg no pasan filtro "&amp;Stock_Seguridad!O247&amp;": sin ellos queda bajo el SS para esa cadena. ","")&amp;IF(E247="SOBRE MAX VENDIBLE","Sobrestock vs vida útil: frenar producción/activar venta. ","")&amp;IF(N(N247)&gt;=Parametros!$B$17,TEXT(N247,"#,##0")&amp;" kg ya no los acepta ninguna cadena: venta intermedia/liquidación. ","")&amp;IF(N(M247)&gt;=Parametros!$B$17,TEXT(M247,"#,##0")&amp;" kg a punto de salir del filtro: despachar primero (FEFO). ","")&amp;IF(Y247="SÍ","Pedidos "&amp;IF(N(U247)&gt;0,"sobre","bajo")&amp;" FCST "&amp;TEXT(ABS(N(U247)),"0%")&amp;": revisar forecast con KAM.","")</f>
        <v/>
      </c>
    </row>
    <row r="248" customFormat="false" ht="15" hidden="false" customHeight="false" outlineLevel="0" collapsed="false">
      <c r="A248" s="18" t="n">
        <f aca="false">Stock_Seguridad!A248</f>
        <v>30000784</v>
      </c>
      <c r="B248" s="18" t="str">
        <f aca="false">Stock_Seguridad!B248</f>
        <v>ZANAHORIA CUBO 10*10MM 1X14KG</v>
      </c>
      <c r="C248" s="18" t="str">
        <f aca="false">Stock_Seguridad!C248</f>
        <v>FRUTAS Y HORTALIZAS CONGELADAS</v>
      </c>
      <c r="D248" s="18" t="str">
        <f aca="false">Stock_Seguridad!F248</f>
        <v>SIN HIST</v>
      </c>
      <c r="E248" s="19" t="str">
        <f aca="false">Stock_Seguridad!X248</f>
        <v>BAJO SS</v>
      </c>
      <c r="F248" s="20" t="n">
        <f aca="false">Stock_Seguridad!W248</f>
        <v>0</v>
      </c>
      <c r="G248" s="21" t="n">
        <f aca="false">Stock_Seguridad!T248</f>
        <v>0</v>
      </c>
      <c r="H248" s="21" t="n">
        <f aca="false">Stock_Seguridad!R248</f>
        <v>2295.16295690301</v>
      </c>
      <c r="I248" s="21" t="n">
        <f aca="false">Stock_Seguridad!S248</f>
        <v>6946.36295690301</v>
      </c>
      <c r="J248" s="21" t="n">
        <f aca="false">Stock_Seguridad!U248</f>
        <v>0</v>
      </c>
      <c r="K248" s="22"/>
      <c r="L248" s="23"/>
      <c r="M248" s="23"/>
      <c r="N248" s="23"/>
      <c r="O248" s="24"/>
      <c r="P248" s="24" t="str">
        <f aca="false">IF(ISNUMBER(Stock_Seguridad!N248),Stock_Seguridad!N248,"")</f>
        <v/>
      </c>
      <c r="Q248" s="24" t="str">
        <f aca="false">IF(AND(ISNUMBER(O248),ISNUMBER(P248)),P248-O248,"")</f>
        <v/>
      </c>
      <c r="R248" s="23" t="n">
        <f aca="false">MAX(0,G248-N(L248))</f>
        <v>0</v>
      </c>
      <c r="S248" s="23" t="n">
        <f aca="false">SUMIFS(Cadenas_vs_FCST!$D$17:$D$2437,Cadenas_vs_FCST!$A$17:$A$2437,A248)</f>
        <v>0</v>
      </c>
      <c r="T248" s="23" t="n">
        <f aca="false">SUMIFS(Cadenas_vs_FCST!$E$17:$E$2437,Cadenas_vs_FCST!$A$17:$A$2437,A248)</f>
        <v>0</v>
      </c>
      <c r="U248" s="24" t="str">
        <f aca="false">IF(T248&gt;0,S248/T248-1,"")</f>
        <v/>
      </c>
      <c r="V248" s="3" t="str">
        <f aca="false">IF(OR(E248="BAJO SS",E248="BAJO SS (XLIB CUBRE)"),"SÍ","")</f>
        <v>SÍ</v>
      </c>
      <c r="W248" s="3" t="str">
        <f aca="false">IF(AND(V248="",N(L248)&gt;=Parametros!$B$17,G248&gt;=H248,R248&lt;H248),"SÍ","")</f>
        <v/>
      </c>
      <c r="X248" s="3" t="str">
        <f aca="false">IF(OR(E248="SOBRE MAX VENDIBLE",N(N248)&gt;=Parametros!$B$17,N(M248)&gt;=Parametros!$B$17),"SÍ","")</f>
        <v/>
      </c>
      <c r="Y248" s="3" t="str">
        <f aca="false">IF(AND(ISNUMBER(U248),MAX(S248,T248)&gt;=Parametros!$B$15,ABS(N(U248))&gt;Parametros!$B$14),"SÍ","")</f>
        <v/>
      </c>
      <c r="Z248" s="3" t="n">
        <f aca="false">COUNTIF(V248:Y248,"SÍ")</f>
        <v>1</v>
      </c>
      <c r="AA248" s="3" t="n">
        <f aca="false">(3*(V248="SÍ")+2*(W248="SÍ")+2*(X248="SÍ")+(Y248="SÍ"))*IF(LEFT(D248,1)="A",3,IF(OR(LEFT(D248,1)="B",D248="SIN HIST"),2,1))</f>
        <v>6</v>
      </c>
      <c r="AB248" s="3" t="str">
        <f aca="false">IF(AA248&gt;=9,"1-ALTA",IF(AA248&gt;=4,"2-MEDIA",IF(AA248&gt;0,"3-BAJA","")))</f>
        <v>2-MEDIA</v>
      </c>
      <c r="AC248" s="3" t="str">
        <f aca="false">IF(E248="BAJO SS","Stock + XLIB bajo el SS: riesgo real de quiebre, adelantar producción. ","")&amp;IF(E248="BAJO SS (XLIB CUBRE)","Disponible bajo el SS; depende de liberar "&amp;TEXT(J248,"#,##0")&amp;" kg"&amp;IF(ISNUMBER(K248)," el "&amp;TEXT(K248,"dd-mm"),"")&amp;". ","")&amp;IF(W248="SÍ","Stock parece sano pero "&amp;TEXT(L248,"#,##0")&amp;" kg no pasan filtro "&amp;Stock_Seguridad!O248&amp;": sin ellos queda bajo el SS para esa cadena. ","")&amp;IF(E248="SOBRE MAX VENDIBLE","Sobrestock vs vida útil: frenar producción/activar venta. ","")&amp;IF(N(N248)&gt;=Parametros!$B$17,TEXT(N248,"#,##0")&amp;" kg ya no los acepta ninguna cadena: venta intermedia/liquidación. ","")&amp;IF(N(M248)&gt;=Parametros!$B$17,TEXT(M248,"#,##0")&amp;" kg a punto de salir del filtro: despachar primero (FEFO). ","")&amp;IF(Y248="SÍ","Pedidos "&amp;IF(N(U248)&gt;0,"sobre","bajo")&amp;" FCST "&amp;TEXT(ABS(N(U248)),"0%")&amp;": revisar forecast con KAM.","")</f>
        <v>Stock + XLIB bajo el SS: riesgo real de quiebre, adelantar producción. </v>
      </c>
    </row>
    <row r="249" customFormat="false" ht="15" hidden="false" customHeight="false" outlineLevel="0" collapsed="false">
      <c r="A249" s="18" t="n">
        <f aca="false">Stock_Seguridad!A249</f>
        <v>30000389</v>
      </c>
      <c r="B249" s="18" t="str">
        <f aca="false">Stock_Seguridad!B249</f>
        <v>QUESO GAUDA LAMINADO 6X1KG</v>
      </c>
      <c r="C249" s="18" t="str">
        <f aca="false">Stock_Seguridad!C249</f>
        <v>QUESOS</v>
      </c>
      <c r="D249" s="18" t="str">
        <f aca="false">Stock_Seguridad!F249</f>
        <v>SIN HIST</v>
      </c>
      <c r="E249" s="19" t="str">
        <f aca="false">Stock_Seguridad!X249</f>
        <v>OK</v>
      </c>
      <c r="F249" s="20" t="n">
        <f aca="false">Stock_Seguridad!W249</f>
        <v>3.69324045407637</v>
      </c>
      <c r="G249" s="21" t="n">
        <f aca="false">Stock_Seguridad!T249</f>
        <v>17178</v>
      </c>
      <c r="H249" s="21" t="n">
        <f aca="false">Stock_Seguridad!R249</f>
        <v>2295.16295690301</v>
      </c>
      <c r="I249" s="21" t="n">
        <f aca="false">Stock_Seguridad!S249</f>
        <v>6946.36295690301</v>
      </c>
      <c r="J249" s="21" t="n">
        <f aca="false">Stock_Seguridad!U249</f>
        <v>0</v>
      </c>
      <c r="K249" s="22"/>
      <c r="L249" s="23" t="n">
        <v>0</v>
      </c>
      <c r="M249" s="23" t="n">
        <v>270</v>
      </c>
      <c r="N249" s="23" t="n">
        <v>0</v>
      </c>
      <c r="O249" s="24" t="n">
        <v>0.0518861334264757</v>
      </c>
      <c r="P249" s="24" t="n">
        <f aca="false">IF(ISNUMBER(Stock_Seguridad!N249),Stock_Seguridad!N249,"")</f>
        <v>0.217391304347826</v>
      </c>
      <c r="Q249" s="24" t="n">
        <f aca="false">IF(AND(ISNUMBER(O249),ISNUMBER(P249)),P249-O249,"")</f>
        <v>0.16550517092135</v>
      </c>
      <c r="R249" s="23" t="n">
        <f aca="false">MAX(0,G249-N(L249))</f>
        <v>17178</v>
      </c>
      <c r="S249" s="23" t="n">
        <f aca="false">SUMIFS(Cadenas_vs_FCST!$D$17:$D$2437,Cadenas_vs_FCST!$A$17:$A$2437,A249)</f>
        <v>0</v>
      </c>
      <c r="T249" s="23" t="n">
        <f aca="false">SUMIFS(Cadenas_vs_FCST!$E$17:$E$2437,Cadenas_vs_FCST!$A$17:$A$2437,A249)</f>
        <v>0</v>
      </c>
      <c r="U249" s="24" t="str">
        <f aca="false">IF(T249&gt;0,S249/T249-1,"")</f>
        <v/>
      </c>
      <c r="V249" s="3" t="str">
        <f aca="false">IF(OR(E249="BAJO SS",E249="BAJO SS (XLIB CUBRE)"),"SÍ","")</f>
        <v/>
      </c>
      <c r="W249" s="3" t="str">
        <f aca="false">IF(AND(V249="",N(L249)&gt;=Parametros!$B$17,G249&gt;=H249,R249&lt;H249),"SÍ","")</f>
        <v/>
      </c>
      <c r="X249" s="3" t="str">
        <f aca="false">IF(OR(E249="SOBRE MAX VENDIBLE",N(N249)&gt;=Parametros!$B$17,N(M249)&gt;=Parametros!$B$17),"SÍ","")</f>
        <v/>
      </c>
      <c r="Y249" s="3" t="str">
        <f aca="false">IF(AND(ISNUMBER(U249),MAX(S249,T249)&gt;=Parametros!$B$15,ABS(N(U249))&gt;Parametros!$B$14),"SÍ","")</f>
        <v/>
      </c>
      <c r="Z249" s="3" t="n">
        <f aca="false">COUNTIF(V249:Y249,"SÍ")</f>
        <v>0</v>
      </c>
      <c r="AA249" s="3" t="n">
        <f aca="false">(3*(V249="SÍ")+2*(W249="SÍ")+2*(X249="SÍ")+(Y249="SÍ"))*IF(LEFT(D249,1)="A",3,IF(OR(LEFT(D249,1)="B",D249="SIN HIST"),2,1))</f>
        <v>0</v>
      </c>
      <c r="AB249" s="3" t="str">
        <f aca="false">IF(AA249&gt;=9,"1-ALTA",IF(AA249&gt;=4,"2-MEDIA",IF(AA249&gt;0,"3-BAJA","")))</f>
        <v/>
      </c>
      <c r="AC249" s="3" t="str">
        <f aca="false">IF(E249="BAJO SS","Stock + XLIB bajo el SS: riesgo real de quiebre, adelantar producción. ","")&amp;IF(E249="BAJO SS (XLIB CUBRE)","Disponible bajo el SS; depende de liberar "&amp;TEXT(J249,"#,##0")&amp;" kg"&amp;IF(ISNUMBER(K249)," el "&amp;TEXT(K249,"dd-mm"),"")&amp;". ","")&amp;IF(W249="SÍ","Stock parece sano pero "&amp;TEXT(L249,"#,##0")&amp;" kg no pasan filtro "&amp;Stock_Seguridad!O249&amp;": sin ellos queda bajo el SS para esa cadena. ","")&amp;IF(E249="SOBRE MAX VENDIBLE","Sobrestock vs vida útil: frenar producción/activar venta. ","")&amp;IF(N(N249)&gt;=Parametros!$B$17,TEXT(N249,"#,##0")&amp;" kg ya no los acepta ninguna cadena: venta intermedia/liquidación. ","")&amp;IF(N(M249)&gt;=Parametros!$B$17,TEXT(M249,"#,##0")&amp;" kg a punto de salir del filtro: despachar primero (FEFO). ","")&amp;IF(Y249="SÍ","Pedidos "&amp;IF(N(U249)&gt;0,"sobre","bajo")&amp;" FCST "&amp;TEXT(ABS(N(U249)),"0%")&amp;": revisar forecast con KAM.","")</f>
        <v/>
      </c>
    </row>
    <row r="250" customFormat="false" ht="15" hidden="false" customHeight="false" outlineLevel="0" collapsed="false">
      <c r="A250" s="18" t="n">
        <f aca="false">Stock_Seguridad!A250</f>
        <v>30000610</v>
      </c>
      <c r="B250" s="18" t="str">
        <f aca="false">Stock_Seguridad!B250</f>
        <v>PIÑA CUBITOS WSL 24X565GR</v>
      </c>
      <c r="C250" s="18" t="str">
        <f aca="false">Stock_Seguridad!C250</f>
        <v>CONSERVAS Y PLATOS LISTOS</v>
      </c>
      <c r="D250" s="18" t="str">
        <f aca="false">Stock_Seguridad!F250</f>
        <v>BY</v>
      </c>
      <c r="E250" s="19" t="str">
        <f aca="false">Stock_Seguridad!X250</f>
        <v>OK</v>
      </c>
      <c r="F250" s="20" t="n">
        <f aca="false">Stock_Seguridad!W250</f>
        <v>25.9812227827362</v>
      </c>
      <c r="G250" s="21" t="n">
        <f aca="false">Stock_Seguridad!T250</f>
        <v>120516.5</v>
      </c>
      <c r="H250" s="21" t="n">
        <f aca="false">Stock_Seguridad!R250</f>
        <v>3582.07108287559</v>
      </c>
      <c r="I250" s="21" t="n">
        <f aca="false">Stock_Seguridad!S250</f>
        <v>8220.67108287559</v>
      </c>
      <c r="J250" s="21" t="n">
        <f aca="false">Stock_Seguridad!U250</f>
        <v>0</v>
      </c>
      <c r="K250" s="22"/>
      <c r="L250" s="23" t="n">
        <v>0</v>
      </c>
      <c r="M250" s="23" t="n">
        <v>0</v>
      </c>
      <c r="N250" s="23" t="n">
        <v>0</v>
      </c>
      <c r="O250" s="24" t="n">
        <v>0.142287530671425</v>
      </c>
      <c r="P250" s="24" t="n">
        <f aca="false">IF(ISNUMBER(Stock_Seguridad!N250),Stock_Seguridad!N250,"")</f>
        <v>0.480365296803653</v>
      </c>
      <c r="Q250" s="24" t="n">
        <f aca="false">IF(AND(ISNUMBER(O250),ISNUMBER(P250)),P250-O250,"")</f>
        <v>0.338077766132228</v>
      </c>
      <c r="R250" s="23" t="n">
        <f aca="false">MAX(0,G250-N(L250))</f>
        <v>120516.5</v>
      </c>
      <c r="S250" s="23" t="n">
        <f aca="false">SUMIFS(Cadenas_vs_FCST!$D$17:$D$2437,Cadenas_vs_FCST!$A$17:$A$2437,A250)</f>
        <v>14797.44</v>
      </c>
      <c r="T250" s="23" t="n">
        <f aca="false">SUMIFS(Cadenas_vs_FCST!$E$17:$E$2437,Cadenas_vs_FCST!$A$17:$A$2437,A250)</f>
        <v>16974.52</v>
      </c>
      <c r="U250" s="24" t="n">
        <f aca="false">IF(T250&gt;0,S250/T250-1,"")</f>
        <v>-0.128255762165882</v>
      </c>
      <c r="V250" s="3" t="str">
        <f aca="false">IF(OR(E250="BAJO SS",E250="BAJO SS (XLIB CUBRE)"),"SÍ","")</f>
        <v/>
      </c>
      <c r="W250" s="3" t="str">
        <f aca="false">IF(AND(V250="",N(L250)&gt;=Parametros!$B$17,G250&gt;=H250,R250&lt;H250),"SÍ","")</f>
        <v/>
      </c>
      <c r="X250" s="3" t="str">
        <f aca="false">IF(OR(E250="SOBRE MAX VENDIBLE",N(N250)&gt;=Parametros!$B$17,N(M250)&gt;=Parametros!$B$17),"SÍ","")</f>
        <v/>
      </c>
      <c r="Y250" s="3" t="str">
        <f aca="false">IF(AND(ISNUMBER(U250),MAX(S250,T250)&gt;=Parametros!$B$15,ABS(N(U250))&gt;Parametros!$B$14),"SÍ","")</f>
        <v/>
      </c>
      <c r="Z250" s="3" t="n">
        <f aca="false">COUNTIF(V250:Y250,"SÍ")</f>
        <v>0</v>
      </c>
      <c r="AA250" s="3" t="n">
        <f aca="false">(3*(V250="SÍ")+2*(W250="SÍ")+2*(X250="SÍ")+(Y250="SÍ"))*IF(LEFT(D250,1)="A",3,IF(OR(LEFT(D250,1)="B",D250="SIN HIST"),2,1))</f>
        <v>0</v>
      </c>
      <c r="AB250" s="3" t="str">
        <f aca="false">IF(AA250&gt;=9,"1-ALTA",IF(AA250&gt;=4,"2-MEDIA",IF(AA250&gt;0,"3-BAJA","")))</f>
        <v/>
      </c>
      <c r="AC250" s="3" t="str">
        <f aca="false">IF(E250="BAJO SS","Stock + XLIB bajo el SS: riesgo real de quiebre, adelantar producción. ","")&amp;IF(E250="BAJO SS (XLIB CUBRE)","Disponible bajo el SS; depende de liberar "&amp;TEXT(J250,"#,##0")&amp;" kg"&amp;IF(ISNUMBER(K250)," el "&amp;TEXT(K250,"dd-mm"),"")&amp;". ","")&amp;IF(W250="SÍ","Stock parece sano pero "&amp;TEXT(L250,"#,##0")&amp;" kg no pasan filtro "&amp;Stock_Seguridad!O250&amp;": sin ellos queda bajo el SS para esa cadena. ","")&amp;IF(E250="SOBRE MAX VENDIBLE","Sobrestock vs vida útil: frenar producción/activar venta. ","")&amp;IF(N(N250)&gt;=Parametros!$B$17,TEXT(N250,"#,##0")&amp;" kg ya no los acepta ninguna cadena: venta intermedia/liquidación. ","")&amp;IF(N(M250)&gt;=Parametros!$B$17,TEXT(M250,"#,##0")&amp;" kg a punto de salir del filtro: despachar primero (FEFO). ","")&amp;IF(Y250="SÍ","Pedidos "&amp;IF(N(U250)&gt;0,"sobre","bajo")&amp;" FCST "&amp;TEXT(ABS(N(U250)),"0%")&amp;": revisar forecast con KAM.","")</f>
        <v/>
      </c>
    </row>
    <row r="251" customFormat="false" ht="15" hidden="false" customHeight="false" outlineLevel="0" collapsed="false">
      <c r="A251" s="18" t="n">
        <f aca="false">Stock_Seguridad!A251</f>
        <v>30001942</v>
      </c>
      <c r="B251" s="18" t="str">
        <f aca="false">Stock_Seguridad!B251</f>
        <v>NECTAR WATTS SELECCION FRAM 6X1.6LT</v>
      </c>
      <c r="C251" s="18" t="str">
        <f aca="false">Stock_Seguridad!C251</f>
        <v>JUGOS Y NECTARES</v>
      </c>
      <c r="D251" s="18" t="str">
        <f aca="false">Stock_Seguridad!F251</f>
        <v>BX</v>
      </c>
      <c r="E251" s="19" t="str">
        <f aca="false">Stock_Seguridad!X251</f>
        <v>OK</v>
      </c>
      <c r="F251" s="20" t="n">
        <f aca="false">Stock_Seguridad!W251</f>
        <v>2.41106375576237</v>
      </c>
      <c r="G251" s="21" t="n">
        <f aca="false">Stock_Seguridad!T251</f>
        <v>11088</v>
      </c>
      <c r="H251" s="21" t="n">
        <f aca="false">Stock_Seguridad!R251</f>
        <v>4864.12374992603</v>
      </c>
      <c r="I251" s="21" t="n">
        <f aca="false">Stock_Seguridad!S251</f>
        <v>9462.92374992603</v>
      </c>
      <c r="J251" s="21" t="n">
        <f aca="false">Stock_Seguridad!U251</f>
        <v>0</v>
      </c>
      <c r="K251" s="22"/>
      <c r="L251" s="23" t="n">
        <v>0</v>
      </c>
      <c r="M251" s="23" t="n">
        <v>393.6</v>
      </c>
      <c r="N251" s="23" t="n">
        <v>0</v>
      </c>
      <c r="O251" s="24" t="n">
        <v>0.044034632034632</v>
      </c>
      <c r="P251" s="24" t="n">
        <f aca="false">IF(ISNUMBER(Stock_Seguridad!N251),Stock_Seguridad!N251,"")</f>
        <v>0.222222222222222</v>
      </c>
      <c r="Q251" s="24" t="n">
        <f aca="false">IF(AND(ISNUMBER(O251),ISNUMBER(P251)),P251-O251,"")</f>
        <v>0.17818759018759</v>
      </c>
      <c r="R251" s="23" t="n">
        <f aca="false">MAX(0,G251-N(L251))</f>
        <v>11088</v>
      </c>
      <c r="S251" s="23" t="n">
        <f aca="false">SUMIFS(Cadenas_vs_FCST!$D$17:$D$2437,Cadenas_vs_FCST!$A$17:$A$2437,A251)</f>
        <v>28358.4</v>
      </c>
      <c r="T251" s="23" t="n">
        <f aca="false">SUMIFS(Cadenas_vs_FCST!$E$17:$E$2437,Cadenas_vs_FCST!$A$17:$A$2437,A251)</f>
        <v>14997.7092514595</v>
      </c>
      <c r="U251" s="24" t="n">
        <f aca="false">IF(T251&gt;0,S251/T251-1,"")</f>
        <v>0.890848763936415</v>
      </c>
      <c r="V251" s="3" t="str">
        <f aca="false">IF(OR(E251="BAJO SS",E251="BAJO SS (XLIB CUBRE)"),"SÍ","")</f>
        <v/>
      </c>
      <c r="W251" s="3" t="str">
        <f aca="false">IF(AND(V251="",N(L251)&gt;=Parametros!$B$17,G251&gt;=H251,R251&lt;H251),"SÍ","")</f>
        <v/>
      </c>
      <c r="X251" s="3" t="str">
        <f aca="false">IF(OR(E251="SOBRE MAX VENDIBLE",N(N251)&gt;=Parametros!$B$17,N(M251)&gt;=Parametros!$B$17),"SÍ","")</f>
        <v/>
      </c>
      <c r="Y251" s="3" t="str">
        <f aca="false">IF(AND(ISNUMBER(U251),MAX(S251,T251)&gt;=Parametros!$B$15,ABS(N(U251))&gt;Parametros!$B$14),"SÍ","")</f>
        <v>SÍ</v>
      </c>
      <c r="Z251" s="3" t="n">
        <f aca="false">COUNTIF(V251:Y251,"SÍ")</f>
        <v>1</v>
      </c>
      <c r="AA251" s="3" t="n">
        <f aca="false">(3*(V251="SÍ")+2*(W251="SÍ")+2*(X251="SÍ")+(Y251="SÍ"))*IF(LEFT(D251,1)="A",3,IF(OR(LEFT(D251,1)="B",D251="SIN HIST"),2,1))</f>
        <v>2</v>
      </c>
      <c r="AB251" s="3" t="str">
        <f aca="false">IF(AA251&gt;=9,"1-ALTA",IF(AA251&gt;=4,"2-MEDIA",IF(AA251&gt;0,"3-BAJA","")))</f>
        <v>3-BAJA</v>
      </c>
      <c r="AC251" s="3" t="str">
        <f aca="false">IF(E251="BAJO SS","Stock + XLIB bajo el SS: riesgo real de quiebre, adelantar producción. ","")&amp;IF(E251="BAJO SS (XLIB CUBRE)","Disponible bajo el SS; depende de liberar "&amp;TEXT(J251,"#,##0")&amp;" kg"&amp;IF(ISNUMBER(K251)," el "&amp;TEXT(K251,"dd-mm"),"")&amp;". ","")&amp;IF(W251="SÍ","Stock parece sano pero "&amp;TEXT(L251,"#,##0")&amp;" kg no pasan filtro "&amp;Stock_Seguridad!O251&amp;": sin ellos queda bajo el SS para esa cadena. ","")&amp;IF(E251="SOBRE MAX VENDIBLE","Sobrestock vs vida útil: frenar producción/activar venta. ","")&amp;IF(N(N251)&gt;=Parametros!$B$17,TEXT(N251,"#,##0")&amp;" kg ya no los acepta ninguna cadena: venta intermedia/liquidación. ","")&amp;IF(N(M251)&gt;=Parametros!$B$17,TEXT(M251,"#,##0")&amp;" kg a punto de salir del filtro: despachar primero (FEFO). ","")&amp;IF(Y251="SÍ","Pedidos "&amp;IF(N(U251)&gt;0,"sobre","bajo")&amp;" FCST "&amp;TEXT(ABS(N(U251)),"0%")&amp;": revisar forecast con KAM.","")</f>
        <v>Pedidos sobre FCST 89%: revisar forecast con KAM.</v>
      </c>
    </row>
    <row r="252" customFormat="false" ht="15" hidden="false" customHeight="false" outlineLevel="0" collapsed="false">
      <c r="A252" s="18" t="n">
        <f aca="false">Stock_Seguridad!A252</f>
        <v>30001402</v>
      </c>
      <c r="B252" s="18" t="str">
        <f aca="false">Stock_Seguridad!B252</f>
        <v>MARGARINA CALO LIGHT 12X450GR</v>
      </c>
      <c r="C252" s="18" t="str">
        <f aca="false">Stock_Seguridad!C252</f>
        <v>MARGARINAS</v>
      </c>
      <c r="D252" s="18" t="str">
        <f aca="false">Stock_Seguridad!F252</f>
        <v>BX</v>
      </c>
      <c r="E252" s="19" t="str">
        <f aca="false">Stock_Seguridad!X252</f>
        <v>OK</v>
      </c>
      <c r="F252" s="20" t="n">
        <f aca="false">Stock_Seguridad!W252</f>
        <v>2.70295987721991</v>
      </c>
      <c r="G252" s="21" t="n">
        <f aca="false">Stock_Seguridad!T252</f>
        <v>12328.2</v>
      </c>
      <c r="H252" s="21" t="n">
        <f aca="false">Stock_Seguridad!R252</f>
        <v>2756.62784360786</v>
      </c>
      <c r="I252" s="21" t="n">
        <f aca="false">Stock_Seguridad!S252</f>
        <v>7317.62784360786</v>
      </c>
      <c r="J252" s="21" t="n">
        <f aca="false">Stock_Seguridad!U252</f>
        <v>0</v>
      </c>
      <c r="K252" s="22"/>
      <c r="L252" s="23" t="n">
        <v>896.4</v>
      </c>
      <c r="M252" s="23" t="n">
        <v>6010.2</v>
      </c>
      <c r="N252" s="23" t="n">
        <v>0</v>
      </c>
      <c r="O252" s="24" t="n">
        <v>0.171783523225241</v>
      </c>
      <c r="P252" s="24" t="n">
        <f aca="false">IF(ISNUMBER(Stock_Seguridad!N252),Stock_Seguridad!N252,"")</f>
        <v>0.244565217391304</v>
      </c>
      <c r="Q252" s="24" t="n">
        <f aca="false">IF(AND(ISNUMBER(O252),ISNUMBER(P252)),P252-O252,"")</f>
        <v>0.0727816941660633</v>
      </c>
      <c r="R252" s="23" t="n">
        <f aca="false">MAX(0,G252-N(L252))</f>
        <v>11431.8</v>
      </c>
      <c r="S252" s="23" t="n">
        <f aca="false">SUMIFS(Cadenas_vs_FCST!$D$17:$D$2437,Cadenas_vs_FCST!$A$17:$A$2437,A252)</f>
        <v>12490.2</v>
      </c>
      <c r="T252" s="23" t="n">
        <f aca="false">SUMIFS(Cadenas_vs_FCST!$E$17:$E$2437,Cadenas_vs_FCST!$A$17:$A$2437,A252)</f>
        <v>14938.6746054026</v>
      </c>
      <c r="U252" s="24" t="n">
        <f aca="false">IF(T252&gt;0,S252/T252-1,"")</f>
        <v>-0.16390172957627</v>
      </c>
      <c r="V252" s="3" t="str">
        <f aca="false">IF(OR(E252="BAJO SS",E252="BAJO SS (XLIB CUBRE)"),"SÍ","")</f>
        <v/>
      </c>
      <c r="W252" s="3" t="str">
        <f aca="false">IF(AND(V252="",N(L252)&gt;=Parametros!$B$17,G252&gt;=H252,R252&lt;H252),"SÍ","")</f>
        <v/>
      </c>
      <c r="X252" s="3" t="str">
        <f aca="false">IF(OR(E252="SOBRE MAX VENDIBLE",N(N252)&gt;=Parametros!$B$17,N(M252)&gt;=Parametros!$B$17),"SÍ","")</f>
        <v>SÍ</v>
      </c>
      <c r="Y252" s="3" t="str">
        <f aca="false">IF(AND(ISNUMBER(U252),MAX(S252,T252)&gt;=Parametros!$B$15,ABS(N(U252))&gt;Parametros!$B$14),"SÍ","")</f>
        <v/>
      </c>
      <c r="Z252" s="3" t="n">
        <f aca="false">COUNTIF(V252:Y252,"SÍ")</f>
        <v>1</v>
      </c>
      <c r="AA252" s="3" t="n">
        <f aca="false">(3*(V252="SÍ")+2*(W252="SÍ")+2*(X252="SÍ")+(Y252="SÍ"))*IF(LEFT(D252,1)="A",3,IF(OR(LEFT(D252,1)="B",D252="SIN HIST"),2,1))</f>
        <v>4</v>
      </c>
      <c r="AB252" s="3" t="str">
        <f aca="false">IF(AA252&gt;=9,"1-ALTA",IF(AA252&gt;=4,"2-MEDIA",IF(AA252&gt;0,"3-BAJA","")))</f>
        <v>2-MEDIA</v>
      </c>
      <c r="AC252" s="3" t="str">
        <f aca="false">IF(E252="BAJO SS","Stock + XLIB bajo el SS: riesgo real de quiebre, adelantar producción. ","")&amp;IF(E252="BAJO SS (XLIB CUBRE)","Disponible bajo el SS; depende de liberar "&amp;TEXT(J252,"#,##0")&amp;" kg"&amp;IF(ISNUMBER(K252)," el "&amp;TEXT(K252,"dd-mm"),"")&amp;". ","")&amp;IF(W252="SÍ","Stock parece sano pero "&amp;TEXT(L252,"#,##0")&amp;" kg no pasan filtro "&amp;Stock_Seguridad!O252&amp;": sin ellos queda bajo el SS para esa cadena. ","")&amp;IF(E252="SOBRE MAX VENDIBLE","Sobrestock vs vida útil: frenar producción/activar venta. ","")&amp;IF(N(N252)&gt;=Parametros!$B$17,TEXT(N252,"#,##0")&amp;" kg ya no los acepta ninguna cadena: venta intermedia/liquidación. ","")&amp;IF(N(M252)&gt;=Parametros!$B$17,TEXT(M252,"#,##0")&amp;" kg a punto de salir del filtro: despachar primero (FEFO). ","")&amp;IF(Y252="SÍ","Pedidos "&amp;IF(N(U252)&gt;0,"sobre","bajo")&amp;" FCST "&amp;TEXT(ABS(N(U252)),"0%")&amp;": revisar forecast con KAM.","")</f>
        <v>6,010 kg a punto de salir del filtro: despachar primero (FEFO). </v>
      </c>
    </row>
    <row r="253" customFormat="false" ht="15" hidden="false" customHeight="false" outlineLevel="0" collapsed="false">
      <c r="A253" s="18" t="n">
        <f aca="false">Stock_Seguridad!A253</f>
        <v>30000039</v>
      </c>
      <c r="B253" s="18" t="str">
        <f aca="false">Stock_Seguridad!B253</f>
        <v>ACEITE BELMONT 10X250ML</v>
      </c>
      <c r="C253" s="18" t="str">
        <f aca="false">Stock_Seguridad!C253</f>
        <v>ACEITES</v>
      </c>
      <c r="D253" s="18" t="str">
        <f aca="false">Stock_Seguridad!F253</f>
        <v>BX</v>
      </c>
      <c r="E253" s="19" t="str">
        <f aca="false">Stock_Seguridad!X253</f>
        <v>OK</v>
      </c>
      <c r="F253" s="20" t="n">
        <f aca="false">Stock_Seguridad!W253</f>
        <v>11.054071847089</v>
      </c>
      <c r="G253" s="21" t="n">
        <f aca="false">Stock_Seguridad!T253</f>
        <v>50351.6</v>
      </c>
      <c r="H253" s="21" t="n">
        <f aca="false">Stock_Seguridad!R253</f>
        <v>1857.06413580279</v>
      </c>
      <c r="I253" s="21" t="n">
        <f aca="false">Stock_Seguridad!S253</f>
        <v>6413.96413580279</v>
      </c>
      <c r="J253" s="21" t="n">
        <f aca="false">Stock_Seguridad!U253</f>
        <v>20.7</v>
      </c>
      <c r="K253" s="22" t="n">
        <v>46315</v>
      </c>
      <c r="L253" s="23" t="n">
        <v>0</v>
      </c>
      <c r="M253" s="23" t="n">
        <v>0</v>
      </c>
      <c r="N253" s="23" t="n">
        <v>0</v>
      </c>
      <c r="O253" s="24" t="n">
        <v>0.0281386744621569</v>
      </c>
      <c r="P253" s="24" t="n">
        <f aca="false">IF(ISNUMBER(Stock_Seguridad!N253),Stock_Seguridad!N253,"")</f>
        <v>0.275547445255475</v>
      </c>
      <c r="Q253" s="24" t="n">
        <f aca="false">IF(AND(ISNUMBER(O253),ISNUMBER(P253)),P253-O253,"")</f>
        <v>0.247408770793318</v>
      </c>
      <c r="R253" s="23" t="n">
        <f aca="false">MAX(0,G253-N(L253))</f>
        <v>50351.6</v>
      </c>
      <c r="S253" s="23" t="n">
        <f aca="false">SUMIFS(Cadenas_vs_FCST!$D$17:$D$2437,Cadenas_vs_FCST!$A$17:$A$2437,A253)</f>
        <v>15442.2</v>
      </c>
      <c r="T253" s="23" t="n">
        <f aca="false">SUMIFS(Cadenas_vs_FCST!$E$17:$E$2437,Cadenas_vs_FCST!$A$17:$A$2437,A253)</f>
        <v>16627.6</v>
      </c>
      <c r="U253" s="24" t="n">
        <f aca="false">IF(T253&gt;0,S253/T253-1,"")</f>
        <v>-0.0712911063532919</v>
      </c>
      <c r="V253" s="3" t="str">
        <f aca="false">IF(OR(E253="BAJO SS",E253="BAJO SS (XLIB CUBRE)"),"SÍ","")</f>
        <v/>
      </c>
      <c r="W253" s="3" t="str">
        <f aca="false">IF(AND(V253="",N(L253)&gt;=Parametros!$B$17,G253&gt;=H253,R253&lt;H253),"SÍ","")</f>
        <v/>
      </c>
      <c r="X253" s="3" t="str">
        <f aca="false">IF(OR(E253="SOBRE MAX VENDIBLE",N(N253)&gt;=Parametros!$B$17,N(M253)&gt;=Parametros!$B$17),"SÍ","")</f>
        <v/>
      </c>
      <c r="Y253" s="3" t="str">
        <f aca="false">IF(AND(ISNUMBER(U253),MAX(S253,T253)&gt;=Parametros!$B$15,ABS(N(U253))&gt;Parametros!$B$14),"SÍ","")</f>
        <v/>
      </c>
      <c r="Z253" s="3" t="n">
        <f aca="false">COUNTIF(V253:Y253,"SÍ")</f>
        <v>0</v>
      </c>
      <c r="AA253" s="3" t="n">
        <f aca="false">(3*(V253="SÍ")+2*(W253="SÍ")+2*(X253="SÍ")+(Y253="SÍ"))*IF(LEFT(D253,1)="A",3,IF(OR(LEFT(D253,1)="B",D253="SIN HIST"),2,1))</f>
        <v>0</v>
      </c>
      <c r="AB253" s="3" t="str">
        <f aca="false">IF(AA253&gt;=9,"1-ALTA",IF(AA253&gt;=4,"2-MEDIA",IF(AA253&gt;0,"3-BAJA","")))</f>
        <v/>
      </c>
      <c r="AC253" s="3" t="str">
        <f aca="false">IF(E253="BAJO SS","Stock + XLIB bajo el SS: riesgo real de quiebre, adelantar producción. ","")&amp;IF(E253="BAJO SS (XLIB CUBRE)","Disponible bajo el SS; depende de liberar "&amp;TEXT(J253,"#,##0")&amp;" kg"&amp;IF(ISNUMBER(K253)," el "&amp;TEXT(K253,"dd-mm"),"")&amp;". ","")&amp;IF(W253="SÍ","Stock parece sano pero "&amp;TEXT(L253,"#,##0")&amp;" kg no pasan filtro "&amp;Stock_Seguridad!O253&amp;": sin ellos queda bajo el SS para esa cadena. ","")&amp;IF(E253="SOBRE MAX VENDIBLE","Sobrestock vs vida útil: frenar producción/activar venta. ","")&amp;IF(N(N253)&gt;=Parametros!$B$17,TEXT(N253,"#,##0")&amp;" kg ya no los acepta ninguna cadena: venta intermedia/liquidación. ","")&amp;IF(N(M253)&gt;=Parametros!$B$17,TEXT(M253,"#,##0")&amp;" kg a punto de salir del filtro: despachar primero (FEFO). ","")&amp;IF(Y253="SÍ","Pedidos "&amp;IF(N(U253)&gt;0,"sobre","bajo")&amp;" FCST "&amp;TEXT(ABS(N(U253)),"0%")&amp;": revisar forecast con KAM.","")</f>
        <v/>
      </c>
    </row>
    <row r="254" customFormat="false" ht="15" hidden="false" customHeight="false" outlineLevel="0" collapsed="false">
      <c r="A254" s="18" t="n">
        <f aca="false">Stock_Seguridad!A254</f>
        <v>30001897</v>
      </c>
      <c r="B254" s="18" t="str">
        <f aca="false">Stock_Seguridad!B254</f>
        <v>JALEA LONCO PROTEIN GUINDA 6X4X100GR</v>
      </c>
      <c r="C254" s="18" t="str">
        <f aca="false">Stock_Seguridad!C254</f>
        <v>POSTRES</v>
      </c>
      <c r="D254" s="18" t="str">
        <f aca="false">Stock_Seguridad!F254</f>
        <v>BX</v>
      </c>
      <c r="E254" s="19" t="str">
        <f aca="false">Stock_Seguridad!X254</f>
        <v>OK</v>
      </c>
      <c r="F254" s="20" t="n">
        <f aca="false">Stock_Seguridad!W254</f>
        <v>2.10170240014132</v>
      </c>
      <c r="G254" s="21" t="n">
        <f aca="false">Stock_Seguridad!T254</f>
        <v>6561.6</v>
      </c>
      <c r="H254" s="21" t="n">
        <f aca="false">Stock_Seguridad!R254</f>
        <v>841.068860872304</v>
      </c>
      <c r="I254" s="21" t="n">
        <f aca="false">Stock_Seguridad!S254</f>
        <v>5369.9688608723</v>
      </c>
      <c r="J254" s="21" t="n">
        <f aca="false">Stock_Seguridad!U254</f>
        <v>2956.8</v>
      </c>
      <c r="K254" s="22" t="n">
        <v>46318</v>
      </c>
      <c r="L254" s="23" t="n">
        <v>0</v>
      </c>
      <c r="M254" s="23" t="n">
        <v>333.6</v>
      </c>
      <c r="N254" s="23" t="n">
        <v>0</v>
      </c>
      <c r="O254" s="24" t="n">
        <v>0.0620700958144226</v>
      </c>
      <c r="P254" s="24" t="n">
        <f aca="false">IF(ISNUMBER(Stock_Seguridad!N254),Stock_Seguridad!N254,"")</f>
        <v>0.227272727272727</v>
      </c>
      <c r="Q254" s="24" t="n">
        <f aca="false">IF(AND(ISNUMBER(O254),ISNUMBER(P254)),P254-O254,"")</f>
        <v>0.165202631458305</v>
      </c>
      <c r="R254" s="23" t="n">
        <f aca="false">MAX(0,G254-N(L254))</f>
        <v>6561.6</v>
      </c>
      <c r="S254" s="23" t="n">
        <f aca="false">SUMIFS(Cadenas_vs_FCST!$D$17:$D$2437,Cadenas_vs_FCST!$A$17:$A$2437,A254)</f>
        <v>14116.8</v>
      </c>
      <c r="T254" s="23" t="n">
        <f aca="false">SUMIFS(Cadenas_vs_FCST!$E$17:$E$2437,Cadenas_vs_FCST!$A$17:$A$2437,A254)</f>
        <v>14633.9099345774</v>
      </c>
      <c r="U254" s="24" t="n">
        <f aca="false">IF(T254&gt;0,S254/T254-1,"")</f>
        <v>-0.0353364163705503</v>
      </c>
      <c r="V254" s="3" t="str">
        <f aca="false">IF(OR(E254="BAJO SS",E254="BAJO SS (XLIB CUBRE)"),"SÍ","")</f>
        <v/>
      </c>
      <c r="W254" s="3" t="str">
        <f aca="false">IF(AND(V254="",N(L254)&gt;=Parametros!$B$17,G254&gt;=H254,R254&lt;H254),"SÍ","")</f>
        <v/>
      </c>
      <c r="X254" s="3" t="str">
        <f aca="false">IF(OR(E254="SOBRE MAX VENDIBLE",N(N254)&gt;=Parametros!$B$17,N(M254)&gt;=Parametros!$B$17),"SÍ","")</f>
        <v/>
      </c>
      <c r="Y254" s="3" t="str">
        <f aca="false">IF(AND(ISNUMBER(U254),MAX(S254,T254)&gt;=Parametros!$B$15,ABS(N(U254))&gt;Parametros!$B$14),"SÍ","")</f>
        <v/>
      </c>
      <c r="Z254" s="3" t="n">
        <f aca="false">COUNTIF(V254:Y254,"SÍ")</f>
        <v>0</v>
      </c>
      <c r="AA254" s="3" t="n">
        <f aca="false">(3*(V254="SÍ")+2*(W254="SÍ")+2*(X254="SÍ")+(Y254="SÍ"))*IF(LEFT(D254,1)="A",3,IF(OR(LEFT(D254,1)="B",D254="SIN HIST"),2,1))</f>
        <v>0</v>
      </c>
      <c r="AB254" s="3" t="str">
        <f aca="false">IF(AA254&gt;=9,"1-ALTA",IF(AA254&gt;=4,"2-MEDIA",IF(AA254&gt;0,"3-BAJA","")))</f>
        <v/>
      </c>
      <c r="AC254" s="3" t="str">
        <f aca="false">IF(E254="BAJO SS","Stock + XLIB bajo el SS: riesgo real de quiebre, adelantar producción. ","")&amp;IF(E254="BAJO SS (XLIB CUBRE)","Disponible bajo el SS; depende de liberar "&amp;TEXT(J254,"#,##0")&amp;" kg"&amp;IF(ISNUMBER(K254)," el "&amp;TEXT(K254,"dd-mm"),"")&amp;". ","")&amp;IF(W254="SÍ","Stock parece sano pero "&amp;TEXT(L254,"#,##0")&amp;" kg no pasan filtro "&amp;Stock_Seguridad!O254&amp;": sin ellos queda bajo el SS para esa cadena. ","")&amp;IF(E254="SOBRE MAX VENDIBLE","Sobrestock vs vida útil: frenar producción/activar venta. ","")&amp;IF(N(N254)&gt;=Parametros!$B$17,TEXT(N254,"#,##0")&amp;" kg ya no los acepta ninguna cadena: venta intermedia/liquidación. ","")&amp;IF(N(M254)&gt;=Parametros!$B$17,TEXT(M254,"#,##0")&amp;" kg a punto de salir del filtro: despachar primero (FEFO). ","")&amp;IF(Y254="SÍ","Pedidos "&amp;IF(N(U254)&gt;0,"sobre","bajo")&amp;" FCST "&amp;TEXT(ABS(N(U254)),"0%")&amp;": revisar forecast con KAM.","")</f>
        <v/>
      </c>
    </row>
    <row r="255" customFormat="false" ht="15" hidden="false" customHeight="false" outlineLevel="0" collapsed="false">
      <c r="A255" s="18" t="n">
        <f aca="false">Stock_Seguridad!A255</f>
        <v>30000560</v>
      </c>
      <c r="B255" s="18" t="str">
        <f aca="false">Stock_Seguridad!B255</f>
        <v>QUESO LAS PARCELAS LAMIN 16X350GR</v>
      </c>
      <c r="C255" s="18" t="str">
        <f aca="false">Stock_Seguridad!C255</f>
        <v>QUESOS</v>
      </c>
      <c r="D255" s="18" t="str">
        <f aca="false">Stock_Seguridad!F255</f>
        <v>BX</v>
      </c>
      <c r="E255" s="19" t="str">
        <f aca="false">Stock_Seguridad!X255</f>
        <v>OK</v>
      </c>
      <c r="F255" s="20" t="n">
        <f aca="false">Stock_Seguridad!W255</f>
        <v>3.19573333333333</v>
      </c>
      <c r="G255" s="21" t="n">
        <f aca="false">Stock_Seguridad!T255</f>
        <v>14380.8</v>
      </c>
      <c r="H255" s="21" t="n">
        <f aca="false">Stock_Seguridad!R255</f>
        <v>1381.63632191796</v>
      </c>
      <c r="I255" s="21" t="n">
        <f aca="false">Stock_Seguridad!S255</f>
        <v>5881.63632191796</v>
      </c>
      <c r="J255" s="21" t="n">
        <f aca="false">Stock_Seguridad!U255</f>
        <v>0</v>
      </c>
      <c r="K255" s="22"/>
      <c r="L255" s="23" t="n">
        <v>33.6</v>
      </c>
      <c r="M255" s="23" t="n">
        <v>5.6</v>
      </c>
      <c r="N255" s="23" t="n">
        <v>33.6</v>
      </c>
      <c r="O255" s="24" t="n">
        <v>0.0878106739384496</v>
      </c>
      <c r="P255" s="24" t="n">
        <f aca="false">IF(ISNUMBER(Stock_Seguridad!N255),Stock_Seguridad!N255,"")</f>
        <v>0.315217391304348</v>
      </c>
      <c r="Q255" s="24" t="n">
        <f aca="false">IF(AND(ISNUMBER(O255),ISNUMBER(P255)),P255-O255,"")</f>
        <v>0.227406717365898</v>
      </c>
      <c r="R255" s="23" t="n">
        <f aca="false">MAX(0,G255-N(L255))</f>
        <v>14347.2</v>
      </c>
      <c r="S255" s="23" t="n">
        <f aca="false">SUMIFS(Cadenas_vs_FCST!$D$17:$D$2437,Cadenas_vs_FCST!$A$17:$A$2437,A255)</f>
        <v>18664.8</v>
      </c>
      <c r="T255" s="23" t="n">
        <f aca="false">SUMIFS(Cadenas_vs_FCST!$E$17:$E$2437,Cadenas_vs_FCST!$A$17:$A$2437,A255)</f>
        <v>17081.5877947308</v>
      </c>
      <c r="U255" s="24" t="n">
        <f aca="false">IF(T255&gt;0,S255/T255-1,"")</f>
        <v>0.0926853067931754</v>
      </c>
      <c r="V255" s="3" t="str">
        <f aca="false">IF(OR(E255="BAJO SS",E255="BAJO SS (XLIB CUBRE)"),"SÍ","")</f>
        <v/>
      </c>
      <c r="W255" s="3" t="str">
        <f aca="false">IF(AND(V255="",N(L255)&gt;=Parametros!$B$17,G255&gt;=H255,R255&lt;H255),"SÍ","")</f>
        <v/>
      </c>
      <c r="X255" s="3" t="str">
        <f aca="false">IF(OR(E255="SOBRE MAX VENDIBLE",N(N255)&gt;=Parametros!$B$17,N(M255)&gt;=Parametros!$B$17),"SÍ","")</f>
        <v/>
      </c>
      <c r="Y255" s="3" t="str">
        <f aca="false">IF(AND(ISNUMBER(U255),MAX(S255,T255)&gt;=Parametros!$B$15,ABS(N(U255))&gt;Parametros!$B$14),"SÍ","")</f>
        <v/>
      </c>
      <c r="Z255" s="3" t="n">
        <f aca="false">COUNTIF(V255:Y255,"SÍ")</f>
        <v>0</v>
      </c>
      <c r="AA255" s="3" t="n">
        <f aca="false">(3*(V255="SÍ")+2*(W255="SÍ")+2*(X255="SÍ")+(Y255="SÍ"))*IF(LEFT(D255,1)="A",3,IF(OR(LEFT(D255,1)="B",D255="SIN HIST"),2,1))</f>
        <v>0</v>
      </c>
      <c r="AB255" s="3" t="str">
        <f aca="false">IF(AA255&gt;=9,"1-ALTA",IF(AA255&gt;=4,"2-MEDIA",IF(AA255&gt;0,"3-BAJA","")))</f>
        <v/>
      </c>
      <c r="AC255" s="3" t="str">
        <f aca="false">IF(E255="BAJO SS","Stock + XLIB bajo el SS: riesgo real de quiebre, adelantar producción. ","")&amp;IF(E255="BAJO SS (XLIB CUBRE)","Disponible bajo el SS; depende de liberar "&amp;TEXT(J255,"#,##0")&amp;" kg"&amp;IF(ISNUMBER(K255)," el "&amp;TEXT(K255,"dd-mm"),"")&amp;". ","")&amp;IF(W255="SÍ","Stock parece sano pero "&amp;TEXT(L255,"#,##0")&amp;" kg no pasan filtro "&amp;Stock_Seguridad!O255&amp;": sin ellos queda bajo el SS para esa cadena. ","")&amp;IF(E255="SOBRE MAX VENDIBLE","Sobrestock vs vida útil: frenar producción/activar venta. ","")&amp;IF(N(N255)&gt;=Parametros!$B$17,TEXT(N255,"#,##0")&amp;" kg ya no los acepta ninguna cadena: venta intermedia/liquidación. ","")&amp;IF(N(M255)&gt;=Parametros!$B$17,TEXT(M255,"#,##0")&amp;" kg a punto de salir del filtro: despachar primero (FEFO). ","")&amp;IF(Y255="SÍ","Pedidos "&amp;IF(N(U255)&gt;0,"sobre","bajo")&amp;" FCST "&amp;TEXT(ABS(N(U255)),"0%")&amp;": revisar forecast con KAM.","")</f>
        <v/>
      </c>
    </row>
    <row r="256" customFormat="false" ht="15" hidden="false" customHeight="false" outlineLevel="0" collapsed="false">
      <c r="A256" s="18" t="n">
        <f aca="false">Stock_Seguridad!A256</f>
        <v>30001376</v>
      </c>
      <c r="B256" s="18" t="str">
        <f aca="false">Stock_Seguridad!B256</f>
        <v>LECHE LONCO FULL PROTEIN CHOCOLATE18X250</v>
      </c>
      <c r="C256" s="18" t="str">
        <f aca="false">Stock_Seguridad!C256</f>
        <v>LECHES LIQUIDAS</v>
      </c>
      <c r="D256" s="18" t="str">
        <f aca="false">Stock_Seguridad!F256</f>
        <v>BX</v>
      </c>
      <c r="E256" s="19" t="str">
        <f aca="false">Stock_Seguridad!X256</f>
        <v>OK</v>
      </c>
      <c r="F256" s="20" t="n">
        <f aca="false">Stock_Seguridad!W256</f>
        <v>2.47398212733715</v>
      </c>
      <c r="G256" s="21" t="n">
        <f aca="false">Stock_Seguridad!T256</f>
        <v>11101.5</v>
      </c>
      <c r="H256" s="21" t="n">
        <f aca="false">Stock_Seguridad!R256</f>
        <v>1310.64279551906</v>
      </c>
      <c r="I256" s="21" t="n">
        <f aca="false">Stock_Seguridad!S256</f>
        <v>5797.94279551906</v>
      </c>
      <c r="J256" s="21" t="n">
        <f aca="false">Stock_Seguridad!U256</f>
        <v>0</v>
      </c>
      <c r="K256" s="22"/>
      <c r="L256" s="23" t="n">
        <v>945</v>
      </c>
      <c r="M256" s="23" t="n">
        <v>0</v>
      </c>
      <c r="N256" s="23" t="n">
        <v>756</v>
      </c>
      <c r="O256" s="24" t="n">
        <v>0.133237322515213</v>
      </c>
      <c r="P256" s="24" t="n">
        <f aca="false">IF(ISNUMBER(Stock_Seguridad!N256),Stock_Seguridad!N256,"")</f>
        <v>0.211640211640212</v>
      </c>
      <c r="Q256" s="24" t="n">
        <f aca="false">IF(AND(ISNUMBER(O256),ISNUMBER(P256)),P256-O256,"")</f>
        <v>0.0784028891249986</v>
      </c>
      <c r="R256" s="23" t="n">
        <f aca="false">MAX(0,G256-N(L256))</f>
        <v>10156.5</v>
      </c>
      <c r="S256" s="23" t="n">
        <f aca="false">SUMIFS(Cadenas_vs_FCST!$D$17:$D$2437,Cadenas_vs_FCST!$A$17:$A$2437,A256)</f>
        <v>16731</v>
      </c>
      <c r="T256" s="23" t="n">
        <f aca="false">SUMIFS(Cadenas_vs_FCST!$E$17:$E$2437,Cadenas_vs_FCST!$A$17:$A$2437,A256)</f>
        <v>17029.6183492121</v>
      </c>
      <c r="U256" s="24" t="n">
        <f aca="false">IF(T256&gt;0,S256/T256-1,"")</f>
        <v>-0.0175352343833285</v>
      </c>
      <c r="V256" s="3" t="str">
        <f aca="false">IF(OR(E256="BAJO SS",E256="BAJO SS (XLIB CUBRE)"),"SÍ","")</f>
        <v/>
      </c>
      <c r="W256" s="3" t="str">
        <f aca="false">IF(AND(V256="",N(L256)&gt;=Parametros!$B$17,G256&gt;=H256,R256&lt;H256),"SÍ","")</f>
        <v/>
      </c>
      <c r="X256" s="3" t="str">
        <f aca="false">IF(OR(E256="SOBRE MAX VENDIBLE",N(N256)&gt;=Parametros!$B$17,N(M256)&gt;=Parametros!$B$17),"SÍ","")</f>
        <v>SÍ</v>
      </c>
      <c r="Y256" s="3" t="str">
        <f aca="false">IF(AND(ISNUMBER(U256),MAX(S256,T256)&gt;=Parametros!$B$15,ABS(N(U256))&gt;Parametros!$B$14),"SÍ","")</f>
        <v/>
      </c>
      <c r="Z256" s="3" t="n">
        <f aca="false">COUNTIF(V256:Y256,"SÍ")</f>
        <v>1</v>
      </c>
      <c r="AA256" s="3" t="n">
        <f aca="false">(3*(V256="SÍ")+2*(W256="SÍ")+2*(X256="SÍ")+(Y256="SÍ"))*IF(LEFT(D256,1)="A",3,IF(OR(LEFT(D256,1)="B",D256="SIN HIST"),2,1))</f>
        <v>4</v>
      </c>
      <c r="AB256" s="3" t="str">
        <f aca="false">IF(AA256&gt;=9,"1-ALTA",IF(AA256&gt;=4,"2-MEDIA",IF(AA256&gt;0,"3-BAJA","")))</f>
        <v>2-MEDIA</v>
      </c>
      <c r="AC256" s="3" t="str">
        <f aca="false">IF(E256="BAJO SS","Stock + XLIB bajo el SS: riesgo real de quiebre, adelantar producción. ","")&amp;IF(E256="BAJO SS (XLIB CUBRE)","Disponible bajo el SS; depende de liberar "&amp;TEXT(J256,"#,##0")&amp;" kg"&amp;IF(ISNUMBER(K256)," el "&amp;TEXT(K256,"dd-mm"),"")&amp;". ","")&amp;IF(W256="SÍ","Stock parece sano pero "&amp;TEXT(L256,"#,##0")&amp;" kg no pasan filtro "&amp;Stock_Seguridad!O256&amp;": sin ellos queda bajo el SS para esa cadena. ","")&amp;IF(E256="SOBRE MAX VENDIBLE","Sobrestock vs vida útil: frenar producción/activar venta. ","")&amp;IF(N(N256)&gt;=Parametros!$B$17,TEXT(N256,"#,##0")&amp;" kg ya no los acepta ninguna cadena: venta intermedia/liquidación. ","")&amp;IF(N(M256)&gt;=Parametros!$B$17,TEXT(M256,"#,##0")&amp;" kg a punto de salir del filtro: despachar primero (FEFO). ","")&amp;IF(Y256="SÍ","Pedidos "&amp;IF(N(U256)&gt;0,"sobre","bajo")&amp;" FCST "&amp;TEXT(ABS(N(U256)),"0%")&amp;": revisar forecast con KAM.","")</f>
        <v>756 kg ya no los acepta ninguna cadena: venta intermedia/liquidación. </v>
      </c>
    </row>
    <row r="257" customFormat="false" ht="15" hidden="false" customHeight="false" outlineLevel="0" collapsed="false">
      <c r="A257" s="18" t="n">
        <f aca="false">Stock_Seguridad!A257</f>
        <v>30000115</v>
      </c>
      <c r="B257" s="18" t="str">
        <f aca="false">Stock_Seguridad!B257</f>
        <v>MANTECA ASTRA 40X200GR</v>
      </c>
      <c r="C257" s="18" t="str">
        <f aca="false">Stock_Seguridad!C257</f>
        <v>MANTECAS</v>
      </c>
      <c r="D257" s="18" t="str">
        <f aca="false">Stock_Seguridad!F257</f>
        <v>AY</v>
      </c>
      <c r="E257" s="19" t="str">
        <f aca="false">Stock_Seguridad!X257</f>
        <v>OK</v>
      </c>
      <c r="F257" s="20" t="n">
        <f aca="false">Stock_Seguridad!W257</f>
        <v>4.88337735595649</v>
      </c>
      <c r="G257" s="21" t="n">
        <f aca="false">Stock_Seguridad!T257</f>
        <v>21816</v>
      </c>
      <c r="H257" s="21" t="n">
        <f aca="false">Stock_Seguridad!R257</f>
        <v>11575.426934425</v>
      </c>
      <c r="I257" s="21" t="n">
        <f aca="false">Stock_Seguridad!S257</f>
        <v>16042.826934425</v>
      </c>
      <c r="J257" s="21" t="n">
        <f aca="false">Stock_Seguridad!U257</f>
        <v>0</v>
      </c>
      <c r="K257" s="22"/>
      <c r="L257" s="23" t="n">
        <v>1024</v>
      </c>
      <c r="M257" s="23" t="n">
        <v>3936</v>
      </c>
      <c r="N257" s="23" t="n">
        <v>72</v>
      </c>
      <c r="O257" s="24" t="n">
        <v>0.172542186353632</v>
      </c>
      <c r="P257" s="24" t="n">
        <f aca="false">IF(ISNUMBER(Stock_Seguridad!N257),Stock_Seguridad!N257,"")</f>
        <v>0.239130434782609</v>
      </c>
      <c r="Q257" s="24" t="n">
        <f aca="false">IF(AND(ISNUMBER(O257),ISNUMBER(P257)),P257-O257,"")</f>
        <v>0.0665882484289769</v>
      </c>
      <c r="R257" s="23" t="n">
        <f aca="false">MAX(0,G257-N(L257))</f>
        <v>20792</v>
      </c>
      <c r="S257" s="23" t="n">
        <f aca="false">SUMIFS(Cadenas_vs_FCST!$D$17:$D$2437,Cadenas_vs_FCST!$A$17:$A$2437,A257)</f>
        <v>31408</v>
      </c>
      <c r="T257" s="23" t="n">
        <f aca="false">SUMIFS(Cadenas_vs_FCST!$E$17:$E$2437,Cadenas_vs_FCST!$A$17:$A$2437,A257)</f>
        <v>44348.4317318326</v>
      </c>
      <c r="U257" s="24" t="n">
        <f aca="false">IF(T257&gt;0,S257/T257-1,"")</f>
        <v>-0.291790063966212</v>
      </c>
      <c r="V257" s="3" t="str">
        <f aca="false">IF(OR(E257="BAJO SS",E257="BAJO SS (XLIB CUBRE)"),"SÍ","")</f>
        <v/>
      </c>
      <c r="W257" s="3" t="str">
        <f aca="false">IF(AND(V257="",N(L257)&gt;=Parametros!$B$17,G257&gt;=H257,R257&lt;H257),"SÍ","")</f>
        <v/>
      </c>
      <c r="X257" s="3" t="str">
        <f aca="false">IF(OR(E257="SOBRE MAX VENDIBLE",N(N257)&gt;=Parametros!$B$17,N(M257)&gt;=Parametros!$B$17),"SÍ","")</f>
        <v>SÍ</v>
      </c>
      <c r="Y257" s="3" t="str">
        <f aca="false">IF(AND(ISNUMBER(U257),MAX(S257,T257)&gt;=Parametros!$B$15,ABS(N(U257))&gt;Parametros!$B$14),"SÍ","")</f>
        <v>SÍ</v>
      </c>
      <c r="Z257" s="3" t="n">
        <f aca="false">COUNTIF(V257:Y257,"SÍ")</f>
        <v>2</v>
      </c>
      <c r="AA257" s="3" t="n">
        <f aca="false">(3*(V257="SÍ")+2*(W257="SÍ")+2*(X257="SÍ")+(Y257="SÍ"))*IF(LEFT(D257,1)="A",3,IF(OR(LEFT(D257,1)="B",D257="SIN HIST"),2,1))</f>
        <v>9</v>
      </c>
      <c r="AB257" s="3" t="str">
        <f aca="false">IF(AA257&gt;=9,"1-ALTA",IF(AA257&gt;=4,"2-MEDIA",IF(AA257&gt;0,"3-BAJA","")))</f>
        <v>1-ALTA</v>
      </c>
      <c r="AC257" s="3" t="str">
        <f aca="false">IF(E257="BAJO SS","Stock + XLIB bajo el SS: riesgo real de quiebre, adelantar producción. ","")&amp;IF(E257="BAJO SS (XLIB CUBRE)","Disponible bajo el SS; depende de liberar "&amp;TEXT(J257,"#,##0")&amp;" kg"&amp;IF(ISNUMBER(K257)," el "&amp;TEXT(K257,"dd-mm"),"")&amp;". ","")&amp;IF(W257="SÍ","Stock parece sano pero "&amp;TEXT(L257,"#,##0")&amp;" kg no pasan filtro "&amp;Stock_Seguridad!O257&amp;": sin ellos queda bajo el SS para esa cadena. ","")&amp;IF(E257="SOBRE MAX VENDIBLE","Sobrestock vs vida útil: frenar producción/activar venta. ","")&amp;IF(N(N257)&gt;=Parametros!$B$17,TEXT(N257,"#,##0")&amp;" kg ya no los acepta ninguna cadena: venta intermedia/liquidación. ","")&amp;IF(N(M257)&gt;=Parametros!$B$17,TEXT(M257,"#,##0")&amp;" kg a punto de salir del filtro: despachar primero (FEFO). ","")&amp;IF(Y257="SÍ","Pedidos "&amp;IF(N(U257)&gt;0,"sobre","bajo")&amp;" FCST "&amp;TEXT(ABS(N(U257)),"0%")&amp;": revisar forecast con KAM.","")</f>
        <v>3,936 kg a punto de salir del filtro: despachar primero (FEFO). Pedidos bajo FCST 29%: revisar forecast con KAM.</v>
      </c>
    </row>
    <row r="258" customFormat="false" ht="15" hidden="false" customHeight="false" outlineLevel="0" collapsed="false">
      <c r="A258" s="18" t="n">
        <f aca="false">Stock_Seguridad!A258</f>
        <v>30001996</v>
      </c>
      <c r="B258" s="18" t="str">
        <f aca="false">Stock_Seguridad!B258</f>
        <v>JUGO EXPRIMIDO WATTS NJA 6X1,5LT</v>
      </c>
      <c r="C258" s="18" t="str">
        <f aca="false">Stock_Seguridad!C258</f>
        <v>JUGOS Y NECTARES</v>
      </c>
      <c r="D258" s="18" t="str">
        <f aca="false">Stock_Seguridad!F258</f>
        <v>BX</v>
      </c>
      <c r="E258" s="19" t="str">
        <f aca="false">Stock_Seguridad!X258</f>
        <v>OK</v>
      </c>
      <c r="F258" s="20" t="n">
        <f aca="false">Stock_Seguridad!W258</f>
        <v>3.0617233652475</v>
      </c>
      <c r="G258" s="21" t="n">
        <f aca="false">Stock_Seguridad!T258</f>
        <v>13527</v>
      </c>
      <c r="H258" s="21" t="n">
        <f aca="false">Stock_Seguridad!R258</f>
        <v>2620.26368130117</v>
      </c>
      <c r="I258" s="21" t="n">
        <f aca="false">Stock_Seguridad!S258</f>
        <v>7038.36368130117</v>
      </c>
      <c r="J258" s="21" t="n">
        <f aca="false">Stock_Seguridad!U258</f>
        <v>0</v>
      </c>
      <c r="K258" s="22"/>
      <c r="L258" s="23" t="n">
        <v>1278</v>
      </c>
      <c r="M258" s="23" t="n">
        <v>0</v>
      </c>
      <c r="N258" s="23" t="n">
        <v>0</v>
      </c>
      <c r="O258" s="24" t="n">
        <v>0.401337325349301</v>
      </c>
      <c r="P258" s="24" t="n">
        <f aca="false">IF(ISNUMBER(Stock_Seguridad!N258),Stock_Seguridad!N258,"")</f>
        <v>0.489795918367347</v>
      </c>
      <c r="Q258" s="24" t="n">
        <f aca="false">IF(AND(ISNUMBER(O258),ISNUMBER(P258)),P258-O258,"")</f>
        <v>0.0884585930180455</v>
      </c>
      <c r="R258" s="23" t="n">
        <f aca="false">MAX(0,G258-N(L258))</f>
        <v>12249</v>
      </c>
      <c r="S258" s="23" t="n">
        <f aca="false">SUMIFS(Cadenas_vs_FCST!$D$17:$D$2437,Cadenas_vs_FCST!$A$17:$A$2437,A258)</f>
        <v>15687</v>
      </c>
      <c r="T258" s="23" t="n">
        <f aca="false">SUMIFS(Cadenas_vs_FCST!$E$17:$E$2437,Cadenas_vs_FCST!$A$17:$A$2437,A258)</f>
        <v>15859.15016016</v>
      </c>
      <c r="U258" s="24" t="n">
        <f aca="false">IF(T258&gt;0,S258/T258-1,"")</f>
        <v>-0.0108549423154112</v>
      </c>
      <c r="V258" s="3" t="str">
        <f aca="false">IF(OR(E258="BAJO SS",E258="BAJO SS (XLIB CUBRE)"),"SÍ","")</f>
        <v/>
      </c>
      <c r="W258" s="3" t="str">
        <f aca="false">IF(AND(V258="",N(L258)&gt;=Parametros!$B$17,G258&gt;=H258,R258&lt;H258),"SÍ","")</f>
        <v/>
      </c>
      <c r="X258" s="3" t="str">
        <f aca="false">IF(OR(E258="SOBRE MAX VENDIBLE",N(N258)&gt;=Parametros!$B$17,N(M258)&gt;=Parametros!$B$17),"SÍ","")</f>
        <v/>
      </c>
      <c r="Y258" s="3" t="str">
        <f aca="false">IF(AND(ISNUMBER(U258),MAX(S258,T258)&gt;=Parametros!$B$15,ABS(N(U258))&gt;Parametros!$B$14),"SÍ","")</f>
        <v/>
      </c>
      <c r="Z258" s="3" t="n">
        <f aca="false">COUNTIF(V258:Y258,"SÍ")</f>
        <v>0</v>
      </c>
      <c r="AA258" s="3" t="n">
        <f aca="false">(3*(V258="SÍ")+2*(W258="SÍ")+2*(X258="SÍ")+(Y258="SÍ"))*IF(LEFT(D258,1)="A",3,IF(OR(LEFT(D258,1)="B",D258="SIN HIST"),2,1))</f>
        <v>0</v>
      </c>
      <c r="AB258" s="3" t="str">
        <f aca="false">IF(AA258&gt;=9,"1-ALTA",IF(AA258&gt;=4,"2-MEDIA",IF(AA258&gt;0,"3-BAJA","")))</f>
        <v/>
      </c>
      <c r="AC258" s="3" t="str">
        <f aca="false">IF(E258="BAJO SS","Stock + XLIB bajo el SS: riesgo real de quiebre, adelantar producción. ","")&amp;IF(E258="BAJO SS (XLIB CUBRE)","Disponible bajo el SS; depende de liberar "&amp;TEXT(J258,"#,##0")&amp;" kg"&amp;IF(ISNUMBER(K258)," el "&amp;TEXT(K258,"dd-mm"),"")&amp;". ","")&amp;IF(W258="SÍ","Stock parece sano pero "&amp;TEXT(L258,"#,##0")&amp;" kg no pasan filtro "&amp;Stock_Seguridad!O258&amp;": sin ellos queda bajo el SS para esa cadena. ","")&amp;IF(E258="SOBRE MAX VENDIBLE","Sobrestock vs vida útil: frenar producción/activar venta. ","")&amp;IF(N(N258)&gt;=Parametros!$B$17,TEXT(N258,"#,##0")&amp;" kg ya no los acepta ninguna cadena: venta intermedia/liquidación. ","")&amp;IF(N(M258)&gt;=Parametros!$B$17,TEXT(M258,"#,##0")&amp;" kg a punto de salir del filtro: despachar primero (FEFO). ","")&amp;IF(Y258="SÍ","Pedidos "&amp;IF(N(U258)&gt;0,"sobre","bajo")&amp;" FCST "&amp;TEXT(ABS(N(U258)),"0%")&amp;": revisar forecast con KAM.","")</f>
        <v/>
      </c>
    </row>
    <row r="259" customFormat="false" ht="15" hidden="false" customHeight="false" outlineLevel="0" collapsed="false">
      <c r="A259" s="18" t="n">
        <f aca="false">Stock_Seguridad!A259</f>
        <v>30000616</v>
      </c>
      <c r="B259" s="18" t="str">
        <f aca="false">Stock_Seguridad!B259</f>
        <v>PALMITOS WSL 24X400GR</v>
      </c>
      <c r="C259" s="18" t="str">
        <f aca="false">Stock_Seguridad!C259</f>
        <v>CONSERVAS Y PLATOS LISTOS</v>
      </c>
      <c r="D259" s="18" t="str">
        <f aca="false">Stock_Seguridad!F259</f>
        <v>BX</v>
      </c>
      <c r="E259" s="19" t="str">
        <f aca="false">Stock_Seguridad!X259</f>
        <v>OK</v>
      </c>
      <c r="F259" s="20" t="n">
        <f aca="false">Stock_Seguridad!W259</f>
        <v>15.5036734693878</v>
      </c>
      <c r="G259" s="21" t="n">
        <f aca="false">Stock_Seguridad!T259</f>
        <v>68371.2</v>
      </c>
      <c r="H259" s="21" t="n">
        <f aca="false">Stock_Seguridad!R259</f>
        <v>2725.62271103273</v>
      </c>
      <c r="I259" s="21" t="n">
        <f aca="false">Stock_Seguridad!S259</f>
        <v>7135.62271103273</v>
      </c>
      <c r="J259" s="21" t="n">
        <f aca="false">Stock_Seguridad!U259</f>
        <v>0</v>
      </c>
      <c r="K259" s="22"/>
      <c r="L259" s="23" t="n">
        <v>0</v>
      </c>
      <c r="M259" s="23" t="n">
        <v>0</v>
      </c>
      <c r="N259" s="23" t="n">
        <v>0</v>
      </c>
      <c r="O259" s="24" t="n">
        <v>0.0470313158264289</v>
      </c>
      <c r="P259" s="24" t="n">
        <f aca="false">IF(ISNUMBER(Stock_Seguridad!N259),Stock_Seguridad!N259,"")</f>
        <v>0.462328767123288</v>
      </c>
      <c r="Q259" s="24" t="n">
        <f aca="false">IF(AND(ISNUMBER(O259),ISNUMBER(P259)),P259-O259,"")</f>
        <v>0.415297451296859</v>
      </c>
      <c r="R259" s="23" t="n">
        <f aca="false">MAX(0,G259-N(L259))</f>
        <v>68371.2</v>
      </c>
      <c r="S259" s="23" t="n">
        <f aca="false">SUMIFS(Cadenas_vs_FCST!$D$17:$D$2437,Cadenas_vs_FCST!$A$17:$A$2437,A259)</f>
        <v>18508.8</v>
      </c>
      <c r="T259" s="23" t="n">
        <f aca="false">SUMIFS(Cadenas_vs_FCST!$E$17:$E$2437,Cadenas_vs_FCST!$A$17:$A$2437,A259)</f>
        <v>15594.4</v>
      </c>
      <c r="U259" s="24" t="n">
        <f aca="false">IF(T259&gt;0,S259/T259-1,"")</f>
        <v>0.186887600677166</v>
      </c>
      <c r="V259" s="3" t="str">
        <f aca="false">IF(OR(E259="BAJO SS",E259="BAJO SS (XLIB CUBRE)"),"SÍ","")</f>
        <v/>
      </c>
      <c r="W259" s="3" t="str">
        <f aca="false">IF(AND(V259="",N(L259)&gt;=Parametros!$B$17,G259&gt;=H259,R259&lt;H259),"SÍ","")</f>
        <v/>
      </c>
      <c r="X259" s="3" t="str">
        <f aca="false">IF(OR(E259="SOBRE MAX VENDIBLE",N(N259)&gt;=Parametros!$B$17,N(M259)&gt;=Parametros!$B$17),"SÍ","")</f>
        <v/>
      </c>
      <c r="Y259" s="3" t="str">
        <f aca="false">IF(AND(ISNUMBER(U259),MAX(S259,T259)&gt;=Parametros!$B$15,ABS(N(U259))&gt;Parametros!$B$14),"SÍ","")</f>
        <v/>
      </c>
      <c r="Z259" s="3" t="n">
        <f aca="false">COUNTIF(V259:Y259,"SÍ")</f>
        <v>0</v>
      </c>
      <c r="AA259" s="3" t="n">
        <f aca="false">(3*(V259="SÍ")+2*(W259="SÍ")+2*(X259="SÍ")+(Y259="SÍ"))*IF(LEFT(D259,1)="A",3,IF(OR(LEFT(D259,1)="B",D259="SIN HIST"),2,1))</f>
        <v>0</v>
      </c>
      <c r="AB259" s="3" t="str">
        <f aca="false">IF(AA259&gt;=9,"1-ALTA",IF(AA259&gt;=4,"2-MEDIA",IF(AA259&gt;0,"3-BAJA","")))</f>
        <v/>
      </c>
      <c r="AC259" s="3" t="str">
        <f aca="false">IF(E259="BAJO SS","Stock + XLIB bajo el SS: riesgo real de quiebre, adelantar producción. ","")&amp;IF(E259="BAJO SS (XLIB CUBRE)","Disponible bajo el SS; depende de liberar "&amp;TEXT(J259,"#,##0")&amp;" kg"&amp;IF(ISNUMBER(K259)," el "&amp;TEXT(K259,"dd-mm"),"")&amp;". ","")&amp;IF(W259="SÍ","Stock parece sano pero "&amp;TEXT(L259,"#,##0")&amp;" kg no pasan filtro "&amp;Stock_Seguridad!O259&amp;": sin ellos queda bajo el SS para esa cadena. ","")&amp;IF(E259="SOBRE MAX VENDIBLE","Sobrestock vs vida útil: frenar producción/activar venta. ","")&amp;IF(N(N259)&gt;=Parametros!$B$17,TEXT(N259,"#,##0")&amp;" kg ya no los acepta ninguna cadena: venta intermedia/liquidación. ","")&amp;IF(N(M259)&gt;=Parametros!$B$17,TEXT(M259,"#,##0")&amp;" kg a punto de salir del filtro: despachar primero (FEFO). ","")&amp;IF(Y259="SÍ","Pedidos "&amp;IF(N(U259)&gt;0,"sobre","bajo")&amp;" FCST "&amp;TEXT(ABS(N(U259)),"0%")&amp;": revisar forecast con KAM.","")</f>
        <v/>
      </c>
    </row>
    <row r="260" customFormat="false" ht="15" hidden="false" customHeight="false" outlineLevel="0" collapsed="false">
      <c r="A260" s="18" t="n">
        <f aca="false">Stock_Seguridad!A260</f>
        <v>30000599</v>
      </c>
      <c r="B260" s="18" t="str">
        <f aca="false">Stock_Seguridad!B260</f>
        <v>DURAZNO MITADES WASIL 24X590GR</v>
      </c>
      <c r="C260" s="18" t="str">
        <f aca="false">Stock_Seguridad!C260</f>
        <v>CONSERVAS Y PLATOS LISTOS</v>
      </c>
      <c r="D260" s="18" t="str">
        <f aca="false">Stock_Seguridad!F260</f>
        <v>AY</v>
      </c>
      <c r="E260" s="19" t="str">
        <f aca="false">Stock_Seguridad!X260</f>
        <v>OK</v>
      </c>
      <c r="F260" s="20" t="n">
        <f aca="false">Stock_Seguridad!W260</f>
        <v>20.150840672538</v>
      </c>
      <c r="G260" s="21" t="n">
        <f aca="false">Stock_Seguridad!T260</f>
        <v>88089.4</v>
      </c>
      <c r="H260" s="21" t="n">
        <f aca="false">Stock_Seguridad!R260</f>
        <v>7046.58463378859</v>
      </c>
      <c r="I260" s="21" t="n">
        <f aca="false">Stock_Seguridad!S260</f>
        <v>11418.0846337886</v>
      </c>
      <c r="J260" s="21" t="n">
        <f aca="false">Stock_Seguridad!U260</f>
        <v>0</v>
      </c>
      <c r="K260" s="22"/>
      <c r="L260" s="23" t="n">
        <v>0</v>
      </c>
      <c r="M260" s="23" t="n">
        <v>0</v>
      </c>
      <c r="N260" s="23" t="n">
        <v>0</v>
      </c>
      <c r="O260" s="24" t="n">
        <v>0.127580774795049</v>
      </c>
      <c r="P260" s="24" t="n">
        <f aca="false">IF(ISNUMBER(Stock_Seguridad!N260),Stock_Seguridad!N260,"")</f>
        <v>0.478767123287671</v>
      </c>
      <c r="Q260" s="24" t="n">
        <f aca="false">IF(AND(ISNUMBER(O260),ISNUMBER(P260)),P260-O260,"")</f>
        <v>0.351186348492622</v>
      </c>
      <c r="R260" s="23" t="n">
        <f aca="false">MAX(0,G260-N(L260))</f>
        <v>88089.4</v>
      </c>
      <c r="S260" s="23" t="n">
        <f aca="false">SUMIFS(Cadenas_vs_FCST!$D$17:$D$2437,Cadenas_vs_FCST!$A$17:$A$2437,A260)</f>
        <v>17827.44</v>
      </c>
      <c r="T260" s="23" t="n">
        <f aca="false">SUMIFS(Cadenas_vs_FCST!$E$17:$E$2437,Cadenas_vs_FCST!$A$17:$A$2437,A260)</f>
        <v>21587.12</v>
      </c>
      <c r="U260" s="24" t="n">
        <f aca="false">IF(T260&gt;0,S260/T260-1,"")</f>
        <v>-0.174163112077943</v>
      </c>
      <c r="V260" s="3" t="str">
        <f aca="false">IF(OR(E260="BAJO SS",E260="BAJO SS (XLIB CUBRE)"),"SÍ","")</f>
        <v/>
      </c>
      <c r="W260" s="3" t="str">
        <f aca="false">IF(AND(V260="",N(L260)&gt;=Parametros!$B$17,G260&gt;=H260,R260&lt;H260),"SÍ","")</f>
        <v/>
      </c>
      <c r="X260" s="3" t="str">
        <f aca="false">IF(OR(E260="SOBRE MAX VENDIBLE",N(N260)&gt;=Parametros!$B$17,N(M260)&gt;=Parametros!$B$17),"SÍ","")</f>
        <v/>
      </c>
      <c r="Y260" s="3" t="str">
        <f aca="false">IF(AND(ISNUMBER(U260),MAX(S260,T260)&gt;=Parametros!$B$15,ABS(N(U260))&gt;Parametros!$B$14),"SÍ","")</f>
        <v/>
      </c>
      <c r="Z260" s="3" t="n">
        <f aca="false">COUNTIF(V260:Y260,"SÍ")</f>
        <v>0</v>
      </c>
      <c r="AA260" s="3" t="n">
        <f aca="false">(3*(V260="SÍ")+2*(W260="SÍ")+2*(X260="SÍ")+(Y260="SÍ"))*IF(LEFT(D260,1)="A",3,IF(OR(LEFT(D260,1)="B",D260="SIN HIST"),2,1))</f>
        <v>0</v>
      </c>
      <c r="AB260" s="3" t="str">
        <f aca="false">IF(AA260&gt;=9,"1-ALTA",IF(AA260&gt;=4,"2-MEDIA",IF(AA260&gt;0,"3-BAJA","")))</f>
        <v/>
      </c>
      <c r="AC260" s="3" t="str">
        <f aca="false">IF(E260="BAJO SS","Stock + XLIB bajo el SS: riesgo real de quiebre, adelantar producción. ","")&amp;IF(E260="BAJO SS (XLIB CUBRE)","Disponible bajo el SS; depende de liberar "&amp;TEXT(J260,"#,##0")&amp;" kg"&amp;IF(ISNUMBER(K260)," el "&amp;TEXT(K260,"dd-mm"),"")&amp;". ","")&amp;IF(W260="SÍ","Stock parece sano pero "&amp;TEXT(L260,"#,##0")&amp;" kg no pasan filtro "&amp;Stock_Seguridad!O260&amp;": sin ellos queda bajo el SS para esa cadena. ","")&amp;IF(E260="SOBRE MAX VENDIBLE","Sobrestock vs vida útil: frenar producción/activar venta. ","")&amp;IF(N(N260)&gt;=Parametros!$B$17,TEXT(N260,"#,##0")&amp;" kg ya no los acepta ninguna cadena: venta intermedia/liquidación. ","")&amp;IF(N(M260)&gt;=Parametros!$B$17,TEXT(M260,"#,##0")&amp;" kg a punto de salir del filtro: despachar primero (FEFO). ","")&amp;IF(Y260="SÍ","Pedidos "&amp;IF(N(U260)&gt;0,"sobre","bajo")&amp;" FCST "&amp;TEXT(ABS(N(U260)),"0%")&amp;": revisar forecast con KAM.","")</f>
        <v/>
      </c>
    </row>
    <row r="261" customFormat="false" ht="15" hidden="false" customHeight="false" outlineLevel="0" collapsed="false">
      <c r="A261" s="18" t="n">
        <f aca="false">Stock_Seguridad!A261</f>
        <v>30001405</v>
      </c>
      <c r="B261" s="18" t="str">
        <f aca="false">Stock_Seguridad!B261</f>
        <v>LECHE BREAK CARAMEL LONCO 18X250ML</v>
      </c>
      <c r="C261" s="18" t="str">
        <f aca="false">Stock_Seguridad!C261</f>
        <v>LECHES LIQUIDAS</v>
      </c>
      <c r="D261" s="18" t="str">
        <f aca="false">Stock_Seguridad!F261</f>
        <v>BX</v>
      </c>
      <c r="E261" s="19" t="str">
        <f aca="false">Stock_Seguridad!X261</f>
        <v>BAJO SS (XLIB CUBRE)</v>
      </c>
      <c r="F261" s="20" t="n">
        <f aca="false">Stock_Seguridad!W261</f>
        <v>3.70162956162497</v>
      </c>
      <c r="G261" s="21" t="n">
        <f aca="false">Stock_Seguridad!T261</f>
        <v>1800</v>
      </c>
      <c r="H261" s="21" t="n">
        <f aca="false">Stock_Seguridad!R261</f>
        <v>1861.27275431089</v>
      </c>
      <c r="I261" s="21" t="n">
        <f aca="false">Stock_Seguridad!S261</f>
        <v>6218.27275431089</v>
      </c>
      <c r="J261" s="21" t="n">
        <f aca="false">Stock_Seguridad!U261</f>
        <v>14328</v>
      </c>
      <c r="K261" s="22" t="n">
        <v>46321</v>
      </c>
      <c r="L261" s="23" t="n">
        <v>225</v>
      </c>
      <c r="M261" s="23" t="n">
        <v>1566</v>
      </c>
      <c r="N261" s="23" t="n">
        <v>0</v>
      </c>
      <c r="O261" s="24" t="n">
        <v>0.019034059184813</v>
      </c>
      <c r="P261" s="24" t="n">
        <f aca="false">IF(ISNUMBER(Stock_Seguridad!N261),Stock_Seguridad!N261,"")</f>
        <v>0.208</v>
      </c>
      <c r="Q261" s="24" t="n">
        <f aca="false">IF(AND(ISNUMBER(O261),ISNUMBER(P261)),P261-O261,"")</f>
        <v>0.188965940815187</v>
      </c>
      <c r="R261" s="23" t="n">
        <f aca="false">MAX(0,G261-N(L261))</f>
        <v>1575</v>
      </c>
      <c r="S261" s="23" t="n">
        <f aca="false">SUMIFS(Cadenas_vs_FCST!$D$17:$D$2437,Cadenas_vs_FCST!$A$17:$A$2437,A261)</f>
        <v>17856</v>
      </c>
      <c r="T261" s="23" t="n">
        <f aca="false">SUMIFS(Cadenas_vs_FCST!$E$17:$E$2437,Cadenas_vs_FCST!$A$17:$A$2437,A261)</f>
        <v>14799.5899476893</v>
      </c>
      <c r="U261" s="24" t="n">
        <f aca="false">IF(T261&gt;0,S261/T261-1,"")</f>
        <v>0.20651991461344</v>
      </c>
      <c r="V261" s="3" t="str">
        <f aca="false">IF(OR(E261="BAJO SS",E261="BAJO SS (XLIB CUBRE)"),"SÍ","")</f>
        <v>SÍ</v>
      </c>
      <c r="W261" s="3" t="str">
        <f aca="false">IF(AND(V261="",N(L261)&gt;=Parametros!$B$17,G261&gt;=H261,R261&lt;H261),"SÍ","")</f>
        <v/>
      </c>
      <c r="X261" s="3" t="str">
        <f aca="false">IF(OR(E261="SOBRE MAX VENDIBLE",N(N261)&gt;=Parametros!$B$17,N(M261)&gt;=Parametros!$B$17),"SÍ","")</f>
        <v>SÍ</v>
      </c>
      <c r="Y261" s="3" t="str">
        <f aca="false">IF(AND(ISNUMBER(U261),MAX(S261,T261)&gt;=Parametros!$B$15,ABS(N(U261))&gt;Parametros!$B$14),"SÍ","")</f>
        <v>SÍ</v>
      </c>
      <c r="Z261" s="3" t="n">
        <f aca="false">COUNTIF(V261:Y261,"SÍ")</f>
        <v>3</v>
      </c>
      <c r="AA261" s="3" t="n">
        <f aca="false">(3*(V261="SÍ")+2*(W261="SÍ")+2*(X261="SÍ")+(Y261="SÍ"))*IF(LEFT(D261,1)="A",3,IF(OR(LEFT(D261,1)="B",D261="SIN HIST"),2,1))</f>
        <v>12</v>
      </c>
      <c r="AB261" s="3" t="str">
        <f aca="false">IF(AA261&gt;=9,"1-ALTA",IF(AA261&gt;=4,"2-MEDIA",IF(AA261&gt;0,"3-BAJA","")))</f>
        <v>1-ALTA</v>
      </c>
      <c r="AC261" s="3" t="str">
        <f aca="false">IF(E261="BAJO SS","Stock + XLIB bajo el SS: riesgo real de quiebre, adelantar producción. ","")&amp;IF(E261="BAJO SS (XLIB CUBRE)","Disponible bajo el SS; depende de liberar "&amp;TEXT(J261,"#,##0")&amp;" kg"&amp;IF(ISNUMBER(K261)," el "&amp;TEXT(K261,"dd-mm"),"")&amp;". ","")&amp;IF(W261="SÍ","Stock parece sano pero "&amp;TEXT(L261,"#,##0")&amp;" kg no pasan filtro "&amp;Stock_Seguridad!O261&amp;": sin ellos queda bajo el SS para esa cadena. ","")&amp;IF(E261="SOBRE MAX VENDIBLE","Sobrestock vs vida útil: frenar producción/activar venta. ","")&amp;IF(N(N261)&gt;=Parametros!$B$17,TEXT(N261,"#,##0")&amp;" kg ya no los acepta ninguna cadena: venta intermedia/liquidación. ","")&amp;IF(N(M261)&gt;=Parametros!$B$17,TEXT(M261,"#,##0")&amp;" kg a punto de salir del filtro: despachar primero (FEFO). ","")&amp;IF(Y261="SÍ","Pedidos "&amp;IF(N(U261)&gt;0,"sobre","bajo")&amp;" FCST "&amp;TEXT(ABS(N(U261)),"0%")&amp;": revisar forecast con KAM.","")</f>
        <v>Disponible bajo el SS; depende de liberar 14,328 kg el 26-10. 1,566 kg a punto de salir del filtro: despachar primero (FEFO). Pedidos sobre FCST 21%: revisar forecast con KAM.</v>
      </c>
    </row>
    <row r="262" customFormat="false" ht="15" hidden="false" customHeight="false" outlineLevel="0" collapsed="false">
      <c r="A262" s="18" t="n">
        <f aca="false">Stock_Seguridad!A262</f>
        <v>30000600</v>
      </c>
      <c r="B262" s="18" t="str">
        <f aca="false">Stock_Seguridad!B262</f>
        <v>DURAZNO TROCITOS WASIL 24X590GR</v>
      </c>
      <c r="C262" s="18" t="str">
        <f aca="false">Stock_Seguridad!C262</f>
        <v>CONSERVAS Y PLATOS LISTOS</v>
      </c>
      <c r="D262" s="18" t="str">
        <f aca="false">Stock_Seguridad!F262</f>
        <v>BY</v>
      </c>
      <c r="E262" s="19" t="str">
        <f aca="false">Stock_Seguridad!X262</f>
        <v>OK</v>
      </c>
      <c r="F262" s="20" t="n">
        <f aca="false">Stock_Seguridad!W262</f>
        <v>30.4522891901932</v>
      </c>
      <c r="G262" s="21" t="n">
        <f aca="false">Stock_Seguridad!T262</f>
        <v>130385.3</v>
      </c>
      <c r="H262" s="21" t="n">
        <f aca="false">Stock_Seguridad!R262</f>
        <v>3606.60740609875</v>
      </c>
      <c r="I262" s="21" t="n">
        <f aca="false">Stock_Seguridad!S262</f>
        <v>7913.80740609875</v>
      </c>
      <c r="J262" s="21" t="n">
        <f aca="false">Stock_Seguridad!U262</f>
        <v>778.8</v>
      </c>
      <c r="K262" s="22" t="n">
        <v>46216</v>
      </c>
      <c r="L262" s="23" t="n">
        <v>0</v>
      </c>
      <c r="M262" s="23" t="n">
        <v>0</v>
      </c>
      <c r="N262" s="23" t="n">
        <v>0</v>
      </c>
      <c r="O262" s="24" t="n">
        <v>0.117094857389801</v>
      </c>
      <c r="P262" s="24" t="n">
        <f aca="false">IF(ISNUMBER(Stock_Seguridad!N262),Stock_Seguridad!N262,"")</f>
        <v>0.49041095890411</v>
      </c>
      <c r="Q262" s="24" t="n">
        <f aca="false">IF(AND(ISNUMBER(O262),ISNUMBER(P262)),P262-O262,"")</f>
        <v>0.373316101514308</v>
      </c>
      <c r="R262" s="23" t="n">
        <f aca="false">MAX(0,G262-N(L262))</f>
        <v>130385.3</v>
      </c>
      <c r="S262" s="23" t="n">
        <f aca="false">SUMIFS(Cadenas_vs_FCST!$D$17:$D$2437,Cadenas_vs_FCST!$A$17:$A$2437,A262)</f>
        <v>16793.76</v>
      </c>
      <c r="T262" s="23" t="n">
        <f aca="false">SUMIFS(Cadenas_vs_FCST!$E$17:$E$2437,Cadenas_vs_FCST!$A$17:$A$2437,A262)</f>
        <v>21079.68</v>
      </c>
      <c r="U262" s="24" t="n">
        <f aca="false">IF(T262&gt;0,S262/T262-1,"")</f>
        <v>-0.203319974496766</v>
      </c>
      <c r="V262" s="3" t="str">
        <f aca="false">IF(OR(E262="BAJO SS",E262="BAJO SS (XLIB CUBRE)"),"SÍ","")</f>
        <v/>
      </c>
      <c r="W262" s="3" t="str">
        <f aca="false">IF(AND(V262="",N(L262)&gt;=Parametros!$B$17,G262&gt;=H262,R262&lt;H262),"SÍ","")</f>
        <v/>
      </c>
      <c r="X262" s="3" t="str">
        <f aca="false">IF(OR(E262="SOBRE MAX VENDIBLE",N(N262)&gt;=Parametros!$B$17,N(M262)&gt;=Parametros!$B$17),"SÍ","")</f>
        <v/>
      </c>
      <c r="Y262" s="3" t="str">
        <f aca="false">IF(AND(ISNUMBER(U262),MAX(S262,T262)&gt;=Parametros!$B$15,ABS(N(U262))&gt;Parametros!$B$14),"SÍ","")</f>
        <v>SÍ</v>
      </c>
      <c r="Z262" s="3" t="n">
        <f aca="false">COUNTIF(V262:Y262,"SÍ")</f>
        <v>1</v>
      </c>
      <c r="AA262" s="3" t="n">
        <f aca="false">(3*(V262="SÍ")+2*(W262="SÍ")+2*(X262="SÍ")+(Y262="SÍ"))*IF(LEFT(D262,1)="A",3,IF(OR(LEFT(D262,1)="B",D262="SIN HIST"),2,1))</f>
        <v>2</v>
      </c>
      <c r="AB262" s="3" t="str">
        <f aca="false">IF(AA262&gt;=9,"1-ALTA",IF(AA262&gt;=4,"2-MEDIA",IF(AA262&gt;0,"3-BAJA","")))</f>
        <v>3-BAJA</v>
      </c>
      <c r="AC262" s="3" t="str">
        <f aca="false">IF(E262="BAJO SS","Stock + XLIB bajo el SS: riesgo real de quiebre, adelantar producción. ","")&amp;IF(E262="BAJO SS (XLIB CUBRE)","Disponible bajo el SS; depende de liberar "&amp;TEXT(J262,"#,##0")&amp;" kg"&amp;IF(ISNUMBER(K262)," el "&amp;TEXT(K262,"dd-mm"),"")&amp;". ","")&amp;IF(W262="SÍ","Stock parece sano pero "&amp;TEXT(L262,"#,##0")&amp;" kg no pasan filtro "&amp;Stock_Seguridad!O262&amp;": sin ellos queda bajo el SS para esa cadena. ","")&amp;IF(E262="SOBRE MAX VENDIBLE","Sobrestock vs vida útil: frenar producción/activar venta. ","")&amp;IF(N(N262)&gt;=Parametros!$B$17,TEXT(N262,"#,##0")&amp;" kg ya no los acepta ninguna cadena: venta intermedia/liquidación. ","")&amp;IF(N(M262)&gt;=Parametros!$B$17,TEXT(M262,"#,##0")&amp;" kg a punto de salir del filtro: despachar primero (FEFO). ","")&amp;IF(Y262="SÍ","Pedidos "&amp;IF(N(U262)&gt;0,"sobre","bajo")&amp;" FCST "&amp;TEXT(ABS(N(U262)),"0%")&amp;": revisar forecast con KAM.","")</f>
        <v>Pedidos bajo FCST 20%: revisar forecast con KAM.</v>
      </c>
    </row>
    <row r="263" customFormat="false" ht="15" hidden="false" customHeight="false" outlineLevel="0" collapsed="false">
      <c r="A263" s="18" t="n">
        <f aca="false">Stock_Seguridad!A263</f>
        <v>30000351</v>
      </c>
      <c r="B263" s="18" t="str">
        <f aca="false">Stock_Seguridad!B263</f>
        <v>LECHE VAINILLA 30X200ML</v>
      </c>
      <c r="C263" s="18" t="str">
        <f aca="false">Stock_Seguridad!C263</f>
        <v>LECHES LIQUIDAS</v>
      </c>
      <c r="D263" s="18" t="str">
        <f aca="false">Stock_Seguridad!F263</f>
        <v>BX</v>
      </c>
      <c r="E263" s="19" t="str">
        <f aca="false">Stock_Seguridad!X263</f>
        <v>SOBRE MAX VENDIBLE</v>
      </c>
      <c r="F263" s="20" t="n">
        <f aca="false">Stock_Seguridad!W263</f>
        <v>8.77254298895568</v>
      </c>
      <c r="G263" s="21" t="n">
        <f aca="false">Stock_Seguridad!T263</f>
        <v>16116</v>
      </c>
      <c r="H263" s="21" t="n">
        <f aca="false">Stock_Seguridad!R263</f>
        <v>1474.69939131818</v>
      </c>
      <c r="I263" s="21" t="n">
        <f aca="false">Stock_Seguridad!S263</f>
        <v>5766.49939131818</v>
      </c>
      <c r="J263" s="21" t="n">
        <f aca="false">Stock_Seguridad!U263</f>
        <v>21534</v>
      </c>
      <c r="K263" s="22" t="n">
        <v>46321</v>
      </c>
      <c r="L263" s="23" t="n">
        <v>228</v>
      </c>
      <c r="M263" s="23" t="n">
        <v>15186</v>
      </c>
      <c r="N263" s="23" t="n">
        <v>78</v>
      </c>
      <c r="O263" s="24" t="n">
        <v>0.0800958103280286</v>
      </c>
      <c r="P263" s="24" t="n">
        <f aca="false">IF(ISNUMBER(Stock_Seguridad!N263),Stock_Seguridad!N263,"")</f>
        <v>0.238317757009346</v>
      </c>
      <c r="Q263" s="24" t="n">
        <f aca="false">IF(AND(ISNUMBER(O263),ISNUMBER(P263)),P263-O263,"")</f>
        <v>0.158221946681317</v>
      </c>
      <c r="R263" s="23" t="n">
        <f aca="false">MAX(0,G263-N(L263))</f>
        <v>15888</v>
      </c>
      <c r="S263" s="23" t="n">
        <f aca="false">SUMIFS(Cadenas_vs_FCST!$D$17:$D$2437,Cadenas_vs_FCST!$A$17:$A$2437,A263)</f>
        <v>17784</v>
      </c>
      <c r="T263" s="23" t="n">
        <f aca="false">SUMIFS(Cadenas_vs_FCST!$E$17:$E$2437,Cadenas_vs_FCST!$A$17:$A$2437,A263)</f>
        <v>15971.1822893119</v>
      </c>
      <c r="U263" s="24" t="n">
        <f aca="false">IF(T263&gt;0,S263/T263-1,"")</f>
        <v>0.113505542535896</v>
      </c>
      <c r="V263" s="3" t="str">
        <f aca="false">IF(OR(E263="BAJO SS",E263="BAJO SS (XLIB CUBRE)"),"SÍ","")</f>
        <v/>
      </c>
      <c r="W263" s="3" t="str">
        <f aca="false">IF(AND(V263="",N(L263)&gt;=Parametros!$B$17,G263&gt;=H263,R263&lt;H263),"SÍ","")</f>
        <v/>
      </c>
      <c r="X263" s="3" t="str">
        <f aca="false">IF(OR(E263="SOBRE MAX VENDIBLE",N(N263)&gt;=Parametros!$B$17,N(M263)&gt;=Parametros!$B$17),"SÍ","")</f>
        <v>SÍ</v>
      </c>
      <c r="Y263" s="3" t="str">
        <f aca="false">IF(AND(ISNUMBER(U263),MAX(S263,T263)&gt;=Parametros!$B$15,ABS(N(U263))&gt;Parametros!$B$14),"SÍ","")</f>
        <v/>
      </c>
      <c r="Z263" s="3" t="n">
        <f aca="false">COUNTIF(V263:Y263,"SÍ")</f>
        <v>1</v>
      </c>
      <c r="AA263" s="3" t="n">
        <f aca="false">(3*(V263="SÍ")+2*(W263="SÍ")+2*(X263="SÍ")+(Y263="SÍ"))*IF(LEFT(D263,1)="A",3,IF(OR(LEFT(D263,1)="B",D263="SIN HIST"),2,1))</f>
        <v>4</v>
      </c>
      <c r="AB263" s="3" t="str">
        <f aca="false">IF(AA263&gt;=9,"1-ALTA",IF(AA263&gt;=4,"2-MEDIA",IF(AA263&gt;0,"3-BAJA","")))</f>
        <v>2-MEDIA</v>
      </c>
      <c r="AC263" s="3" t="str">
        <f aca="false">IF(E263="BAJO SS","Stock + XLIB bajo el SS: riesgo real de quiebre, adelantar producción. ","")&amp;IF(E263="BAJO SS (XLIB CUBRE)","Disponible bajo el SS; depende de liberar "&amp;TEXT(J263,"#,##0")&amp;" kg"&amp;IF(ISNUMBER(K263)," el "&amp;TEXT(K263,"dd-mm"),"")&amp;". ","")&amp;IF(W263="SÍ","Stock parece sano pero "&amp;TEXT(L263,"#,##0")&amp;" kg no pasan filtro "&amp;Stock_Seguridad!O263&amp;": sin ellos queda bajo el SS para esa cadena. ","")&amp;IF(E263="SOBRE MAX VENDIBLE","Sobrestock vs vida útil: frenar producción/activar venta. ","")&amp;IF(N(N263)&gt;=Parametros!$B$17,TEXT(N263,"#,##0")&amp;" kg ya no los acepta ninguna cadena: venta intermedia/liquidación. ","")&amp;IF(N(M263)&gt;=Parametros!$B$17,TEXT(M263,"#,##0")&amp;" kg a punto de salir del filtro: despachar primero (FEFO). ","")&amp;IF(Y263="SÍ","Pedidos "&amp;IF(N(U263)&gt;0,"sobre","bajo")&amp;" FCST "&amp;TEXT(ABS(N(U263)),"0%")&amp;": revisar forecast con KAM.","")</f>
        <v>Sobrestock vs vida útil: frenar producción/activar venta. 15,186 kg a punto de salir del filtro: despachar primero (FEFO). </v>
      </c>
    </row>
    <row r="264" customFormat="false" ht="15" hidden="false" customHeight="false" outlineLevel="0" collapsed="false">
      <c r="A264" s="18" t="n">
        <f aca="false">Stock_Seguridad!A264</f>
        <v>30000660</v>
      </c>
      <c r="B264" s="18" t="str">
        <f aca="false">Stock_Seguridad!B264</f>
        <v>JALEA REGIMEL ARANDANO 6X4X100GR</v>
      </c>
      <c r="C264" s="18" t="str">
        <f aca="false">Stock_Seguridad!C264</f>
        <v>POSTRES</v>
      </c>
      <c r="D264" s="18" t="str">
        <f aca="false">Stock_Seguridad!F264</f>
        <v>BX</v>
      </c>
      <c r="E264" s="19" t="str">
        <f aca="false">Stock_Seguridad!X264</f>
        <v>OK</v>
      </c>
      <c r="F264" s="20" t="n">
        <f aca="false">Stock_Seguridad!W264</f>
        <v>2.508223108685</v>
      </c>
      <c r="G264" s="21" t="n">
        <f aca="false">Stock_Seguridad!T264</f>
        <v>6196.8</v>
      </c>
      <c r="H264" s="21" t="n">
        <f aca="false">Stock_Seguridad!R264</f>
        <v>2995.85031014999</v>
      </c>
      <c r="I264" s="21" t="n">
        <f aca="false">Stock_Seguridad!S264</f>
        <v>7282.55031014999</v>
      </c>
      <c r="J264" s="21" t="n">
        <f aca="false">Stock_Seguridad!U264</f>
        <v>4555.2</v>
      </c>
      <c r="K264" s="22" t="n">
        <v>46319</v>
      </c>
      <c r="L264" s="23" t="n">
        <v>0</v>
      </c>
      <c r="M264" s="23" t="n">
        <v>153.6</v>
      </c>
      <c r="N264" s="23" t="n">
        <v>0</v>
      </c>
      <c r="O264" s="24" t="n">
        <v>0.0814096817570596</v>
      </c>
      <c r="P264" s="24" t="n">
        <f aca="false">IF(ISNUMBER(Stock_Seguridad!N264),Stock_Seguridad!N264,"")</f>
        <v>0.318181818181818</v>
      </c>
      <c r="Q264" s="24" t="n">
        <f aca="false">IF(AND(ISNUMBER(O264),ISNUMBER(P264)),P264-O264,"")</f>
        <v>0.236772136424759</v>
      </c>
      <c r="R264" s="23" t="n">
        <f aca="false">MAX(0,G264-N(L264))</f>
        <v>6196.8</v>
      </c>
      <c r="S264" s="23" t="n">
        <f aca="false">SUMIFS(Cadenas_vs_FCST!$D$17:$D$2437,Cadenas_vs_FCST!$A$17:$A$2437,A264)</f>
        <v>16209.6</v>
      </c>
      <c r="T264" s="23" t="n">
        <f aca="false">SUMIFS(Cadenas_vs_FCST!$E$17:$E$2437,Cadenas_vs_FCST!$A$17:$A$2437,A264)</f>
        <v>21177.4911782477</v>
      </c>
      <c r="U264" s="24" t="n">
        <f aca="false">IF(T264&gt;0,S264/T264-1,"")</f>
        <v>-0.234583555551207</v>
      </c>
      <c r="V264" s="3" t="str">
        <f aca="false">IF(OR(E264="BAJO SS",E264="BAJO SS (XLIB CUBRE)"),"SÍ","")</f>
        <v/>
      </c>
      <c r="W264" s="3" t="str">
        <f aca="false">IF(AND(V264="",N(L264)&gt;=Parametros!$B$17,G264&gt;=H264,R264&lt;H264),"SÍ","")</f>
        <v/>
      </c>
      <c r="X264" s="3" t="str">
        <f aca="false">IF(OR(E264="SOBRE MAX VENDIBLE",N(N264)&gt;=Parametros!$B$17,N(M264)&gt;=Parametros!$B$17),"SÍ","")</f>
        <v/>
      </c>
      <c r="Y264" s="3" t="str">
        <f aca="false">IF(AND(ISNUMBER(U264),MAX(S264,T264)&gt;=Parametros!$B$15,ABS(N(U264))&gt;Parametros!$B$14),"SÍ","")</f>
        <v>SÍ</v>
      </c>
      <c r="Z264" s="3" t="n">
        <f aca="false">COUNTIF(V264:Y264,"SÍ")</f>
        <v>1</v>
      </c>
      <c r="AA264" s="3" t="n">
        <f aca="false">(3*(V264="SÍ")+2*(W264="SÍ")+2*(X264="SÍ")+(Y264="SÍ"))*IF(LEFT(D264,1)="A",3,IF(OR(LEFT(D264,1)="B",D264="SIN HIST"),2,1))</f>
        <v>2</v>
      </c>
      <c r="AB264" s="3" t="str">
        <f aca="false">IF(AA264&gt;=9,"1-ALTA",IF(AA264&gt;=4,"2-MEDIA",IF(AA264&gt;0,"3-BAJA","")))</f>
        <v>3-BAJA</v>
      </c>
      <c r="AC264" s="3" t="str">
        <f aca="false">IF(E264="BAJO SS","Stock + XLIB bajo el SS: riesgo real de quiebre, adelantar producción. ","")&amp;IF(E264="BAJO SS (XLIB CUBRE)","Disponible bajo el SS; depende de liberar "&amp;TEXT(J264,"#,##0")&amp;" kg"&amp;IF(ISNUMBER(K264)," el "&amp;TEXT(K264,"dd-mm"),"")&amp;". ","")&amp;IF(W264="SÍ","Stock parece sano pero "&amp;TEXT(L264,"#,##0")&amp;" kg no pasan filtro "&amp;Stock_Seguridad!O264&amp;": sin ellos queda bajo el SS para esa cadena. ","")&amp;IF(E264="SOBRE MAX VENDIBLE","Sobrestock vs vida útil: frenar producción/activar venta. ","")&amp;IF(N(N264)&gt;=Parametros!$B$17,TEXT(N264,"#,##0")&amp;" kg ya no los acepta ninguna cadena: venta intermedia/liquidación. ","")&amp;IF(N(M264)&gt;=Parametros!$B$17,TEXT(M264,"#,##0")&amp;" kg a punto de salir del filtro: despachar primero (FEFO). ","")&amp;IF(Y264="SÍ","Pedidos "&amp;IF(N(U264)&gt;0,"sobre","bajo")&amp;" FCST "&amp;TEXT(ABS(N(U264)),"0%")&amp;": revisar forecast con KAM.","")</f>
        <v>Pedidos bajo FCST 23%: revisar forecast con KAM.</v>
      </c>
    </row>
    <row r="265" customFormat="false" ht="15" hidden="false" customHeight="false" outlineLevel="0" collapsed="false">
      <c r="A265" s="18" t="n">
        <f aca="false">Stock_Seguridad!A265</f>
        <v>30001657</v>
      </c>
      <c r="B265" s="18" t="str">
        <f aca="false">Stock_Seguridad!B265</f>
        <v>MERMELADA WATTS FRUTILLA 12X360GR</v>
      </c>
      <c r="C265" s="18" t="str">
        <f aca="false">Stock_Seguridad!C265</f>
        <v>MERMELADAS</v>
      </c>
      <c r="D265" s="18" t="str">
        <f aca="false">Stock_Seguridad!F265</f>
        <v>BX</v>
      </c>
      <c r="E265" s="19" t="str">
        <f aca="false">Stock_Seguridad!X265</f>
        <v>OK</v>
      </c>
      <c r="F265" s="20" t="n">
        <f aca="false">Stock_Seguridad!W265</f>
        <v>2.35419500070347</v>
      </c>
      <c r="G265" s="21" t="n">
        <f aca="false">Stock_Seguridad!T265</f>
        <v>6043.7</v>
      </c>
      <c r="H265" s="21" t="n">
        <f aca="false">Stock_Seguridad!R265</f>
        <v>857.117958547715</v>
      </c>
      <c r="I265" s="21" t="n">
        <f aca="false">Stock_Seguridad!S265</f>
        <v>5121.71795854772</v>
      </c>
      <c r="J265" s="21" t="n">
        <f aca="false">Stock_Seguridad!U265</f>
        <v>3996</v>
      </c>
      <c r="K265" s="22" t="n">
        <v>46317</v>
      </c>
      <c r="L265" s="23" t="n">
        <v>0</v>
      </c>
      <c r="M265" s="23" t="n">
        <v>0</v>
      </c>
      <c r="N265" s="23" t="n">
        <v>0</v>
      </c>
      <c r="O265" s="24" t="n">
        <v>0.0323879310344828</v>
      </c>
      <c r="P265" s="24" t="n">
        <f aca="false">IF(ISNUMBER(Stock_Seguridad!N265),Stock_Seguridad!N265,"")</f>
        <v>0.273972602739726</v>
      </c>
      <c r="Q265" s="24" t="n">
        <f aca="false">IF(AND(ISNUMBER(O265),ISNUMBER(P265)),P265-O265,"")</f>
        <v>0.241584671705243</v>
      </c>
      <c r="R265" s="23" t="n">
        <f aca="false">MAX(0,G265-N(L265))</f>
        <v>6043.7</v>
      </c>
      <c r="S265" s="23" t="n">
        <f aca="false">SUMIFS(Cadenas_vs_FCST!$D$17:$D$2437,Cadenas_vs_FCST!$A$17:$A$2437,A265)</f>
        <v>18645.12</v>
      </c>
      <c r="T265" s="23" t="n">
        <f aca="false">SUMIFS(Cadenas_vs_FCST!$E$17:$E$2437,Cadenas_vs_FCST!$A$17:$A$2437,A265)</f>
        <v>17211.68</v>
      </c>
      <c r="U265" s="24" t="n">
        <f aca="false">IF(T265&gt;0,S265/T265-1,"")</f>
        <v>0.0832829799299082</v>
      </c>
      <c r="V265" s="3" t="str">
        <f aca="false">IF(OR(E265="BAJO SS",E265="BAJO SS (XLIB CUBRE)"),"SÍ","")</f>
        <v/>
      </c>
      <c r="W265" s="3" t="str">
        <f aca="false">IF(AND(V265="",N(L265)&gt;=Parametros!$B$17,G265&gt;=H265,R265&lt;H265),"SÍ","")</f>
        <v/>
      </c>
      <c r="X265" s="3" t="str">
        <f aca="false">IF(OR(E265="SOBRE MAX VENDIBLE",N(N265)&gt;=Parametros!$B$17,N(M265)&gt;=Parametros!$B$17),"SÍ","")</f>
        <v/>
      </c>
      <c r="Y265" s="3" t="str">
        <f aca="false">IF(AND(ISNUMBER(U265),MAX(S265,T265)&gt;=Parametros!$B$15,ABS(N(U265))&gt;Parametros!$B$14),"SÍ","")</f>
        <v/>
      </c>
      <c r="Z265" s="3" t="n">
        <f aca="false">COUNTIF(V265:Y265,"SÍ")</f>
        <v>0</v>
      </c>
      <c r="AA265" s="3" t="n">
        <f aca="false">(3*(V265="SÍ")+2*(W265="SÍ")+2*(X265="SÍ")+(Y265="SÍ"))*IF(LEFT(D265,1)="A",3,IF(OR(LEFT(D265,1)="B",D265="SIN HIST"),2,1))</f>
        <v>0</v>
      </c>
      <c r="AB265" s="3" t="str">
        <f aca="false">IF(AA265&gt;=9,"1-ALTA",IF(AA265&gt;=4,"2-MEDIA",IF(AA265&gt;0,"3-BAJA","")))</f>
        <v/>
      </c>
      <c r="AC265" s="3" t="str">
        <f aca="false">IF(E265="BAJO SS","Stock + XLIB bajo el SS: riesgo real de quiebre, adelantar producción. ","")&amp;IF(E265="BAJO SS (XLIB CUBRE)","Disponible bajo el SS; depende de liberar "&amp;TEXT(J265,"#,##0")&amp;" kg"&amp;IF(ISNUMBER(K265)," el "&amp;TEXT(K265,"dd-mm"),"")&amp;". ","")&amp;IF(W265="SÍ","Stock parece sano pero "&amp;TEXT(L265,"#,##0")&amp;" kg no pasan filtro "&amp;Stock_Seguridad!O265&amp;": sin ellos queda bajo el SS para esa cadena. ","")&amp;IF(E265="SOBRE MAX VENDIBLE","Sobrestock vs vida útil: frenar producción/activar venta. ","")&amp;IF(N(N265)&gt;=Parametros!$B$17,TEXT(N265,"#,##0")&amp;" kg ya no los acepta ninguna cadena: venta intermedia/liquidación. ","")&amp;IF(N(M265)&gt;=Parametros!$B$17,TEXT(M265,"#,##0")&amp;" kg a punto de salir del filtro: despachar primero (FEFO). ","")&amp;IF(Y265="SÍ","Pedidos "&amp;IF(N(U265)&gt;0,"sobre","bajo")&amp;" FCST "&amp;TEXT(ABS(N(U265)),"0%")&amp;": revisar forecast con KAM.","")</f>
        <v/>
      </c>
    </row>
    <row r="266" customFormat="false" ht="15" hidden="false" customHeight="false" outlineLevel="0" collapsed="false">
      <c r="A266" s="18" t="n">
        <f aca="false">Stock_Seguridad!A266</f>
        <v>30001020</v>
      </c>
      <c r="B266" s="18" t="str">
        <f aca="false">Stock_Seguridad!B266</f>
        <v>YOGURT DANONE L&amp;F SABOR VLLA 48X115GR</v>
      </c>
      <c r="C266" s="18" t="str">
        <f aca="false">Stock_Seguridad!C266</f>
        <v>YOGURT</v>
      </c>
      <c r="D266" s="18" t="str">
        <f aca="false">Stock_Seguridad!F266</f>
        <v>BX</v>
      </c>
      <c r="E266" s="19" t="str">
        <f aca="false">Stock_Seguridad!X266</f>
        <v>BAJO P.REORDEN</v>
      </c>
      <c r="F266" s="20" t="n">
        <f aca="false">Stock_Seguridad!W266</f>
        <v>1.42684415645396</v>
      </c>
      <c r="G266" s="21" t="n">
        <f aca="false">Stock_Seguridad!T266</f>
        <v>2765.5</v>
      </c>
      <c r="H266" s="21" t="n">
        <f aca="false">Stock_Seguridad!R266</f>
        <v>2151.63978550591</v>
      </c>
      <c r="I266" s="21" t="n">
        <f aca="false">Stock_Seguridad!S266</f>
        <v>6411.03978550591</v>
      </c>
      <c r="J266" s="21" t="n">
        <f aca="false">Stock_Seguridad!U266</f>
        <v>3312</v>
      </c>
      <c r="K266" s="22" t="n">
        <v>46317</v>
      </c>
      <c r="L266" s="23" t="n">
        <v>27.6</v>
      </c>
      <c r="M266" s="23" t="n">
        <v>380.88</v>
      </c>
      <c r="N266" s="23" t="n">
        <v>27.6</v>
      </c>
      <c r="O266" s="24" t="n">
        <v>0.0691347905282332</v>
      </c>
      <c r="P266" s="24" t="n">
        <f aca="false">IF(ISNUMBER(Stock_Seguridad!N266),Stock_Seguridad!N266,"")</f>
        <v>0.323076923076923</v>
      </c>
      <c r="Q266" s="24" t="n">
        <f aca="false">IF(AND(ISNUMBER(O266),ISNUMBER(P266)),P266-O266,"")</f>
        <v>0.25394213254869</v>
      </c>
      <c r="R266" s="23" t="n">
        <f aca="false">MAX(0,G266-N(L266))</f>
        <v>2737.9</v>
      </c>
      <c r="S266" s="23" t="n">
        <f aca="false">SUMIFS(Cadenas_vs_FCST!$D$17:$D$2437,Cadenas_vs_FCST!$A$17:$A$2437,A266)</f>
        <v>11779.68</v>
      </c>
      <c r="T266" s="23" t="n">
        <f aca="false">SUMIFS(Cadenas_vs_FCST!$E$17:$E$2437,Cadenas_vs_FCST!$A$17:$A$2437,A266)</f>
        <v>13610.3194336385</v>
      </c>
      <c r="U266" s="24" t="n">
        <f aca="false">IF(T266&gt;0,S266/T266-1,"")</f>
        <v>-0.134503781675691</v>
      </c>
      <c r="V266" s="3" t="str">
        <f aca="false">IF(OR(E266="BAJO SS",E266="BAJO SS (XLIB CUBRE)"),"SÍ","")</f>
        <v/>
      </c>
      <c r="W266" s="3" t="str">
        <f aca="false">IF(AND(V266="",N(L266)&gt;=Parametros!$B$17,G266&gt;=H266,R266&lt;H266),"SÍ","")</f>
        <v/>
      </c>
      <c r="X266" s="3" t="str">
        <f aca="false">IF(OR(E266="SOBRE MAX VENDIBLE",N(N266)&gt;=Parametros!$B$17,N(M266)&gt;=Parametros!$B$17),"SÍ","")</f>
        <v/>
      </c>
      <c r="Y266" s="3" t="str">
        <f aca="false">IF(AND(ISNUMBER(U266),MAX(S266,T266)&gt;=Parametros!$B$15,ABS(N(U266))&gt;Parametros!$B$14),"SÍ","")</f>
        <v/>
      </c>
      <c r="Z266" s="3" t="n">
        <f aca="false">COUNTIF(V266:Y266,"SÍ")</f>
        <v>0</v>
      </c>
      <c r="AA266" s="3" t="n">
        <f aca="false">(3*(V266="SÍ")+2*(W266="SÍ")+2*(X266="SÍ")+(Y266="SÍ"))*IF(LEFT(D266,1)="A",3,IF(OR(LEFT(D266,1)="B",D266="SIN HIST"),2,1))</f>
        <v>0</v>
      </c>
      <c r="AB266" s="3" t="str">
        <f aca="false">IF(AA266&gt;=9,"1-ALTA",IF(AA266&gt;=4,"2-MEDIA",IF(AA266&gt;0,"3-BAJA","")))</f>
        <v/>
      </c>
      <c r="AC266" s="3" t="str">
        <f aca="false">IF(E266="BAJO SS","Stock + XLIB bajo el SS: riesgo real de quiebre, adelantar producción. ","")&amp;IF(E266="BAJO SS (XLIB CUBRE)","Disponible bajo el SS; depende de liberar "&amp;TEXT(J266,"#,##0")&amp;" kg"&amp;IF(ISNUMBER(K266)," el "&amp;TEXT(K266,"dd-mm"),"")&amp;". ","")&amp;IF(W266="SÍ","Stock parece sano pero "&amp;TEXT(L266,"#,##0")&amp;" kg no pasan filtro "&amp;Stock_Seguridad!O266&amp;": sin ellos queda bajo el SS para esa cadena. ","")&amp;IF(E266="SOBRE MAX VENDIBLE","Sobrestock vs vida útil: frenar producción/activar venta. ","")&amp;IF(N(N266)&gt;=Parametros!$B$17,TEXT(N266,"#,##0")&amp;" kg ya no los acepta ninguna cadena: venta intermedia/liquidación. ","")&amp;IF(N(M266)&gt;=Parametros!$B$17,TEXT(M266,"#,##0")&amp;" kg a punto de salir del filtro: despachar primero (FEFO). ","")&amp;IF(Y266="SÍ","Pedidos "&amp;IF(N(U266)&gt;0,"sobre","bajo")&amp;" FCST "&amp;TEXT(ABS(N(U266)),"0%")&amp;": revisar forecast con KAM.","")</f>
        <v/>
      </c>
    </row>
    <row r="267" customFormat="false" ht="15" hidden="false" customHeight="false" outlineLevel="0" collapsed="false">
      <c r="A267" s="18" t="n">
        <f aca="false">Stock_Seguridad!A267</f>
        <v>30001766</v>
      </c>
      <c r="B267" s="18" t="str">
        <f aca="false">Stock_Seguridad!B267</f>
        <v>MERMELADA LOS LAGOS DURAZNO 24X225GR</v>
      </c>
      <c r="C267" s="18" t="str">
        <f aca="false">Stock_Seguridad!C267</f>
        <v>MERMELADAS</v>
      </c>
      <c r="D267" s="18" t="str">
        <f aca="false">Stock_Seguridad!F267</f>
        <v>BX</v>
      </c>
      <c r="E267" s="19" t="str">
        <f aca="false">Stock_Seguridad!X267</f>
        <v>OK</v>
      </c>
      <c r="F267" s="20" t="n">
        <f aca="false">Stock_Seguridad!W267</f>
        <v>4.04573530105144</v>
      </c>
      <c r="G267" s="21" t="n">
        <f aca="false">Stock_Seguridad!T267</f>
        <v>7063.2</v>
      </c>
      <c r="H267" s="21" t="n">
        <f aca="false">Stock_Seguridad!R267</f>
        <v>1023.63912045915</v>
      </c>
      <c r="I267" s="21" t="n">
        <f aca="false">Stock_Seguridad!S267</f>
        <v>5265.43912045915</v>
      </c>
      <c r="J267" s="21" t="n">
        <f aca="false">Stock_Seguridad!U267</f>
        <v>10098</v>
      </c>
      <c r="K267" s="22" t="n">
        <v>46317</v>
      </c>
      <c r="L267" s="23" t="n">
        <v>0</v>
      </c>
      <c r="M267" s="23" t="n">
        <v>0</v>
      </c>
      <c r="N267" s="23" t="n">
        <v>0</v>
      </c>
      <c r="O267" s="24" t="n">
        <v>0.0262933753943218</v>
      </c>
      <c r="P267" s="24" t="n">
        <f aca="false">IF(ISNUMBER(Stock_Seguridad!N267),Stock_Seguridad!N267,"")</f>
        <v>0.273972602739726</v>
      </c>
      <c r="Q267" s="24" t="n">
        <f aca="false">IF(AND(ISNUMBER(O267),ISNUMBER(P267)),P267-O267,"")</f>
        <v>0.247679227345404</v>
      </c>
      <c r="R267" s="23" t="n">
        <f aca="false">MAX(0,G267-N(L267))</f>
        <v>7063.2</v>
      </c>
      <c r="S267" s="23" t="n">
        <f aca="false">SUMIFS(Cadenas_vs_FCST!$D$17:$D$2437,Cadenas_vs_FCST!$A$17:$A$2437,A267)</f>
        <v>13802.4</v>
      </c>
      <c r="T267" s="23" t="n">
        <f aca="false">SUMIFS(Cadenas_vs_FCST!$E$17:$E$2437,Cadenas_vs_FCST!$A$17:$A$2437,A267)</f>
        <v>14639.6</v>
      </c>
      <c r="U267" s="24" t="n">
        <f aca="false">IF(T267&gt;0,S267/T267-1,"")</f>
        <v>-0.0571873548457608</v>
      </c>
      <c r="V267" s="3" t="str">
        <f aca="false">IF(OR(E267="BAJO SS",E267="BAJO SS (XLIB CUBRE)"),"SÍ","")</f>
        <v/>
      </c>
      <c r="W267" s="3" t="str">
        <f aca="false">IF(AND(V267="",N(L267)&gt;=Parametros!$B$17,G267&gt;=H267,R267&lt;H267),"SÍ","")</f>
        <v/>
      </c>
      <c r="X267" s="3" t="str">
        <f aca="false">IF(OR(E267="SOBRE MAX VENDIBLE",N(N267)&gt;=Parametros!$B$17,N(M267)&gt;=Parametros!$B$17),"SÍ","")</f>
        <v/>
      </c>
      <c r="Y267" s="3" t="str">
        <f aca="false">IF(AND(ISNUMBER(U267),MAX(S267,T267)&gt;=Parametros!$B$15,ABS(N(U267))&gt;Parametros!$B$14),"SÍ","")</f>
        <v/>
      </c>
      <c r="Z267" s="3" t="n">
        <f aca="false">COUNTIF(V267:Y267,"SÍ")</f>
        <v>0</v>
      </c>
      <c r="AA267" s="3" t="n">
        <f aca="false">(3*(V267="SÍ")+2*(W267="SÍ")+2*(X267="SÍ")+(Y267="SÍ"))*IF(LEFT(D267,1)="A",3,IF(OR(LEFT(D267,1)="B",D267="SIN HIST"),2,1))</f>
        <v>0</v>
      </c>
      <c r="AB267" s="3" t="str">
        <f aca="false">IF(AA267&gt;=9,"1-ALTA",IF(AA267&gt;=4,"2-MEDIA",IF(AA267&gt;0,"3-BAJA","")))</f>
        <v/>
      </c>
      <c r="AC267" s="3" t="str">
        <f aca="false">IF(E267="BAJO SS","Stock + XLIB bajo el SS: riesgo real de quiebre, adelantar producción. ","")&amp;IF(E267="BAJO SS (XLIB CUBRE)","Disponible bajo el SS; depende de liberar "&amp;TEXT(J267,"#,##0")&amp;" kg"&amp;IF(ISNUMBER(K267)," el "&amp;TEXT(K267,"dd-mm"),"")&amp;". ","")&amp;IF(W267="SÍ","Stock parece sano pero "&amp;TEXT(L267,"#,##0")&amp;" kg no pasan filtro "&amp;Stock_Seguridad!O267&amp;": sin ellos queda bajo el SS para esa cadena. ","")&amp;IF(E267="SOBRE MAX VENDIBLE","Sobrestock vs vida útil: frenar producción/activar venta. ","")&amp;IF(N(N267)&gt;=Parametros!$B$17,TEXT(N267,"#,##0")&amp;" kg ya no los acepta ninguna cadena: venta intermedia/liquidación. ","")&amp;IF(N(M267)&gt;=Parametros!$B$17,TEXT(M267,"#,##0")&amp;" kg a punto de salir del filtro: despachar primero (FEFO). ","")&amp;IF(Y267="SÍ","Pedidos "&amp;IF(N(U267)&gt;0,"sobre","bajo")&amp;" FCST "&amp;TEXT(ABS(N(U267)),"0%")&amp;": revisar forecast con KAM.","")</f>
        <v/>
      </c>
    </row>
    <row r="268" customFormat="false" ht="15" hidden="false" customHeight="false" outlineLevel="0" collapsed="false">
      <c r="A268" s="18" t="n">
        <f aca="false">Stock_Seguridad!A268</f>
        <v>30001778</v>
      </c>
      <c r="B268" s="18" t="str">
        <f aca="false">Stock_Seguridad!B268</f>
        <v>MANJAR LONCOLECHE 4X3KG</v>
      </c>
      <c r="C268" s="18" t="str">
        <f aca="false">Stock_Seguridad!C268</f>
        <v>MANJAR</v>
      </c>
      <c r="D268" s="18" t="str">
        <f aca="false">Stock_Seguridad!F268</f>
        <v>SIN HIST</v>
      </c>
      <c r="E268" s="19" t="str">
        <f aca="false">Stock_Seguridad!X268</f>
        <v>OK</v>
      </c>
      <c r="F268" s="20" t="n">
        <f aca="false">Stock_Seguridad!W268</f>
        <v>4.70425226946966</v>
      </c>
      <c r="G268" s="21" t="n">
        <f aca="false">Stock_Seguridad!T268</f>
        <v>7848</v>
      </c>
      <c r="H268" s="21" t="n">
        <f aca="false">Stock_Seguridad!R268</f>
        <v>2065.60718472566</v>
      </c>
      <c r="I268" s="21" t="n">
        <f aca="false">Stock_Seguridad!S268</f>
        <v>6251.60718472566</v>
      </c>
      <c r="J268" s="21" t="n">
        <f aca="false">Stock_Seguridad!U268</f>
        <v>11844</v>
      </c>
      <c r="K268" s="22" t="n">
        <v>46325</v>
      </c>
      <c r="L268" s="23" t="n">
        <v>0</v>
      </c>
      <c r="M268" s="23" t="n">
        <v>396</v>
      </c>
      <c r="N268" s="23" t="n">
        <v>0</v>
      </c>
      <c r="O268" s="24" t="n">
        <v>0.0568555758683729</v>
      </c>
      <c r="P268" s="24" t="n">
        <f aca="false">IF(ISNUMBER(Stock_Seguridad!N268),Stock_Seguridad!N268,"")</f>
        <v>0.271739130434783</v>
      </c>
      <c r="Q268" s="24" t="n">
        <f aca="false">IF(AND(ISNUMBER(O268),ISNUMBER(P268)),P268-O268,"")</f>
        <v>0.21488355456641</v>
      </c>
      <c r="R268" s="23" t="n">
        <f aca="false">MAX(0,G268-N(L268))</f>
        <v>7848</v>
      </c>
      <c r="S268" s="23" t="n">
        <f aca="false">SUMIFS(Cadenas_vs_FCST!$D$17:$D$2437,Cadenas_vs_FCST!$A$17:$A$2437,A268)</f>
        <v>0</v>
      </c>
      <c r="T268" s="23" t="n">
        <f aca="false">SUMIFS(Cadenas_vs_FCST!$E$17:$E$2437,Cadenas_vs_FCST!$A$17:$A$2437,A268)</f>
        <v>0</v>
      </c>
      <c r="U268" s="24" t="str">
        <f aca="false">IF(T268&gt;0,S268/T268-1,"")</f>
        <v/>
      </c>
      <c r="V268" s="3" t="str">
        <f aca="false">IF(OR(E268="BAJO SS",E268="BAJO SS (XLIB CUBRE)"),"SÍ","")</f>
        <v/>
      </c>
      <c r="W268" s="3" t="str">
        <f aca="false">IF(AND(V268="",N(L268)&gt;=Parametros!$B$17,G268&gt;=H268,R268&lt;H268),"SÍ","")</f>
        <v/>
      </c>
      <c r="X268" s="3" t="str">
        <f aca="false">IF(OR(E268="SOBRE MAX VENDIBLE",N(N268)&gt;=Parametros!$B$17,N(M268)&gt;=Parametros!$B$17),"SÍ","")</f>
        <v/>
      </c>
      <c r="Y268" s="3" t="str">
        <f aca="false">IF(AND(ISNUMBER(U268),MAX(S268,T268)&gt;=Parametros!$B$15,ABS(N(U268))&gt;Parametros!$B$14),"SÍ","")</f>
        <v/>
      </c>
      <c r="Z268" s="3" t="n">
        <f aca="false">COUNTIF(V268:Y268,"SÍ")</f>
        <v>0</v>
      </c>
      <c r="AA268" s="3" t="n">
        <f aca="false">(3*(V268="SÍ")+2*(W268="SÍ")+2*(X268="SÍ")+(Y268="SÍ"))*IF(LEFT(D268,1)="A",3,IF(OR(LEFT(D268,1)="B",D268="SIN HIST"),2,1))</f>
        <v>0</v>
      </c>
      <c r="AB268" s="3" t="str">
        <f aca="false">IF(AA268&gt;=9,"1-ALTA",IF(AA268&gt;=4,"2-MEDIA",IF(AA268&gt;0,"3-BAJA","")))</f>
        <v/>
      </c>
      <c r="AC268" s="3" t="str">
        <f aca="false">IF(E268="BAJO SS","Stock + XLIB bajo el SS: riesgo real de quiebre, adelantar producción. ","")&amp;IF(E268="BAJO SS (XLIB CUBRE)","Disponible bajo el SS; depende de liberar "&amp;TEXT(J268,"#,##0")&amp;" kg"&amp;IF(ISNUMBER(K268)," el "&amp;TEXT(K268,"dd-mm"),"")&amp;". ","")&amp;IF(W268="SÍ","Stock parece sano pero "&amp;TEXT(L268,"#,##0")&amp;" kg no pasan filtro "&amp;Stock_Seguridad!O268&amp;": sin ellos queda bajo el SS para esa cadena. ","")&amp;IF(E268="SOBRE MAX VENDIBLE","Sobrestock vs vida útil: frenar producción/activar venta. ","")&amp;IF(N(N268)&gt;=Parametros!$B$17,TEXT(N268,"#,##0")&amp;" kg ya no los acepta ninguna cadena: venta intermedia/liquidación. ","")&amp;IF(N(M268)&gt;=Parametros!$B$17,TEXT(M268,"#,##0")&amp;" kg a punto de salir del filtro: despachar primero (FEFO). ","")&amp;IF(Y268="SÍ","Pedidos "&amp;IF(N(U268)&gt;0,"sobre","bajo")&amp;" FCST "&amp;TEXT(ABS(N(U268)),"0%")&amp;": revisar forecast con KAM.","")</f>
        <v/>
      </c>
    </row>
    <row r="269" customFormat="false" ht="15" hidden="false" customHeight="false" outlineLevel="0" collapsed="false">
      <c r="A269" s="18" t="n">
        <f aca="false">Stock_Seguridad!A269</f>
        <v>30000360</v>
      </c>
      <c r="B269" s="18" t="str">
        <f aca="false">Stock_Seguridad!B269</f>
        <v>LECHE S/LACT EXTRA CALCIO 12X1LT</v>
      </c>
      <c r="C269" s="18" t="str">
        <f aca="false">Stock_Seguridad!C269</f>
        <v>LECHES LIQUIDAS</v>
      </c>
      <c r="D269" s="18" t="str">
        <f aca="false">Stock_Seguridad!F269</f>
        <v>BY</v>
      </c>
      <c r="E269" s="19" t="str">
        <f aca="false">Stock_Seguridad!X269</f>
        <v>OK</v>
      </c>
      <c r="F269" s="20" t="n">
        <f aca="false">Stock_Seguridad!W269</f>
        <v>6.2955615573986</v>
      </c>
      <c r="G269" s="21" t="n">
        <f aca="false">Stock_Seguridad!T269</f>
        <v>13308</v>
      </c>
      <c r="H269" s="21" t="n">
        <f aca="false">Stock_Seguridad!R269</f>
        <v>4397.92114772304</v>
      </c>
      <c r="I269" s="21" t="n">
        <f aca="false">Stock_Seguridad!S269</f>
        <v>8581.82114772304</v>
      </c>
      <c r="J269" s="21" t="n">
        <f aca="false">Stock_Seguridad!U269</f>
        <v>13032</v>
      </c>
      <c r="K269" s="22" t="n">
        <v>46319</v>
      </c>
      <c r="L269" s="23" t="n">
        <v>0</v>
      </c>
      <c r="M269" s="23" t="n">
        <v>1020</v>
      </c>
      <c r="N269" s="23" t="n">
        <v>0</v>
      </c>
      <c r="O269" s="24" t="n">
        <v>0.0848381212950297</v>
      </c>
      <c r="P269" s="24" t="n">
        <f aca="false">IF(ISNUMBER(Stock_Seguridad!N269),Stock_Seguridad!N269,"")</f>
        <v>0.259259259259259</v>
      </c>
      <c r="Q269" s="24" t="n">
        <f aca="false">IF(AND(ISNUMBER(O269),ISNUMBER(P269)),P269-O269,"")</f>
        <v>0.17442113796423</v>
      </c>
      <c r="R269" s="23" t="n">
        <f aca="false">MAX(0,G269-N(L269))</f>
        <v>13308</v>
      </c>
      <c r="S269" s="23" t="n">
        <f aca="false">SUMIFS(Cadenas_vs_FCST!$D$17:$D$2437,Cadenas_vs_FCST!$A$17:$A$2437,A269)</f>
        <v>18804</v>
      </c>
      <c r="T269" s="23" t="n">
        <f aca="false">SUMIFS(Cadenas_vs_FCST!$E$17:$E$2437,Cadenas_vs_FCST!$A$17:$A$2437,A269)</f>
        <v>17771.2930692532</v>
      </c>
      <c r="U269" s="24" t="n">
        <f aca="false">IF(T269&gt;0,S269/T269-1,"")</f>
        <v>0.0581109616909932</v>
      </c>
      <c r="V269" s="3" t="str">
        <f aca="false">IF(OR(E269="BAJO SS",E269="BAJO SS (XLIB CUBRE)"),"SÍ","")</f>
        <v/>
      </c>
      <c r="W269" s="3" t="str">
        <f aca="false">IF(AND(V269="",N(L269)&gt;=Parametros!$B$17,G269&gt;=H269,R269&lt;H269),"SÍ","")</f>
        <v/>
      </c>
      <c r="X269" s="3" t="str">
        <f aca="false">IF(OR(E269="SOBRE MAX VENDIBLE",N(N269)&gt;=Parametros!$B$17,N(M269)&gt;=Parametros!$B$17),"SÍ","")</f>
        <v>SÍ</v>
      </c>
      <c r="Y269" s="3" t="str">
        <f aca="false">IF(AND(ISNUMBER(U269),MAX(S269,T269)&gt;=Parametros!$B$15,ABS(N(U269))&gt;Parametros!$B$14),"SÍ","")</f>
        <v/>
      </c>
      <c r="Z269" s="3" t="n">
        <f aca="false">COUNTIF(V269:Y269,"SÍ")</f>
        <v>1</v>
      </c>
      <c r="AA269" s="3" t="n">
        <f aca="false">(3*(V269="SÍ")+2*(W269="SÍ")+2*(X269="SÍ")+(Y269="SÍ"))*IF(LEFT(D269,1)="A",3,IF(OR(LEFT(D269,1)="B",D269="SIN HIST"),2,1))</f>
        <v>4</v>
      </c>
      <c r="AB269" s="3" t="str">
        <f aca="false">IF(AA269&gt;=9,"1-ALTA",IF(AA269&gt;=4,"2-MEDIA",IF(AA269&gt;0,"3-BAJA","")))</f>
        <v>2-MEDIA</v>
      </c>
      <c r="AC269" s="3" t="str">
        <f aca="false">IF(E269="BAJO SS","Stock + XLIB bajo el SS: riesgo real de quiebre, adelantar producción. ","")&amp;IF(E269="BAJO SS (XLIB CUBRE)","Disponible bajo el SS; depende de liberar "&amp;TEXT(J269,"#,##0")&amp;" kg"&amp;IF(ISNUMBER(K269)," el "&amp;TEXT(K269,"dd-mm"),"")&amp;". ","")&amp;IF(W269="SÍ","Stock parece sano pero "&amp;TEXT(L269,"#,##0")&amp;" kg no pasan filtro "&amp;Stock_Seguridad!O269&amp;": sin ellos queda bajo el SS para esa cadena. ","")&amp;IF(E269="SOBRE MAX VENDIBLE","Sobrestock vs vida útil: frenar producción/activar venta. ","")&amp;IF(N(N269)&gt;=Parametros!$B$17,TEXT(N269,"#,##0")&amp;" kg ya no los acepta ninguna cadena: venta intermedia/liquidación. ","")&amp;IF(N(M269)&gt;=Parametros!$B$17,TEXT(M269,"#,##0")&amp;" kg a punto de salir del filtro: despachar primero (FEFO). ","")&amp;IF(Y269="SÍ","Pedidos "&amp;IF(N(U269)&gt;0,"sobre","bajo")&amp;" FCST "&amp;TEXT(ABS(N(U269)),"0%")&amp;": revisar forecast con KAM.","")</f>
        <v>1,020 kg a punto de salir del filtro: despachar primero (FEFO). </v>
      </c>
    </row>
    <row r="270" customFormat="false" ht="15" hidden="false" customHeight="false" outlineLevel="0" collapsed="false">
      <c r="A270" s="18" t="n">
        <f aca="false">Stock_Seguridad!A270</f>
        <v>30001946</v>
      </c>
      <c r="B270" s="18" t="str">
        <f aca="false">Stock_Seguridad!B270</f>
        <v>NECTAR WATTS SELECCION MGO/MCYA 6X1.6LT</v>
      </c>
      <c r="C270" s="18" t="str">
        <f aca="false">Stock_Seguridad!C270</f>
        <v>JUGOS Y NECTARES</v>
      </c>
      <c r="D270" s="18" t="str">
        <f aca="false">Stock_Seguridad!F270</f>
        <v>BX</v>
      </c>
      <c r="E270" s="19" t="str">
        <f aca="false">Stock_Seguridad!X270</f>
        <v>BAJO SS (XLIB CUBRE)</v>
      </c>
      <c r="F270" s="20" t="n">
        <f aca="false">Stock_Seguridad!W270</f>
        <v>0.988805338620373</v>
      </c>
      <c r="G270" s="21" t="n">
        <f aca="false">Stock_Seguridad!T270</f>
        <v>1046.4</v>
      </c>
      <c r="H270" s="21" t="n">
        <f aca="false">Stock_Seguridad!R270</f>
        <v>1740.57185486367</v>
      </c>
      <c r="I270" s="21" t="n">
        <f aca="false">Stock_Seguridad!S270</f>
        <v>5876.47185486367</v>
      </c>
      <c r="J270" s="21" t="n">
        <f aca="false">Stock_Seguridad!U270</f>
        <v>3043.2</v>
      </c>
      <c r="K270" s="22" t="n">
        <v>46316</v>
      </c>
      <c r="L270" s="23" t="n">
        <v>384</v>
      </c>
      <c r="M270" s="23" t="n">
        <v>662.4</v>
      </c>
      <c r="N270" s="23" t="n">
        <v>163.2</v>
      </c>
      <c r="O270" s="24" t="n">
        <v>0.0782159624413145</v>
      </c>
      <c r="P270" s="24" t="n">
        <f aca="false">IF(ISNUMBER(Stock_Seguridad!N270),Stock_Seguridad!N270,"")</f>
        <v>0.222222222222222</v>
      </c>
      <c r="Q270" s="24" t="n">
        <f aca="false">IF(AND(ISNUMBER(O270),ISNUMBER(P270)),P270-O270,"")</f>
        <v>0.144006259780908</v>
      </c>
      <c r="R270" s="23" t="n">
        <f aca="false">MAX(0,G270-N(L270))</f>
        <v>662.4</v>
      </c>
      <c r="S270" s="23" t="n">
        <f aca="false">SUMIFS(Cadenas_vs_FCST!$D$17:$D$2437,Cadenas_vs_FCST!$A$17:$A$2437,A270)</f>
        <v>18422.4</v>
      </c>
      <c r="T270" s="23" t="n">
        <f aca="false">SUMIFS(Cadenas_vs_FCST!$E$17:$E$2437,Cadenas_vs_FCST!$A$17:$A$2437,A270)</f>
        <v>15731.1424819116</v>
      </c>
      <c r="U270" s="24" t="n">
        <f aca="false">IF(T270&gt;0,S270/T270-1,"")</f>
        <v>0.171078325759422</v>
      </c>
      <c r="V270" s="3" t="str">
        <f aca="false">IF(OR(E270="BAJO SS",E270="BAJO SS (XLIB CUBRE)"),"SÍ","")</f>
        <v>SÍ</v>
      </c>
      <c r="W270" s="3" t="str">
        <f aca="false">IF(AND(V270="",N(L270)&gt;=Parametros!$B$17,G270&gt;=H270,R270&lt;H270),"SÍ","")</f>
        <v/>
      </c>
      <c r="X270" s="3" t="str">
        <f aca="false">IF(OR(E270="SOBRE MAX VENDIBLE",N(N270)&gt;=Parametros!$B$17,N(M270)&gt;=Parametros!$B$17),"SÍ","")</f>
        <v>SÍ</v>
      </c>
      <c r="Y270" s="3" t="str">
        <f aca="false">IF(AND(ISNUMBER(U270),MAX(S270,T270)&gt;=Parametros!$B$15,ABS(N(U270))&gt;Parametros!$B$14),"SÍ","")</f>
        <v/>
      </c>
      <c r="Z270" s="3" t="n">
        <f aca="false">COUNTIF(V270:Y270,"SÍ")</f>
        <v>2</v>
      </c>
      <c r="AA270" s="3" t="n">
        <f aca="false">(3*(V270="SÍ")+2*(W270="SÍ")+2*(X270="SÍ")+(Y270="SÍ"))*IF(LEFT(D270,1)="A",3,IF(OR(LEFT(D270,1)="B",D270="SIN HIST"),2,1))</f>
        <v>10</v>
      </c>
      <c r="AB270" s="3" t="str">
        <f aca="false">IF(AA270&gt;=9,"1-ALTA",IF(AA270&gt;=4,"2-MEDIA",IF(AA270&gt;0,"3-BAJA","")))</f>
        <v>1-ALTA</v>
      </c>
      <c r="AC270" s="3" t="str">
        <f aca="false">IF(E270="BAJO SS","Stock + XLIB bajo el SS: riesgo real de quiebre, adelantar producción. ","")&amp;IF(E270="BAJO SS (XLIB CUBRE)","Disponible bajo el SS; depende de liberar "&amp;TEXT(J270,"#,##0")&amp;" kg"&amp;IF(ISNUMBER(K270)," el "&amp;TEXT(K270,"dd-mm"),"")&amp;". ","")&amp;IF(W270="SÍ","Stock parece sano pero "&amp;TEXT(L270,"#,##0")&amp;" kg no pasan filtro "&amp;Stock_Seguridad!O270&amp;": sin ellos queda bajo el SS para esa cadena. ","")&amp;IF(E270="SOBRE MAX VENDIBLE","Sobrestock vs vida útil: frenar producción/activar venta. ","")&amp;IF(N(N270)&gt;=Parametros!$B$17,TEXT(N270,"#,##0")&amp;" kg ya no los acepta ninguna cadena: venta intermedia/liquidación. ","")&amp;IF(N(M270)&gt;=Parametros!$B$17,TEXT(M270,"#,##0")&amp;" kg a punto de salir del filtro: despachar primero (FEFO). ","")&amp;IF(Y270="SÍ","Pedidos "&amp;IF(N(U270)&gt;0,"sobre","bajo")&amp;" FCST "&amp;TEXT(ABS(N(U270)),"0%")&amp;": revisar forecast con KAM.","")</f>
        <v>Disponible bajo el SS; depende de liberar 3,043 kg el 21-10. 662 kg a punto de salir del filtro: despachar primero (FEFO). </v>
      </c>
    </row>
    <row r="271" customFormat="false" ht="15" hidden="false" customHeight="false" outlineLevel="0" collapsed="false">
      <c r="A271" s="18" t="n">
        <f aca="false">Stock_Seguridad!A271</f>
        <v>30001980</v>
      </c>
      <c r="B271" s="18" t="str">
        <f aca="false">Stock_Seguridad!B271</f>
        <v>LECHE FULL PRO CAPPUCCINO LONCO 18X250ML</v>
      </c>
      <c r="C271" s="18" t="str">
        <f aca="false">Stock_Seguridad!C271</f>
        <v>LECHES LIQUIDAS</v>
      </c>
      <c r="D271" s="18" t="str">
        <f aca="false">Stock_Seguridad!F271</f>
        <v>BX</v>
      </c>
      <c r="E271" s="19" t="str">
        <f aca="false">Stock_Seguridad!X271</f>
        <v>OK</v>
      </c>
      <c r="F271" s="20" t="n">
        <f aca="false">Stock_Seguridad!W271</f>
        <v>5.46908315565032</v>
      </c>
      <c r="G271" s="21" t="n">
        <f aca="false">Stock_Seguridad!T271</f>
        <v>22572</v>
      </c>
      <c r="H271" s="21" t="n">
        <f aca="false">Stock_Seguridad!R271</f>
        <v>1657.98671294595</v>
      </c>
      <c r="I271" s="21" t="n">
        <f aca="false">Stock_Seguridad!S271</f>
        <v>5785.18671294595</v>
      </c>
      <c r="J271" s="21" t="n">
        <f aca="false">Stock_Seguridad!U271</f>
        <v>0</v>
      </c>
      <c r="K271" s="22"/>
      <c r="L271" s="23" t="n">
        <v>0</v>
      </c>
      <c r="M271" s="23" t="n">
        <v>54</v>
      </c>
      <c r="N271" s="23" t="n">
        <v>0</v>
      </c>
      <c r="O271" s="24" t="n">
        <v>0.0602830940988836</v>
      </c>
      <c r="P271" s="24" t="n">
        <f aca="false">IF(ISNUMBER(Stock_Seguridad!N271),Stock_Seguridad!N271,"")</f>
        <v>0.306878306878307</v>
      </c>
      <c r="Q271" s="24" t="n">
        <f aca="false">IF(AND(ISNUMBER(O271),ISNUMBER(P271)),P271-O271,"")</f>
        <v>0.246595212779423</v>
      </c>
      <c r="R271" s="23" t="n">
        <f aca="false">MAX(0,G271-N(L271))</f>
        <v>22572</v>
      </c>
      <c r="S271" s="23" t="n">
        <f aca="false">SUMIFS(Cadenas_vs_FCST!$D$17:$D$2437,Cadenas_vs_FCST!$A$17:$A$2437,A271)</f>
        <v>18526.5</v>
      </c>
      <c r="T271" s="23" t="n">
        <f aca="false">SUMIFS(Cadenas_vs_FCST!$E$17:$E$2437,Cadenas_vs_FCST!$A$17:$A$2437,A271)</f>
        <v>18554.1580623556</v>
      </c>
      <c r="U271" s="24" t="n">
        <f aca="false">IF(T271&gt;0,S271/T271-1,"")</f>
        <v>-0.00149066652675112</v>
      </c>
      <c r="V271" s="3" t="str">
        <f aca="false">IF(OR(E271="BAJO SS",E271="BAJO SS (XLIB CUBRE)"),"SÍ","")</f>
        <v/>
      </c>
      <c r="W271" s="3" t="str">
        <f aca="false">IF(AND(V271="",N(L271)&gt;=Parametros!$B$17,G271&gt;=H271,R271&lt;H271),"SÍ","")</f>
        <v/>
      </c>
      <c r="X271" s="3" t="str">
        <f aca="false">IF(OR(E271="SOBRE MAX VENDIBLE",N(N271)&gt;=Parametros!$B$17,N(M271)&gt;=Parametros!$B$17),"SÍ","")</f>
        <v/>
      </c>
      <c r="Y271" s="3" t="str">
        <f aca="false">IF(AND(ISNUMBER(U271),MAX(S271,T271)&gt;=Parametros!$B$15,ABS(N(U271))&gt;Parametros!$B$14),"SÍ","")</f>
        <v/>
      </c>
      <c r="Z271" s="3" t="n">
        <f aca="false">COUNTIF(V271:Y271,"SÍ")</f>
        <v>0</v>
      </c>
      <c r="AA271" s="3" t="n">
        <f aca="false">(3*(V271="SÍ")+2*(W271="SÍ")+2*(X271="SÍ")+(Y271="SÍ"))*IF(LEFT(D271,1)="A",3,IF(OR(LEFT(D271,1)="B",D271="SIN HIST"),2,1))</f>
        <v>0</v>
      </c>
      <c r="AB271" s="3" t="str">
        <f aca="false">IF(AA271&gt;=9,"1-ALTA",IF(AA271&gt;=4,"2-MEDIA",IF(AA271&gt;0,"3-BAJA","")))</f>
        <v/>
      </c>
      <c r="AC271" s="3" t="str">
        <f aca="false">IF(E271="BAJO SS","Stock + XLIB bajo el SS: riesgo real de quiebre, adelantar producción. ","")&amp;IF(E271="BAJO SS (XLIB CUBRE)","Disponible bajo el SS; depende de liberar "&amp;TEXT(J271,"#,##0")&amp;" kg"&amp;IF(ISNUMBER(K271)," el "&amp;TEXT(K271,"dd-mm"),"")&amp;". ","")&amp;IF(W271="SÍ","Stock parece sano pero "&amp;TEXT(L271,"#,##0")&amp;" kg no pasan filtro "&amp;Stock_Seguridad!O271&amp;": sin ellos queda bajo el SS para esa cadena. ","")&amp;IF(E271="SOBRE MAX VENDIBLE","Sobrestock vs vida útil: frenar producción/activar venta. ","")&amp;IF(N(N271)&gt;=Parametros!$B$17,TEXT(N271,"#,##0")&amp;" kg ya no los acepta ninguna cadena: venta intermedia/liquidación. ","")&amp;IF(N(M271)&gt;=Parametros!$B$17,TEXT(M271,"#,##0")&amp;" kg a punto de salir del filtro: despachar primero (FEFO). ","")&amp;IF(Y271="SÍ","Pedidos "&amp;IF(N(U271)&gt;0,"sobre","bajo")&amp;" FCST "&amp;TEXT(ABS(N(U271)),"0%")&amp;": revisar forecast con KAM.","")</f>
        <v/>
      </c>
    </row>
    <row r="272" customFormat="false" ht="15" hidden="false" customHeight="false" outlineLevel="0" collapsed="false">
      <c r="A272" s="18" t="n">
        <f aca="false">Stock_Seguridad!A272</f>
        <v>30002184</v>
      </c>
      <c r="B272" s="18" t="str">
        <f aca="false">Stock_Seguridad!B272</f>
        <v>FRUGO MARACUYA 6X1,6LT</v>
      </c>
      <c r="C272" s="18" t="str">
        <f aca="false">Stock_Seguridad!C272</f>
        <v>JUGOS Y NECTARES</v>
      </c>
      <c r="D272" s="18" t="str">
        <f aca="false">Stock_Seguridad!F272</f>
        <v>BX</v>
      </c>
      <c r="E272" s="19" t="str">
        <f aca="false">Stock_Seguridad!X272</f>
        <v>BAJO SS (XLIB CUBRE)</v>
      </c>
      <c r="F272" s="20" t="n">
        <f aca="false">Stock_Seguridad!W272</f>
        <v>1.6304122438904</v>
      </c>
      <c r="G272" s="21" t="n">
        <f aca="false">Stock_Seguridad!T272</f>
        <v>2688</v>
      </c>
      <c r="H272" s="21" t="n">
        <f aca="false">Stock_Seguridad!R272</f>
        <v>4086.04582614541</v>
      </c>
      <c r="I272" s="21" t="n">
        <f aca="false">Stock_Seguridad!S272</f>
        <v>8137.04582614541</v>
      </c>
      <c r="J272" s="21" t="n">
        <f aca="false">Stock_Seguridad!U272</f>
        <v>3916.8</v>
      </c>
      <c r="K272" s="22" t="n">
        <v>46318</v>
      </c>
      <c r="L272" s="23" t="n">
        <v>9.6</v>
      </c>
      <c r="M272" s="23" t="n">
        <v>0</v>
      </c>
      <c r="N272" s="23" t="n">
        <v>9.6</v>
      </c>
      <c r="O272" s="24" t="n">
        <v>0.0384738372093023</v>
      </c>
      <c r="P272" s="24" t="n">
        <f aca="false">IF(ISNUMBER(Stock_Seguridad!N272),Stock_Seguridad!N272,"")</f>
        <v>0.24</v>
      </c>
      <c r="Q272" s="24" t="n">
        <f aca="false">IF(AND(ISNUMBER(O272),ISNUMBER(P272)),P272-O272,"")</f>
        <v>0.201526162790698</v>
      </c>
      <c r="R272" s="23" t="n">
        <f aca="false">MAX(0,G272-N(L272))</f>
        <v>2678.4</v>
      </c>
      <c r="S272" s="23" t="n">
        <f aca="false">SUMIFS(Cadenas_vs_FCST!$D$17:$D$2437,Cadenas_vs_FCST!$A$17:$A$2437,A272)</f>
        <v>17894.4</v>
      </c>
      <c r="T272" s="23" t="n">
        <f aca="false">SUMIFS(Cadenas_vs_FCST!$E$17:$E$2437,Cadenas_vs_FCST!$A$17:$A$2437,A272)</f>
        <v>11691.8000161673</v>
      </c>
      <c r="U272" s="24" t="n">
        <f aca="false">IF(T272&gt;0,S272/T272-1,"")</f>
        <v>0.530508559439594</v>
      </c>
      <c r="V272" s="3" t="str">
        <f aca="false">IF(OR(E272="BAJO SS",E272="BAJO SS (XLIB CUBRE)"),"SÍ","")</f>
        <v>SÍ</v>
      </c>
      <c r="W272" s="3" t="str">
        <f aca="false">IF(AND(V272="",N(L272)&gt;=Parametros!$B$17,G272&gt;=H272,R272&lt;H272),"SÍ","")</f>
        <v/>
      </c>
      <c r="X272" s="3" t="str">
        <f aca="false">IF(OR(E272="SOBRE MAX VENDIBLE",N(N272)&gt;=Parametros!$B$17,N(M272)&gt;=Parametros!$B$17),"SÍ","")</f>
        <v/>
      </c>
      <c r="Y272" s="3" t="str">
        <f aca="false">IF(AND(ISNUMBER(U272),MAX(S272,T272)&gt;=Parametros!$B$15,ABS(N(U272))&gt;Parametros!$B$14),"SÍ","")</f>
        <v>SÍ</v>
      </c>
      <c r="Z272" s="3" t="n">
        <f aca="false">COUNTIF(V272:Y272,"SÍ")</f>
        <v>2</v>
      </c>
      <c r="AA272" s="3" t="n">
        <f aca="false">(3*(V272="SÍ")+2*(W272="SÍ")+2*(X272="SÍ")+(Y272="SÍ"))*IF(LEFT(D272,1)="A",3,IF(OR(LEFT(D272,1)="B",D272="SIN HIST"),2,1))</f>
        <v>8</v>
      </c>
      <c r="AB272" s="3" t="str">
        <f aca="false">IF(AA272&gt;=9,"1-ALTA",IF(AA272&gt;=4,"2-MEDIA",IF(AA272&gt;0,"3-BAJA","")))</f>
        <v>2-MEDIA</v>
      </c>
      <c r="AC272" s="3" t="str">
        <f aca="false">IF(E272="BAJO SS","Stock + XLIB bajo el SS: riesgo real de quiebre, adelantar producción. ","")&amp;IF(E272="BAJO SS (XLIB CUBRE)","Disponible bajo el SS; depende de liberar "&amp;TEXT(J272,"#,##0")&amp;" kg"&amp;IF(ISNUMBER(K272)," el "&amp;TEXT(K272,"dd-mm"),"")&amp;". ","")&amp;IF(W272="SÍ","Stock parece sano pero "&amp;TEXT(L272,"#,##0")&amp;" kg no pasan filtro "&amp;Stock_Seguridad!O272&amp;": sin ellos queda bajo el SS para esa cadena. ","")&amp;IF(E272="SOBRE MAX VENDIBLE","Sobrestock vs vida útil: frenar producción/activar venta. ","")&amp;IF(N(N272)&gt;=Parametros!$B$17,TEXT(N272,"#,##0")&amp;" kg ya no los acepta ninguna cadena: venta intermedia/liquidación. ","")&amp;IF(N(M272)&gt;=Parametros!$B$17,TEXT(M272,"#,##0")&amp;" kg a punto de salir del filtro: despachar primero (FEFO). ","")&amp;IF(Y272="SÍ","Pedidos "&amp;IF(N(U272)&gt;0,"sobre","bajo")&amp;" FCST "&amp;TEXT(ABS(N(U272)),"0%")&amp;": revisar forecast con KAM.","")</f>
        <v>Disponible bajo el SS; depende de liberar 3,917 kg el 23-10. Pedidos sobre FCST 53%: revisar forecast con KAM.</v>
      </c>
    </row>
    <row r="273" customFormat="false" ht="15" hidden="false" customHeight="false" outlineLevel="0" collapsed="false">
      <c r="A273" s="18" t="n">
        <f aca="false">Stock_Seguridad!A273</f>
        <v>30000753</v>
      </c>
      <c r="B273" s="18" t="str">
        <f aca="false">Stock_Seguridad!B273</f>
        <v>PAPA DUQUESA FM 4X2,5KG</v>
      </c>
      <c r="C273" s="18" t="str">
        <f aca="false">Stock_Seguridad!C273</f>
        <v>FRUTAS Y HORTALIZAS CONGELADAS</v>
      </c>
      <c r="D273" s="18" t="str">
        <f aca="false">Stock_Seguridad!F273</f>
        <v>SIN HIST</v>
      </c>
      <c r="E273" s="19" t="str">
        <f aca="false">Stock_Seguridad!X273</f>
        <v>OK</v>
      </c>
      <c r="F273" s="20" t="n">
        <f aca="false">Stock_Seguridad!W273</f>
        <v>16.3944149264797</v>
      </c>
      <c r="G273" s="21" t="n">
        <f aca="false">Stock_Seguridad!T273</f>
        <v>63340</v>
      </c>
      <c r="H273" s="21" t="n">
        <f aca="false">Stock_Seguridad!R273</f>
        <v>1996.77006043774</v>
      </c>
      <c r="I273" s="21" t="n">
        <f aca="false">Stock_Seguridad!S273</f>
        <v>6043.27006043774</v>
      </c>
      <c r="J273" s="21" t="n">
        <f aca="false">Stock_Seguridad!U273</f>
        <v>3000</v>
      </c>
      <c r="K273" s="22"/>
      <c r="L273" s="23" t="n">
        <v>0</v>
      </c>
      <c r="M273" s="23" t="n">
        <v>0</v>
      </c>
      <c r="N273" s="23" t="n">
        <v>0</v>
      </c>
      <c r="O273" s="24" t="n">
        <v>0.599655172413793</v>
      </c>
      <c r="P273" s="24" t="str">
        <f aca="false">IF(ISNUMBER(Stock_Seguridad!N273),Stock_Seguridad!N273,"")</f>
        <v/>
      </c>
      <c r="Q273" s="24" t="str">
        <f aca="false">IF(AND(ISNUMBER(O273),ISNUMBER(P273)),P273-O273,"")</f>
        <v/>
      </c>
      <c r="R273" s="23" t="n">
        <f aca="false">MAX(0,G273-N(L273))</f>
        <v>63340</v>
      </c>
      <c r="S273" s="23" t="n">
        <f aca="false">SUMIFS(Cadenas_vs_FCST!$D$17:$D$2437,Cadenas_vs_FCST!$A$17:$A$2437,A273)</f>
        <v>0</v>
      </c>
      <c r="T273" s="23" t="n">
        <f aca="false">SUMIFS(Cadenas_vs_FCST!$E$17:$E$2437,Cadenas_vs_FCST!$A$17:$A$2437,A273)</f>
        <v>0</v>
      </c>
      <c r="U273" s="24" t="str">
        <f aca="false">IF(T273&gt;0,S273/T273-1,"")</f>
        <v/>
      </c>
      <c r="V273" s="3" t="str">
        <f aca="false">IF(OR(E273="BAJO SS",E273="BAJO SS (XLIB CUBRE)"),"SÍ","")</f>
        <v/>
      </c>
      <c r="W273" s="3" t="str">
        <f aca="false">IF(AND(V273="",N(L273)&gt;=Parametros!$B$17,G273&gt;=H273,R273&lt;H273),"SÍ","")</f>
        <v/>
      </c>
      <c r="X273" s="3" t="str">
        <f aca="false">IF(OR(E273="SOBRE MAX VENDIBLE",N(N273)&gt;=Parametros!$B$17,N(M273)&gt;=Parametros!$B$17),"SÍ","")</f>
        <v/>
      </c>
      <c r="Y273" s="3" t="str">
        <f aca="false">IF(AND(ISNUMBER(U273),MAX(S273,T273)&gt;=Parametros!$B$15,ABS(N(U273))&gt;Parametros!$B$14),"SÍ","")</f>
        <v/>
      </c>
      <c r="Z273" s="3" t="n">
        <f aca="false">COUNTIF(V273:Y273,"SÍ")</f>
        <v>0</v>
      </c>
      <c r="AA273" s="3" t="n">
        <f aca="false">(3*(V273="SÍ")+2*(W273="SÍ")+2*(X273="SÍ")+(Y273="SÍ"))*IF(LEFT(D273,1)="A",3,IF(OR(LEFT(D273,1)="B",D273="SIN HIST"),2,1))</f>
        <v>0</v>
      </c>
      <c r="AB273" s="3" t="str">
        <f aca="false">IF(AA273&gt;=9,"1-ALTA",IF(AA273&gt;=4,"2-MEDIA",IF(AA273&gt;0,"3-BAJA","")))</f>
        <v/>
      </c>
      <c r="AC273" s="3" t="str">
        <f aca="false">IF(E273="BAJO SS","Stock + XLIB bajo el SS: riesgo real de quiebre, adelantar producción. ","")&amp;IF(E273="BAJO SS (XLIB CUBRE)","Disponible bajo el SS; depende de liberar "&amp;TEXT(J273,"#,##0")&amp;" kg"&amp;IF(ISNUMBER(K273)," el "&amp;TEXT(K273,"dd-mm"),"")&amp;". ","")&amp;IF(W273="SÍ","Stock parece sano pero "&amp;TEXT(L273,"#,##0")&amp;" kg no pasan filtro "&amp;Stock_Seguridad!O273&amp;": sin ellos queda bajo el SS para esa cadena. ","")&amp;IF(E273="SOBRE MAX VENDIBLE","Sobrestock vs vida útil: frenar producción/activar venta. ","")&amp;IF(N(N273)&gt;=Parametros!$B$17,TEXT(N273,"#,##0")&amp;" kg ya no los acepta ninguna cadena: venta intermedia/liquidación. ","")&amp;IF(N(M273)&gt;=Parametros!$B$17,TEXT(M273,"#,##0")&amp;" kg a punto de salir del filtro: despachar primero (FEFO). ","")&amp;IF(Y273="SÍ","Pedidos "&amp;IF(N(U273)&gt;0,"sobre","bajo")&amp;" FCST "&amp;TEXT(ABS(N(U273)),"0%")&amp;": revisar forecast con KAM.","")</f>
        <v/>
      </c>
    </row>
    <row r="274" customFormat="false" ht="15" hidden="false" customHeight="false" outlineLevel="0" collapsed="false">
      <c r="A274" s="18" t="n">
        <f aca="false">Stock_Seguridad!A274</f>
        <v>30000787</v>
      </c>
      <c r="B274" s="18" t="str">
        <f aca="false">Stock_Seguridad!B274</f>
        <v>POROTO GRANADO FM 30X500GR</v>
      </c>
      <c r="C274" s="18" t="str">
        <f aca="false">Stock_Seguridad!C274</f>
        <v>FRUTAS Y HORTALIZAS CONGELADAS</v>
      </c>
      <c r="D274" s="18" t="str">
        <f aca="false">Stock_Seguridad!F274</f>
        <v>SIN HIST</v>
      </c>
      <c r="E274" s="19" t="str">
        <f aca="false">Stock_Seguridad!X274</f>
        <v>OK</v>
      </c>
      <c r="F274" s="20" t="n">
        <f aca="false">Stock_Seguridad!W274</f>
        <v>6.3263579586454</v>
      </c>
      <c r="G274" s="21" t="n">
        <f aca="false">Stock_Seguridad!T274</f>
        <v>25425</v>
      </c>
      <c r="H274" s="21" t="n">
        <f aca="false">Stock_Seguridad!R274</f>
        <v>1983.15067240658</v>
      </c>
      <c r="I274" s="21" t="n">
        <f aca="false">Stock_Seguridad!S274</f>
        <v>6002.05067240658</v>
      </c>
      <c r="J274" s="21" t="n">
        <f aca="false">Stock_Seguridad!U274</f>
        <v>0</v>
      </c>
      <c r="K274" s="22"/>
      <c r="L274" s="23" t="n">
        <v>0</v>
      </c>
      <c r="M274" s="23" t="n">
        <v>0</v>
      </c>
      <c r="N274" s="23" t="n">
        <v>0</v>
      </c>
      <c r="O274" s="24" t="n">
        <v>0.0479351032448378</v>
      </c>
      <c r="P274" s="24" t="str">
        <f aca="false">IF(ISNUMBER(Stock_Seguridad!N274),Stock_Seguridad!N274,"")</f>
        <v/>
      </c>
      <c r="Q274" s="24" t="str">
        <f aca="false">IF(AND(ISNUMBER(O274),ISNUMBER(P274)),P274-O274,"")</f>
        <v/>
      </c>
      <c r="R274" s="23" t="n">
        <f aca="false">MAX(0,G274-N(L274))</f>
        <v>25425</v>
      </c>
      <c r="S274" s="23" t="n">
        <f aca="false">SUMIFS(Cadenas_vs_FCST!$D$17:$D$2437,Cadenas_vs_FCST!$A$17:$A$2437,A274)</f>
        <v>0</v>
      </c>
      <c r="T274" s="23" t="n">
        <f aca="false">SUMIFS(Cadenas_vs_FCST!$E$17:$E$2437,Cadenas_vs_FCST!$A$17:$A$2437,A274)</f>
        <v>0</v>
      </c>
      <c r="U274" s="24" t="str">
        <f aca="false">IF(T274&gt;0,S274/T274-1,"")</f>
        <v/>
      </c>
      <c r="V274" s="3" t="str">
        <f aca="false">IF(OR(E274="BAJO SS",E274="BAJO SS (XLIB CUBRE)"),"SÍ","")</f>
        <v/>
      </c>
      <c r="W274" s="3" t="str">
        <f aca="false">IF(AND(V274="",N(L274)&gt;=Parametros!$B$17,G274&gt;=H274,R274&lt;H274),"SÍ","")</f>
        <v/>
      </c>
      <c r="X274" s="3" t="str">
        <f aca="false">IF(OR(E274="SOBRE MAX VENDIBLE",N(N274)&gt;=Parametros!$B$17,N(M274)&gt;=Parametros!$B$17),"SÍ","")</f>
        <v/>
      </c>
      <c r="Y274" s="3" t="str">
        <f aca="false">IF(AND(ISNUMBER(U274),MAX(S274,T274)&gt;=Parametros!$B$15,ABS(N(U274))&gt;Parametros!$B$14),"SÍ","")</f>
        <v/>
      </c>
      <c r="Z274" s="3" t="n">
        <f aca="false">COUNTIF(V274:Y274,"SÍ")</f>
        <v>0</v>
      </c>
      <c r="AA274" s="3" t="n">
        <f aca="false">(3*(V274="SÍ")+2*(W274="SÍ")+2*(X274="SÍ")+(Y274="SÍ"))*IF(LEFT(D274,1)="A",3,IF(OR(LEFT(D274,1)="B",D274="SIN HIST"),2,1))</f>
        <v>0</v>
      </c>
      <c r="AB274" s="3" t="str">
        <f aca="false">IF(AA274&gt;=9,"1-ALTA",IF(AA274&gt;=4,"2-MEDIA",IF(AA274&gt;0,"3-BAJA","")))</f>
        <v/>
      </c>
      <c r="AC274" s="3" t="str">
        <f aca="false">IF(E274="BAJO SS","Stock + XLIB bajo el SS: riesgo real de quiebre, adelantar producción. ","")&amp;IF(E274="BAJO SS (XLIB CUBRE)","Disponible bajo el SS; depende de liberar "&amp;TEXT(J274,"#,##0")&amp;" kg"&amp;IF(ISNUMBER(K274)," el "&amp;TEXT(K274,"dd-mm"),"")&amp;". ","")&amp;IF(W274="SÍ","Stock parece sano pero "&amp;TEXT(L274,"#,##0")&amp;" kg no pasan filtro "&amp;Stock_Seguridad!O274&amp;": sin ellos queda bajo el SS para esa cadena. ","")&amp;IF(E274="SOBRE MAX VENDIBLE","Sobrestock vs vida útil: frenar producción/activar venta. ","")&amp;IF(N(N274)&gt;=Parametros!$B$17,TEXT(N274,"#,##0")&amp;" kg ya no los acepta ninguna cadena: venta intermedia/liquidación. ","")&amp;IF(N(M274)&gt;=Parametros!$B$17,TEXT(M274,"#,##0")&amp;" kg a punto de salir del filtro: despachar primero (FEFO). ","")&amp;IF(Y274="SÍ","Pedidos "&amp;IF(N(U274)&gt;0,"sobre","bajo")&amp;" FCST "&amp;TEXT(ABS(N(U274)),"0%")&amp;": revisar forecast con KAM.","")</f>
        <v/>
      </c>
    </row>
    <row r="275" customFormat="false" ht="15" hidden="false" customHeight="false" outlineLevel="0" collapsed="false">
      <c r="A275" s="18" t="n">
        <f aca="false">Stock_Seguridad!A275</f>
        <v>30002278</v>
      </c>
      <c r="B275" s="18" t="str">
        <f aca="false">Stock_Seguridad!B275</f>
        <v>QUESO CHANCO LPV 12X233 AS</v>
      </c>
      <c r="C275" s="18" t="str">
        <f aca="false">Stock_Seguridad!C275</f>
        <v>QUESOS</v>
      </c>
      <c r="D275" s="18" t="str">
        <f aca="false">Stock_Seguridad!F275</f>
        <v>BY</v>
      </c>
      <c r="E275" s="19" t="str">
        <f aca="false">Stock_Seguridad!X275</f>
        <v>OK</v>
      </c>
      <c r="F275" s="20" t="n">
        <f aca="false">Stock_Seguridad!W275</f>
        <v>3.75395</v>
      </c>
      <c r="G275" s="21" t="n">
        <f aca="false">Stock_Seguridad!T275</f>
        <v>13924.9</v>
      </c>
      <c r="H275" s="21" t="n">
        <f aca="false">Stock_Seguridad!R275</f>
        <v>2083.81817804555</v>
      </c>
      <c r="I275" s="21" t="n">
        <f aca="false">Stock_Seguridad!S275</f>
        <v>6083.81817804555</v>
      </c>
      <c r="J275" s="21" t="n">
        <f aca="false">Stock_Seguridad!U275</f>
        <v>1090.9</v>
      </c>
      <c r="K275" s="22" t="n">
        <v>46320</v>
      </c>
      <c r="L275" s="23" t="n">
        <v>0</v>
      </c>
      <c r="M275" s="23" t="n">
        <v>0</v>
      </c>
      <c r="N275" s="23" t="n">
        <v>0</v>
      </c>
      <c r="O275" s="24" t="n">
        <v>0.0817298402081011</v>
      </c>
      <c r="P275" s="24" t="str">
        <f aca="false">IF(ISNUMBER(Stock_Seguridad!N275),Stock_Seguridad!N275,"")</f>
        <v/>
      </c>
      <c r="Q275" s="24" t="str">
        <f aca="false">IF(AND(ISNUMBER(O275),ISNUMBER(P275)),P275-O275,"")</f>
        <v/>
      </c>
      <c r="R275" s="23" t="n">
        <f aca="false">MAX(0,G275-N(L275))</f>
        <v>13924.9</v>
      </c>
      <c r="S275" s="23" t="n">
        <f aca="false">SUMIFS(Cadenas_vs_FCST!$D$17:$D$2437,Cadenas_vs_FCST!$A$17:$A$2437,A275)</f>
        <v>10710.81</v>
      </c>
      <c r="T275" s="23" t="n">
        <f aca="false">SUMIFS(Cadenas_vs_FCST!$E$17:$E$2437,Cadenas_vs_FCST!$A$17:$A$2437,A275)</f>
        <v>14500</v>
      </c>
      <c r="U275" s="24" t="n">
        <f aca="false">IF(T275&gt;0,S275/T275-1,"")</f>
        <v>-0.261323448275862</v>
      </c>
      <c r="V275" s="3" t="str">
        <f aca="false">IF(OR(E275="BAJO SS",E275="BAJO SS (XLIB CUBRE)"),"SÍ","")</f>
        <v/>
      </c>
      <c r="W275" s="3" t="str">
        <f aca="false">IF(AND(V275="",N(L275)&gt;=Parametros!$B$17,G275&gt;=H275,R275&lt;H275),"SÍ","")</f>
        <v/>
      </c>
      <c r="X275" s="3" t="str">
        <f aca="false">IF(OR(E275="SOBRE MAX VENDIBLE",N(N275)&gt;=Parametros!$B$17,N(M275)&gt;=Parametros!$B$17),"SÍ","")</f>
        <v/>
      </c>
      <c r="Y275" s="3" t="str">
        <f aca="false">IF(AND(ISNUMBER(U275),MAX(S275,T275)&gt;=Parametros!$B$15,ABS(N(U275))&gt;Parametros!$B$14),"SÍ","")</f>
        <v>SÍ</v>
      </c>
      <c r="Z275" s="3" t="n">
        <f aca="false">COUNTIF(V275:Y275,"SÍ")</f>
        <v>1</v>
      </c>
      <c r="AA275" s="3" t="n">
        <f aca="false">(3*(V275="SÍ")+2*(W275="SÍ")+2*(X275="SÍ")+(Y275="SÍ"))*IF(LEFT(D275,1)="A",3,IF(OR(LEFT(D275,1)="B",D275="SIN HIST"),2,1))</f>
        <v>2</v>
      </c>
      <c r="AB275" s="3" t="str">
        <f aca="false">IF(AA275&gt;=9,"1-ALTA",IF(AA275&gt;=4,"2-MEDIA",IF(AA275&gt;0,"3-BAJA","")))</f>
        <v>3-BAJA</v>
      </c>
      <c r="AC275" s="3" t="str">
        <f aca="false">IF(E275="BAJO SS","Stock + XLIB bajo el SS: riesgo real de quiebre, adelantar producción. ","")&amp;IF(E275="BAJO SS (XLIB CUBRE)","Disponible bajo el SS; depende de liberar "&amp;TEXT(J275,"#,##0")&amp;" kg"&amp;IF(ISNUMBER(K275)," el "&amp;TEXT(K275,"dd-mm"),"")&amp;". ","")&amp;IF(W275="SÍ","Stock parece sano pero "&amp;TEXT(L275,"#,##0")&amp;" kg no pasan filtro "&amp;Stock_Seguridad!O275&amp;": sin ellos queda bajo el SS para esa cadena. ","")&amp;IF(E275="SOBRE MAX VENDIBLE","Sobrestock vs vida útil: frenar producción/activar venta. ","")&amp;IF(N(N275)&gt;=Parametros!$B$17,TEXT(N275,"#,##0")&amp;" kg ya no los acepta ninguna cadena: venta intermedia/liquidación. ","")&amp;IF(N(M275)&gt;=Parametros!$B$17,TEXT(M275,"#,##0")&amp;" kg a punto de salir del filtro: despachar primero (FEFO). ","")&amp;IF(Y275="SÍ","Pedidos "&amp;IF(N(U275)&gt;0,"sobre","bajo")&amp;" FCST "&amp;TEXT(ABS(N(U275)),"0%")&amp;": revisar forecast con KAM.","")</f>
        <v>Pedidos bajo FCST 26%: revisar forecast con KAM.</v>
      </c>
    </row>
    <row r="276" customFormat="false" ht="15" hidden="false" customHeight="false" outlineLevel="0" collapsed="false">
      <c r="A276" s="18" t="n">
        <f aca="false">Stock_Seguridad!A276</f>
        <v>30001083</v>
      </c>
      <c r="B276" s="18" t="str">
        <f aca="false">Stock_Seguridad!B276</f>
        <v>YOGURT GRIEGO OIKOS TRZ COCO 48X110GR</v>
      </c>
      <c r="C276" s="18" t="str">
        <f aca="false">Stock_Seguridad!C276</f>
        <v>YOGURT</v>
      </c>
      <c r="D276" s="18" t="str">
        <f aca="false">Stock_Seguridad!F276</f>
        <v>BX</v>
      </c>
      <c r="E276" s="19" t="str">
        <f aca="false">Stock_Seguridad!X276</f>
        <v>BAJO P.REORDEN</v>
      </c>
      <c r="F276" s="20" t="n">
        <f aca="false">Stock_Seguridad!W276</f>
        <v>1.58829880728186</v>
      </c>
      <c r="G276" s="21" t="n">
        <f aca="false">Stock_Seguridad!T276</f>
        <v>6325.4</v>
      </c>
      <c r="H276" s="21" t="n">
        <f aca="false">Stock_Seguridad!R276</f>
        <v>3092.07493108775</v>
      </c>
      <c r="I276" s="21" t="n">
        <f aca="false">Stock_Seguridad!S276</f>
        <v>7074.57493108775</v>
      </c>
      <c r="J276" s="21" t="n">
        <f aca="false">Stock_Seguridad!U276</f>
        <v>0</v>
      </c>
      <c r="K276" s="22"/>
      <c r="L276" s="23" t="n">
        <v>58.08</v>
      </c>
      <c r="M276" s="23" t="n">
        <v>0</v>
      </c>
      <c r="N276" s="23" t="n">
        <v>58.08</v>
      </c>
      <c r="O276" s="24" t="n">
        <v>0.100159529806885</v>
      </c>
      <c r="P276" s="24" t="n">
        <f aca="false">IF(ISNUMBER(Stock_Seguridad!N276),Stock_Seguridad!N276,"")</f>
        <v>0.298245614035088</v>
      </c>
      <c r="Q276" s="24" t="n">
        <f aca="false">IF(AND(ISNUMBER(O276),ISNUMBER(P276)),P276-O276,"")</f>
        <v>0.198086084228203</v>
      </c>
      <c r="R276" s="23" t="n">
        <f aca="false">MAX(0,G276-N(L276))</f>
        <v>6267.32</v>
      </c>
      <c r="S276" s="23" t="n">
        <f aca="false">SUMIFS(Cadenas_vs_FCST!$D$17:$D$2437,Cadenas_vs_FCST!$A$17:$A$2437,A276)</f>
        <v>19018.56</v>
      </c>
      <c r="T276" s="23" t="n">
        <f aca="false">SUMIFS(Cadenas_vs_FCST!$E$17:$E$2437,Cadenas_vs_FCST!$A$17:$A$2437,A276)</f>
        <v>12464.6847880016</v>
      </c>
      <c r="U276" s="24" t="n">
        <f aca="false">IF(T276&gt;0,S276/T276-1,"")</f>
        <v>0.525795503333318</v>
      </c>
      <c r="V276" s="3" t="str">
        <f aca="false">IF(OR(E276="BAJO SS",E276="BAJO SS (XLIB CUBRE)"),"SÍ","")</f>
        <v/>
      </c>
      <c r="W276" s="3" t="str">
        <f aca="false">IF(AND(V276="",N(L276)&gt;=Parametros!$B$17,G276&gt;=H276,R276&lt;H276),"SÍ","")</f>
        <v/>
      </c>
      <c r="X276" s="3" t="str">
        <f aca="false">IF(OR(E276="SOBRE MAX VENDIBLE",N(N276)&gt;=Parametros!$B$17,N(M276)&gt;=Parametros!$B$17),"SÍ","")</f>
        <v/>
      </c>
      <c r="Y276" s="3" t="str">
        <f aca="false">IF(AND(ISNUMBER(U276),MAX(S276,T276)&gt;=Parametros!$B$15,ABS(N(U276))&gt;Parametros!$B$14),"SÍ","")</f>
        <v>SÍ</v>
      </c>
      <c r="Z276" s="3" t="n">
        <f aca="false">COUNTIF(V276:Y276,"SÍ")</f>
        <v>1</v>
      </c>
      <c r="AA276" s="3" t="n">
        <f aca="false">(3*(V276="SÍ")+2*(W276="SÍ")+2*(X276="SÍ")+(Y276="SÍ"))*IF(LEFT(D276,1)="A",3,IF(OR(LEFT(D276,1)="B",D276="SIN HIST"),2,1))</f>
        <v>2</v>
      </c>
      <c r="AB276" s="3" t="str">
        <f aca="false">IF(AA276&gt;=9,"1-ALTA",IF(AA276&gt;=4,"2-MEDIA",IF(AA276&gt;0,"3-BAJA","")))</f>
        <v>3-BAJA</v>
      </c>
      <c r="AC276" s="3" t="str">
        <f aca="false">IF(E276="BAJO SS","Stock + XLIB bajo el SS: riesgo real de quiebre, adelantar producción. ","")&amp;IF(E276="BAJO SS (XLIB CUBRE)","Disponible bajo el SS; depende de liberar "&amp;TEXT(J276,"#,##0")&amp;" kg"&amp;IF(ISNUMBER(K276)," el "&amp;TEXT(K276,"dd-mm"),"")&amp;". ","")&amp;IF(W276="SÍ","Stock parece sano pero "&amp;TEXT(L276,"#,##0")&amp;" kg no pasan filtro "&amp;Stock_Seguridad!O276&amp;": sin ellos queda bajo el SS para esa cadena. ","")&amp;IF(E276="SOBRE MAX VENDIBLE","Sobrestock vs vida útil: frenar producción/activar venta. ","")&amp;IF(N(N276)&gt;=Parametros!$B$17,TEXT(N276,"#,##0")&amp;" kg ya no los acepta ninguna cadena: venta intermedia/liquidación. ","")&amp;IF(N(M276)&gt;=Parametros!$B$17,TEXT(M276,"#,##0")&amp;" kg a punto de salir del filtro: despachar primero (FEFO). ","")&amp;IF(Y276="SÍ","Pedidos "&amp;IF(N(U276)&gt;0,"sobre","bajo")&amp;" FCST "&amp;TEXT(ABS(N(U276)),"0%")&amp;": revisar forecast con KAM.","")</f>
        <v>Pedidos sobre FCST 53%: revisar forecast con KAM.</v>
      </c>
    </row>
    <row r="277" customFormat="false" ht="15" hidden="false" customHeight="false" outlineLevel="0" collapsed="false">
      <c r="A277" s="18" t="n">
        <f aca="false">Stock_Seguridad!A277</f>
        <v>30000339</v>
      </c>
      <c r="B277" s="18" t="str">
        <f aca="false">Stock_Seguridad!B277</f>
        <v>PREPARADO HELADO LUCUMA TETRA 12X1LT</v>
      </c>
      <c r="C277" s="18" t="str">
        <f aca="false">Stock_Seguridad!C277</f>
        <v>PREPARADOS DE HELADO</v>
      </c>
      <c r="D277" s="18" t="str">
        <f aca="false">Stock_Seguridad!F277</f>
        <v>SIN HIST</v>
      </c>
      <c r="E277" s="19" t="str">
        <f aca="false">Stock_Seguridad!X277</f>
        <v>OK</v>
      </c>
      <c r="F277" s="20" t="n">
        <f aca="false">Stock_Seguridad!W277</f>
        <v>5.40280763880106</v>
      </c>
      <c r="G277" s="21" t="n">
        <f aca="false">Stock_Seguridad!T277</f>
        <v>21360</v>
      </c>
      <c r="H277" s="21" t="n">
        <f aca="false">Stock_Seguridad!R277</f>
        <v>1950.87864424579</v>
      </c>
      <c r="I277" s="21" t="n">
        <f aca="false">Stock_Seguridad!S277</f>
        <v>5904.37864424579</v>
      </c>
      <c r="J277" s="21" t="n">
        <f aca="false">Stock_Seguridad!U277</f>
        <v>0</v>
      </c>
      <c r="K277" s="22"/>
      <c r="L277" s="23" t="n">
        <v>0</v>
      </c>
      <c r="M277" s="23" t="n">
        <v>2292</v>
      </c>
      <c r="N277" s="23" t="n">
        <v>0</v>
      </c>
      <c r="O277" s="24" t="n">
        <v>0.0782415730337079</v>
      </c>
      <c r="P277" s="24" t="n">
        <f aca="false">IF(ISNUMBER(Stock_Seguridad!N277),Stock_Seguridad!N277,"")</f>
        <v>0.253061224489796</v>
      </c>
      <c r="Q277" s="24" t="n">
        <f aca="false">IF(AND(ISNUMBER(O277),ISNUMBER(P277)),P277-O277,"")</f>
        <v>0.174819651456088</v>
      </c>
      <c r="R277" s="23" t="n">
        <f aca="false">MAX(0,G277-N(L277))</f>
        <v>21360</v>
      </c>
      <c r="S277" s="23" t="n">
        <f aca="false">SUMIFS(Cadenas_vs_FCST!$D$17:$D$2437,Cadenas_vs_FCST!$A$17:$A$2437,A277)</f>
        <v>0</v>
      </c>
      <c r="T277" s="23" t="n">
        <f aca="false">SUMIFS(Cadenas_vs_FCST!$E$17:$E$2437,Cadenas_vs_FCST!$A$17:$A$2437,A277)</f>
        <v>0</v>
      </c>
      <c r="U277" s="24" t="str">
        <f aca="false">IF(T277&gt;0,S277/T277-1,"")</f>
        <v/>
      </c>
      <c r="V277" s="3" t="str">
        <f aca="false">IF(OR(E277="BAJO SS",E277="BAJO SS (XLIB CUBRE)"),"SÍ","")</f>
        <v/>
      </c>
      <c r="W277" s="3" t="str">
        <f aca="false">IF(AND(V277="",N(L277)&gt;=Parametros!$B$17,G277&gt;=H277,R277&lt;H277),"SÍ","")</f>
        <v/>
      </c>
      <c r="X277" s="3" t="str">
        <f aca="false">IF(OR(E277="SOBRE MAX VENDIBLE",N(N277)&gt;=Parametros!$B$17,N(M277)&gt;=Parametros!$B$17),"SÍ","")</f>
        <v>SÍ</v>
      </c>
      <c r="Y277" s="3" t="str">
        <f aca="false">IF(AND(ISNUMBER(U277),MAX(S277,T277)&gt;=Parametros!$B$15,ABS(N(U277))&gt;Parametros!$B$14),"SÍ","")</f>
        <v/>
      </c>
      <c r="Z277" s="3" t="n">
        <f aca="false">COUNTIF(V277:Y277,"SÍ")</f>
        <v>1</v>
      </c>
      <c r="AA277" s="3" t="n">
        <f aca="false">(3*(V277="SÍ")+2*(W277="SÍ")+2*(X277="SÍ")+(Y277="SÍ"))*IF(LEFT(D277,1)="A",3,IF(OR(LEFT(D277,1)="B",D277="SIN HIST"),2,1))</f>
        <v>4</v>
      </c>
      <c r="AB277" s="3" t="str">
        <f aca="false">IF(AA277&gt;=9,"1-ALTA",IF(AA277&gt;=4,"2-MEDIA",IF(AA277&gt;0,"3-BAJA","")))</f>
        <v>2-MEDIA</v>
      </c>
      <c r="AC277" s="3" t="str">
        <f aca="false">IF(E277="BAJO SS","Stock + XLIB bajo el SS: riesgo real de quiebre, adelantar producción. ","")&amp;IF(E277="BAJO SS (XLIB CUBRE)","Disponible bajo el SS; depende de liberar "&amp;TEXT(J277,"#,##0")&amp;" kg"&amp;IF(ISNUMBER(K277)," el "&amp;TEXT(K277,"dd-mm"),"")&amp;". ","")&amp;IF(W277="SÍ","Stock parece sano pero "&amp;TEXT(L277,"#,##0")&amp;" kg no pasan filtro "&amp;Stock_Seguridad!O277&amp;": sin ellos queda bajo el SS para esa cadena. ","")&amp;IF(E277="SOBRE MAX VENDIBLE","Sobrestock vs vida útil: frenar producción/activar venta. ","")&amp;IF(N(N277)&gt;=Parametros!$B$17,TEXT(N277,"#,##0")&amp;" kg ya no los acepta ninguna cadena: venta intermedia/liquidación. ","")&amp;IF(N(M277)&gt;=Parametros!$B$17,TEXT(M277,"#,##0")&amp;" kg a punto de salir del filtro: despachar primero (FEFO). ","")&amp;IF(Y277="SÍ","Pedidos "&amp;IF(N(U277)&gt;0,"sobre","bajo")&amp;" FCST "&amp;TEXT(ABS(N(U277)),"0%")&amp;": revisar forecast con KAM.","")</f>
        <v>2,292 kg a punto de salir del filtro: despachar primero (FEFO). </v>
      </c>
    </row>
    <row r="278" customFormat="false" ht="15" hidden="false" customHeight="false" outlineLevel="0" collapsed="false">
      <c r="A278" s="18" t="n">
        <f aca="false">Stock_Seguridad!A278</f>
        <v>30001992</v>
      </c>
      <c r="B278" s="18" t="str">
        <f aca="false">Stock_Seguridad!B278</f>
        <v>LECHE LONCOLECHE BREAK CARAMEL 12X1LT</v>
      </c>
      <c r="C278" s="18" t="str">
        <f aca="false">Stock_Seguridad!C278</f>
        <v>LECHES LIQUIDAS</v>
      </c>
      <c r="D278" s="18" t="str">
        <f aca="false">Stock_Seguridad!F278</f>
        <v>CX</v>
      </c>
      <c r="E278" s="19" t="str">
        <f aca="false">Stock_Seguridad!X278</f>
        <v>OK</v>
      </c>
      <c r="F278" s="20" t="n">
        <f aca="false">Stock_Seguridad!W278</f>
        <v>6.11402157164869</v>
      </c>
      <c r="G278" s="21" t="n">
        <f aca="false">Stock_Seguridad!T278</f>
        <v>9468</v>
      </c>
      <c r="H278" s="21" t="n">
        <f aca="false">Stock_Seguridad!R278</f>
        <v>1430.02712891212</v>
      </c>
      <c r="I278" s="21" t="n">
        <f aca="false">Stock_Seguridad!S278</f>
        <v>5324.02712891212</v>
      </c>
      <c r="J278" s="21" t="n">
        <f aca="false">Stock_Seguridad!U278</f>
        <v>14340</v>
      </c>
      <c r="K278" s="22" t="n">
        <v>46317</v>
      </c>
      <c r="L278" s="23" t="n">
        <v>576</v>
      </c>
      <c r="M278" s="23" t="n">
        <v>444</v>
      </c>
      <c r="N278" s="23" t="n">
        <v>348</v>
      </c>
      <c r="O278" s="24" t="n">
        <v>0.0666885080645161</v>
      </c>
      <c r="P278" s="24" t="n">
        <f aca="false">IF(ISNUMBER(Stock_Seguridad!N278),Stock_Seguridad!N278,"")</f>
        <v>0.268</v>
      </c>
      <c r="Q278" s="24" t="n">
        <f aca="false">IF(AND(ISNUMBER(O278),ISNUMBER(P278)),P278-O278,"")</f>
        <v>0.201311491935484</v>
      </c>
      <c r="R278" s="23" t="n">
        <f aca="false">MAX(0,G278-N(L278))</f>
        <v>8892</v>
      </c>
      <c r="S278" s="23" t="n">
        <f aca="false">SUMIFS(Cadenas_vs_FCST!$D$17:$D$2437,Cadenas_vs_FCST!$A$17:$A$2437,A278)</f>
        <v>8880</v>
      </c>
      <c r="T278" s="23" t="n">
        <f aca="false">SUMIFS(Cadenas_vs_FCST!$E$17:$E$2437,Cadenas_vs_FCST!$A$17:$A$2437,A278)</f>
        <v>12493.5554448211</v>
      </c>
      <c r="U278" s="24" t="n">
        <f aca="false">IF(T278&gt;0,S278/T278-1,"")</f>
        <v>-0.289233554113612</v>
      </c>
      <c r="V278" s="3" t="str">
        <f aca="false">IF(OR(E278="BAJO SS",E278="BAJO SS (XLIB CUBRE)"),"SÍ","")</f>
        <v/>
      </c>
      <c r="W278" s="3" t="str">
        <f aca="false">IF(AND(V278="",N(L278)&gt;=Parametros!$B$17,G278&gt;=H278,R278&lt;H278),"SÍ","")</f>
        <v/>
      </c>
      <c r="X278" s="3" t="str">
        <f aca="false">IF(OR(E278="SOBRE MAX VENDIBLE",N(N278)&gt;=Parametros!$B$17,N(M278)&gt;=Parametros!$B$17),"SÍ","")</f>
        <v/>
      </c>
      <c r="Y278" s="3" t="str">
        <f aca="false">IF(AND(ISNUMBER(U278),MAX(S278,T278)&gt;=Parametros!$B$15,ABS(N(U278))&gt;Parametros!$B$14),"SÍ","")</f>
        <v>SÍ</v>
      </c>
      <c r="Z278" s="3" t="n">
        <f aca="false">COUNTIF(V278:Y278,"SÍ")</f>
        <v>1</v>
      </c>
      <c r="AA278" s="3" t="n">
        <f aca="false">(3*(V278="SÍ")+2*(W278="SÍ")+2*(X278="SÍ")+(Y278="SÍ"))*IF(LEFT(D278,1)="A",3,IF(OR(LEFT(D278,1)="B",D278="SIN HIST"),2,1))</f>
        <v>1</v>
      </c>
      <c r="AB278" s="3" t="str">
        <f aca="false">IF(AA278&gt;=9,"1-ALTA",IF(AA278&gt;=4,"2-MEDIA",IF(AA278&gt;0,"3-BAJA","")))</f>
        <v>3-BAJA</v>
      </c>
      <c r="AC278" s="3" t="str">
        <f aca="false">IF(E278="BAJO SS","Stock + XLIB bajo el SS: riesgo real de quiebre, adelantar producción. ","")&amp;IF(E278="BAJO SS (XLIB CUBRE)","Disponible bajo el SS; depende de liberar "&amp;TEXT(J278,"#,##0")&amp;" kg"&amp;IF(ISNUMBER(K278)," el "&amp;TEXT(K278,"dd-mm"),"")&amp;". ","")&amp;IF(W278="SÍ","Stock parece sano pero "&amp;TEXT(L278,"#,##0")&amp;" kg no pasan filtro "&amp;Stock_Seguridad!O278&amp;": sin ellos queda bajo el SS para esa cadena. ","")&amp;IF(E278="SOBRE MAX VENDIBLE","Sobrestock vs vida útil: frenar producción/activar venta. ","")&amp;IF(N(N278)&gt;=Parametros!$B$17,TEXT(N278,"#,##0")&amp;" kg ya no los acepta ninguna cadena: venta intermedia/liquidación. ","")&amp;IF(N(M278)&gt;=Parametros!$B$17,TEXT(M278,"#,##0")&amp;" kg a punto de salir del filtro: despachar primero (FEFO). ","")&amp;IF(Y278="SÍ","Pedidos "&amp;IF(N(U278)&gt;0,"sobre","bajo")&amp;" FCST "&amp;TEXT(ABS(N(U278)),"0%")&amp;": revisar forecast con KAM.","")</f>
        <v>Pedidos bajo FCST 29%: revisar forecast con KAM.</v>
      </c>
    </row>
    <row r="279" customFormat="false" ht="15" hidden="false" customHeight="false" outlineLevel="0" collapsed="false">
      <c r="A279" s="18" t="n">
        <f aca="false">Stock_Seguridad!A279</f>
        <v>30000252</v>
      </c>
      <c r="B279" s="18" t="str">
        <f aca="false">Stock_Seguridad!B279</f>
        <v>NECTAR WATTS SELECCION FRAMBUESA 6X1LT</v>
      </c>
      <c r="C279" s="18" t="str">
        <f aca="false">Stock_Seguridad!C279</f>
        <v>JUGOS Y NECTARES</v>
      </c>
      <c r="D279" s="18" t="str">
        <f aca="false">Stock_Seguridad!F279</f>
        <v>BX</v>
      </c>
      <c r="E279" s="19" t="str">
        <f aca="false">Stock_Seguridad!X279</f>
        <v>BAJO SS</v>
      </c>
      <c r="F279" s="20" t="n">
        <f aca="false">Stock_Seguridad!W279</f>
        <v>0.271908017402113</v>
      </c>
      <c r="G279" s="21" t="n">
        <f aca="false">Stock_Seguridad!T279</f>
        <v>1050</v>
      </c>
      <c r="H279" s="21" t="n">
        <f aca="false">Stock_Seguridad!R279</f>
        <v>2368.00671321178</v>
      </c>
      <c r="I279" s="21" t="n">
        <f aca="false">Stock_Seguridad!S279</f>
        <v>6229.60671321178</v>
      </c>
      <c r="J279" s="21" t="n">
        <f aca="false">Stock_Seguridad!U279</f>
        <v>0</v>
      </c>
      <c r="K279" s="22"/>
      <c r="L279" s="23" t="n">
        <v>96</v>
      </c>
      <c r="M279" s="23" t="n">
        <v>948</v>
      </c>
      <c r="N279" s="23" t="n">
        <v>96</v>
      </c>
      <c r="O279" s="24" t="n">
        <v>0.196666666666667</v>
      </c>
      <c r="P279" s="24" t="n">
        <f aca="false">IF(ISNUMBER(Stock_Seguridad!N279),Stock_Seguridad!N279,"")</f>
        <v>0.222222222222222</v>
      </c>
      <c r="Q279" s="24" t="n">
        <f aca="false">IF(AND(ISNUMBER(O279),ISNUMBER(P279)),P279-O279,"")</f>
        <v>0.0255555555555555</v>
      </c>
      <c r="R279" s="23" t="n">
        <f aca="false">MAX(0,G279-N(L279))</f>
        <v>954</v>
      </c>
      <c r="S279" s="23" t="n">
        <f aca="false">SUMIFS(Cadenas_vs_FCST!$D$17:$D$2437,Cadenas_vs_FCST!$A$17:$A$2437,A279)</f>
        <v>16506</v>
      </c>
      <c r="T279" s="23" t="n">
        <f aca="false">SUMIFS(Cadenas_vs_FCST!$E$17:$E$2437,Cadenas_vs_FCST!$A$17:$A$2437,A279)</f>
        <v>10448.8644777834</v>
      </c>
      <c r="U279" s="24" t="n">
        <f aca="false">IF(T279&gt;0,S279/T279-1,"")</f>
        <v>0.579693184373799</v>
      </c>
      <c r="V279" s="3" t="str">
        <f aca="false">IF(OR(E279="BAJO SS",E279="BAJO SS (XLIB CUBRE)"),"SÍ","")</f>
        <v>SÍ</v>
      </c>
      <c r="W279" s="3" t="str">
        <f aca="false">IF(AND(V279="",N(L279)&gt;=Parametros!$B$17,G279&gt;=H279,R279&lt;H279),"SÍ","")</f>
        <v/>
      </c>
      <c r="X279" s="3" t="str">
        <f aca="false">IF(OR(E279="SOBRE MAX VENDIBLE",N(N279)&gt;=Parametros!$B$17,N(M279)&gt;=Parametros!$B$17),"SÍ","")</f>
        <v>SÍ</v>
      </c>
      <c r="Y279" s="3" t="str">
        <f aca="false">IF(AND(ISNUMBER(U279),MAX(S279,T279)&gt;=Parametros!$B$15,ABS(N(U279))&gt;Parametros!$B$14),"SÍ","")</f>
        <v>SÍ</v>
      </c>
      <c r="Z279" s="3" t="n">
        <f aca="false">COUNTIF(V279:Y279,"SÍ")</f>
        <v>3</v>
      </c>
      <c r="AA279" s="3" t="n">
        <f aca="false">(3*(V279="SÍ")+2*(W279="SÍ")+2*(X279="SÍ")+(Y279="SÍ"))*IF(LEFT(D279,1)="A",3,IF(OR(LEFT(D279,1)="B",D279="SIN HIST"),2,1))</f>
        <v>12</v>
      </c>
      <c r="AB279" s="3" t="str">
        <f aca="false">IF(AA279&gt;=9,"1-ALTA",IF(AA279&gt;=4,"2-MEDIA",IF(AA279&gt;0,"3-BAJA","")))</f>
        <v>1-ALTA</v>
      </c>
      <c r="AC279" s="3" t="str">
        <f aca="false">IF(E279="BAJO SS","Stock + XLIB bajo el SS: riesgo real de quiebre, adelantar producción. ","")&amp;IF(E279="BAJO SS (XLIB CUBRE)","Disponible bajo el SS; depende de liberar "&amp;TEXT(J279,"#,##0")&amp;" kg"&amp;IF(ISNUMBER(K279)," el "&amp;TEXT(K279,"dd-mm"),"")&amp;". ","")&amp;IF(W279="SÍ","Stock parece sano pero "&amp;TEXT(L279,"#,##0")&amp;" kg no pasan filtro "&amp;Stock_Seguridad!O279&amp;": sin ellos queda bajo el SS para esa cadena. ","")&amp;IF(E279="SOBRE MAX VENDIBLE","Sobrestock vs vida útil: frenar producción/activar venta. ","")&amp;IF(N(N279)&gt;=Parametros!$B$17,TEXT(N279,"#,##0")&amp;" kg ya no los acepta ninguna cadena: venta intermedia/liquidación. ","")&amp;IF(N(M279)&gt;=Parametros!$B$17,TEXT(M279,"#,##0")&amp;" kg a punto de salir del filtro: despachar primero (FEFO). ","")&amp;IF(Y279="SÍ","Pedidos "&amp;IF(N(U279)&gt;0,"sobre","bajo")&amp;" FCST "&amp;TEXT(ABS(N(U279)),"0%")&amp;": revisar forecast con KAM.","")</f>
        <v>Stock + XLIB bajo el SS: riesgo real de quiebre, adelantar producción. 948 kg a punto de salir del filtro: despachar primero (FEFO). Pedidos sobre FCST 58%: revisar forecast con KAM.</v>
      </c>
    </row>
    <row r="280" customFormat="false" ht="15" hidden="false" customHeight="false" outlineLevel="0" collapsed="false">
      <c r="A280" s="18" t="n">
        <f aca="false">Stock_Seguridad!A280</f>
        <v>30000121</v>
      </c>
      <c r="B280" s="18" t="str">
        <f aca="false">Stock_Seguridad!B280</f>
        <v>MARGARINA CONDESA HOJA BLANCA 1X20KG</v>
      </c>
      <c r="C280" s="18" t="str">
        <f aca="false">Stock_Seguridad!C280</f>
        <v>MARGARINAS</v>
      </c>
      <c r="D280" s="18" t="str">
        <f aca="false">Stock_Seguridad!F280</f>
        <v>SIN HIST</v>
      </c>
      <c r="E280" s="19" t="str">
        <f aca="false">Stock_Seguridad!X280</f>
        <v>BAJO SS</v>
      </c>
      <c r="F280" s="20" t="n">
        <f aca="false">Stock_Seguridad!W280</f>
        <v>0.0884656415059975</v>
      </c>
      <c r="G280" s="21" t="n">
        <f aca="false">Stock_Seguridad!T280</f>
        <v>340</v>
      </c>
      <c r="H280" s="21" t="n">
        <f aca="false">Stock_Seguridad!R280</f>
        <v>1896.49978333878</v>
      </c>
      <c r="I280" s="21" t="n">
        <f aca="false">Stock_Seguridad!S280</f>
        <v>5739.79978333878</v>
      </c>
      <c r="J280" s="21" t="n">
        <f aca="false">Stock_Seguridad!U280</f>
        <v>0</v>
      </c>
      <c r="K280" s="22"/>
      <c r="L280" s="23" t="n">
        <v>0</v>
      </c>
      <c r="M280" s="23" t="n">
        <v>0</v>
      </c>
      <c r="N280" s="23" t="n">
        <v>0</v>
      </c>
      <c r="O280" s="24" t="n">
        <v>0.04</v>
      </c>
      <c r="P280" s="24" t="n">
        <f aca="false">IF(ISNUMBER(Stock_Seguridad!N280),Stock_Seguridad!N280,"")</f>
        <v>0.272131147540984</v>
      </c>
      <c r="Q280" s="24" t="n">
        <f aca="false">IF(AND(ISNUMBER(O280),ISNUMBER(P280)),P280-O280,"")</f>
        <v>0.232131147540984</v>
      </c>
      <c r="R280" s="23" t="n">
        <f aca="false">MAX(0,G280-N(L280))</f>
        <v>340</v>
      </c>
      <c r="S280" s="23" t="n">
        <f aca="false">SUMIFS(Cadenas_vs_FCST!$D$17:$D$2437,Cadenas_vs_FCST!$A$17:$A$2437,A280)</f>
        <v>0</v>
      </c>
      <c r="T280" s="23" t="n">
        <f aca="false">SUMIFS(Cadenas_vs_FCST!$E$17:$E$2437,Cadenas_vs_FCST!$A$17:$A$2437,A280)</f>
        <v>0</v>
      </c>
      <c r="U280" s="24" t="str">
        <f aca="false">IF(T280&gt;0,S280/T280-1,"")</f>
        <v/>
      </c>
      <c r="V280" s="3" t="str">
        <f aca="false">IF(OR(E280="BAJO SS",E280="BAJO SS (XLIB CUBRE)"),"SÍ","")</f>
        <v>SÍ</v>
      </c>
      <c r="W280" s="3" t="str">
        <f aca="false">IF(AND(V280="",N(L280)&gt;=Parametros!$B$17,G280&gt;=H280,R280&lt;H280),"SÍ","")</f>
        <v/>
      </c>
      <c r="X280" s="3" t="str">
        <f aca="false">IF(OR(E280="SOBRE MAX VENDIBLE",N(N280)&gt;=Parametros!$B$17,N(M280)&gt;=Parametros!$B$17),"SÍ","")</f>
        <v/>
      </c>
      <c r="Y280" s="3" t="str">
        <f aca="false">IF(AND(ISNUMBER(U280),MAX(S280,T280)&gt;=Parametros!$B$15,ABS(N(U280))&gt;Parametros!$B$14),"SÍ","")</f>
        <v/>
      </c>
      <c r="Z280" s="3" t="n">
        <f aca="false">COUNTIF(V280:Y280,"SÍ")</f>
        <v>1</v>
      </c>
      <c r="AA280" s="3" t="n">
        <f aca="false">(3*(V280="SÍ")+2*(W280="SÍ")+2*(X280="SÍ")+(Y280="SÍ"))*IF(LEFT(D280,1)="A",3,IF(OR(LEFT(D280,1)="B",D280="SIN HIST"),2,1))</f>
        <v>6</v>
      </c>
      <c r="AB280" s="3" t="str">
        <f aca="false">IF(AA280&gt;=9,"1-ALTA",IF(AA280&gt;=4,"2-MEDIA",IF(AA280&gt;0,"3-BAJA","")))</f>
        <v>2-MEDIA</v>
      </c>
      <c r="AC280" s="3" t="str">
        <f aca="false">IF(E280="BAJO SS","Stock + XLIB bajo el SS: riesgo real de quiebre, adelantar producción. ","")&amp;IF(E280="BAJO SS (XLIB CUBRE)","Disponible bajo el SS; depende de liberar "&amp;TEXT(J280,"#,##0")&amp;" kg"&amp;IF(ISNUMBER(K280)," el "&amp;TEXT(K280,"dd-mm"),"")&amp;". ","")&amp;IF(W280="SÍ","Stock parece sano pero "&amp;TEXT(L280,"#,##0")&amp;" kg no pasan filtro "&amp;Stock_Seguridad!O280&amp;": sin ellos queda bajo el SS para esa cadena. ","")&amp;IF(E280="SOBRE MAX VENDIBLE","Sobrestock vs vida útil: frenar producción/activar venta. ","")&amp;IF(N(N280)&gt;=Parametros!$B$17,TEXT(N280,"#,##0")&amp;" kg ya no los acepta ninguna cadena: venta intermedia/liquidación. ","")&amp;IF(N(M280)&gt;=Parametros!$B$17,TEXT(M280,"#,##0")&amp;" kg a punto de salir del filtro: despachar primero (FEFO). ","")&amp;IF(Y280="SÍ","Pedidos "&amp;IF(N(U280)&gt;0,"sobre","bajo")&amp;" FCST "&amp;TEXT(ABS(N(U280)),"0%")&amp;": revisar forecast con KAM.","")</f>
        <v>Stock + XLIB bajo el SS: riesgo real de quiebre, adelantar producción. </v>
      </c>
    </row>
    <row r="281" customFormat="false" ht="15" hidden="false" customHeight="false" outlineLevel="0" collapsed="false">
      <c r="A281" s="18" t="n">
        <f aca="false">Stock_Seguridad!A281</f>
        <v>30000246</v>
      </c>
      <c r="B281" s="18" t="str">
        <f aca="false">Stock_Seguridad!B281</f>
        <v>NECTAR WATTS DURAZNO 12X1LT</v>
      </c>
      <c r="C281" s="18" t="str">
        <f aca="false">Stock_Seguridad!C281</f>
        <v>JUGOS Y NECTARES</v>
      </c>
      <c r="D281" s="18" t="str">
        <f aca="false">Stock_Seguridad!F281</f>
        <v>BX</v>
      </c>
      <c r="E281" s="19" t="str">
        <f aca="false">Stock_Seguridad!X281</f>
        <v>OK</v>
      </c>
      <c r="F281" s="20" t="n">
        <f aca="false">Stock_Seguridad!W281</f>
        <v>3.77725490196078</v>
      </c>
      <c r="G281" s="21" t="n">
        <f aca="false">Stock_Seguridad!T281</f>
        <v>14448</v>
      </c>
      <c r="H281" s="21" t="n">
        <f aca="false">Stock_Seguridad!R281</f>
        <v>1664.07554368958</v>
      </c>
      <c r="I281" s="21" t="n">
        <f aca="false">Stock_Seguridad!S281</f>
        <v>5489.07554368958</v>
      </c>
      <c r="J281" s="21" t="n">
        <f aca="false">Stock_Seguridad!U281</f>
        <v>0</v>
      </c>
      <c r="K281" s="22"/>
      <c r="L281" s="23" t="n">
        <v>0</v>
      </c>
      <c r="M281" s="23" t="n">
        <v>0</v>
      </c>
      <c r="N281" s="23" t="n">
        <v>0</v>
      </c>
      <c r="O281" s="24" t="n">
        <v>0.0334053156146179</v>
      </c>
      <c r="P281" s="24" t="n">
        <f aca="false">IF(ISNUMBER(Stock_Seguridad!N281),Stock_Seguridad!N281,"")</f>
        <v>0.194520547945206</v>
      </c>
      <c r="Q281" s="24" t="n">
        <f aca="false">IF(AND(ISNUMBER(O281),ISNUMBER(P281)),P281-O281,"")</f>
        <v>0.161115232330588</v>
      </c>
      <c r="R281" s="23" t="n">
        <f aca="false">MAX(0,G281-N(L281))</f>
        <v>14448</v>
      </c>
      <c r="S281" s="23" t="n">
        <f aca="false">SUMIFS(Cadenas_vs_FCST!$D$17:$D$2437,Cadenas_vs_FCST!$A$17:$A$2437,A281)</f>
        <v>12504</v>
      </c>
      <c r="T281" s="23" t="n">
        <f aca="false">SUMIFS(Cadenas_vs_FCST!$E$17:$E$2437,Cadenas_vs_FCST!$A$17:$A$2437,A281)</f>
        <v>16459.391560395</v>
      </c>
      <c r="U281" s="24" t="n">
        <f aca="false">IF(T281&gt;0,S281/T281-1,"")</f>
        <v>-0.240312137048403</v>
      </c>
      <c r="V281" s="3" t="str">
        <f aca="false">IF(OR(E281="BAJO SS",E281="BAJO SS (XLIB CUBRE)"),"SÍ","")</f>
        <v/>
      </c>
      <c r="W281" s="3" t="str">
        <f aca="false">IF(AND(V281="",N(L281)&gt;=Parametros!$B$17,G281&gt;=H281,R281&lt;H281),"SÍ","")</f>
        <v/>
      </c>
      <c r="X281" s="3" t="str">
        <f aca="false">IF(OR(E281="SOBRE MAX VENDIBLE",N(N281)&gt;=Parametros!$B$17,N(M281)&gt;=Parametros!$B$17),"SÍ","")</f>
        <v/>
      </c>
      <c r="Y281" s="3" t="str">
        <f aca="false">IF(AND(ISNUMBER(U281),MAX(S281,T281)&gt;=Parametros!$B$15,ABS(N(U281))&gt;Parametros!$B$14),"SÍ","")</f>
        <v>SÍ</v>
      </c>
      <c r="Z281" s="3" t="n">
        <f aca="false">COUNTIF(V281:Y281,"SÍ")</f>
        <v>1</v>
      </c>
      <c r="AA281" s="3" t="n">
        <f aca="false">(3*(V281="SÍ")+2*(W281="SÍ")+2*(X281="SÍ")+(Y281="SÍ"))*IF(LEFT(D281,1)="A",3,IF(OR(LEFT(D281,1)="B",D281="SIN HIST"),2,1))</f>
        <v>2</v>
      </c>
      <c r="AB281" s="3" t="str">
        <f aca="false">IF(AA281&gt;=9,"1-ALTA",IF(AA281&gt;=4,"2-MEDIA",IF(AA281&gt;0,"3-BAJA","")))</f>
        <v>3-BAJA</v>
      </c>
      <c r="AC281" s="3" t="str">
        <f aca="false">IF(E281="BAJO SS","Stock + XLIB bajo el SS: riesgo real de quiebre, adelantar producción. ","")&amp;IF(E281="BAJO SS (XLIB CUBRE)","Disponible bajo el SS; depende de liberar "&amp;TEXT(J281,"#,##0")&amp;" kg"&amp;IF(ISNUMBER(K281)," el "&amp;TEXT(K281,"dd-mm"),"")&amp;". ","")&amp;IF(W281="SÍ","Stock parece sano pero "&amp;TEXT(L281,"#,##0")&amp;" kg no pasan filtro "&amp;Stock_Seguridad!O281&amp;": sin ellos queda bajo el SS para esa cadena. ","")&amp;IF(E281="SOBRE MAX VENDIBLE","Sobrestock vs vida útil: frenar producción/activar venta. ","")&amp;IF(N(N281)&gt;=Parametros!$B$17,TEXT(N281,"#,##0")&amp;" kg ya no los acepta ninguna cadena: venta intermedia/liquidación. ","")&amp;IF(N(M281)&gt;=Parametros!$B$17,TEXT(M281,"#,##0")&amp;" kg a punto de salir del filtro: despachar primero (FEFO). ","")&amp;IF(Y281="SÍ","Pedidos "&amp;IF(N(U281)&gt;0,"sobre","bajo")&amp;" FCST "&amp;TEXT(ABS(N(U281)),"0%")&amp;": revisar forecast con KAM.","")</f>
        <v>Pedidos bajo FCST 24%: revisar forecast con KAM.</v>
      </c>
    </row>
    <row r="282" customFormat="false" ht="15" hidden="false" customHeight="false" outlineLevel="0" collapsed="false">
      <c r="A282" s="18" t="n">
        <f aca="false">Stock_Seguridad!A282</f>
        <v>30000177</v>
      </c>
      <c r="B282" s="18" t="str">
        <f aca="false">Stock_Seguridad!B282</f>
        <v>MERMELADA WATTS S/A DSCO SACHET 24X200GR</v>
      </c>
      <c r="C282" s="18" t="str">
        <f aca="false">Stock_Seguridad!C282</f>
        <v>MERMELADAS</v>
      </c>
      <c r="D282" s="18" t="str">
        <f aca="false">Stock_Seguridad!F282</f>
        <v>BX</v>
      </c>
      <c r="E282" s="19" t="str">
        <f aca="false">Stock_Seguridad!X282</f>
        <v>OK</v>
      </c>
      <c r="F282" s="20" t="n">
        <f aca="false">Stock_Seguridad!W282</f>
        <v>4.61441743503772</v>
      </c>
      <c r="G282" s="21" t="n">
        <f aca="false">Stock_Seguridad!T282</f>
        <v>17616</v>
      </c>
      <c r="H282" s="21" t="n">
        <f aca="false">Stock_Seguridad!R282</f>
        <v>1699.23590340186</v>
      </c>
      <c r="I282" s="21" t="n">
        <f aca="false">Stock_Seguridad!S282</f>
        <v>5516.83590340186</v>
      </c>
      <c r="J282" s="21" t="n">
        <f aca="false">Stock_Seguridad!U282</f>
        <v>0</v>
      </c>
      <c r="K282" s="22"/>
      <c r="L282" s="23" t="n">
        <v>139.2</v>
      </c>
      <c r="M282" s="23" t="n">
        <v>5361.6</v>
      </c>
      <c r="N282" s="23" t="n">
        <v>0</v>
      </c>
      <c r="O282" s="24" t="n">
        <v>0.109986372308531</v>
      </c>
      <c r="P282" s="24" t="n">
        <f aca="false">IF(ISNUMBER(Stock_Seguridad!N282),Stock_Seguridad!N282,"")</f>
        <v>0.28804347826087</v>
      </c>
      <c r="Q282" s="24" t="n">
        <f aca="false">IF(AND(ISNUMBER(O282),ISNUMBER(P282)),P282-O282,"")</f>
        <v>0.178057105952339</v>
      </c>
      <c r="R282" s="23" t="n">
        <f aca="false">MAX(0,G282-N(L282))</f>
        <v>17476.8</v>
      </c>
      <c r="S282" s="23" t="n">
        <f aca="false">SUMIFS(Cadenas_vs_FCST!$D$17:$D$2437,Cadenas_vs_FCST!$A$17:$A$2437,A282)</f>
        <v>11985.6</v>
      </c>
      <c r="T282" s="23" t="n">
        <f aca="false">SUMIFS(Cadenas_vs_FCST!$E$17:$E$2437,Cadenas_vs_FCST!$A$17:$A$2437,A282)</f>
        <v>14465.9563672588</v>
      </c>
      <c r="U282" s="24" t="n">
        <f aca="false">IF(T282&gt;0,S282/T282-1,"")</f>
        <v>-0.171461623710735</v>
      </c>
      <c r="V282" s="3" t="str">
        <f aca="false">IF(OR(E282="BAJO SS",E282="BAJO SS (XLIB CUBRE)"),"SÍ","")</f>
        <v/>
      </c>
      <c r="W282" s="3" t="str">
        <f aca="false">IF(AND(V282="",N(L282)&gt;=Parametros!$B$17,G282&gt;=H282,R282&lt;H282),"SÍ","")</f>
        <v/>
      </c>
      <c r="X282" s="3" t="str">
        <f aca="false">IF(OR(E282="SOBRE MAX VENDIBLE",N(N282)&gt;=Parametros!$B$17,N(M282)&gt;=Parametros!$B$17),"SÍ","")</f>
        <v>SÍ</v>
      </c>
      <c r="Y282" s="3" t="str">
        <f aca="false">IF(AND(ISNUMBER(U282),MAX(S282,T282)&gt;=Parametros!$B$15,ABS(N(U282))&gt;Parametros!$B$14),"SÍ","")</f>
        <v/>
      </c>
      <c r="Z282" s="3" t="n">
        <f aca="false">COUNTIF(V282:Y282,"SÍ")</f>
        <v>1</v>
      </c>
      <c r="AA282" s="3" t="n">
        <f aca="false">(3*(V282="SÍ")+2*(W282="SÍ")+2*(X282="SÍ")+(Y282="SÍ"))*IF(LEFT(D282,1)="A",3,IF(OR(LEFT(D282,1)="B",D282="SIN HIST"),2,1))</f>
        <v>4</v>
      </c>
      <c r="AB282" s="3" t="str">
        <f aca="false">IF(AA282&gt;=9,"1-ALTA",IF(AA282&gt;=4,"2-MEDIA",IF(AA282&gt;0,"3-BAJA","")))</f>
        <v>2-MEDIA</v>
      </c>
      <c r="AC282" s="3" t="str">
        <f aca="false">IF(E282="BAJO SS","Stock + XLIB bajo el SS: riesgo real de quiebre, adelantar producción. ","")&amp;IF(E282="BAJO SS (XLIB CUBRE)","Disponible bajo el SS; depende de liberar "&amp;TEXT(J282,"#,##0")&amp;" kg"&amp;IF(ISNUMBER(K282)," el "&amp;TEXT(K282,"dd-mm"),"")&amp;". ","")&amp;IF(W282="SÍ","Stock parece sano pero "&amp;TEXT(L282,"#,##0")&amp;" kg no pasan filtro "&amp;Stock_Seguridad!O282&amp;": sin ellos queda bajo el SS para esa cadena. ","")&amp;IF(E282="SOBRE MAX VENDIBLE","Sobrestock vs vida útil: frenar producción/activar venta. ","")&amp;IF(N(N282)&gt;=Parametros!$B$17,TEXT(N282,"#,##0")&amp;" kg ya no los acepta ninguna cadena: venta intermedia/liquidación. ","")&amp;IF(N(M282)&gt;=Parametros!$B$17,TEXT(M282,"#,##0")&amp;" kg a punto de salir del filtro: despachar primero (FEFO). ","")&amp;IF(Y282="SÍ","Pedidos "&amp;IF(N(U282)&gt;0,"sobre","bajo")&amp;" FCST "&amp;TEXT(ABS(N(U282)),"0%")&amp;": revisar forecast con KAM.","")</f>
        <v>5,362 kg a punto de salir del filtro: despachar primero (FEFO). </v>
      </c>
    </row>
    <row r="283" customFormat="false" ht="15" hidden="false" customHeight="false" outlineLevel="0" collapsed="false">
      <c r="A283" s="18" t="n">
        <f aca="false">Stock_Seguridad!A283</f>
        <v>30000822</v>
      </c>
      <c r="B283" s="18" t="str">
        <f aca="false">Stock_Seguridad!B283</f>
        <v>DURAZNOS SLICE FM 6X2KG</v>
      </c>
      <c r="C283" s="18" t="str">
        <f aca="false">Stock_Seguridad!C283</f>
        <v>FRUTAS Y HORTALIZAS CONGELADAS</v>
      </c>
      <c r="D283" s="18" t="str">
        <f aca="false">Stock_Seguridad!F283</f>
        <v>SIN HIST</v>
      </c>
      <c r="E283" s="19" t="str">
        <f aca="false">Stock_Seguridad!X283</f>
        <v>OK</v>
      </c>
      <c r="F283" s="20" t="n">
        <f aca="false">Stock_Seguridad!W283</f>
        <v>11.2599354686393</v>
      </c>
      <c r="G283" s="21" t="n">
        <f aca="false">Stock_Seguridad!T283</f>
        <v>42924</v>
      </c>
      <c r="H283" s="21" t="n">
        <f aca="false">Stock_Seguridad!R283</f>
        <v>1881.10395339051</v>
      </c>
      <c r="I283" s="21" t="n">
        <f aca="false">Stock_Seguridad!S283</f>
        <v>5693.20395339051</v>
      </c>
      <c r="J283" s="21" t="n">
        <f aca="false">Stock_Seguridad!U283</f>
        <v>0</v>
      </c>
      <c r="K283" s="22"/>
      <c r="L283" s="23" t="n">
        <v>0</v>
      </c>
      <c r="M283" s="23" t="n">
        <v>0</v>
      </c>
      <c r="N283" s="23" t="n">
        <v>0</v>
      </c>
      <c r="O283" s="24" t="n">
        <v>0.164416961130742</v>
      </c>
      <c r="P283" s="24" t="str">
        <f aca="false">IF(ISNUMBER(Stock_Seguridad!N283),Stock_Seguridad!N283,"")</f>
        <v/>
      </c>
      <c r="Q283" s="24" t="str">
        <f aca="false">IF(AND(ISNUMBER(O283),ISNUMBER(P283)),P283-O283,"")</f>
        <v/>
      </c>
      <c r="R283" s="23" t="n">
        <f aca="false">MAX(0,G283-N(L283))</f>
        <v>42924</v>
      </c>
      <c r="S283" s="23" t="n">
        <f aca="false">SUMIFS(Cadenas_vs_FCST!$D$17:$D$2437,Cadenas_vs_FCST!$A$17:$A$2437,A283)</f>
        <v>0</v>
      </c>
      <c r="T283" s="23" t="n">
        <f aca="false">SUMIFS(Cadenas_vs_FCST!$E$17:$E$2437,Cadenas_vs_FCST!$A$17:$A$2437,A283)</f>
        <v>0</v>
      </c>
      <c r="U283" s="24" t="str">
        <f aca="false">IF(T283&gt;0,S283/T283-1,"")</f>
        <v/>
      </c>
      <c r="V283" s="3" t="str">
        <f aca="false">IF(OR(E283="BAJO SS",E283="BAJO SS (XLIB CUBRE)"),"SÍ","")</f>
        <v/>
      </c>
      <c r="W283" s="3" t="str">
        <f aca="false">IF(AND(V283="",N(L283)&gt;=Parametros!$B$17,G283&gt;=H283,R283&lt;H283),"SÍ","")</f>
        <v/>
      </c>
      <c r="X283" s="3" t="str">
        <f aca="false">IF(OR(E283="SOBRE MAX VENDIBLE",N(N283)&gt;=Parametros!$B$17,N(M283)&gt;=Parametros!$B$17),"SÍ","")</f>
        <v/>
      </c>
      <c r="Y283" s="3" t="str">
        <f aca="false">IF(AND(ISNUMBER(U283),MAX(S283,T283)&gt;=Parametros!$B$15,ABS(N(U283))&gt;Parametros!$B$14),"SÍ","")</f>
        <v/>
      </c>
      <c r="Z283" s="3" t="n">
        <f aca="false">COUNTIF(V283:Y283,"SÍ")</f>
        <v>0</v>
      </c>
      <c r="AA283" s="3" t="n">
        <f aca="false">(3*(V283="SÍ")+2*(W283="SÍ")+2*(X283="SÍ")+(Y283="SÍ"))*IF(LEFT(D283,1)="A",3,IF(OR(LEFT(D283,1)="B",D283="SIN HIST"),2,1))</f>
        <v>0</v>
      </c>
      <c r="AB283" s="3" t="str">
        <f aca="false">IF(AA283&gt;=9,"1-ALTA",IF(AA283&gt;=4,"2-MEDIA",IF(AA283&gt;0,"3-BAJA","")))</f>
        <v/>
      </c>
      <c r="AC283" s="3" t="str">
        <f aca="false">IF(E283="BAJO SS","Stock + XLIB bajo el SS: riesgo real de quiebre, adelantar producción. ","")&amp;IF(E283="BAJO SS (XLIB CUBRE)","Disponible bajo el SS; depende de liberar "&amp;TEXT(J283,"#,##0")&amp;" kg"&amp;IF(ISNUMBER(K283)," el "&amp;TEXT(K283,"dd-mm"),"")&amp;". ","")&amp;IF(W283="SÍ","Stock parece sano pero "&amp;TEXT(L283,"#,##0")&amp;" kg no pasan filtro "&amp;Stock_Seguridad!O283&amp;": sin ellos queda bajo el SS para esa cadena. ","")&amp;IF(E283="SOBRE MAX VENDIBLE","Sobrestock vs vida útil: frenar producción/activar venta. ","")&amp;IF(N(N283)&gt;=Parametros!$B$17,TEXT(N283,"#,##0")&amp;" kg ya no los acepta ninguna cadena: venta intermedia/liquidación. ","")&amp;IF(N(M283)&gt;=Parametros!$B$17,TEXT(M283,"#,##0")&amp;" kg a punto de salir del filtro: despachar primero (FEFO). ","")&amp;IF(Y283="SÍ","Pedidos "&amp;IF(N(U283)&gt;0,"sobre","bajo")&amp;" FCST "&amp;TEXT(ABS(N(U283)),"0%")&amp;": revisar forecast con KAM.","")</f>
        <v/>
      </c>
    </row>
    <row r="284" customFormat="false" ht="15" hidden="false" customHeight="false" outlineLevel="0" collapsed="false">
      <c r="A284" s="18" t="n">
        <f aca="false">Stock_Seguridad!A284</f>
        <v>30001883</v>
      </c>
      <c r="B284" s="18" t="str">
        <f aca="false">Stock_Seguridad!B284</f>
        <v>MERMELADA MEMBRILLO REGULAR 24X225GR</v>
      </c>
      <c r="C284" s="18" t="str">
        <f aca="false">Stock_Seguridad!C284</f>
        <v>MERMELADAS</v>
      </c>
      <c r="D284" s="18" t="str">
        <f aca="false">Stock_Seguridad!F284</f>
        <v>BX</v>
      </c>
      <c r="E284" s="19" t="str">
        <f aca="false">Stock_Seguridad!X284</f>
        <v>OK</v>
      </c>
      <c r="F284" s="20" t="n">
        <f aca="false">Stock_Seguridad!W284</f>
        <v>2.69241473468638</v>
      </c>
      <c r="G284" s="21" t="n">
        <f aca="false">Stock_Seguridad!T284</f>
        <v>10254.6</v>
      </c>
      <c r="H284" s="21" t="n">
        <f aca="false">Stock_Seguridad!R284</f>
        <v>2278.61969012588</v>
      </c>
      <c r="I284" s="21" t="n">
        <f aca="false">Stock_Seguridad!S284</f>
        <v>6087.31969012588</v>
      </c>
      <c r="J284" s="21" t="n">
        <f aca="false">Stock_Seguridad!U284</f>
        <v>0</v>
      </c>
      <c r="K284" s="22"/>
      <c r="L284" s="23" t="n">
        <v>27</v>
      </c>
      <c r="M284" s="23" t="n">
        <v>108</v>
      </c>
      <c r="N284" s="23" t="n">
        <v>0</v>
      </c>
      <c r="O284" s="24" t="n">
        <v>0.0811374407582938</v>
      </c>
      <c r="P284" s="24" t="n">
        <f aca="false">IF(ISNUMBER(Stock_Seguridad!N284),Stock_Seguridad!N284,"")</f>
        <v>0.194520547945206</v>
      </c>
      <c r="Q284" s="24" t="n">
        <f aca="false">IF(AND(ISNUMBER(O284),ISNUMBER(P284)),P284-O284,"")</f>
        <v>0.113383107186912</v>
      </c>
      <c r="R284" s="23" t="n">
        <f aca="false">MAX(0,G284-N(L284))</f>
        <v>10227.6</v>
      </c>
      <c r="S284" s="23" t="n">
        <f aca="false">SUMIFS(Cadenas_vs_FCST!$D$17:$D$2437,Cadenas_vs_FCST!$A$17:$A$2437,A284)</f>
        <v>12031.2</v>
      </c>
      <c r="T284" s="23" t="n">
        <f aca="false">SUMIFS(Cadenas_vs_FCST!$E$17:$E$2437,Cadenas_vs_FCST!$A$17:$A$2437,A284)</f>
        <v>12532.6358695652</v>
      </c>
      <c r="U284" s="24" t="n">
        <f aca="false">IF(T284&gt;0,S284/T284-1,"")</f>
        <v>-0.0400104076096973</v>
      </c>
      <c r="V284" s="3" t="str">
        <f aca="false">IF(OR(E284="BAJO SS",E284="BAJO SS (XLIB CUBRE)"),"SÍ","")</f>
        <v/>
      </c>
      <c r="W284" s="3" t="str">
        <f aca="false">IF(AND(V284="",N(L284)&gt;=Parametros!$B$17,G284&gt;=H284,R284&lt;H284),"SÍ","")</f>
        <v/>
      </c>
      <c r="X284" s="3" t="str">
        <f aca="false">IF(OR(E284="SOBRE MAX VENDIBLE",N(N284)&gt;=Parametros!$B$17,N(M284)&gt;=Parametros!$B$17),"SÍ","")</f>
        <v/>
      </c>
      <c r="Y284" s="3" t="str">
        <f aca="false">IF(AND(ISNUMBER(U284),MAX(S284,T284)&gt;=Parametros!$B$15,ABS(N(U284))&gt;Parametros!$B$14),"SÍ","")</f>
        <v/>
      </c>
      <c r="Z284" s="3" t="n">
        <f aca="false">COUNTIF(V284:Y284,"SÍ")</f>
        <v>0</v>
      </c>
      <c r="AA284" s="3" t="n">
        <f aca="false">(3*(V284="SÍ")+2*(W284="SÍ")+2*(X284="SÍ")+(Y284="SÍ"))*IF(LEFT(D284,1)="A",3,IF(OR(LEFT(D284,1)="B",D284="SIN HIST"),2,1))</f>
        <v>0</v>
      </c>
      <c r="AB284" s="3" t="str">
        <f aca="false">IF(AA284&gt;=9,"1-ALTA",IF(AA284&gt;=4,"2-MEDIA",IF(AA284&gt;0,"3-BAJA","")))</f>
        <v/>
      </c>
      <c r="AC284" s="3" t="str">
        <f aca="false">IF(E284="BAJO SS","Stock + XLIB bajo el SS: riesgo real de quiebre, adelantar producción. ","")&amp;IF(E284="BAJO SS (XLIB CUBRE)","Disponible bajo el SS; depende de liberar "&amp;TEXT(J284,"#,##0")&amp;" kg"&amp;IF(ISNUMBER(K284)," el "&amp;TEXT(K284,"dd-mm"),"")&amp;". ","")&amp;IF(W284="SÍ","Stock parece sano pero "&amp;TEXT(L284,"#,##0")&amp;" kg no pasan filtro "&amp;Stock_Seguridad!O284&amp;": sin ellos queda bajo el SS para esa cadena. ","")&amp;IF(E284="SOBRE MAX VENDIBLE","Sobrestock vs vida útil: frenar producción/activar venta. ","")&amp;IF(N(N284)&gt;=Parametros!$B$17,TEXT(N284,"#,##0")&amp;" kg ya no los acepta ninguna cadena: venta intermedia/liquidación. ","")&amp;IF(N(M284)&gt;=Parametros!$B$17,TEXT(M284,"#,##0")&amp;" kg a punto de salir del filtro: despachar primero (FEFO). ","")&amp;IF(Y284="SÍ","Pedidos "&amp;IF(N(U284)&gt;0,"sobre","bajo")&amp;" FCST "&amp;TEXT(ABS(N(U284)),"0%")&amp;": revisar forecast con KAM.","")</f>
        <v/>
      </c>
    </row>
    <row r="285" customFormat="false" ht="15" hidden="false" customHeight="false" outlineLevel="0" collapsed="false">
      <c r="A285" s="18" t="n">
        <f aca="false">Stock_Seguridad!A285</f>
        <v>30002090</v>
      </c>
      <c r="B285" s="18" t="str">
        <f aca="false">Stock_Seguridad!B285</f>
        <v>YOG FULL PRO LONCO PROTEIN NAT 12X150GR</v>
      </c>
      <c r="C285" s="18" t="str">
        <f aca="false">Stock_Seguridad!C285</f>
        <v>YOGURT</v>
      </c>
      <c r="D285" s="18" t="str">
        <f aca="false">Stock_Seguridad!F285</f>
        <v>AX</v>
      </c>
      <c r="E285" s="19" t="str">
        <f aca="false">Stock_Seguridad!X285</f>
        <v>BAJO P.REORDEN</v>
      </c>
      <c r="F285" s="20" t="n">
        <f aca="false">Stock_Seguridad!W285</f>
        <v>1.10355511211469</v>
      </c>
      <c r="G285" s="21" t="n">
        <f aca="false">Stock_Seguridad!T285</f>
        <v>4203</v>
      </c>
      <c r="H285" s="21" t="n">
        <f aca="false">Stock_Seguridad!R285</f>
        <v>2176.34285714286</v>
      </c>
      <c r="I285" s="21" t="n">
        <f aca="false">Stock_Seguridad!S285</f>
        <v>5984.94285714286</v>
      </c>
      <c r="J285" s="21" t="n">
        <f aca="false">Stock_Seguridad!U285</f>
        <v>0</v>
      </c>
      <c r="K285" s="22"/>
      <c r="L285" s="23" t="n">
        <v>0</v>
      </c>
      <c r="M285" s="23" t="n">
        <v>237.6</v>
      </c>
      <c r="N285" s="23" t="n">
        <v>0</v>
      </c>
      <c r="O285" s="24" t="n">
        <v>0.037914346895075</v>
      </c>
      <c r="P285" s="24" t="n">
        <f aca="false">IF(ISNUMBER(Stock_Seguridad!N285),Stock_Seguridad!N285,"")</f>
        <v>0.183333333333333</v>
      </c>
      <c r="Q285" s="24" t="n">
        <f aca="false">IF(AND(ISNUMBER(O285),ISNUMBER(P285)),P285-O285,"")</f>
        <v>0.145418986438258</v>
      </c>
      <c r="R285" s="23" t="n">
        <f aca="false">MAX(0,G285-N(L285))</f>
        <v>4203</v>
      </c>
      <c r="S285" s="23" t="n">
        <f aca="false">SUMIFS(Cadenas_vs_FCST!$D$17:$D$2437,Cadenas_vs_FCST!$A$17:$A$2437,A285)</f>
        <v>34612.2</v>
      </c>
      <c r="T285" s="23" t="n">
        <f aca="false">SUMIFS(Cadenas_vs_FCST!$E$17:$E$2437,Cadenas_vs_FCST!$A$17:$A$2437,A285)</f>
        <v>16526.7682189154</v>
      </c>
      <c r="U285" s="24" t="n">
        <f aca="false">IF(T285&gt;0,S285/T285-1,"")</f>
        <v>1.09431145530227</v>
      </c>
      <c r="V285" s="3" t="str">
        <f aca="false">IF(OR(E285="BAJO SS",E285="BAJO SS (XLIB CUBRE)"),"SÍ","")</f>
        <v/>
      </c>
      <c r="W285" s="3" t="str">
        <f aca="false">IF(AND(V285="",N(L285)&gt;=Parametros!$B$17,G285&gt;=H285,R285&lt;H285),"SÍ","")</f>
        <v/>
      </c>
      <c r="X285" s="3" t="str">
        <f aca="false">IF(OR(E285="SOBRE MAX VENDIBLE",N(N285)&gt;=Parametros!$B$17,N(M285)&gt;=Parametros!$B$17),"SÍ","")</f>
        <v/>
      </c>
      <c r="Y285" s="3" t="str">
        <f aca="false">IF(AND(ISNUMBER(U285),MAX(S285,T285)&gt;=Parametros!$B$15,ABS(N(U285))&gt;Parametros!$B$14),"SÍ","")</f>
        <v>SÍ</v>
      </c>
      <c r="Z285" s="3" t="n">
        <f aca="false">COUNTIF(V285:Y285,"SÍ")</f>
        <v>1</v>
      </c>
      <c r="AA285" s="3" t="n">
        <f aca="false">(3*(V285="SÍ")+2*(W285="SÍ")+2*(X285="SÍ")+(Y285="SÍ"))*IF(LEFT(D285,1)="A",3,IF(OR(LEFT(D285,1)="B",D285="SIN HIST"),2,1))</f>
        <v>3</v>
      </c>
      <c r="AB285" s="3" t="str">
        <f aca="false">IF(AA285&gt;=9,"1-ALTA",IF(AA285&gt;=4,"2-MEDIA",IF(AA285&gt;0,"3-BAJA","")))</f>
        <v>3-BAJA</v>
      </c>
      <c r="AC285" s="3" t="str">
        <f aca="false">IF(E285="BAJO SS","Stock + XLIB bajo el SS: riesgo real de quiebre, adelantar producción. ","")&amp;IF(E285="BAJO SS (XLIB CUBRE)","Disponible bajo el SS; depende de liberar "&amp;TEXT(J285,"#,##0")&amp;" kg"&amp;IF(ISNUMBER(K285)," el "&amp;TEXT(K285,"dd-mm"),"")&amp;". ","")&amp;IF(W285="SÍ","Stock parece sano pero "&amp;TEXT(L285,"#,##0")&amp;" kg no pasan filtro "&amp;Stock_Seguridad!O285&amp;": sin ellos queda bajo el SS para esa cadena. ","")&amp;IF(E285="SOBRE MAX VENDIBLE","Sobrestock vs vida útil: frenar producción/activar venta. ","")&amp;IF(N(N285)&gt;=Parametros!$B$17,TEXT(N285,"#,##0")&amp;" kg ya no los acepta ninguna cadena: venta intermedia/liquidación. ","")&amp;IF(N(M285)&gt;=Parametros!$B$17,TEXT(M285,"#,##0")&amp;" kg a punto de salir del filtro: despachar primero (FEFO). ","")&amp;IF(Y285="SÍ","Pedidos "&amp;IF(N(U285)&gt;0,"sobre","bajo")&amp;" FCST "&amp;TEXT(ABS(N(U285)),"0%")&amp;": revisar forecast con KAM.","")</f>
        <v>Pedidos sobre FCST 109%: revisar forecast con KAM.</v>
      </c>
    </row>
    <row r="286" customFormat="false" ht="15" hidden="false" customHeight="false" outlineLevel="0" collapsed="false">
      <c r="A286" s="18" t="n">
        <f aca="false">Stock_Seguridad!A286</f>
        <v>30000812</v>
      </c>
      <c r="B286" s="18" t="str">
        <f aca="false">Stock_Seguridad!B286</f>
        <v>MACEDONIA FM 6X2KG</v>
      </c>
      <c r="C286" s="18" t="str">
        <f aca="false">Stock_Seguridad!C286</f>
        <v>FRUTAS Y HORTALIZAS CONGELADAS</v>
      </c>
      <c r="D286" s="18" t="str">
        <f aca="false">Stock_Seguridad!F286</f>
        <v>SIN HIST</v>
      </c>
      <c r="E286" s="19" t="str">
        <f aca="false">Stock_Seguridad!X286</f>
        <v>OK</v>
      </c>
      <c r="F286" s="20" t="n">
        <f aca="false">Stock_Seguridad!W286</f>
        <v>3.10043899084995</v>
      </c>
      <c r="G286" s="21" t="n">
        <f aca="false">Stock_Seguridad!T286</f>
        <v>11724</v>
      </c>
      <c r="H286" s="21" t="n">
        <f aca="false">Stock_Seguridad!R286</f>
        <v>1865.95485148629</v>
      </c>
      <c r="I286" s="21" t="n">
        <f aca="false">Stock_Seguridad!S286</f>
        <v>5647.35485148629</v>
      </c>
      <c r="J286" s="21" t="n">
        <f aca="false">Stock_Seguridad!U286</f>
        <v>0</v>
      </c>
      <c r="K286" s="22"/>
      <c r="L286" s="23" t="n">
        <v>0</v>
      </c>
      <c r="M286" s="23" t="n">
        <v>0</v>
      </c>
      <c r="N286" s="23" t="n">
        <v>0</v>
      </c>
      <c r="O286" s="24" t="n">
        <v>0.0125588536335722</v>
      </c>
      <c r="P286" s="24" t="str">
        <f aca="false">IF(ISNUMBER(Stock_Seguridad!N286),Stock_Seguridad!N286,"")</f>
        <v/>
      </c>
      <c r="Q286" s="24" t="str">
        <f aca="false">IF(AND(ISNUMBER(O286),ISNUMBER(P286)),P286-O286,"")</f>
        <v/>
      </c>
      <c r="R286" s="23" t="n">
        <f aca="false">MAX(0,G286-N(L286))</f>
        <v>11724</v>
      </c>
      <c r="S286" s="23" t="n">
        <f aca="false">SUMIFS(Cadenas_vs_FCST!$D$17:$D$2437,Cadenas_vs_FCST!$A$17:$A$2437,A286)</f>
        <v>0</v>
      </c>
      <c r="T286" s="23" t="n">
        <f aca="false">SUMIFS(Cadenas_vs_FCST!$E$17:$E$2437,Cadenas_vs_FCST!$A$17:$A$2437,A286)</f>
        <v>0</v>
      </c>
      <c r="U286" s="24" t="str">
        <f aca="false">IF(T286&gt;0,S286/T286-1,"")</f>
        <v/>
      </c>
      <c r="V286" s="3" t="str">
        <f aca="false">IF(OR(E286="BAJO SS",E286="BAJO SS (XLIB CUBRE)"),"SÍ","")</f>
        <v/>
      </c>
      <c r="W286" s="3" t="str">
        <f aca="false">IF(AND(V286="",N(L286)&gt;=Parametros!$B$17,G286&gt;=H286,R286&lt;H286),"SÍ","")</f>
        <v/>
      </c>
      <c r="X286" s="3" t="str">
        <f aca="false">IF(OR(E286="SOBRE MAX VENDIBLE",N(N286)&gt;=Parametros!$B$17,N(M286)&gt;=Parametros!$B$17),"SÍ","")</f>
        <v/>
      </c>
      <c r="Y286" s="3" t="str">
        <f aca="false">IF(AND(ISNUMBER(U286),MAX(S286,T286)&gt;=Parametros!$B$15,ABS(N(U286))&gt;Parametros!$B$14),"SÍ","")</f>
        <v/>
      </c>
      <c r="Z286" s="3" t="n">
        <f aca="false">COUNTIF(V286:Y286,"SÍ")</f>
        <v>0</v>
      </c>
      <c r="AA286" s="3" t="n">
        <f aca="false">(3*(V286="SÍ")+2*(W286="SÍ")+2*(X286="SÍ")+(Y286="SÍ"))*IF(LEFT(D286,1)="A",3,IF(OR(LEFT(D286,1)="B",D286="SIN HIST"),2,1))</f>
        <v>0</v>
      </c>
      <c r="AB286" s="3" t="str">
        <f aca="false">IF(AA286&gt;=9,"1-ALTA",IF(AA286&gt;=4,"2-MEDIA",IF(AA286&gt;0,"3-BAJA","")))</f>
        <v/>
      </c>
      <c r="AC286" s="3" t="str">
        <f aca="false">IF(E286="BAJO SS","Stock + XLIB bajo el SS: riesgo real de quiebre, adelantar producción. ","")&amp;IF(E286="BAJO SS (XLIB CUBRE)","Disponible bajo el SS; depende de liberar "&amp;TEXT(J286,"#,##0")&amp;" kg"&amp;IF(ISNUMBER(K286)," el "&amp;TEXT(K286,"dd-mm"),"")&amp;". ","")&amp;IF(W286="SÍ","Stock parece sano pero "&amp;TEXT(L286,"#,##0")&amp;" kg no pasan filtro "&amp;Stock_Seguridad!O286&amp;": sin ellos queda bajo el SS para esa cadena. ","")&amp;IF(E286="SOBRE MAX VENDIBLE","Sobrestock vs vida útil: frenar producción/activar venta. ","")&amp;IF(N(N286)&gt;=Parametros!$B$17,TEXT(N286,"#,##0")&amp;" kg ya no los acepta ninguna cadena: venta intermedia/liquidación. ","")&amp;IF(N(M286)&gt;=Parametros!$B$17,TEXT(M286,"#,##0")&amp;" kg a punto de salir del filtro: despachar primero (FEFO). ","")&amp;IF(Y286="SÍ","Pedidos "&amp;IF(N(U286)&gt;0,"sobre","bajo")&amp;" FCST "&amp;TEXT(ABS(N(U286)),"0%")&amp;": revisar forecast con KAM.","")</f>
        <v/>
      </c>
    </row>
    <row r="287" customFormat="false" ht="15" hidden="false" customHeight="false" outlineLevel="0" collapsed="false">
      <c r="A287" s="18" t="n">
        <f aca="false">Stock_Seguridad!A287</f>
        <v>30002268</v>
      </c>
      <c r="B287" s="18" t="str">
        <f aca="false">Stock_Seguridad!B287</f>
        <v>PIÑA RODAJAS 565GR</v>
      </c>
      <c r="C287" s="18" t="str">
        <f aca="false">Stock_Seguridad!C287</f>
        <v>CONSERVAS Y PLATOS LISTOS</v>
      </c>
      <c r="D287" s="18" t="str">
        <f aca="false">Stock_Seguridad!F287</f>
        <v>BX</v>
      </c>
      <c r="E287" s="19" t="str">
        <f aca="false">Stock_Seguridad!X287</f>
        <v>OK</v>
      </c>
      <c r="F287" s="20" t="n">
        <f aca="false">Stock_Seguridad!W287</f>
        <v>29.7812016434555</v>
      </c>
      <c r="G287" s="21" t="n">
        <f aca="false">Stock_Seguridad!T287</f>
        <v>111625.9</v>
      </c>
      <c r="H287" s="21" t="n">
        <f aca="false">Stock_Seguridad!R287</f>
        <v>3047.07627540328</v>
      </c>
      <c r="I287" s="21" t="n">
        <f aca="false">Stock_Seguridad!S287</f>
        <v>6795.27627540328</v>
      </c>
      <c r="J287" s="21" t="n">
        <f aca="false">Stock_Seguridad!U287</f>
        <v>0</v>
      </c>
      <c r="K287" s="22"/>
      <c r="L287" s="23" t="n">
        <v>0</v>
      </c>
      <c r="M287" s="23" t="n">
        <v>0</v>
      </c>
      <c r="N287" s="23" t="n">
        <v>0</v>
      </c>
      <c r="O287" s="24" t="n">
        <v>0.148859329446064</v>
      </c>
      <c r="P287" s="24" t="n">
        <f aca="false">IF(ISNUMBER(Stock_Seguridad!N287),Stock_Seguridad!N287,"")</f>
        <v>0.5</v>
      </c>
      <c r="Q287" s="24" t="n">
        <f aca="false">IF(AND(ISNUMBER(O287),ISNUMBER(P287)),P287-O287,"")</f>
        <v>0.351140670553936</v>
      </c>
      <c r="R287" s="23" t="n">
        <f aca="false">MAX(0,G287-N(L287))</f>
        <v>111625.9</v>
      </c>
      <c r="S287" s="23" t="n">
        <f aca="false">SUMIFS(Cadenas_vs_FCST!$D$17:$D$2437,Cadenas_vs_FCST!$A$17:$A$2437,A287)</f>
        <v>16692.36</v>
      </c>
      <c r="T287" s="23" t="n">
        <f aca="false">SUMIFS(Cadenas_vs_FCST!$E$17:$E$2437,Cadenas_vs_FCST!$A$17:$A$2437,A287)</f>
        <v>13986.96</v>
      </c>
      <c r="U287" s="24" t="n">
        <f aca="false">IF(T287&gt;0,S287/T287-1,"")</f>
        <v>0.193423016867139</v>
      </c>
      <c r="V287" s="3" t="str">
        <f aca="false">IF(OR(E287="BAJO SS",E287="BAJO SS (XLIB CUBRE)"),"SÍ","")</f>
        <v/>
      </c>
      <c r="W287" s="3" t="str">
        <f aca="false">IF(AND(V287="",N(L287)&gt;=Parametros!$B$17,G287&gt;=H287,R287&lt;H287),"SÍ","")</f>
        <v/>
      </c>
      <c r="X287" s="3" t="str">
        <f aca="false">IF(OR(E287="SOBRE MAX VENDIBLE",N(N287)&gt;=Parametros!$B$17,N(M287)&gt;=Parametros!$B$17),"SÍ","")</f>
        <v/>
      </c>
      <c r="Y287" s="3" t="str">
        <f aca="false">IF(AND(ISNUMBER(U287),MAX(S287,T287)&gt;=Parametros!$B$15,ABS(N(U287))&gt;Parametros!$B$14),"SÍ","")</f>
        <v/>
      </c>
      <c r="Z287" s="3" t="n">
        <f aca="false">COUNTIF(V287:Y287,"SÍ")</f>
        <v>0</v>
      </c>
      <c r="AA287" s="3" t="n">
        <f aca="false">(3*(V287="SÍ")+2*(W287="SÍ")+2*(X287="SÍ")+(Y287="SÍ"))*IF(LEFT(D287,1)="A",3,IF(OR(LEFT(D287,1)="B",D287="SIN HIST"),2,1))</f>
        <v>0</v>
      </c>
      <c r="AB287" s="3" t="str">
        <f aca="false">IF(AA287&gt;=9,"1-ALTA",IF(AA287&gt;=4,"2-MEDIA",IF(AA287&gt;0,"3-BAJA","")))</f>
        <v/>
      </c>
      <c r="AC287" s="3" t="str">
        <f aca="false">IF(E287="BAJO SS","Stock + XLIB bajo el SS: riesgo real de quiebre, adelantar producción. ","")&amp;IF(E287="BAJO SS (XLIB CUBRE)","Disponible bajo el SS; depende de liberar "&amp;TEXT(J287,"#,##0")&amp;" kg"&amp;IF(ISNUMBER(K287)," el "&amp;TEXT(K287,"dd-mm"),"")&amp;". ","")&amp;IF(W287="SÍ","Stock parece sano pero "&amp;TEXT(L287,"#,##0")&amp;" kg no pasan filtro "&amp;Stock_Seguridad!O287&amp;": sin ellos queda bajo el SS para esa cadena. ","")&amp;IF(E287="SOBRE MAX VENDIBLE","Sobrestock vs vida útil: frenar producción/activar venta. ","")&amp;IF(N(N287)&gt;=Parametros!$B$17,TEXT(N287,"#,##0")&amp;" kg ya no los acepta ninguna cadena: venta intermedia/liquidación. ","")&amp;IF(N(M287)&gt;=Parametros!$B$17,TEXT(M287,"#,##0")&amp;" kg a punto de salir del filtro: despachar primero (FEFO). ","")&amp;IF(Y287="SÍ","Pedidos "&amp;IF(N(U287)&gt;0,"sobre","bajo")&amp;" FCST "&amp;TEXT(ABS(N(U287)),"0%")&amp;": revisar forecast con KAM.","")</f>
        <v/>
      </c>
    </row>
    <row r="288" customFormat="false" ht="15" hidden="false" customHeight="false" outlineLevel="0" collapsed="false">
      <c r="A288" s="18" t="n">
        <f aca="false">Stock_Seguridad!A288</f>
        <v>30001661</v>
      </c>
      <c r="B288" s="18" t="str">
        <f aca="false">Stock_Seguridad!B288</f>
        <v>MERMELADA WATTS DAMASCO 12X360GR</v>
      </c>
      <c r="C288" s="18" t="str">
        <f aca="false">Stock_Seguridad!C288</f>
        <v>MERMELADAS</v>
      </c>
      <c r="D288" s="18" t="str">
        <f aca="false">Stock_Seguridad!F288</f>
        <v>BX</v>
      </c>
      <c r="E288" s="19" t="str">
        <f aca="false">Stock_Seguridad!X288</f>
        <v>BAJO P.REORDEN</v>
      </c>
      <c r="F288" s="20" t="n">
        <f aca="false">Stock_Seguridad!W288</f>
        <v>0.637519488199559</v>
      </c>
      <c r="G288" s="21" t="n">
        <f aca="false">Stock_Seguridad!T288</f>
        <v>2371.7</v>
      </c>
      <c r="H288" s="21" t="n">
        <f aca="false">Stock_Seguridad!R288</f>
        <v>1064.52794843684</v>
      </c>
      <c r="I288" s="21" t="n">
        <f aca="false">Stock_Seguridad!S288</f>
        <v>4784.72794843684</v>
      </c>
      <c r="J288" s="21" t="n">
        <f aca="false">Stock_Seguridad!U288</f>
        <v>0</v>
      </c>
      <c r="K288" s="22"/>
      <c r="L288" s="23" t="n">
        <v>457.92</v>
      </c>
      <c r="M288" s="23" t="n">
        <v>0</v>
      </c>
      <c r="N288" s="23" t="n">
        <v>457.92</v>
      </c>
      <c r="O288" s="24" t="n">
        <v>0.138105646630237</v>
      </c>
      <c r="P288" s="24" t="n">
        <f aca="false">IF(ISNUMBER(Stock_Seguridad!N288),Stock_Seguridad!N288,"")</f>
        <v>0.273972602739726</v>
      </c>
      <c r="Q288" s="24" t="n">
        <f aca="false">IF(AND(ISNUMBER(O288),ISNUMBER(P288)),P288-O288,"")</f>
        <v>0.135866956109489</v>
      </c>
      <c r="R288" s="23" t="n">
        <f aca="false">MAX(0,G288-N(L288))</f>
        <v>1913.78</v>
      </c>
      <c r="S288" s="23" t="n">
        <f aca="false">SUMIFS(Cadenas_vs_FCST!$D$17:$D$2437,Cadenas_vs_FCST!$A$17:$A$2437,A288)</f>
        <v>13832.64</v>
      </c>
      <c r="T288" s="23" t="n">
        <f aca="false">SUMIFS(Cadenas_vs_FCST!$E$17:$E$2437,Cadenas_vs_FCST!$A$17:$A$2437,A288)</f>
        <v>13012.8</v>
      </c>
      <c r="U288" s="24" t="n">
        <f aca="false">IF(T288&gt;0,S288/T288-1,"")</f>
        <v>0.0630025820730358</v>
      </c>
      <c r="V288" s="3" t="str">
        <f aca="false">IF(OR(E288="BAJO SS",E288="BAJO SS (XLIB CUBRE)"),"SÍ","")</f>
        <v/>
      </c>
      <c r="W288" s="3" t="str">
        <f aca="false">IF(AND(V288="",N(L288)&gt;=Parametros!$B$17,G288&gt;=H288,R288&lt;H288),"SÍ","")</f>
        <v/>
      </c>
      <c r="X288" s="3" t="str">
        <f aca="false">IF(OR(E288="SOBRE MAX VENDIBLE",N(N288)&gt;=Parametros!$B$17,N(M288)&gt;=Parametros!$B$17),"SÍ","")</f>
        <v/>
      </c>
      <c r="Y288" s="3" t="str">
        <f aca="false">IF(AND(ISNUMBER(U288),MAX(S288,T288)&gt;=Parametros!$B$15,ABS(N(U288))&gt;Parametros!$B$14),"SÍ","")</f>
        <v/>
      </c>
      <c r="Z288" s="3" t="n">
        <f aca="false">COUNTIF(V288:Y288,"SÍ")</f>
        <v>0</v>
      </c>
      <c r="AA288" s="3" t="n">
        <f aca="false">(3*(V288="SÍ")+2*(W288="SÍ")+2*(X288="SÍ")+(Y288="SÍ"))*IF(LEFT(D288,1)="A",3,IF(OR(LEFT(D288,1)="B",D288="SIN HIST"),2,1))</f>
        <v>0</v>
      </c>
      <c r="AB288" s="3" t="str">
        <f aca="false">IF(AA288&gt;=9,"1-ALTA",IF(AA288&gt;=4,"2-MEDIA",IF(AA288&gt;0,"3-BAJA","")))</f>
        <v/>
      </c>
      <c r="AC288" s="3" t="str">
        <f aca="false">IF(E288="BAJO SS","Stock + XLIB bajo el SS: riesgo real de quiebre, adelantar producción. ","")&amp;IF(E288="BAJO SS (XLIB CUBRE)","Disponible bajo el SS; depende de liberar "&amp;TEXT(J288,"#,##0")&amp;" kg"&amp;IF(ISNUMBER(K288)," el "&amp;TEXT(K288,"dd-mm"),"")&amp;". ","")&amp;IF(W288="SÍ","Stock parece sano pero "&amp;TEXT(L288,"#,##0")&amp;" kg no pasan filtro "&amp;Stock_Seguridad!O288&amp;": sin ellos queda bajo el SS para esa cadena. ","")&amp;IF(E288="SOBRE MAX VENDIBLE","Sobrestock vs vida útil: frenar producción/activar venta. ","")&amp;IF(N(N288)&gt;=Parametros!$B$17,TEXT(N288,"#,##0")&amp;" kg ya no los acepta ninguna cadena: venta intermedia/liquidación. ","")&amp;IF(N(M288)&gt;=Parametros!$B$17,TEXT(M288,"#,##0")&amp;" kg a punto de salir del filtro: despachar primero (FEFO). ","")&amp;IF(Y288="SÍ","Pedidos "&amp;IF(N(U288)&gt;0,"sobre","bajo")&amp;" FCST "&amp;TEXT(ABS(N(U288)),"0%")&amp;": revisar forecast con KAM.","")</f>
        <v/>
      </c>
    </row>
    <row r="289" customFormat="false" ht="15" hidden="false" customHeight="false" outlineLevel="0" collapsed="false">
      <c r="A289" s="18" t="n">
        <f aca="false">Stock_Seguridad!A289</f>
        <v>30000860</v>
      </c>
      <c r="B289" s="18" t="str">
        <f aca="false">Stock_Seguridad!B289</f>
        <v>PAPA PREFRITA CUBO 14X750GR</v>
      </c>
      <c r="C289" s="18" t="str">
        <f aca="false">Stock_Seguridad!C289</f>
        <v>FRUTAS Y HORTALIZAS CONGELADAS</v>
      </c>
      <c r="D289" s="18" t="str">
        <f aca="false">Stock_Seguridad!F289</f>
        <v>SIN HIST</v>
      </c>
      <c r="E289" s="19" t="str">
        <f aca="false">Stock_Seguridad!X289</f>
        <v>OK</v>
      </c>
      <c r="F289" s="20" t="n">
        <f aca="false">Stock_Seguridad!W289</f>
        <v>17.2275143697547</v>
      </c>
      <c r="G289" s="21" t="n">
        <f aca="false">Stock_Seguridad!T289</f>
        <v>62265</v>
      </c>
      <c r="H289" s="21" t="n">
        <f aca="false">Stock_Seguridad!R289</f>
        <v>1828.60022561822</v>
      </c>
      <c r="I289" s="21" t="n">
        <f aca="false">Stock_Seguridad!S289</f>
        <v>5534.30022561822</v>
      </c>
      <c r="J289" s="21" t="n">
        <f aca="false">Stock_Seguridad!U289</f>
        <v>1575</v>
      </c>
      <c r="K289" s="22"/>
      <c r="L289" s="23" t="n">
        <v>0</v>
      </c>
      <c r="M289" s="23" t="n">
        <v>0</v>
      </c>
      <c r="N289" s="23" t="n">
        <v>0</v>
      </c>
      <c r="O289" s="24" t="n">
        <v>0.147328042328042</v>
      </c>
      <c r="P289" s="24" t="str">
        <f aca="false">IF(ISNUMBER(Stock_Seguridad!N289),Stock_Seguridad!N289,"")</f>
        <v/>
      </c>
      <c r="Q289" s="24" t="str">
        <f aca="false">IF(AND(ISNUMBER(O289),ISNUMBER(P289)),P289-O289,"")</f>
        <v/>
      </c>
      <c r="R289" s="23" t="n">
        <f aca="false">MAX(0,G289-N(L289))</f>
        <v>62265</v>
      </c>
      <c r="S289" s="23" t="n">
        <f aca="false">SUMIFS(Cadenas_vs_FCST!$D$17:$D$2437,Cadenas_vs_FCST!$A$17:$A$2437,A289)</f>
        <v>0</v>
      </c>
      <c r="T289" s="23" t="n">
        <f aca="false">SUMIFS(Cadenas_vs_FCST!$E$17:$E$2437,Cadenas_vs_FCST!$A$17:$A$2437,A289)</f>
        <v>0</v>
      </c>
      <c r="U289" s="24" t="str">
        <f aca="false">IF(T289&gt;0,S289/T289-1,"")</f>
        <v/>
      </c>
      <c r="V289" s="3" t="str">
        <f aca="false">IF(OR(E289="BAJO SS",E289="BAJO SS (XLIB CUBRE)"),"SÍ","")</f>
        <v/>
      </c>
      <c r="W289" s="3" t="str">
        <f aca="false">IF(AND(V289="",N(L289)&gt;=Parametros!$B$17,G289&gt;=H289,R289&lt;H289),"SÍ","")</f>
        <v/>
      </c>
      <c r="X289" s="3" t="str">
        <f aca="false">IF(OR(E289="SOBRE MAX VENDIBLE",N(N289)&gt;=Parametros!$B$17,N(M289)&gt;=Parametros!$B$17),"SÍ","")</f>
        <v/>
      </c>
      <c r="Y289" s="3" t="str">
        <f aca="false">IF(AND(ISNUMBER(U289),MAX(S289,T289)&gt;=Parametros!$B$15,ABS(N(U289))&gt;Parametros!$B$14),"SÍ","")</f>
        <v/>
      </c>
      <c r="Z289" s="3" t="n">
        <f aca="false">COUNTIF(V289:Y289,"SÍ")</f>
        <v>0</v>
      </c>
      <c r="AA289" s="3" t="n">
        <f aca="false">(3*(V289="SÍ")+2*(W289="SÍ")+2*(X289="SÍ")+(Y289="SÍ"))*IF(LEFT(D289,1)="A",3,IF(OR(LEFT(D289,1)="B",D289="SIN HIST"),2,1))</f>
        <v>0</v>
      </c>
      <c r="AB289" s="3" t="str">
        <f aca="false">IF(AA289&gt;=9,"1-ALTA",IF(AA289&gt;=4,"2-MEDIA",IF(AA289&gt;0,"3-BAJA","")))</f>
        <v/>
      </c>
      <c r="AC289" s="3" t="str">
        <f aca="false">IF(E289="BAJO SS","Stock + XLIB bajo el SS: riesgo real de quiebre, adelantar producción. ","")&amp;IF(E289="BAJO SS (XLIB CUBRE)","Disponible bajo el SS; depende de liberar "&amp;TEXT(J289,"#,##0")&amp;" kg"&amp;IF(ISNUMBER(K289)," el "&amp;TEXT(K289,"dd-mm"),"")&amp;". ","")&amp;IF(W289="SÍ","Stock parece sano pero "&amp;TEXT(L289,"#,##0")&amp;" kg no pasan filtro "&amp;Stock_Seguridad!O289&amp;": sin ellos queda bajo el SS para esa cadena. ","")&amp;IF(E289="SOBRE MAX VENDIBLE","Sobrestock vs vida útil: frenar producción/activar venta. ","")&amp;IF(N(N289)&gt;=Parametros!$B$17,TEXT(N289,"#,##0")&amp;" kg ya no los acepta ninguna cadena: venta intermedia/liquidación. ","")&amp;IF(N(M289)&gt;=Parametros!$B$17,TEXT(M289,"#,##0")&amp;" kg a punto de salir del filtro: despachar primero (FEFO). ","")&amp;IF(Y289="SÍ","Pedidos "&amp;IF(N(U289)&gt;0,"sobre","bajo")&amp;" FCST "&amp;TEXT(ABS(N(U289)),"0%")&amp;": revisar forecast con KAM.","")</f>
        <v/>
      </c>
    </row>
    <row r="290" customFormat="false" ht="15" hidden="false" customHeight="false" outlineLevel="0" collapsed="false">
      <c r="A290" s="18" t="n">
        <f aca="false">Stock_Seguridad!A290</f>
        <v>30000489</v>
      </c>
      <c r="B290" s="18" t="str">
        <f aca="false">Stock_Seguridad!B290</f>
        <v>YOGURT LONCO S/LAC FLLA BOLSA 12X900GR</v>
      </c>
      <c r="C290" s="18" t="str">
        <f aca="false">Stock_Seguridad!C290</f>
        <v>YOGURT</v>
      </c>
      <c r="D290" s="18" t="str">
        <f aca="false">Stock_Seguridad!F290</f>
        <v>BX</v>
      </c>
      <c r="E290" s="19" t="str">
        <f aca="false">Stock_Seguridad!X290</f>
        <v>OK</v>
      </c>
      <c r="F290" s="20" t="n">
        <f aca="false">Stock_Seguridad!W290</f>
        <v>2.29079413115729</v>
      </c>
      <c r="G290" s="21" t="n">
        <f aca="false">Stock_Seguridad!T290</f>
        <v>4622.4</v>
      </c>
      <c r="H290" s="21" t="n">
        <f aca="false">Stock_Seguridad!R290</f>
        <v>1837.42974564666</v>
      </c>
      <c r="I290" s="21" t="n">
        <f aca="false">Stock_Seguridad!S290</f>
        <v>5538.32974564666</v>
      </c>
      <c r="J290" s="21" t="n">
        <f aca="false">Stock_Seguridad!U290</f>
        <v>3855.6</v>
      </c>
      <c r="K290" s="22" t="n">
        <v>46318</v>
      </c>
      <c r="L290" s="23" t="n">
        <v>1738.8</v>
      </c>
      <c r="M290" s="23" t="n">
        <v>0</v>
      </c>
      <c r="N290" s="23" t="n">
        <v>1738.8</v>
      </c>
      <c r="O290" s="24" t="n">
        <v>0.11349104859335</v>
      </c>
      <c r="P290" s="24" t="n">
        <f aca="false">IF(ISNUMBER(Stock_Seguridad!N290),Stock_Seguridad!N290,"")</f>
        <v>0.295774647887324</v>
      </c>
      <c r="Q290" s="24" t="n">
        <f aca="false">IF(AND(ISNUMBER(O290),ISNUMBER(P290)),P290-O290,"")</f>
        <v>0.182283599293974</v>
      </c>
      <c r="R290" s="23" t="n">
        <f aca="false">MAX(0,G290-N(L290))</f>
        <v>2883.6</v>
      </c>
      <c r="S290" s="23" t="n">
        <f aca="false">SUMIFS(Cadenas_vs_FCST!$D$17:$D$2437,Cadenas_vs_FCST!$A$17:$A$2437,A290)</f>
        <v>11664</v>
      </c>
      <c r="T290" s="23" t="n">
        <f aca="false">SUMIFS(Cadenas_vs_FCST!$E$17:$E$2437,Cadenas_vs_FCST!$A$17:$A$2437,A290)</f>
        <v>15961.6254799945</v>
      </c>
      <c r="U290" s="24" t="n">
        <f aca="false">IF(T290&gt;0,S290/T290-1,"")</f>
        <v>-0.269247357381045</v>
      </c>
      <c r="V290" s="3" t="str">
        <f aca="false">IF(OR(E290="BAJO SS",E290="BAJO SS (XLIB CUBRE)"),"SÍ","")</f>
        <v/>
      </c>
      <c r="W290" s="3" t="str">
        <f aca="false">IF(AND(V290="",N(L290)&gt;=Parametros!$B$17,G290&gt;=H290,R290&lt;H290),"SÍ","")</f>
        <v/>
      </c>
      <c r="X290" s="3" t="str">
        <f aca="false">IF(OR(E290="SOBRE MAX VENDIBLE",N(N290)&gt;=Parametros!$B$17,N(M290)&gt;=Parametros!$B$17),"SÍ","")</f>
        <v>SÍ</v>
      </c>
      <c r="Y290" s="3" t="str">
        <f aca="false">IF(AND(ISNUMBER(U290),MAX(S290,T290)&gt;=Parametros!$B$15,ABS(N(U290))&gt;Parametros!$B$14),"SÍ","")</f>
        <v>SÍ</v>
      </c>
      <c r="Z290" s="3" t="n">
        <f aca="false">COUNTIF(V290:Y290,"SÍ")</f>
        <v>2</v>
      </c>
      <c r="AA290" s="3" t="n">
        <f aca="false">(3*(V290="SÍ")+2*(W290="SÍ")+2*(X290="SÍ")+(Y290="SÍ"))*IF(LEFT(D290,1)="A",3,IF(OR(LEFT(D290,1)="B",D290="SIN HIST"),2,1))</f>
        <v>6</v>
      </c>
      <c r="AB290" s="3" t="str">
        <f aca="false">IF(AA290&gt;=9,"1-ALTA",IF(AA290&gt;=4,"2-MEDIA",IF(AA290&gt;0,"3-BAJA","")))</f>
        <v>2-MEDIA</v>
      </c>
      <c r="AC290" s="3" t="str">
        <f aca="false">IF(E290="BAJO SS","Stock + XLIB bajo el SS: riesgo real de quiebre, adelantar producción. ","")&amp;IF(E290="BAJO SS (XLIB CUBRE)","Disponible bajo el SS; depende de liberar "&amp;TEXT(J290,"#,##0")&amp;" kg"&amp;IF(ISNUMBER(K290)," el "&amp;TEXT(K290,"dd-mm"),"")&amp;". ","")&amp;IF(W290="SÍ","Stock parece sano pero "&amp;TEXT(L290,"#,##0")&amp;" kg no pasan filtro "&amp;Stock_Seguridad!O290&amp;": sin ellos queda bajo el SS para esa cadena. ","")&amp;IF(E290="SOBRE MAX VENDIBLE","Sobrestock vs vida útil: frenar producción/activar venta. ","")&amp;IF(N(N290)&gt;=Parametros!$B$17,TEXT(N290,"#,##0")&amp;" kg ya no los acepta ninguna cadena: venta intermedia/liquidación. ","")&amp;IF(N(M290)&gt;=Parametros!$B$17,TEXT(M290,"#,##0")&amp;" kg a punto de salir del filtro: despachar primero (FEFO). ","")&amp;IF(Y290="SÍ","Pedidos "&amp;IF(N(U290)&gt;0,"sobre","bajo")&amp;" FCST "&amp;TEXT(ABS(N(U290)),"0%")&amp;": revisar forecast con KAM.","")</f>
        <v>1,739 kg ya no los acepta ninguna cadena: venta intermedia/liquidación. Pedidos bajo FCST 27%: revisar forecast con KAM.</v>
      </c>
    </row>
    <row r="291" customFormat="false" ht="15" hidden="false" customHeight="false" outlineLevel="0" collapsed="false">
      <c r="A291" s="18" t="n">
        <f aca="false">Stock_Seguridad!A291</f>
        <v>30001857</v>
      </c>
      <c r="B291" s="18" t="str">
        <f aca="false">Stock_Seguridad!B291</f>
        <v>YOGURT ACTIVIA TRZ FTOS BOSQUE 24X140G</v>
      </c>
      <c r="C291" s="18" t="str">
        <f aca="false">Stock_Seguridad!C291</f>
        <v>YOGURT</v>
      </c>
      <c r="D291" s="18" t="str">
        <f aca="false">Stock_Seguridad!F291</f>
        <v>AX</v>
      </c>
      <c r="E291" s="19" t="str">
        <f aca="false">Stock_Seguridad!X291</f>
        <v>BAJO P.REORDEN</v>
      </c>
      <c r="F291" s="20" t="n">
        <f aca="false">Stock_Seguridad!W291</f>
        <v>1.84112098576959</v>
      </c>
      <c r="G291" s="21" t="n">
        <f aca="false">Stock_Seguridad!T291</f>
        <v>3729.6</v>
      </c>
      <c r="H291" s="21" t="n">
        <f aca="false">Stock_Seguridad!R291</f>
        <v>3668.2</v>
      </c>
      <c r="I291" s="21" t="n">
        <f aca="false">Stock_Seguridad!S291</f>
        <v>7336.4</v>
      </c>
      <c r="J291" s="21" t="n">
        <f aca="false">Stock_Seguridad!U291</f>
        <v>3024</v>
      </c>
      <c r="K291" s="22" t="n">
        <v>46318</v>
      </c>
      <c r="L291" s="23" t="n">
        <v>36.96</v>
      </c>
      <c r="M291" s="23" t="n">
        <v>504</v>
      </c>
      <c r="N291" s="23" t="n">
        <v>0</v>
      </c>
      <c r="O291" s="24" t="n">
        <v>0.0679203980099502</v>
      </c>
      <c r="P291" s="24" t="n">
        <f aca="false">IF(ISNUMBER(Stock_Seguridad!N291),Stock_Seguridad!N291,"")</f>
        <v>0.245614035087719</v>
      </c>
      <c r="Q291" s="24" t="n">
        <f aca="false">IF(AND(ISNUMBER(O291),ISNUMBER(P291)),P291-O291,"")</f>
        <v>0.177693637077769</v>
      </c>
      <c r="R291" s="23" t="n">
        <f aca="false">MAX(0,G291-N(L291))</f>
        <v>3692.64</v>
      </c>
      <c r="S291" s="23" t="n">
        <f aca="false">SUMIFS(Cadenas_vs_FCST!$D$17:$D$2437,Cadenas_vs_FCST!$A$17:$A$2437,A291)</f>
        <v>27011.04</v>
      </c>
      <c r="T291" s="23" t="n">
        <f aca="false">SUMIFS(Cadenas_vs_FCST!$E$17:$E$2437,Cadenas_vs_FCST!$A$17:$A$2437,A291)</f>
        <v>20053.7481555888</v>
      </c>
      <c r="U291" s="24" t="n">
        <f aca="false">IF(T291&gt;0,S291/T291-1,"")</f>
        <v>0.346932243809609</v>
      </c>
      <c r="V291" s="3" t="str">
        <f aca="false">IF(OR(E291="BAJO SS",E291="BAJO SS (XLIB CUBRE)"),"SÍ","")</f>
        <v/>
      </c>
      <c r="W291" s="3" t="str">
        <f aca="false">IF(AND(V291="",N(L291)&gt;=Parametros!$B$17,G291&gt;=H291,R291&lt;H291),"SÍ","")</f>
        <v/>
      </c>
      <c r="X291" s="3" t="str">
        <f aca="false">IF(OR(E291="SOBRE MAX VENDIBLE",N(N291)&gt;=Parametros!$B$17,N(M291)&gt;=Parametros!$B$17),"SÍ","")</f>
        <v>SÍ</v>
      </c>
      <c r="Y291" s="3" t="str">
        <f aca="false">IF(AND(ISNUMBER(U291),MAX(S291,T291)&gt;=Parametros!$B$15,ABS(N(U291))&gt;Parametros!$B$14),"SÍ","")</f>
        <v>SÍ</v>
      </c>
      <c r="Z291" s="3" t="n">
        <f aca="false">COUNTIF(V291:Y291,"SÍ")</f>
        <v>2</v>
      </c>
      <c r="AA291" s="3" t="n">
        <f aca="false">(3*(V291="SÍ")+2*(W291="SÍ")+2*(X291="SÍ")+(Y291="SÍ"))*IF(LEFT(D291,1)="A",3,IF(OR(LEFT(D291,1)="B",D291="SIN HIST"),2,1))</f>
        <v>9</v>
      </c>
      <c r="AB291" s="3" t="str">
        <f aca="false">IF(AA291&gt;=9,"1-ALTA",IF(AA291&gt;=4,"2-MEDIA",IF(AA291&gt;0,"3-BAJA","")))</f>
        <v>1-ALTA</v>
      </c>
      <c r="AC291" s="3" t="str">
        <f aca="false">IF(E291="BAJO SS","Stock + XLIB bajo el SS: riesgo real de quiebre, adelantar producción. ","")&amp;IF(E291="BAJO SS (XLIB CUBRE)","Disponible bajo el SS; depende de liberar "&amp;TEXT(J291,"#,##0")&amp;" kg"&amp;IF(ISNUMBER(K291)," el "&amp;TEXT(K291,"dd-mm"),"")&amp;". ","")&amp;IF(W291="SÍ","Stock parece sano pero "&amp;TEXT(L291,"#,##0")&amp;" kg no pasan filtro "&amp;Stock_Seguridad!O291&amp;": sin ellos queda bajo el SS para esa cadena. ","")&amp;IF(E291="SOBRE MAX VENDIBLE","Sobrestock vs vida útil: frenar producción/activar venta. ","")&amp;IF(N(N291)&gt;=Parametros!$B$17,TEXT(N291,"#,##0")&amp;" kg ya no los acepta ninguna cadena: venta intermedia/liquidación. ","")&amp;IF(N(M291)&gt;=Parametros!$B$17,TEXT(M291,"#,##0")&amp;" kg a punto de salir del filtro: despachar primero (FEFO). ","")&amp;IF(Y291="SÍ","Pedidos "&amp;IF(N(U291)&gt;0,"sobre","bajo")&amp;" FCST "&amp;TEXT(ABS(N(U291)),"0%")&amp;": revisar forecast con KAM.","")</f>
        <v>504 kg a punto de salir del filtro: despachar primero (FEFO). Pedidos sobre FCST 35%: revisar forecast con KAM.</v>
      </c>
    </row>
    <row r="292" customFormat="false" ht="15" hidden="false" customHeight="false" outlineLevel="0" collapsed="false">
      <c r="A292" s="18" t="n">
        <f aca="false">Stock_Seguridad!A292</f>
        <v>30001901</v>
      </c>
      <c r="B292" s="18" t="str">
        <f aca="false">Stock_Seguridad!B292</f>
        <v>YOGURT YOGU YOGU MORA BOT 6X900GR</v>
      </c>
      <c r="C292" s="18" t="str">
        <f aca="false">Stock_Seguridad!C292</f>
        <v>YOGURT</v>
      </c>
      <c r="D292" s="18" t="str">
        <f aca="false">Stock_Seguridad!F292</f>
        <v>BX</v>
      </c>
      <c r="E292" s="19" t="str">
        <f aca="false">Stock_Seguridad!X292</f>
        <v>BAJO P.REORDEN</v>
      </c>
      <c r="F292" s="20" t="n">
        <f aca="false">Stock_Seguridad!W292</f>
        <v>1.04469548133595</v>
      </c>
      <c r="G292" s="21" t="n">
        <f aca="false">Stock_Seguridad!T292</f>
        <v>3828.6</v>
      </c>
      <c r="H292" s="21" t="n">
        <f aca="false">Stock_Seguridad!R292</f>
        <v>1283.25496124565</v>
      </c>
      <c r="I292" s="21" t="n">
        <f aca="false">Stock_Seguridad!S292</f>
        <v>4948.05496124565</v>
      </c>
      <c r="J292" s="21" t="n">
        <f aca="false">Stock_Seguridad!U292</f>
        <v>0</v>
      </c>
      <c r="K292" s="22"/>
      <c r="L292" s="23" t="n">
        <v>0</v>
      </c>
      <c r="M292" s="23" t="n">
        <v>934.2</v>
      </c>
      <c r="N292" s="23" t="n">
        <v>0</v>
      </c>
      <c r="O292" s="24" t="n">
        <v>0.124400564174894</v>
      </c>
      <c r="P292" s="24" t="n">
        <f aca="false">IF(ISNUMBER(Stock_Seguridad!N292),Stock_Seguridad!N292,"")</f>
        <v>0.23943661971831</v>
      </c>
      <c r="Q292" s="24" t="n">
        <f aca="false">IF(AND(ISNUMBER(O292),ISNUMBER(P292)),P292-O292,"")</f>
        <v>0.115036055543416</v>
      </c>
      <c r="R292" s="23" t="n">
        <f aca="false">MAX(0,G292-N(L292))</f>
        <v>3828.6</v>
      </c>
      <c r="S292" s="23" t="n">
        <f aca="false">SUMIFS(Cadenas_vs_FCST!$D$17:$D$2437,Cadenas_vs_FCST!$A$17:$A$2437,A292)</f>
        <v>13235.4</v>
      </c>
      <c r="T292" s="23" t="n">
        <f aca="false">SUMIFS(Cadenas_vs_FCST!$E$17:$E$2437,Cadenas_vs_FCST!$A$17:$A$2437,A292)</f>
        <v>11240.0365937383</v>
      </c>
      <c r="U292" s="24" t="n">
        <f aca="false">IF(T292&gt;0,S292/T292-1,"")</f>
        <v>0.177522856764831</v>
      </c>
      <c r="V292" s="3" t="str">
        <f aca="false">IF(OR(E292="BAJO SS",E292="BAJO SS (XLIB CUBRE)"),"SÍ","")</f>
        <v/>
      </c>
      <c r="W292" s="3" t="str">
        <f aca="false">IF(AND(V292="",N(L292)&gt;=Parametros!$B$17,G292&gt;=H292,R292&lt;H292),"SÍ","")</f>
        <v/>
      </c>
      <c r="X292" s="3" t="str">
        <f aca="false">IF(OR(E292="SOBRE MAX VENDIBLE",N(N292)&gt;=Parametros!$B$17,N(M292)&gt;=Parametros!$B$17),"SÍ","")</f>
        <v>SÍ</v>
      </c>
      <c r="Y292" s="3" t="str">
        <f aca="false">IF(AND(ISNUMBER(U292),MAX(S292,T292)&gt;=Parametros!$B$15,ABS(N(U292))&gt;Parametros!$B$14),"SÍ","")</f>
        <v/>
      </c>
      <c r="Z292" s="3" t="n">
        <f aca="false">COUNTIF(V292:Y292,"SÍ")</f>
        <v>1</v>
      </c>
      <c r="AA292" s="3" t="n">
        <f aca="false">(3*(V292="SÍ")+2*(W292="SÍ")+2*(X292="SÍ")+(Y292="SÍ"))*IF(LEFT(D292,1)="A",3,IF(OR(LEFT(D292,1)="B",D292="SIN HIST"),2,1))</f>
        <v>4</v>
      </c>
      <c r="AB292" s="3" t="str">
        <f aca="false">IF(AA292&gt;=9,"1-ALTA",IF(AA292&gt;=4,"2-MEDIA",IF(AA292&gt;0,"3-BAJA","")))</f>
        <v>2-MEDIA</v>
      </c>
      <c r="AC292" s="3" t="str">
        <f aca="false">IF(E292="BAJO SS","Stock + XLIB bajo el SS: riesgo real de quiebre, adelantar producción. ","")&amp;IF(E292="BAJO SS (XLIB CUBRE)","Disponible bajo el SS; depende de liberar "&amp;TEXT(J292,"#,##0")&amp;" kg"&amp;IF(ISNUMBER(K292)," el "&amp;TEXT(K292,"dd-mm"),"")&amp;". ","")&amp;IF(W292="SÍ","Stock parece sano pero "&amp;TEXT(L292,"#,##0")&amp;" kg no pasan filtro "&amp;Stock_Seguridad!O292&amp;": sin ellos queda bajo el SS para esa cadena. ","")&amp;IF(E292="SOBRE MAX VENDIBLE","Sobrestock vs vida útil: frenar producción/activar venta. ","")&amp;IF(N(N292)&gt;=Parametros!$B$17,TEXT(N292,"#,##0")&amp;" kg ya no los acepta ninguna cadena: venta intermedia/liquidación. ","")&amp;IF(N(M292)&gt;=Parametros!$B$17,TEXT(M292,"#,##0")&amp;" kg a punto de salir del filtro: despachar primero (FEFO). ","")&amp;IF(Y292="SÍ","Pedidos "&amp;IF(N(U292)&gt;0,"sobre","bajo")&amp;" FCST "&amp;TEXT(ABS(N(U292)),"0%")&amp;": revisar forecast con KAM.","")</f>
        <v>934 kg a punto de salir del filtro: despachar primero (FEFO). </v>
      </c>
    </row>
    <row r="293" customFormat="false" ht="15" hidden="false" customHeight="false" outlineLevel="0" collapsed="false">
      <c r="A293" s="18" t="n">
        <f aca="false">Stock_Seguridad!A293</f>
        <v>30000469</v>
      </c>
      <c r="B293" s="18" t="str">
        <f aca="false">Stock_Seguridad!B293</f>
        <v>MANTEQUILLA CALO UNTAB 12X350GR</v>
      </c>
      <c r="C293" s="18" t="str">
        <f aca="false">Stock_Seguridad!C293</f>
        <v>MANTEQUILLAS</v>
      </c>
      <c r="D293" s="18" t="str">
        <f aca="false">Stock_Seguridad!F293</f>
        <v>BX</v>
      </c>
      <c r="E293" s="19" t="str">
        <f aca="false">Stock_Seguridad!X293</f>
        <v>OK</v>
      </c>
      <c r="F293" s="20" t="n">
        <f aca="false">Stock_Seguridad!W293</f>
        <v>2.61665753424658</v>
      </c>
      <c r="G293" s="21" t="n">
        <f aca="false">Stock_Seguridad!T293</f>
        <v>9550.8</v>
      </c>
      <c r="H293" s="21" t="n">
        <f aca="false">Stock_Seguridad!R293</f>
        <v>2131.03711961788</v>
      </c>
      <c r="I293" s="21" t="n">
        <f aca="false">Stock_Seguridad!S293</f>
        <v>5781.03711961788</v>
      </c>
      <c r="J293" s="21" t="n">
        <f aca="false">Stock_Seguridad!U293</f>
        <v>0</v>
      </c>
      <c r="K293" s="22"/>
      <c r="L293" s="23" t="n">
        <v>121.8</v>
      </c>
      <c r="M293" s="23" t="n">
        <v>4.2</v>
      </c>
      <c r="N293" s="23" t="n">
        <v>121.8</v>
      </c>
      <c r="O293" s="24" t="n">
        <v>0.129472063352398</v>
      </c>
      <c r="P293" s="24" t="n">
        <f aca="false">IF(ISNUMBER(Stock_Seguridad!N293),Stock_Seguridad!N293,"")</f>
        <v>0.315217391304348</v>
      </c>
      <c r="Q293" s="24" t="n">
        <f aca="false">IF(AND(ISNUMBER(O293),ISNUMBER(P293)),P293-O293,"")</f>
        <v>0.18574532795195</v>
      </c>
      <c r="R293" s="23" t="n">
        <f aca="false">MAX(0,G293-N(L293))</f>
        <v>9429</v>
      </c>
      <c r="S293" s="23" t="n">
        <f aca="false">SUMIFS(Cadenas_vs_FCST!$D$17:$D$2437,Cadenas_vs_FCST!$A$17:$A$2437,A293)</f>
        <v>12045.6</v>
      </c>
      <c r="T293" s="23" t="n">
        <f aca="false">SUMIFS(Cadenas_vs_FCST!$E$17:$E$2437,Cadenas_vs_FCST!$A$17:$A$2437,A293)</f>
        <v>16121.5565651914</v>
      </c>
      <c r="U293" s="24" t="n">
        <f aca="false">IF(T293&gt;0,S293/T293-1,"")</f>
        <v>-0.25282649033977</v>
      </c>
      <c r="V293" s="3" t="str">
        <f aca="false">IF(OR(E293="BAJO SS",E293="BAJO SS (XLIB CUBRE)"),"SÍ","")</f>
        <v/>
      </c>
      <c r="W293" s="3" t="str">
        <f aca="false">IF(AND(V293="",N(L293)&gt;=Parametros!$B$17,G293&gt;=H293,R293&lt;H293),"SÍ","")</f>
        <v/>
      </c>
      <c r="X293" s="3" t="str">
        <f aca="false">IF(OR(E293="SOBRE MAX VENDIBLE",N(N293)&gt;=Parametros!$B$17,N(M293)&gt;=Parametros!$B$17),"SÍ","")</f>
        <v/>
      </c>
      <c r="Y293" s="3" t="str">
        <f aca="false">IF(AND(ISNUMBER(U293),MAX(S293,T293)&gt;=Parametros!$B$15,ABS(N(U293))&gt;Parametros!$B$14),"SÍ","")</f>
        <v>SÍ</v>
      </c>
      <c r="Z293" s="3" t="n">
        <f aca="false">COUNTIF(V293:Y293,"SÍ")</f>
        <v>1</v>
      </c>
      <c r="AA293" s="3" t="n">
        <f aca="false">(3*(V293="SÍ")+2*(W293="SÍ")+2*(X293="SÍ")+(Y293="SÍ"))*IF(LEFT(D293,1)="A",3,IF(OR(LEFT(D293,1)="B",D293="SIN HIST"),2,1))</f>
        <v>2</v>
      </c>
      <c r="AB293" s="3" t="str">
        <f aca="false">IF(AA293&gt;=9,"1-ALTA",IF(AA293&gt;=4,"2-MEDIA",IF(AA293&gt;0,"3-BAJA","")))</f>
        <v>3-BAJA</v>
      </c>
      <c r="AC293" s="3" t="str">
        <f aca="false">IF(E293="BAJO SS","Stock + XLIB bajo el SS: riesgo real de quiebre, adelantar producción. ","")&amp;IF(E293="BAJO SS (XLIB CUBRE)","Disponible bajo el SS; depende de liberar "&amp;TEXT(J293,"#,##0")&amp;" kg"&amp;IF(ISNUMBER(K293)," el "&amp;TEXT(K293,"dd-mm"),"")&amp;". ","")&amp;IF(W293="SÍ","Stock parece sano pero "&amp;TEXT(L293,"#,##0")&amp;" kg no pasan filtro "&amp;Stock_Seguridad!O293&amp;": sin ellos queda bajo el SS para esa cadena. ","")&amp;IF(E293="SOBRE MAX VENDIBLE","Sobrestock vs vida útil: frenar producción/activar venta. ","")&amp;IF(N(N293)&gt;=Parametros!$B$17,TEXT(N293,"#,##0")&amp;" kg ya no los acepta ninguna cadena: venta intermedia/liquidación. ","")&amp;IF(N(M293)&gt;=Parametros!$B$17,TEXT(M293,"#,##0")&amp;" kg a punto de salir del filtro: despachar primero (FEFO). ","")&amp;IF(Y293="SÍ","Pedidos "&amp;IF(N(U293)&gt;0,"sobre","bajo")&amp;" FCST "&amp;TEXT(ABS(N(U293)),"0%")&amp;": revisar forecast con KAM.","")</f>
        <v>Pedidos bajo FCST 25%: revisar forecast con KAM.</v>
      </c>
    </row>
    <row r="294" customFormat="false" ht="15" hidden="false" customHeight="false" outlineLevel="0" collapsed="false">
      <c r="A294" s="18" t="n">
        <f aca="false">Stock_Seguridad!A294</f>
        <v>30002365</v>
      </c>
      <c r="B294" s="18" t="str">
        <f aca="false">Stock_Seguridad!B294</f>
        <v>SALTEADO CHAPSUI FDM 15X400GR</v>
      </c>
      <c r="C294" s="18" t="str">
        <f aca="false">Stock_Seguridad!C294</f>
        <v>FRUTAS Y HORTALIZAS CONGELADAS</v>
      </c>
      <c r="D294" s="18" t="str">
        <f aca="false">Stock_Seguridad!F294</f>
        <v>SIN HIST</v>
      </c>
      <c r="E294" s="19" t="str">
        <f aca="false">Stock_Seguridad!X294</f>
        <v>BAJO P.REORDEN</v>
      </c>
      <c r="F294" s="20" t="n">
        <f aca="false">Stock_Seguridad!W294</f>
        <v>0.895943367530349</v>
      </c>
      <c r="G294" s="21" t="n">
        <f aca="false">Stock_Seguridad!T294</f>
        <v>3240</v>
      </c>
      <c r="H294" s="21" t="n">
        <f aca="false">Stock_Seguridad!R294</f>
        <v>1784.48525134338</v>
      </c>
      <c r="I294" s="21" t="n">
        <f aca="false">Stock_Seguridad!S294</f>
        <v>5400.78525134338</v>
      </c>
      <c r="J294" s="21" t="n">
        <f aca="false">Stock_Seguridad!U294</f>
        <v>0</v>
      </c>
      <c r="K294" s="22"/>
      <c r="L294" s="23" t="n">
        <v>0</v>
      </c>
      <c r="M294" s="23" t="n">
        <v>0</v>
      </c>
      <c r="N294" s="23" t="n">
        <v>0</v>
      </c>
      <c r="O294" s="24" t="n">
        <v>0.02</v>
      </c>
      <c r="P294" s="24" t="str">
        <f aca="false">IF(ISNUMBER(Stock_Seguridad!N294),Stock_Seguridad!N294,"")</f>
        <v/>
      </c>
      <c r="Q294" s="24" t="str">
        <f aca="false">IF(AND(ISNUMBER(O294),ISNUMBER(P294)),P294-O294,"")</f>
        <v/>
      </c>
      <c r="R294" s="23" t="n">
        <f aca="false">MAX(0,G294-N(L294))</f>
        <v>3240</v>
      </c>
      <c r="S294" s="23" t="n">
        <f aca="false">SUMIFS(Cadenas_vs_FCST!$D$17:$D$2437,Cadenas_vs_FCST!$A$17:$A$2437,A294)</f>
        <v>0</v>
      </c>
      <c r="T294" s="23" t="n">
        <f aca="false">SUMIFS(Cadenas_vs_FCST!$E$17:$E$2437,Cadenas_vs_FCST!$A$17:$A$2437,A294)</f>
        <v>0</v>
      </c>
      <c r="U294" s="24" t="str">
        <f aca="false">IF(T294&gt;0,S294/T294-1,"")</f>
        <v/>
      </c>
      <c r="V294" s="3" t="str">
        <f aca="false">IF(OR(E294="BAJO SS",E294="BAJO SS (XLIB CUBRE)"),"SÍ","")</f>
        <v/>
      </c>
      <c r="W294" s="3" t="str">
        <f aca="false">IF(AND(V294="",N(L294)&gt;=Parametros!$B$17,G294&gt;=H294,R294&lt;H294),"SÍ","")</f>
        <v/>
      </c>
      <c r="X294" s="3" t="str">
        <f aca="false">IF(OR(E294="SOBRE MAX VENDIBLE",N(N294)&gt;=Parametros!$B$17,N(M294)&gt;=Parametros!$B$17),"SÍ","")</f>
        <v/>
      </c>
      <c r="Y294" s="3" t="str">
        <f aca="false">IF(AND(ISNUMBER(U294),MAX(S294,T294)&gt;=Parametros!$B$15,ABS(N(U294))&gt;Parametros!$B$14),"SÍ","")</f>
        <v/>
      </c>
      <c r="Z294" s="3" t="n">
        <f aca="false">COUNTIF(V294:Y294,"SÍ")</f>
        <v>0</v>
      </c>
      <c r="AA294" s="3" t="n">
        <f aca="false">(3*(V294="SÍ")+2*(W294="SÍ")+2*(X294="SÍ")+(Y294="SÍ"))*IF(LEFT(D294,1)="A",3,IF(OR(LEFT(D294,1)="B",D294="SIN HIST"),2,1))</f>
        <v>0</v>
      </c>
      <c r="AB294" s="3" t="str">
        <f aca="false">IF(AA294&gt;=9,"1-ALTA",IF(AA294&gt;=4,"2-MEDIA",IF(AA294&gt;0,"3-BAJA","")))</f>
        <v/>
      </c>
      <c r="AC294" s="3" t="str">
        <f aca="false">IF(E294="BAJO SS","Stock + XLIB bajo el SS: riesgo real de quiebre, adelantar producción. ","")&amp;IF(E294="BAJO SS (XLIB CUBRE)","Disponible bajo el SS; depende de liberar "&amp;TEXT(J294,"#,##0")&amp;" kg"&amp;IF(ISNUMBER(K294)," el "&amp;TEXT(K294,"dd-mm"),"")&amp;". ","")&amp;IF(W294="SÍ","Stock parece sano pero "&amp;TEXT(L294,"#,##0")&amp;" kg no pasan filtro "&amp;Stock_Seguridad!O294&amp;": sin ellos queda bajo el SS para esa cadena. ","")&amp;IF(E294="SOBRE MAX VENDIBLE","Sobrestock vs vida útil: frenar producción/activar venta. ","")&amp;IF(N(N294)&gt;=Parametros!$B$17,TEXT(N294,"#,##0")&amp;" kg ya no los acepta ninguna cadena: venta intermedia/liquidación. ","")&amp;IF(N(M294)&gt;=Parametros!$B$17,TEXT(M294,"#,##0")&amp;" kg a punto de salir del filtro: despachar primero (FEFO). ","")&amp;IF(Y294="SÍ","Pedidos "&amp;IF(N(U294)&gt;0,"sobre","bajo")&amp;" FCST "&amp;TEXT(ABS(N(U294)),"0%")&amp;": revisar forecast con KAM.","")</f>
        <v/>
      </c>
    </row>
    <row r="295" customFormat="false" ht="15" hidden="false" customHeight="false" outlineLevel="0" collapsed="false">
      <c r="A295" s="18" t="n">
        <f aca="false">Stock_Seguridad!A295</f>
        <v>30001935</v>
      </c>
      <c r="B295" s="18" t="str">
        <f aca="false">Stock_Seguridad!B295</f>
        <v>YOGURT LONCO PROTEIN TRZ FLLA 24X140GR</v>
      </c>
      <c r="C295" s="18" t="str">
        <f aca="false">Stock_Seguridad!C295</f>
        <v>YOGURT</v>
      </c>
      <c r="D295" s="18" t="str">
        <f aca="false">Stock_Seguridad!F295</f>
        <v>BX</v>
      </c>
      <c r="E295" s="19" t="str">
        <f aca="false">Stock_Seguridad!X295</f>
        <v>BAJO SS</v>
      </c>
      <c r="F295" s="20" t="n">
        <f aca="false">Stock_Seguridad!W295</f>
        <v>0.00464974675486425</v>
      </c>
      <c r="G295" s="21" t="n">
        <f aca="false">Stock_Seguridad!T295</f>
        <v>16.8</v>
      </c>
      <c r="H295" s="21" t="n">
        <f aca="false">Stock_Seguridad!R295</f>
        <v>2580.78571428571</v>
      </c>
      <c r="I295" s="21" t="n">
        <f aca="false">Stock_Seguridad!S295</f>
        <v>6193.88571428571</v>
      </c>
      <c r="J295" s="21" t="n">
        <f aca="false">Stock_Seguridad!U295</f>
        <v>0</v>
      </c>
      <c r="K295" s="22"/>
      <c r="L295" s="23" t="n">
        <v>16.8</v>
      </c>
      <c r="M295" s="23" t="n">
        <v>0</v>
      </c>
      <c r="N295" s="23" t="n">
        <v>0</v>
      </c>
      <c r="O295" s="24" t="n">
        <v>0.28</v>
      </c>
      <c r="P295" s="24" t="n">
        <f aca="false">IF(ISNUMBER(Stock_Seguridad!N295),Stock_Seguridad!N295,"")</f>
        <v>0.2</v>
      </c>
      <c r="Q295" s="24" t="n">
        <f aca="false">IF(AND(ISNUMBER(O295),ISNUMBER(P295)),P295-O295,"")</f>
        <v>-0.08</v>
      </c>
      <c r="R295" s="23" t="n">
        <f aca="false">MAX(0,G295-N(L295))</f>
        <v>0</v>
      </c>
      <c r="S295" s="23" t="n">
        <f aca="false">SUMIFS(Cadenas_vs_FCST!$D$17:$D$2437,Cadenas_vs_FCST!$A$17:$A$2437,A295)</f>
        <v>17438.4</v>
      </c>
      <c r="T295" s="23" t="n">
        <f aca="false">SUMIFS(Cadenas_vs_FCST!$E$17:$E$2437,Cadenas_vs_FCST!$A$17:$A$2437,A295)</f>
        <v>16010.6233015398</v>
      </c>
      <c r="U295" s="24" t="n">
        <f aca="false">IF(T295&gt;0,S295/T295-1,"")</f>
        <v>0.089176834128808</v>
      </c>
      <c r="V295" s="3" t="str">
        <f aca="false">IF(OR(E295="BAJO SS",E295="BAJO SS (XLIB CUBRE)"),"SÍ","")</f>
        <v>SÍ</v>
      </c>
      <c r="W295" s="3" t="str">
        <f aca="false">IF(AND(V295="",N(L295)&gt;=Parametros!$B$17,G295&gt;=H295,R295&lt;H295),"SÍ","")</f>
        <v/>
      </c>
      <c r="X295" s="3" t="str">
        <f aca="false">IF(OR(E295="SOBRE MAX VENDIBLE",N(N295)&gt;=Parametros!$B$17,N(M295)&gt;=Parametros!$B$17),"SÍ","")</f>
        <v/>
      </c>
      <c r="Y295" s="3" t="str">
        <f aca="false">IF(AND(ISNUMBER(U295),MAX(S295,T295)&gt;=Parametros!$B$15,ABS(N(U295))&gt;Parametros!$B$14),"SÍ","")</f>
        <v/>
      </c>
      <c r="Z295" s="3" t="n">
        <f aca="false">COUNTIF(V295:Y295,"SÍ")</f>
        <v>1</v>
      </c>
      <c r="AA295" s="3" t="n">
        <f aca="false">(3*(V295="SÍ")+2*(W295="SÍ")+2*(X295="SÍ")+(Y295="SÍ"))*IF(LEFT(D295,1)="A",3,IF(OR(LEFT(D295,1)="B",D295="SIN HIST"),2,1))</f>
        <v>6</v>
      </c>
      <c r="AB295" s="3" t="str">
        <f aca="false">IF(AA295&gt;=9,"1-ALTA",IF(AA295&gt;=4,"2-MEDIA",IF(AA295&gt;0,"3-BAJA","")))</f>
        <v>2-MEDIA</v>
      </c>
      <c r="AC295" s="3" t="str">
        <f aca="false">IF(E295="BAJO SS","Stock + XLIB bajo el SS: riesgo real de quiebre, adelantar producción. ","")&amp;IF(E295="BAJO SS (XLIB CUBRE)","Disponible bajo el SS; depende de liberar "&amp;TEXT(J295,"#,##0")&amp;" kg"&amp;IF(ISNUMBER(K295)," el "&amp;TEXT(K295,"dd-mm"),"")&amp;". ","")&amp;IF(W295="SÍ","Stock parece sano pero "&amp;TEXT(L295,"#,##0")&amp;" kg no pasan filtro "&amp;Stock_Seguridad!O295&amp;": sin ellos queda bajo el SS para esa cadena. ","")&amp;IF(E295="SOBRE MAX VENDIBLE","Sobrestock vs vida útil: frenar producción/activar venta. ","")&amp;IF(N(N295)&gt;=Parametros!$B$17,TEXT(N295,"#,##0")&amp;" kg ya no los acepta ninguna cadena: venta intermedia/liquidación. ","")&amp;IF(N(M295)&gt;=Parametros!$B$17,TEXT(M295,"#,##0")&amp;" kg a punto de salir del filtro: despachar primero (FEFO). ","")&amp;IF(Y295="SÍ","Pedidos "&amp;IF(N(U295)&gt;0,"sobre","bajo")&amp;" FCST "&amp;TEXT(ABS(N(U295)),"0%")&amp;": revisar forecast con KAM.","")</f>
        <v>Stock + XLIB bajo el SS: riesgo real de quiebre, adelantar producción. </v>
      </c>
    </row>
    <row r="296" customFormat="false" ht="15" hidden="false" customHeight="false" outlineLevel="0" collapsed="false">
      <c r="A296" s="18" t="n">
        <f aca="false">Stock_Seguridad!A296</f>
        <v>30002091</v>
      </c>
      <c r="B296" s="18" t="str">
        <f aca="false">Stock_Seguridad!B296</f>
        <v>YOG FULL PRO LONCO PROTEIN FLLA 12X150GR</v>
      </c>
      <c r="C296" s="18" t="str">
        <f aca="false">Stock_Seguridad!C296</f>
        <v>YOGURT</v>
      </c>
      <c r="D296" s="18" t="str">
        <f aca="false">Stock_Seguridad!F296</f>
        <v>AX</v>
      </c>
      <c r="E296" s="19" t="str">
        <f aca="false">Stock_Seguridad!X296</f>
        <v>BAJO SS (XLIB CUBRE)</v>
      </c>
      <c r="F296" s="20" t="n">
        <f aca="false">Stock_Seguridad!W296</f>
        <v>1.08141661586211</v>
      </c>
      <c r="G296" s="21" t="n">
        <f aca="false">Stock_Seguridad!T296</f>
        <v>9</v>
      </c>
      <c r="H296" s="21" t="n">
        <f aca="false">Stock_Seguridad!R296</f>
        <v>2062.05714285714</v>
      </c>
      <c r="I296" s="21" t="n">
        <f aca="false">Stock_Seguridad!S296</f>
        <v>5670.65714285714</v>
      </c>
      <c r="J296" s="21" t="n">
        <f aca="false">Stock_Seguridad!U296</f>
        <v>3893.4</v>
      </c>
      <c r="K296" s="22" t="n">
        <v>46317</v>
      </c>
      <c r="L296" s="23" t="n">
        <v>9</v>
      </c>
      <c r="M296" s="23" t="n">
        <v>0</v>
      </c>
      <c r="N296" s="23" t="n">
        <v>0</v>
      </c>
      <c r="O296" s="24" t="n">
        <v>0.0205765682656827</v>
      </c>
      <c r="P296" s="24" t="n">
        <f aca="false">IF(ISNUMBER(Stock_Seguridad!N296),Stock_Seguridad!N296,"")</f>
        <v>0.183333333333333</v>
      </c>
      <c r="Q296" s="24" t="n">
        <f aca="false">IF(AND(ISNUMBER(O296),ISNUMBER(P296)),P296-O296,"")</f>
        <v>0.162756765067651</v>
      </c>
      <c r="R296" s="23" t="n">
        <f aca="false">MAX(0,G296-N(L296))</f>
        <v>0</v>
      </c>
      <c r="S296" s="23" t="n">
        <f aca="false">SUMIFS(Cadenas_vs_FCST!$D$17:$D$2437,Cadenas_vs_FCST!$A$17:$A$2437,A296)</f>
        <v>30207.6</v>
      </c>
      <c r="T296" s="23" t="n">
        <f aca="false">SUMIFS(Cadenas_vs_FCST!$E$17:$E$2437,Cadenas_vs_FCST!$A$17:$A$2437,A296)</f>
        <v>15877.9968659493</v>
      </c>
      <c r="U296" s="24" t="n">
        <f aca="false">IF(T296&gt;0,S296/T296-1,"")</f>
        <v>0.902481796351839</v>
      </c>
      <c r="V296" s="3" t="str">
        <f aca="false">IF(OR(E296="BAJO SS",E296="BAJO SS (XLIB CUBRE)"),"SÍ","")</f>
        <v>SÍ</v>
      </c>
      <c r="W296" s="3" t="str">
        <f aca="false">IF(AND(V296="",N(L296)&gt;=Parametros!$B$17,G296&gt;=H296,R296&lt;H296),"SÍ","")</f>
        <v/>
      </c>
      <c r="X296" s="3" t="str">
        <f aca="false">IF(OR(E296="SOBRE MAX VENDIBLE",N(N296)&gt;=Parametros!$B$17,N(M296)&gt;=Parametros!$B$17),"SÍ","")</f>
        <v/>
      </c>
      <c r="Y296" s="3" t="str">
        <f aca="false">IF(AND(ISNUMBER(U296),MAX(S296,T296)&gt;=Parametros!$B$15,ABS(N(U296))&gt;Parametros!$B$14),"SÍ","")</f>
        <v>SÍ</v>
      </c>
      <c r="Z296" s="3" t="n">
        <f aca="false">COUNTIF(V296:Y296,"SÍ")</f>
        <v>2</v>
      </c>
      <c r="AA296" s="3" t="n">
        <f aca="false">(3*(V296="SÍ")+2*(W296="SÍ")+2*(X296="SÍ")+(Y296="SÍ"))*IF(LEFT(D296,1)="A",3,IF(OR(LEFT(D296,1)="B",D296="SIN HIST"),2,1))</f>
        <v>12</v>
      </c>
      <c r="AB296" s="3" t="str">
        <f aca="false">IF(AA296&gt;=9,"1-ALTA",IF(AA296&gt;=4,"2-MEDIA",IF(AA296&gt;0,"3-BAJA","")))</f>
        <v>1-ALTA</v>
      </c>
      <c r="AC296" s="3" t="str">
        <f aca="false">IF(E296="BAJO SS","Stock + XLIB bajo el SS: riesgo real de quiebre, adelantar producción. ","")&amp;IF(E296="BAJO SS (XLIB CUBRE)","Disponible bajo el SS; depende de liberar "&amp;TEXT(J296,"#,##0")&amp;" kg"&amp;IF(ISNUMBER(K296)," el "&amp;TEXT(K296,"dd-mm"),"")&amp;". ","")&amp;IF(W296="SÍ","Stock parece sano pero "&amp;TEXT(L296,"#,##0")&amp;" kg no pasan filtro "&amp;Stock_Seguridad!O296&amp;": sin ellos queda bajo el SS para esa cadena. ","")&amp;IF(E296="SOBRE MAX VENDIBLE","Sobrestock vs vida útil: frenar producción/activar venta. ","")&amp;IF(N(N296)&gt;=Parametros!$B$17,TEXT(N296,"#,##0")&amp;" kg ya no los acepta ninguna cadena: venta intermedia/liquidación. ","")&amp;IF(N(M296)&gt;=Parametros!$B$17,TEXT(M296,"#,##0")&amp;" kg a punto de salir del filtro: despachar primero (FEFO). ","")&amp;IF(Y296="SÍ","Pedidos "&amp;IF(N(U296)&gt;0,"sobre","bajo")&amp;" FCST "&amp;TEXT(ABS(N(U296)),"0%")&amp;": revisar forecast con KAM.","")</f>
        <v>Disponible bajo el SS; depende de liberar 3,893 kg el 22-10. Pedidos sobre FCST 90%: revisar forecast con KAM.</v>
      </c>
    </row>
    <row r="297" customFormat="false" ht="15" hidden="false" customHeight="false" outlineLevel="0" collapsed="false">
      <c r="A297" s="18" t="n">
        <f aca="false">Stock_Seguridad!A297</f>
        <v>30000735</v>
      </c>
      <c r="B297" s="18" t="str">
        <f aca="false">Stock_Seguridad!B297</f>
        <v>ENSALADA PRIMAVERA FDM 12X200GR</v>
      </c>
      <c r="C297" s="18" t="str">
        <f aca="false">Stock_Seguridad!C297</f>
        <v>FRUTAS Y HORTALIZAS CONGELADAS</v>
      </c>
      <c r="D297" s="18" t="str">
        <f aca="false">Stock_Seguridad!F297</f>
        <v>SIN HIST</v>
      </c>
      <c r="E297" s="19" t="str">
        <f aca="false">Stock_Seguridad!X297</f>
        <v>OK</v>
      </c>
      <c r="F297" s="20" t="n">
        <f aca="false">Stock_Seguridad!W297</f>
        <v>2.81039892424922</v>
      </c>
      <c r="G297" s="21" t="n">
        <f aca="false">Stock_Seguridad!T297</f>
        <v>10032</v>
      </c>
      <c r="H297" s="21" t="n">
        <f aca="false">Stock_Seguridad!R297</f>
        <v>1761.44085202979</v>
      </c>
      <c r="I297" s="21" t="n">
        <f aca="false">Stock_Seguridad!S297</f>
        <v>5331.04085202979</v>
      </c>
      <c r="J297" s="21" t="n">
        <f aca="false">Stock_Seguridad!U297</f>
        <v>0</v>
      </c>
      <c r="K297" s="22"/>
      <c r="L297" s="23" t="n">
        <v>0</v>
      </c>
      <c r="M297" s="23" t="n">
        <v>0</v>
      </c>
      <c r="N297" s="23" t="n">
        <v>0</v>
      </c>
      <c r="O297" s="24" t="n">
        <v>0.0161746411483254</v>
      </c>
      <c r="P297" s="24" t="str">
        <f aca="false">IF(ISNUMBER(Stock_Seguridad!N297),Stock_Seguridad!N297,"")</f>
        <v/>
      </c>
      <c r="Q297" s="24" t="str">
        <f aca="false">IF(AND(ISNUMBER(O297),ISNUMBER(P297)),P297-O297,"")</f>
        <v/>
      </c>
      <c r="R297" s="23" t="n">
        <f aca="false">MAX(0,G297-N(L297))</f>
        <v>10032</v>
      </c>
      <c r="S297" s="23" t="n">
        <f aca="false">SUMIFS(Cadenas_vs_FCST!$D$17:$D$2437,Cadenas_vs_FCST!$A$17:$A$2437,A297)</f>
        <v>0</v>
      </c>
      <c r="T297" s="23" t="n">
        <f aca="false">SUMIFS(Cadenas_vs_FCST!$E$17:$E$2437,Cadenas_vs_FCST!$A$17:$A$2437,A297)</f>
        <v>0</v>
      </c>
      <c r="U297" s="24" t="str">
        <f aca="false">IF(T297&gt;0,S297/T297-1,"")</f>
        <v/>
      </c>
      <c r="V297" s="3" t="str">
        <f aca="false">IF(OR(E297="BAJO SS",E297="BAJO SS (XLIB CUBRE)"),"SÍ","")</f>
        <v/>
      </c>
      <c r="W297" s="3" t="str">
        <f aca="false">IF(AND(V297="",N(L297)&gt;=Parametros!$B$17,G297&gt;=H297,R297&lt;H297),"SÍ","")</f>
        <v/>
      </c>
      <c r="X297" s="3" t="str">
        <f aca="false">IF(OR(E297="SOBRE MAX VENDIBLE",N(N297)&gt;=Parametros!$B$17,N(M297)&gt;=Parametros!$B$17),"SÍ","")</f>
        <v/>
      </c>
      <c r="Y297" s="3" t="str">
        <f aca="false">IF(AND(ISNUMBER(U297),MAX(S297,T297)&gt;=Parametros!$B$15,ABS(N(U297))&gt;Parametros!$B$14),"SÍ","")</f>
        <v/>
      </c>
      <c r="Z297" s="3" t="n">
        <f aca="false">COUNTIF(V297:Y297,"SÍ")</f>
        <v>0</v>
      </c>
      <c r="AA297" s="3" t="n">
        <f aca="false">(3*(V297="SÍ")+2*(W297="SÍ")+2*(X297="SÍ")+(Y297="SÍ"))*IF(LEFT(D297,1)="A",3,IF(OR(LEFT(D297,1)="B",D297="SIN HIST"),2,1))</f>
        <v>0</v>
      </c>
      <c r="AB297" s="3" t="str">
        <f aca="false">IF(AA297&gt;=9,"1-ALTA",IF(AA297&gt;=4,"2-MEDIA",IF(AA297&gt;0,"3-BAJA","")))</f>
        <v/>
      </c>
      <c r="AC297" s="3" t="str">
        <f aca="false">IF(E297="BAJO SS","Stock + XLIB bajo el SS: riesgo real de quiebre, adelantar producción. ","")&amp;IF(E297="BAJO SS (XLIB CUBRE)","Disponible bajo el SS; depende de liberar "&amp;TEXT(J297,"#,##0")&amp;" kg"&amp;IF(ISNUMBER(K297)," el "&amp;TEXT(K297,"dd-mm"),"")&amp;". ","")&amp;IF(W297="SÍ","Stock parece sano pero "&amp;TEXT(L297,"#,##0")&amp;" kg no pasan filtro "&amp;Stock_Seguridad!O297&amp;": sin ellos queda bajo el SS para esa cadena. ","")&amp;IF(E297="SOBRE MAX VENDIBLE","Sobrestock vs vida útil: frenar producción/activar venta. ","")&amp;IF(N(N297)&gt;=Parametros!$B$17,TEXT(N297,"#,##0")&amp;" kg ya no los acepta ninguna cadena: venta intermedia/liquidación. ","")&amp;IF(N(M297)&gt;=Parametros!$B$17,TEXT(M297,"#,##0")&amp;" kg a punto de salir del filtro: despachar primero (FEFO). ","")&amp;IF(Y297="SÍ","Pedidos "&amp;IF(N(U297)&gt;0,"sobre","bajo")&amp;" FCST "&amp;TEXT(ABS(N(U297)),"0%")&amp;": revisar forecast con KAM.","")</f>
        <v/>
      </c>
    </row>
    <row r="298" customFormat="false" ht="15" hidden="false" customHeight="false" outlineLevel="0" collapsed="false">
      <c r="A298" s="18" t="n">
        <f aca="false">Stock_Seguridad!A298</f>
        <v>30001739</v>
      </c>
      <c r="B298" s="18" t="str">
        <f aca="false">Stock_Seguridad!B298</f>
        <v>QUESO LAS PARCELAS CHANCO LAM 4X2,5KG</v>
      </c>
      <c r="C298" s="18" t="str">
        <f aca="false">Stock_Seguridad!C298</f>
        <v>QUESOS</v>
      </c>
      <c r="D298" s="18" t="str">
        <f aca="false">Stock_Seguridad!F298</f>
        <v>BX</v>
      </c>
      <c r="E298" s="19" t="str">
        <f aca="false">Stock_Seguridad!X298</f>
        <v>OK</v>
      </c>
      <c r="F298" s="20" t="n">
        <f aca="false">Stock_Seguridad!W298</f>
        <v>4.49412763548889</v>
      </c>
      <c r="G298" s="21" t="n">
        <f aca="false">Stock_Seguridad!T298</f>
        <v>15880</v>
      </c>
      <c r="H298" s="21" t="n">
        <f aca="false">Stock_Seguridad!R298</f>
        <v>2312.14423456664</v>
      </c>
      <c r="I298" s="21" t="n">
        <f aca="false">Stock_Seguridad!S298</f>
        <v>5845.64423456664</v>
      </c>
      <c r="J298" s="21" t="n">
        <f aca="false">Stock_Seguridad!U298</f>
        <v>0</v>
      </c>
      <c r="K298" s="22"/>
      <c r="L298" s="23" t="n">
        <v>1240</v>
      </c>
      <c r="M298" s="23" t="n">
        <v>3760</v>
      </c>
      <c r="N298" s="23" t="n">
        <v>0</v>
      </c>
      <c r="O298" s="24" t="n">
        <v>0.101969696969697</v>
      </c>
      <c r="P298" s="24" t="n">
        <f aca="false">IF(ISNUMBER(Stock_Seguridad!N298),Stock_Seguridad!N298,"")</f>
        <v>0.211956521739131</v>
      </c>
      <c r="Q298" s="24" t="n">
        <f aca="false">IF(AND(ISNUMBER(O298),ISNUMBER(P298)),P298-O298,"")</f>
        <v>0.109986824769433</v>
      </c>
      <c r="R298" s="23" t="n">
        <f aca="false">MAX(0,G298-N(L298))</f>
        <v>14640</v>
      </c>
      <c r="S298" s="23" t="n">
        <f aca="false">SUMIFS(Cadenas_vs_FCST!$D$17:$D$2437,Cadenas_vs_FCST!$A$17:$A$2437,A298)</f>
        <v>13522</v>
      </c>
      <c r="T298" s="23" t="n">
        <f aca="false">SUMIFS(Cadenas_vs_FCST!$E$17:$E$2437,Cadenas_vs_FCST!$A$17:$A$2437,A298)</f>
        <v>13261.6050058331</v>
      </c>
      <c r="U298" s="24" t="n">
        <f aca="false">IF(T298&gt;0,S298/T298-1,"")</f>
        <v>0.0196352548618666</v>
      </c>
      <c r="V298" s="3" t="str">
        <f aca="false">IF(OR(E298="BAJO SS",E298="BAJO SS (XLIB CUBRE)"),"SÍ","")</f>
        <v/>
      </c>
      <c r="W298" s="3" t="str">
        <f aca="false">IF(AND(V298="",N(L298)&gt;=Parametros!$B$17,G298&gt;=H298,R298&lt;H298),"SÍ","")</f>
        <v/>
      </c>
      <c r="X298" s="3" t="str">
        <f aca="false">IF(OR(E298="SOBRE MAX VENDIBLE",N(N298)&gt;=Parametros!$B$17,N(M298)&gt;=Parametros!$B$17),"SÍ","")</f>
        <v>SÍ</v>
      </c>
      <c r="Y298" s="3" t="str">
        <f aca="false">IF(AND(ISNUMBER(U298),MAX(S298,T298)&gt;=Parametros!$B$15,ABS(N(U298))&gt;Parametros!$B$14),"SÍ","")</f>
        <v/>
      </c>
      <c r="Z298" s="3" t="n">
        <f aca="false">COUNTIF(V298:Y298,"SÍ")</f>
        <v>1</v>
      </c>
      <c r="AA298" s="3" t="n">
        <f aca="false">(3*(V298="SÍ")+2*(W298="SÍ")+2*(X298="SÍ")+(Y298="SÍ"))*IF(LEFT(D298,1)="A",3,IF(OR(LEFT(D298,1)="B",D298="SIN HIST"),2,1))</f>
        <v>4</v>
      </c>
      <c r="AB298" s="3" t="str">
        <f aca="false">IF(AA298&gt;=9,"1-ALTA",IF(AA298&gt;=4,"2-MEDIA",IF(AA298&gt;0,"3-BAJA","")))</f>
        <v>2-MEDIA</v>
      </c>
      <c r="AC298" s="3" t="str">
        <f aca="false">IF(E298="BAJO SS","Stock + XLIB bajo el SS: riesgo real de quiebre, adelantar producción. ","")&amp;IF(E298="BAJO SS (XLIB CUBRE)","Disponible bajo el SS; depende de liberar "&amp;TEXT(J298,"#,##0")&amp;" kg"&amp;IF(ISNUMBER(K298)," el "&amp;TEXT(K298,"dd-mm"),"")&amp;". ","")&amp;IF(W298="SÍ","Stock parece sano pero "&amp;TEXT(L298,"#,##0")&amp;" kg no pasan filtro "&amp;Stock_Seguridad!O298&amp;": sin ellos queda bajo el SS para esa cadena. ","")&amp;IF(E298="SOBRE MAX VENDIBLE","Sobrestock vs vida útil: frenar producción/activar venta. ","")&amp;IF(N(N298)&gt;=Parametros!$B$17,TEXT(N298,"#,##0")&amp;" kg ya no los acepta ninguna cadena: venta intermedia/liquidación. ","")&amp;IF(N(M298)&gt;=Parametros!$B$17,TEXT(M298,"#,##0")&amp;" kg a punto de salir del filtro: despachar primero (FEFO). ","")&amp;IF(Y298="SÍ","Pedidos "&amp;IF(N(U298)&gt;0,"sobre","bajo")&amp;" FCST "&amp;TEXT(ABS(N(U298)),"0%")&amp;": revisar forecast con KAM.","")</f>
        <v>3,760 kg a punto de salir del filtro: despachar primero (FEFO). </v>
      </c>
    </row>
    <row r="299" customFormat="false" ht="15" hidden="false" customHeight="false" outlineLevel="0" collapsed="false">
      <c r="A299" s="18" t="n">
        <f aca="false">Stock_Seguridad!A299</f>
        <v>30000179</v>
      </c>
      <c r="B299" s="18" t="str">
        <f aca="false">Stock_Seguridad!B299</f>
        <v>MERMELADA WATTS S/A FBSA SACHET 24X200GR</v>
      </c>
      <c r="C299" s="18" t="str">
        <f aca="false">Stock_Seguridad!C299</f>
        <v>MERMELADAS</v>
      </c>
      <c r="D299" s="18" t="str">
        <f aca="false">Stock_Seguridad!F299</f>
        <v>BX</v>
      </c>
      <c r="E299" s="19" t="str">
        <f aca="false">Stock_Seguridad!X299</f>
        <v>OK</v>
      </c>
      <c r="F299" s="20" t="n">
        <f aca="false">Stock_Seguridad!W299</f>
        <v>2.21311475409836</v>
      </c>
      <c r="G299" s="21" t="n">
        <f aca="false">Stock_Seguridad!T299</f>
        <v>7776</v>
      </c>
      <c r="H299" s="21" t="n">
        <f aca="false">Stock_Seguridad!R299</f>
        <v>976.694535882655</v>
      </c>
      <c r="I299" s="21" t="n">
        <f aca="false">Stock_Seguridad!S299</f>
        <v>4490.29453588266</v>
      </c>
      <c r="J299" s="21" t="n">
        <f aca="false">Stock_Seguridad!U299</f>
        <v>0</v>
      </c>
      <c r="K299" s="22"/>
      <c r="L299" s="23" t="n">
        <v>52.8</v>
      </c>
      <c r="M299" s="23" t="n">
        <v>0</v>
      </c>
      <c r="N299" s="23" t="n">
        <v>52.8</v>
      </c>
      <c r="O299" s="24" t="n">
        <v>0.0601609907120743</v>
      </c>
      <c r="P299" s="24" t="n">
        <f aca="false">IF(ISNUMBER(Stock_Seguridad!N299),Stock_Seguridad!N299,"")</f>
        <v>0.28804347826087</v>
      </c>
      <c r="Q299" s="24" t="n">
        <f aca="false">IF(AND(ISNUMBER(O299),ISNUMBER(P299)),P299-O299,"")</f>
        <v>0.227882487548795</v>
      </c>
      <c r="R299" s="23" t="n">
        <f aca="false">MAX(0,G299-N(L299))</f>
        <v>7723.2</v>
      </c>
      <c r="S299" s="23" t="n">
        <f aca="false">SUMIFS(Cadenas_vs_FCST!$D$17:$D$2437,Cadenas_vs_FCST!$A$17:$A$2437,A299)</f>
        <v>10747.2</v>
      </c>
      <c r="T299" s="23" t="n">
        <f aca="false">SUMIFS(Cadenas_vs_FCST!$E$17:$E$2437,Cadenas_vs_FCST!$A$17:$A$2437,A299)</f>
        <v>12847.7239249543</v>
      </c>
      <c r="U299" s="24" t="n">
        <f aca="false">IF(T299&gt;0,S299/T299-1,"")</f>
        <v>-0.163493855971987</v>
      </c>
      <c r="V299" s="3" t="str">
        <f aca="false">IF(OR(E299="BAJO SS",E299="BAJO SS (XLIB CUBRE)"),"SÍ","")</f>
        <v/>
      </c>
      <c r="W299" s="3" t="str">
        <f aca="false">IF(AND(V299="",N(L299)&gt;=Parametros!$B$17,G299&gt;=H299,R299&lt;H299),"SÍ","")</f>
        <v/>
      </c>
      <c r="X299" s="3" t="str">
        <f aca="false">IF(OR(E299="SOBRE MAX VENDIBLE",N(N299)&gt;=Parametros!$B$17,N(M299)&gt;=Parametros!$B$17),"SÍ","")</f>
        <v/>
      </c>
      <c r="Y299" s="3" t="str">
        <f aca="false">IF(AND(ISNUMBER(U299),MAX(S299,T299)&gt;=Parametros!$B$15,ABS(N(U299))&gt;Parametros!$B$14),"SÍ","")</f>
        <v/>
      </c>
      <c r="Z299" s="3" t="n">
        <f aca="false">COUNTIF(V299:Y299,"SÍ")</f>
        <v>0</v>
      </c>
      <c r="AA299" s="3" t="n">
        <f aca="false">(3*(V299="SÍ")+2*(W299="SÍ")+2*(X299="SÍ")+(Y299="SÍ"))*IF(LEFT(D299,1)="A",3,IF(OR(LEFT(D299,1)="B",D299="SIN HIST"),2,1))</f>
        <v>0</v>
      </c>
      <c r="AB299" s="3" t="str">
        <f aca="false">IF(AA299&gt;=9,"1-ALTA",IF(AA299&gt;=4,"2-MEDIA",IF(AA299&gt;0,"3-BAJA","")))</f>
        <v/>
      </c>
      <c r="AC299" s="3" t="str">
        <f aca="false">IF(E299="BAJO SS","Stock + XLIB bajo el SS: riesgo real de quiebre, adelantar producción. ","")&amp;IF(E299="BAJO SS (XLIB CUBRE)","Disponible bajo el SS; depende de liberar "&amp;TEXT(J299,"#,##0")&amp;" kg"&amp;IF(ISNUMBER(K299)," el "&amp;TEXT(K299,"dd-mm"),"")&amp;". ","")&amp;IF(W299="SÍ","Stock parece sano pero "&amp;TEXT(L299,"#,##0")&amp;" kg no pasan filtro "&amp;Stock_Seguridad!O299&amp;": sin ellos queda bajo el SS para esa cadena. ","")&amp;IF(E299="SOBRE MAX VENDIBLE","Sobrestock vs vida útil: frenar producción/activar venta. ","")&amp;IF(N(N299)&gt;=Parametros!$B$17,TEXT(N299,"#,##0")&amp;" kg ya no los acepta ninguna cadena: venta intermedia/liquidación. ","")&amp;IF(N(M299)&gt;=Parametros!$B$17,TEXT(M299,"#,##0")&amp;" kg a punto de salir del filtro: despachar primero (FEFO). ","")&amp;IF(Y299="SÍ","Pedidos "&amp;IF(N(U299)&gt;0,"sobre","bajo")&amp;" FCST "&amp;TEXT(ABS(N(U299)),"0%")&amp;": revisar forecast con KAM.","")</f>
        <v/>
      </c>
    </row>
    <row r="300" customFormat="false" ht="15" hidden="false" customHeight="false" outlineLevel="0" collapsed="false">
      <c r="A300" s="18" t="n">
        <f aca="false">Stock_Seguridad!A300</f>
        <v>30000756</v>
      </c>
      <c r="B300" s="18" t="str">
        <f aca="false">Stock_Seguridad!B300</f>
        <v>JARDINERA FM 8X2KG</v>
      </c>
      <c r="C300" s="18" t="str">
        <f aca="false">Stock_Seguridad!C300</f>
        <v>FRUTAS Y HORTALIZAS CONGELADAS</v>
      </c>
      <c r="D300" s="18" t="str">
        <f aca="false">Stock_Seguridad!F300</f>
        <v>SIN HIST</v>
      </c>
      <c r="E300" s="19" t="str">
        <f aca="false">Stock_Seguridad!X300</f>
        <v>OK</v>
      </c>
      <c r="F300" s="20" t="n">
        <f aca="false">Stock_Seguridad!W300</f>
        <v>10.52212036668</v>
      </c>
      <c r="G300" s="21" t="n">
        <f aca="false">Stock_Seguridad!T300</f>
        <v>36960</v>
      </c>
      <c r="H300" s="21" t="n">
        <f aca="false">Stock_Seguridad!R300</f>
        <v>1733.31385500892</v>
      </c>
      <c r="I300" s="21" t="n">
        <f aca="false">Stock_Seguridad!S300</f>
        <v>5245.91385500892</v>
      </c>
      <c r="J300" s="21" t="n">
        <f aca="false">Stock_Seguridad!U300</f>
        <v>0</v>
      </c>
      <c r="K300" s="22"/>
      <c r="L300" s="23" t="n">
        <v>0</v>
      </c>
      <c r="M300" s="23" t="n">
        <v>0</v>
      </c>
      <c r="N300" s="23" t="n">
        <v>0</v>
      </c>
      <c r="O300" s="24" t="n">
        <v>0.0779220779220779</v>
      </c>
      <c r="P300" s="24" t="str">
        <f aca="false">IF(ISNUMBER(Stock_Seguridad!N300),Stock_Seguridad!N300,"")</f>
        <v/>
      </c>
      <c r="Q300" s="24" t="str">
        <f aca="false">IF(AND(ISNUMBER(O300),ISNUMBER(P300)),P300-O300,"")</f>
        <v/>
      </c>
      <c r="R300" s="23" t="n">
        <f aca="false">MAX(0,G300-N(L300))</f>
        <v>36960</v>
      </c>
      <c r="S300" s="23" t="n">
        <f aca="false">SUMIFS(Cadenas_vs_FCST!$D$17:$D$2437,Cadenas_vs_FCST!$A$17:$A$2437,A300)</f>
        <v>0</v>
      </c>
      <c r="T300" s="23" t="n">
        <f aca="false">SUMIFS(Cadenas_vs_FCST!$E$17:$E$2437,Cadenas_vs_FCST!$A$17:$A$2437,A300)</f>
        <v>0</v>
      </c>
      <c r="U300" s="24" t="str">
        <f aca="false">IF(T300&gt;0,S300/T300-1,"")</f>
        <v/>
      </c>
      <c r="V300" s="3" t="str">
        <f aca="false">IF(OR(E300="BAJO SS",E300="BAJO SS (XLIB CUBRE)"),"SÍ","")</f>
        <v/>
      </c>
      <c r="W300" s="3" t="str">
        <f aca="false">IF(AND(V300="",N(L300)&gt;=Parametros!$B$17,G300&gt;=H300,R300&lt;H300),"SÍ","")</f>
        <v/>
      </c>
      <c r="X300" s="3" t="str">
        <f aca="false">IF(OR(E300="SOBRE MAX VENDIBLE",N(N300)&gt;=Parametros!$B$17,N(M300)&gt;=Parametros!$B$17),"SÍ","")</f>
        <v/>
      </c>
      <c r="Y300" s="3" t="str">
        <f aca="false">IF(AND(ISNUMBER(U300),MAX(S300,T300)&gt;=Parametros!$B$15,ABS(N(U300))&gt;Parametros!$B$14),"SÍ","")</f>
        <v/>
      </c>
      <c r="Z300" s="3" t="n">
        <f aca="false">COUNTIF(V300:Y300,"SÍ")</f>
        <v>0</v>
      </c>
      <c r="AA300" s="3" t="n">
        <f aca="false">(3*(V300="SÍ")+2*(W300="SÍ")+2*(X300="SÍ")+(Y300="SÍ"))*IF(LEFT(D300,1)="A",3,IF(OR(LEFT(D300,1)="B",D300="SIN HIST"),2,1))</f>
        <v>0</v>
      </c>
      <c r="AB300" s="3" t="str">
        <f aca="false">IF(AA300&gt;=9,"1-ALTA",IF(AA300&gt;=4,"2-MEDIA",IF(AA300&gt;0,"3-BAJA","")))</f>
        <v/>
      </c>
      <c r="AC300" s="3" t="str">
        <f aca="false">IF(E300="BAJO SS","Stock + XLIB bajo el SS: riesgo real de quiebre, adelantar producción. ","")&amp;IF(E300="BAJO SS (XLIB CUBRE)","Disponible bajo el SS; depende de liberar "&amp;TEXT(J300,"#,##0")&amp;" kg"&amp;IF(ISNUMBER(K300)," el "&amp;TEXT(K300,"dd-mm"),"")&amp;". ","")&amp;IF(W300="SÍ","Stock parece sano pero "&amp;TEXT(L300,"#,##0")&amp;" kg no pasan filtro "&amp;Stock_Seguridad!O300&amp;": sin ellos queda bajo el SS para esa cadena. ","")&amp;IF(E300="SOBRE MAX VENDIBLE","Sobrestock vs vida útil: frenar producción/activar venta. ","")&amp;IF(N(N300)&gt;=Parametros!$B$17,TEXT(N300,"#,##0")&amp;" kg ya no los acepta ninguna cadena: venta intermedia/liquidación. ","")&amp;IF(N(M300)&gt;=Parametros!$B$17,TEXT(M300,"#,##0")&amp;" kg a punto de salir del filtro: despachar primero (FEFO). ","")&amp;IF(Y300="SÍ","Pedidos "&amp;IF(N(U300)&gt;0,"sobre","bajo")&amp;" FCST "&amp;TEXT(ABS(N(U300)),"0%")&amp;": revisar forecast con KAM.","")</f>
        <v/>
      </c>
    </row>
    <row r="301" customFormat="false" ht="15" hidden="false" customHeight="false" outlineLevel="0" collapsed="false">
      <c r="A301" s="18" t="n">
        <f aca="false">Stock_Seguridad!A301</f>
        <v>30000447</v>
      </c>
      <c r="B301" s="18" t="str">
        <f aca="false">Stock_Seguridad!B301</f>
        <v>QUESO MANTECOSO VALDIVIA PIEZA 1X10KG</v>
      </c>
      <c r="C301" s="18" t="str">
        <f aca="false">Stock_Seguridad!C301</f>
        <v>QUESOS</v>
      </c>
      <c r="D301" s="18" t="str">
        <f aca="false">Stock_Seguridad!F301</f>
        <v>CZ</v>
      </c>
      <c r="E301" s="19" t="str">
        <f aca="false">Stock_Seguridad!X301</f>
        <v>BAJO P.REORDEN</v>
      </c>
      <c r="F301" s="20" t="n">
        <f aca="false">Stock_Seguridad!W301</f>
        <v>1.37142857142857</v>
      </c>
      <c r="G301" s="21" t="n">
        <f aca="false">Stock_Seguridad!T301</f>
        <v>4800</v>
      </c>
      <c r="H301" s="21" t="n">
        <f aca="false">Stock_Seguridad!R301</f>
        <v>4111.29785135832</v>
      </c>
      <c r="I301" s="21" t="n">
        <f aca="false">Stock_Seguridad!S301</f>
        <v>7611.29785135832</v>
      </c>
      <c r="J301" s="21" t="n">
        <f aca="false">Stock_Seguridad!U301</f>
        <v>0</v>
      </c>
      <c r="K301" s="22"/>
      <c r="L301" s="23" t="n">
        <v>0</v>
      </c>
      <c r="M301" s="23" t="n">
        <v>0</v>
      </c>
      <c r="N301" s="23" t="n">
        <v>0</v>
      </c>
      <c r="O301" s="24" t="n">
        <v>0.12</v>
      </c>
      <c r="P301" s="24" t="str">
        <f aca="false">IF(ISNUMBER(Stock_Seguridad!N301),Stock_Seguridad!N301,"")</f>
        <v/>
      </c>
      <c r="Q301" s="24" t="str">
        <f aca="false">IF(AND(ISNUMBER(O301),ISNUMBER(P301)),P301-O301,"")</f>
        <v/>
      </c>
      <c r="R301" s="23" t="n">
        <f aca="false">MAX(0,G301-N(L301))</f>
        <v>4800</v>
      </c>
      <c r="S301" s="23" t="n">
        <f aca="false">SUMIFS(Cadenas_vs_FCST!$D$17:$D$2437,Cadenas_vs_FCST!$A$17:$A$2437,A301)</f>
        <v>5000</v>
      </c>
      <c r="T301" s="23" t="n">
        <f aca="false">SUMIFS(Cadenas_vs_FCST!$E$17:$E$2437,Cadenas_vs_FCST!$A$17:$A$2437,A301)</f>
        <v>10500</v>
      </c>
      <c r="U301" s="24" t="n">
        <f aca="false">IF(T301&gt;0,S301/T301-1,"")</f>
        <v>-0.523809523809524</v>
      </c>
      <c r="V301" s="3" t="str">
        <f aca="false">IF(OR(E301="BAJO SS",E301="BAJO SS (XLIB CUBRE)"),"SÍ","")</f>
        <v/>
      </c>
      <c r="W301" s="3" t="str">
        <f aca="false">IF(AND(V301="",N(L301)&gt;=Parametros!$B$17,G301&gt;=H301,R301&lt;H301),"SÍ","")</f>
        <v/>
      </c>
      <c r="X301" s="3" t="str">
        <f aca="false">IF(OR(E301="SOBRE MAX VENDIBLE",N(N301)&gt;=Parametros!$B$17,N(M301)&gt;=Parametros!$B$17),"SÍ","")</f>
        <v/>
      </c>
      <c r="Y301" s="3" t="str">
        <f aca="false">IF(AND(ISNUMBER(U301),MAX(S301,T301)&gt;=Parametros!$B$15,ABS(N(U301))&gt;Parametros!$B$14),"SÍ","")</f>
        <v>SÍ</v>
      </c>
      <c r="Z301" s="3" t="n">
        <f aca="false">COUNTIF(V301:Y301,"SÍ")</f>
        <v>1</v>
      </c>
      <c r="AA301" s="3" t="n">
        <f aca="false">(3*(V301="SÍ")+2*(W301="SÍ")+2*(X301="SÍ")+(Y301="SÍ"))*IF(LEFT(D301,1)="A",3,IF(OR(LEFT(D301,1)="B",D301="SIN HIST"),2,1))</f>
        <v>1</v>
      </c>
      <c r="AB301" s="3" t="str">
        <f aca="false">IF(AA301&gt;=9,"1-ALTA",IF(AA301&gt;=4,"2-MEDIA",IF(AA301&gt;0,"3-BAJA","")))</f>
        <v>3-BAJA</v>
      </c>
      <c r="AC301" s="3" t="str">
        <f aca="false">IF(E301="BAJO SS","Stock + XLIB bajo el SS: riesgo real de quiebre, adelantar producción. ","")&amp;IF(E301="BAJO SS (XLIB CUBRE)","Disponible bajo el SS; depende de liberar "&amp;TEXT(J301,"#,##0")&amp;" kg"&amp;IF(ISNUMBER(K301)," el "&amp;TEXT(K301,"dd-mm"),"")&amp;". ","")&amp;IF(W301="SÍ","Stock parece sano pero "&amp;TEXT(L301,"#,##0")&amp;" kg no pasan filtro "&amp;Stock_Seguridad!O301&amp;": sin ellos queda bajo el SS para esa cadena. ","")&amp;IF(E301="SOBRE MAX VENDIBLE","Sobrestock vs vida útil: frenar producción/activar venta. ","")&amp;IF(N(N301)&gt;=Parametros!$B$17,TEXT(N301,"#,##0")&amp;" kg ya no los acepta ninguna cadena: venta intermedia/liquidación. ","")&amp;IF(N(M301)&gt;=Parametros!$B$17,TEXT(M301,"#,##0")&amp;" kg a punto de salir del filtro: despachar primero (FEFO). ","")&amp;IF(Y301="SÍ","Pedidos "&amp;IF(N(U301)&gt;0,"sobre","bajo")&amp;" FCST "&amp;TEXT(ABS(N(U301)),"0%")&amp;": revisar forecast con KAM.","")</f>
        <v>Pedidos bajo FCST 52%: revisar forecast con KAM.</v>
      </c>
    </row>
    <row r="302" customFormat="false" ht="15" hidden="false" customHeight="false" outlineLevel="0" collapsed="false">
      <c r="A302" s="18" t="n">
        <f aca="false">Stock_Seguridad!A302</f>
        <v>30000335</v>
      </c>
      <c r="B302" s="18" t="str">
        <f aca="false">Stock_Seguridad!B302</f>
        <v>QUESO PIZZERIAS 2X3,5KG</v>
      </c>
      <c r="C302" s="18" t="str">
        <f aca="false">Stock_Seguridad!C302</f>
        <v>QUESOS</v>
      </c>
      <c r="D302" s="18" t="str">
        <f aca="false">Stock_Seguridad!F302</f>
        <v>SIN HIST</v>
      </c>
      <c r="E302" s="19" t="str">
        <f aca="false">Stock_Seguridad!X302</f>
        <v>OK</v>
      </c>
      <c r="F302" s="20" t="n">
        <f aca="false">Stock_Seguridad!W302</f>
        <v>2.28758169934641</v>
      </c>
      <c r="G302" s="21" t="n">
        <f aca="false">Stock_Seguridad!T302</f>
        <v>7966</v>
      </c>
      <c r="H302" s="21" t="n">
        <f aca="false">Stock_Seguridad!R302</f>
        <v>1721.37221767725</v>
      </c>
      <c r="I302" s="21" t="n">
        <f aca="false">Stock_Seguridad!S302</f>
        <v>5209.77221767725</v>
      </c>
      <c r="J302" s="21" t="n">
        <f aca="false">Stock_Seguridad!U302</f>
        <v>14</v>
      </c>
      <c r="K302" s="22" t="n">
        <v>46321</v>
      </c>
      <c r="L302" s="23" t="n">
        <v>175</v>
      </c>
      <c r="M302" s="23" t="n">
        <v>728</v>
      </c>
      <c r="N302" s="23" t="n">
        <v>175</v>
      </c>
      <c r="O302" s="24" t="n">
        <v>0.141864555848725</v>
      </c>
      <c r="P302" s="24" t="n">
        <f aca="false">IF(ISNUMBER(Stock_Seguridad!N302),Stock_Seguridad!N302,"")</f>
        <v>0.24390243902439</v>
      </c>
      <c r="Q302" s="24" t="n">
        <f aca="false">IF(AND(ISNUMBER(O302),ISNUMBER(P302)),P302-O302,"")</f>
        <v>0.102037883175666</v>
      </c>
      <c r="R302" s="23" t="n">
        <f aca="false">MAX(0,G302-N(L302))</f>
        <v>7791</v>
      </c>
      <c r="S302" s="23" t="n">
        <f aca="false">SUMIFS(Cadenas_vs_FCST!$D$17:$D$2437,Cadenas_vs_FCST!$A$17:$A$2437,A302)</f>
        <v>0</v>
      </c>
      <c r="T302" s="23" t="n">
        <f aca="false">SUMIFS(Cadenas_vs_FCST!$E$17:$E$2437,Cadenas_vs_FCST!$A$17:$A$2437,A302)</f>
        <v>0</v>
      </c>
      <c r="U302" s="24" t="str">
        <f aca="false">IF(T302&gt;0,S302/T302-1,"")</f>
        <v/>
      </c>
      <c r="V302" s="3" t="str">
        <f aca="false">IF(OR(E302="BAJO SS",E302="BAJO SS (XLIB CUBRE)"),"SÍ","")</f>
        <v/>
      </c>
      <c r="W302" s="3" t="str">
        <f aca="false">IF(AND(V302="",N(L302)&gt;=Parametros!$B$17,G302&gt;=H302,R302&lt;H302),"SÍ","")</f>
        <v/>
      </c>
      <c r="X302" s="3" t="str">
        <f aca="false">IF(OR(E302="SOBRE MAX VENDIBLE",N(N302)&gt;=Parametros!$B$17,N(M302)&gt;=Parametros!$B$17),"SÍ","")</f>
        <v>SÍ</v>
      </c>
      <c r="Y302" s="3" t="str">
        <f aca="false">IF(AND(ISNUMBER(U302),MAX(S302,T302)&gt;=Parametros!$B$15,ABS(N(U302))&gt;Parametros!$B$14),"SÍ","")</f>
        <v/>
      </c>
      <c r="Z302" s="3" t="n">
        <f aca="false">COUNTIF(V302:Y302,"SÍ")</f>
        <v>1</v>
      </c>
      <c r="AA302" s="3" t="n">
        <f aca="false">(3*(V302="SÍ")+2*(W302="SÍ")+2*(X302="SÍ")+(Y302="SÍ"))*IF(LEFT(D302,1)="A",3,IF(OR(LEFT(D302,1)="B",D302="SIN HIST"),2,1))</f>
        <v>4</v>
      </c>
      <c r="AB302" s="3" t="str">
        <f aca="false">IF(AA302&gt;=9,"1-ALTA",IF(AA302&gt;=4,"2-MEDIA",IF(AA302&gt;0,"3-BAJA","")))</f>
        <v>2-MEDIA</v>
      </c>
      <c r="AC302" s="3" t="str">
        <f aca="false">IF(E302="BAJO SS","Stock + XLIB bajo el SS: riesgo real de quiebre, adelantar producción. ","")&amp;IF(E302="BAJO SS (XLIB CUBRE)","Disponible bajo el SS; depende de liberar "&amp;TEXT(J302,"#,##0")&amp;" kg"&amp;IF(ISNUMBER(K302)," el "&amp;TEXT(K302,"dd-mm"),"")&amp;". ","")&amp;IF(W302="SÍ","Stock parece sano pero "&amp;TEXT(L302,"#,##0")&amp;" kg no pasan filtro "&amp;Stock_Seguridad!O302&amp;": sin ellos queda bajo el SS para esa cadena. ","")&amp;IF(E302="SOBRE MAX VENDIBLE","Sobrestock vs vida útil: frenar producción/activar venta. ","")&amp;IF(N(N302)&gt;=Parametros!$B$17,TEXT(N302,"#,##0")&amp;" kg ya no los acepta ninguna cadena: venta intermedia/liquidación. ","")&amp;IF(N(M302)&gt;=Parametros!$B$17,TEXT(M302,"#,##0")&amp;" kg a punto de salir del filtro: despachar primero (FEFO). ","")&amp;IF(Y302="SÍ","Pedidos "&amp;IF(N(U302)&gt;0,"sobre","bajo")&amp;" FCST "&amp;TEXT(ABS(N(U302)),"0%")&amp;": revisar forecast con KAM.","")</f>
        <v>728 kg a punto de salir del filtro: despachar primero (FEFO). </v>
      </c>
    </row>
    <row r="303" customFormat="false" ht="15" hidden="false" customHeight="false" outlineLevel="0" collapsed="false">
      <c r="A303" s="18" t="n">
        <f aca="false">Stock_Seguridad!A303</f>
        <v>30000527</v>
      </c>
      <c r="B303" s="18" t="str">
        <f aca="false">Stock_Seguridad!B303</f>
        <v>QUESO CREMA CALO 10X1,36KG</v>
      </c>
      <c r="C303" s="18" t="str">
        <f aca="false">Stock_Seguridad!C303</f>
        <v>QUESOS</v>
      </c>
      <c r="D303" s="18" t="str">
        <f aca="false">Stock_Seguridad!F303</f>
        <v>SIN HIST</v>
      </c>
      <c r="E303" s="19" t="str">
        <f aca="false">Stock_Seguridad!X303</f>
        <v>BAJO SS</v>
      </c>
      <c r="F303" s="20" t="n">
        <f aca="false">Stock_Seguridad!W303</f>
        <v>0</v>
      </c>
      <c r="G303" s="21" t="n">
        <f aca="false">Stock_Seguridad!T303</f>
        <v>0</v>
      </c>
      <c r="H303" s="21" t="n">
        <f aca="false">Stock_Seguridad!R303</f>
        <v>1721.37221767725</v>
      </c>
      <c r="I303" s="21" t="n">
        <f aca="false">Stock_Seguridad!S303</f>
        <v>5209.77221767725</v>
      </c>
      <c r="J303" s="21" t="n">
        <f aca="false">Stock_Seguridad!U303</f>
        <v>0</v>
      </c>
      <c r="K303" s="22"/>
      <c r="L303" s="23"/>
      <c r="M303" s="23"/>
      <c r="N303" s="23"/>
      <c r="O303" s="24"/>
      <c r="P303" s="24" t="n">
        <f aca="false">IF(ISNUMBER(Stock_Seguridad!N303),Stock_Seguridad!N303,"")</f>
        <v>0.483695652173913</v>
      </c>
      <c r="Q303" s="24" t="str">
        <f aca="false">IF(AND(ISNUMBER(O303),ISNUMBER(P303)),P303-O303,"")</f>
        <v/>
      </c>
      <c r="R303" s="23" t="n">
        <f aca="false">MAX(0,G303-N(L303))</f>
        <v>0</v>
      </c>
      <c r="S303" s="23" t="n">
        <f aca="false">SUMIFS(Cadenas_vs_FCST!$D$17:$D$2437,Cadenas_vs_FCST!$A$17:$A$2437,A303)</f>
        <v>0</v>
      </c>
      <c r="T303" s="23" t="n">
        <f aca="false">SUMIFS(Cadenas_vs_FCST!$E$17:$E$2437,Cadenas_vs_FCST!$A$17:$A$2437,A303)</f>
        <v>0</v>
      </c>
      <c r="U303" s="24" t="str">
        <f aca="false">IF(T303&gt;0,S303/T303-1,"")</f>
        <v/>
      </c>
      <c r="V303" s="3" t="str">
        <f aca="false">IF(OR(E303="BAJO SS",E303="BAJO SS (XLIB CUBRE)"),"SÍ","")</f>
        <v>SÍ</v>
      </c>
      <c r="W303" s="3" t="str">
        <f aca="false">IF(AND(V303="",N(L303)&gt;=Parametros!$B$17,G303&gt;=H303,R303&lt;H303),"SÍ","")</f>
        <v/>
      </c>
      <c r="X303" s="3" t="str">
        <f aca="false">IF(OR(E303="SOBRE MAX VENDIBLE",N(N303)&gt;=Parametros!$B$17,N(M303)&gt;=Parametros!$B$17),"SÍ","")</f>
        <v/>
      </c>
      <c r="Y303" s="3" t="str">
        <f aca="false">IF(AND(ISNUMBER(U303),MAX(S303,T303)&gt;=Parametros!$B$15,ABS(N(U303))&gt;Parametros!$B$14),"SÍ","")</f>
        <v/>
      </c>
      <c r="Z303" s="3" t="n">
        <f aca="false">COUNTIF(V303:Y303,"SÍ")</f>
        <v>1</v>
      </c>
      <c r="AA303" s="3" t="n">
        <f aca="false">(3*(V303="SÍ")+2*(W303="SÍ")+2*(X303="SÍ")+(Y303="SÍ"))*IF(LEFT(D303,1)="A",3,IF(OR(LEFT(D303,1)="B",D303="SIN HIST"),2,1))</f>
        <v>6</v>
      </c>
      <c r="AB303" s="3" t="str">
        <f aca="false">IF(AA303&gt;=9,"1-ALTA",IF(AA303&gt;=4,"2-MEDIA",IF(AA303&gt;0,"3-BAJA","")))</f>
        <v>2-MEDIA</v>
      </c>
      <c r="AC303" s="3" t="str">
        <f aca="false">IF(E303="BAJO SS","Stock + XLIB bajo el SS: riesgo real de quiebre, adelantar producción. ","")&amp;IF(E303="BAJO SS (XLIB CUBRE)","Disponible bajo el SS; depende de liberar "&amp;TEXT(J303,"#,##0")&amp;" kg"&amp;IF(ISNUMBER(K303)," el "&amp;TEXT(K303,"dd-mm"),"")&amp;". ","")&amp;IF(W303="SÍ","Stock parece sano pero "&amp;TEXT(L303,"#,##0")&amp;" kg no pasan filtro "&amp;Stock_Seguridad!O303&amp;": sin ellos queda bajo el SS para esa cadena. ","")&amp;IF(E303="SOBRE MAX VENDIBLE","Sobrestock vs vida útil: frenar producción/activar venta. ","")&amp;IF(N(N303)&gt;=Parametros!$B$17,TEXT(N303,"#,##0")&amp;" kg ya no los acepta ninguna cadena: venta intermedia/liquidación. ","")&amp;IF(N(M303)&gt;=Parametros!$B$17,TEXT(M303,"#,##0")&amp;" kg a punto de salir del filtro: despachar primero (FEFO). ","")&amp;IF(Y303="SÍ","Pedidos "&amp;IF(N(U303)&gt;0,"sobre","bajo")&amp;" FCST "&amp;TEXT(ABS(N(U303)),"0%")&amp;": revisar forecast con KAM.","")</f>
        <v>Stock + XLIB bajo el SS: riesgo real de quiebre, adelantar producción. </v>
      </c>
    </row>
    <row r="304" customFormat="false" ht="15" hidden="false" customHeight="false" outlineLevel="0" collapsed="false">
      <c r="A304" s="18" t="n">
        <f aca="false">Stock_Seguridad!A304</f>
        <v>30001755</v>
      </c>
      <c r="B304" s="18" t="str">
        <f aca="false">Stock_Seguridad!B304</f>
        <v>MERMELADA WATTS FRUTILLA 12X225GR</v>
      </c>
      <c r="C304" s="18" t="str">
        <f aca="false">Stock_Seguridad!C304</f>
        <v>MERMELADAS</v>
      </c>
      <c r="D304" s="18" t="str">
        <f aca="false">Stock_Seguridad!F304</f>
        <v>BX</v>
      </c>
      <c r="E304" s="19" t="str">
        <f aca="false">Stock_Seguridad!X304</f>
        <v>OK</v>
      </c>
      <c r="F304" s="20" t="n">
        <f aca="false">Stock_Seguridad!W304</f>
        <v>3.86198540145985</v>
      </c>
      <c r="G304" s="21" t="n">
        <f aca="false">Stock_Seguridad!T304</f>
        <v>13227.3</v>
      </c>
      <c r="H304" s="21" t="n">
        <f aca="false">Stock_Seguridad!R304</f>
        <v>2056.97891706683</v>
      </c>
      <c r="I304" s="21" t="n">
        <f aca="false">Stock_Seguridad!S304</f>
        <v>5481.97891706683</v>
      </c>
      <c r="J304" s="21" t="n">
        <f aca="false">Stock_Seguridad!U304</f>
        <v>0</v>
      </c>
      <c r="K304" s="22"/>
      <c r="L304" s="23" t="n">
        <v>0</v>
      </c>
      <c r="M304" s="23" t="n">
        <v>0</v>
      </c>
      <c r="N304" s="23" t="n">
        <v>0</v>
      </c>
      <c r="O304" s="24" t="n">
        <v>0.0637048377219841</v>
      </c>
      <c r="P304" s="24" t="n">
        <f aca="false">IF(ISNUMBER(Stock_Seguridad!N304),Stock_Seguridad!N304,"")</f>
        <v>0.273972602739726</v>
      </c>
      <c r="Q304" s="24" t="n">
        <f aca="false">IF(AND(ISNUMBER(O304),ISNUMBER(P304)),P304-O304,"")</f>
        <v>0.210267765017742</v>
      </c>
      <c r="R304" s="23" t="n">
        <f aca="false">MAX(0,G304-N(L304))</f>
        <v>13227.3</v>
      </c>
      <c r="S304" s="23" t="n">
        <f aca="false">SUMIFS(Cadenas_vs_FCST!$D$17:$D$2437,Cadenas_vs_FCST!$A$17:$A$2437,A304)</f>
        <v>14056.2</v>
      </c>
      <c r="T304" s="23" t="n">
        <f aca="false">SUMIFS(Cadenas_vs_FCST!$E$17:$E$2437,Cadenas_vs_FCST!$A$17:$A$2437,A304)</f>
        <v>9600</v>
      </c>
      <c r="U304" s="24" t="n">
        <f aca="false">IF(T304&gt;0,S304/T304-1,"")</f>
        <v>0.4641875</v>
      </c>
      <c r="V304" s="3" t="str">
        <f aca="false">IF(OR(E304="BAJO SS",E304="BAJO SS (XLIB CUBRE)"),"SÍ","")</f>
        <v/>
      </c>
      <c r="W304" s="3" t="str">
        <f aca="false">IF(AND(V304="",N(L304)&gt;=Parametros!$B$17,G304&gt;=H304,R304&lt;H304),"SÍ","")</f>
        <v/>
      </c>
      <c r="X304" s="3" t="str">
        <f aca="false">IF(OR(E304="SOBRE MAX VENDIBLE",N(N304)&gt;=Parametros!$B$17,N(M304)&gt;=Parametros!$B$17),"SÍ","")</f>
        <v/>
      </c>
      <c r="Y304" s="3" t="str">
        <f aca="false">IF(AND(ISNUMBER(U304),MAX(S304,T304)&gt;=Parametros!$B$15,ABS(N(U304))&gt;Parametros!$B$14),"SÍ","")</f>
        <v>SÍ</v>
      </c>
      <c r="Z304" s="3" t="n">
        <f aca="false">COUNTIF(V304:Y304,"SÍ")</f>
        <v>1</v>
      </c>
      <c r="AA304" s="3" t="n">
        <f aca="false">(3*(V304="SÍ")+2*(W304="SÍ")+2*(X304="SÍ")+(Y304="SÍ"))*IF(LEFT(D304,1)="A",3,IF(OR(LEFT(D304,1)="B",D304="SIN HIST"),2,1))</f>
        <v>2</v>
      </c>
      <c r="AB304" s="3" t="str">
        <f aca="false">IF(AA304&gt;=9,"1-ALTA",IF(AA304&gt;=4,"2-MEDIA",IF(AA304&gt;0,"3-BAJA","")))</f>
        <v>3-BAJA</v>
      </c>
      <c r="AC304" s="3" t="str">
        <f aca="false">IF(E304="BAJO SS","Stock + XLIB bajo el SS: riesgo real de quiebre, adelantar producción. ","")&amp;IF(E304="BAJO SS (XLIB CUBRE)","Disponible bajo el SS; depende de liberar "&amp;TEXT(J304,"#,##0")&amp;" kg"&amp;IF(ISNUMBER(K304)," el "&amp;TEXT(K304,"dd-mm"),"")&amp;". ","")&amp;IF(W304="SÍ","Stock parece sano pero "&amp;TEXT(L304,"#,##0")&amp;" kg no pasan filtro "&amp;Stock_Seguridad!O304&amp;": sin ellos queda bajo el SS para esa cadena. ","")&amp;IF(E304="SOBRE MAX VENDIBLE","Sobrestock vs vida útil: frenar producción/activar venta. ","")&amp;IF(N(N304)&gt;=Parametros!$B$17,TEXT(N304,"#,##0")&amp;" kg ya no los acepta ninguna cadena: venta intermedia/liquidación. ","")&amp;IF(N(M304)&gt;=Parametros!$B$17,TEXT(M304,"#,##0")&amp;" kg a punto de salir del filtro: despachar primero (FEFO). ","")&amp;IF(Y304="SÍ","Pedidos "&amp;IF(N(U304)&gt;0,"sobre","bajo")&amp;" FCST "&amp;TEXT(ABS(N(U304)),"0%")&amp;": revisar forecast con KAM.","")</f>
        <v>Pedidos sobre FCST 46%: revisar forecast con KAM.</v>
      </c>
    </row>
    <row r="305" customFormat="false" ht="15" hidden="false" customHeight="false" outlineLevel="0" collapsed="false">
      <c r="A305" s="18" t="n">
        <f aca="false">Stock_Seguridad!A305</f>
        <v>30000188</v>
      </c>
      <c r="B305" s="18" t="str">
        <f aca="false">Stock_Seguridad!B305</f>
        <v>DULCE MEMBRILLO POTE 12X500GR</v>
      </c>
      <c r="C305" s="18" t="str">
        <f aca="false">Stock_Seguridad!C305</f>
        <v>DULCES</v>
      </c>
      <c r="D305" s="18" t="str">
        <f aca="false">Stock_Seguridad!F305</f>
        <v>BX</v>
      </c>
      <c r="E305" s="19" t="str">
        <f aca="false">Stock_Seguridad!X305</f>
        <v>BAJO P.REORDEN</v>
      </c>
      <c r="F305" s="20" t="n">
        <f aca="false">Stock_Seguridad!W305</f>
        <v>0.996326230712711</v>
      </c>
      <c r="G305" s="21" t="n">
        <f aca="false">Stock_Seguridad!T305</f>
        <v>3390</v>
      </c>
      <c r="H305" s="21" t="n">
        <f aca="false">Stock_Seguridad!R305</f>
        <v>2795.59830847859</v>
      </c>
      <c r="I305" s="21" t="n">
        <f aca="false">Stock_Seguridad!S305</f>
        <v>6198.09830847859</v>
      </c>
      <c r="J305" s="21" t="n">
        <f aca="false">Stock_Seguridad!U305</f>
        <v>0</v>
      </c>
      <c r="K305" s="22"/>
      <c r="L305" s="23" t="n">
        <v>0</v>
      </c>
      <c r="M305" s="23" t="n">
        <v>0</v>
      </c>
      <c r="N305" s="23" t="n">
        <v>0</v>
      </c>
      <c r="O305" s="24" t="n">
        <v>0.0596947935368043</v>
      </c>
      <c r="P305" s="24" t="n">
        <f aca="false">IF(ISNUMBER(Stock_Seguridad!N305),Stock_Seguridad!N305,"")</f>
        <v>0.32054794520548</v>
      </c>
      <c r="Q305" s="24" t="n">
        <f aca="false">IF(AND(ISNUMBER(O305),ISNUMBER(P305)),P305-O305,"")</f>
        <v>0.260853151668675</v>
      </c>
      <c r="R305" s="23" t="n">
        <f aca="false">MAX(0,G305-N(L305))</f>
        <v>3390</v>
      </c>
      <c r="S305" s="23" t="n">
        <f aca="false">SUMIFS(Cadenas_vs_FCST!$D$17:$D$2437,Cadenas_vs_FCST!$A$17:$A$2437,A305)</f>
        <v>11130</v>
      </c>
      <c r="T305" s="23" t="n">
        <f aca="false">SUMIFS(Cadenas_vs_FCST!$E$17:$E$2437,Cadenas_vs_FCST!$A$17:$A$2437,A305)</f>
        <v>14694</v>
      </c>
      <c r="U305" s="24" t="n">
        <f aca="false">IF(T305&gt;0,S305/T305-1,"")</f>
        <v>-0.242547978766844</v>
      </c>
      <c r="V305" s="3" t="str">
        <f aca="false">IF(OR(E305="BAJO SS",E305="BAJO SS (XLIB CUBRE)"),"SÍ","")</f>
        <v/>
      </c>
      <c r="W305" s="3" t="str">
        <f aca="false">IF(AND(V305="",N(L305)&gt;=Parametros!$B$17,G305&gt;=H305,R305&lt;H305),"SÍ","")</f>
        <v/>
      </c>
      <c r="X305" s="3" t="str">
        <f aca="false">IF(OR(E305="SOBRE MAX VENDIBLE",N(N305)&gt;=Parametros!$B$17,N(M305)&gt;=Parametros!$B$17),"SÍ","")</f>
        <v/>
      </c>
      <c r="Y305" s="3" t="str">
        <f aca="false">IF(AND(ISNUMBER(U305),MAX(S305,T305)&gt;=Parametros!$B$15,ABS(N(U305))&gt;Parametros!$B$14),"SÍ","")</f>
        <v>SÍ</v>
      </c>
      <c r="Z305" s="3" t="n">
        <f aca="false">COUNTIF(V305:Y305,"SÍ")</f>
        <v>1</v>
      </c>
      <c r="AA305" s="3" t="n">
        <f aca="false">(3*(V305="SÍ")+2*(W305="SÍ")+2*(X305="SÍ")+(Y305="SÍ"))*IF(LEFT(D305,1)="A",3,IF(OR(LEFT(D305,1)="B",D305="SIN HIST"),2,1))</f>
        <v>2</v>
      </c>
      <c r="AB305" s="3" t="str">
        <f aca="false">IF(AA305&gt;=9,"1-ALTA",IF(AA305&gt;=4,"2-MEDIA",IF(AA305&gt;0,"3-BAJA","")))</f>
        <v>3-BAJA</v>
      </c>
      <c r="AC305" s="3" t="str">
        <f aca="false">IF(E305="BAJO SS","Stock + XLIB bajo el SS: riesgo real de quiebre, adelantar producción. ","")&amp;IF(E305="BAJO SS (XLIB CUBRE)","Disponible bajo el SS; depende de liberar "&amp;TEXT(J305,"#,##0")&amp;" kg"&amp;IF(ISNUMBER(K305)," el "&amp;TEXT(K305,"dd-mm"),"")&amp;". ","")&amp;IF(W305="SÍ","Stock parece sano pero "&amp;TEXT(L305,"#,##0")&amp;" kg no pasan filtro "&amp;Stock_Seguridad!O305&amp;": sin ellos queda bajo el SS para esa cadena. ","")&amp;IF(E305="SOBRE MAX VENDIBLE","Sobrestock vs vida útil: frenar producción/activar venta. ","")&amp;IF(N(N305)&gt;=Parametros!$B$17,TEXT(N305,"#,##0")&amp;" kg ya no los acepta ninguna cadena: venta intermedia/liquidación. ","")&amp;IF(N(M305)&gt;=Parametros!$B$17,TEXT(M305,"#,##0")&amp;" kg a punto de salir del filtro: despachar primero (FEFO). ","")&amp;IF(Y305="SÍ","Pedidos "&amp;IF(N(U305)&gt;0,"sobre","bajo")&amp;" FCST "&amp;TEXT(ABS(N(U305)),"0%")&amp;": revisar forecast con KAM.","")</f>
        <v>Pedidos bajo FCST 24%: revisar forecast con KAM.</v>
      </c>
    </row>
    <row r="306" customFormat="false" ht="15" hidden="false" customHeight="false" outlineLevel="0" collapsed="false">
      <c r="A306" s="18" t="n">
        <f aca="false">Stock_Seguridad!A306</f>
        <v>30000334</v>
      </c>
      <c r="B306" s="18" t="str">
        <f aca="false">Stock_Seguridad!B306</f>
        <v>CREMA BATIR LONCO 12X1LT</v>
      </c>
      <c r="C306" s="18" t="str">
        <f aca="false">Stock_Seguridad!C306</f>
        <v>CREMA</v>
      </c>
      <c r="D306" s="18" t="str">
        <f aca="false">Stock_Seguridad!F306</f>
        <v>BX</v>
      </c>
      <c r="E306" s="19" t="str">
        <f aca="false">Stock_Seguridad!X306</f>
        <v>OK</v>
      </c>
      <c r="F306" s="20" t="n">
        <f aca="false">Stock_Seguridad!W306</f>
        <v>3.66228005323082</v>
      </c>
      <c r="G306" s="21" t="n">
        <f aca="false">Stock_Seguridad!T306</f>
        <v>5808</v>
      </c>
      <c r="H306" s="21" t="n">
        <f aca="false">Stock_Seguridad!R306</f>
        <v>2667.31087033872</v>
      </c>
      <c r="I306" s="21" t="n">
        <f aca="false">Stock_Seguridad!S306</f>
        <v>6048.81087033872</v>
      </c>
      <c r="J306" s="21" t="n">
        <f aca="false">Stock_Seguridad!U306</f>
        <v>6576</v>
      </c>
      <c r="K306" s="22" t="n">
        <v>46319</v>
      </c>
      <c r="L306" s="23" t="n">
        <v>0</v>
      </c>
      <c r="M306" s="23" t="n">
        <v>0</v>
      </c>
      <c r="N306" s="23" t="n">
        <v>0</v>
      </c>
      <c r="O306" s="24" t="n">
        <v>0.054015518913676</v>
      </c>
      <c r="P306" s="24" t="n">
        <f aca="false">IF(ISNUMBER(Stock_Seguridad!N306),Stock_Seguridad!N306,"")</f>
        <v>0.271739130434783</v>
      </c>
      <c r="Q306" s="24" t="n">
        <f aca="false">IF(AND(ISNUMBER(O306),ISNUMBER(P306)),P306-O306,"")</f>
        <v>0.217723611521107</v>
      </c>
      <c r="R306" s="23" t="n">
        <f aca="false">MAX(0,G306-N(L306))</f>
        <v>5808</v>
      </c>
      <c r="S306" s="23" t="n">
        <f aca="false">SUMIFS(Cadenas_vs_FCST!$D$17:$D$2437,Cadenas_vs_FCST!$A$17:$A$2437,A306)</f>
        <v>12780</v>
      </c>
      <c r="T306" s="23" t="n">
        <f aca="false">SUMIFS(Cadenas_vs_FCST!$E$17:$E$2437,Cadenas_vs_FCST!$A$17:$A$2437,A306)</f>
        <v>10809.4438206852</v>
      </c>
      <c r="U306" s="24" t="n">
        <f aca="false">IF(T306&gt;0,S306/T306-1,"")</f>
        <v>0.182299497735853</v>
      </c>
      <c r="V306" s="3" t="str">
        <f aca="false">IF(OR(E306="BAJO SS",E306="BAJO SS (XLIB CUBRE)"),"SÍ","")</f>
        <v/>
      </c>
      <c r="W306" s="3" t="str">
        <f aca="false">IF(AND(V306="",N(L306)&gt;=Parametros!$B$17,G306&gt;=H306,R306&lt;H306),"SÍ","")</f>
        <v/>
      </c>
      <c r="X306" s="3" t="str">
        <f aca="false">IF(OR(E306="SOBRE MAX VENDIBLE",N(N306)&gt;=Parametros!$B$17,N(M306)&gt;=Parametros!$B$17),"SÍ","")</f>
        <v/>
      </c>
      <c r="Y306" s="3" t="str">
        <f aca="false">IF(AND(ISNUMBER(U306),MAX(S306,T306)&gt;=Parametros!$B$15,ABS(N(U306))&gt;Parametros!$B$14),"SÍ","")</f>
        <v/>
      </c>
      <c r="Z306" s="3" t="n">
        <f aca="false">COUNTIF(V306:Y306,"SÍ")</f>
        <v>0</v>
      </c>
      <c r="AA306" s="3" t="n">
        <f aca="false">(3*(V306="SÍ")+2*(W306="SÍ")+2*(X306="SÍ")+(Y306="SÍ"))*IF(LEFT(D306,1)="A",3,IF(OR(LEFT(D306,1)="B",D306="SIN HIST"),2,1))</f>
        <v>0</v>
      </c>
      <c r="AB306" s="3" t="str">
        <f aca="false">IF(AA306&gt;=9,"1-ALTA",IF(AA306&gt;=4,"2-MEDIA",IF(AA306&gt;0,"3-BAJA","")))</f>
        <v/>
      </c>
      <c r="AC306" s="3" t="str">
        <f aca="false">IF(E306="BAJO SS","Stock + XLIB bajo el SS: riesgo real de quiebre, adelantar producción. ","")&amp;IF(E306="BAJO SS (XLIB CUBRE)","Disponible bajo el SS; depende de liberar "&amp;TEXT(J306,"#,##0")&amp;" kg"&amp;IF(ISNUMBER(K306)," el "&amp;TEXT(K306,"dd-mm"),"")&amp;". ","")&amp;IF(W306="SÍ","Stock parece sano pero "&amp;TEXT(L306,"#,##0")&amp;" kg no pasan filtro "&amp;Stock_Seguridad!O306&amp;": sin ellos queda bajo el SS para esa cadena. ","")&amp;IF(E306="SOBRE MAX VENDIBLE","Sobrestock vs vida útil: frenar producción/activar venta. ","")&amp;IF(N(N306)&gt;=Parametros!$B$17,TEXT(N306,"#,##0")&amp;" kg ya no los acepta ninguna cadena: venta intermedia/liquidación. ","")&amp;IF(N(M306)&gt;=Parametros!$B$17,TEXT(M306,"#,##0")&amp;" kg a punto de salir del filtro: despachar primero (FEFO). ","")&amp;IF(Y306="SÍ","Pedidos "&amp;IF(N(U306)&gt;0,"sobre","bajo")&amp;" FCST "&amp;TEXT(ABS(N(U306)),"0%")&amp;": revisar forecast con KAM.","")</f>
        <v/>
      </c>
    </row>
    <row r="307" customFormat="false" ht="15" hidden="false" customHeight="false" outlineLevel="0" collapsed="false">
      <c r="A307" s="18" t="n">
        <f aca="false">Stock_Seguridad!A307</f>
        <v>30000832</v>
      </c>
      <c r="B307" s="18" t="str">
        <f aca="false">Stock_Seguridad!B307</f>
        <v>MIX PIMENTONES FM 10X1KG</v>
      </c>
      <c r="C307" s="18" t="str">
        <f aca="false">Stock_Seguridad!C307</f>
        <v>FRUTAS Y HORTALIZAS CONGELADAS</v>
      </c>
      <c r="D307" s="18" t="str">
        <f aca="false">Stock_Seguridad!F307</f>
        <v>SIN HIST</v>
      </c>
      <c r="E307" s="19" t="str">
        <f aca="false">Stock_Seguridad!X307</f>
        <v>OK</v>
      </c>
      <c r="F307" s="20" t="n">
        <f aca="false">Stock_Seguridad!W307</f>
        <v>7.3296555837185</v>
      </c>
      <c r="G307" s="21" t="n">
        <f aca="false">Stock_Seguridad!T307</f>
        <v>24580</v>
      </c>
      <c r="H307" s="21" t="n">
        <f aca="false">Stock_Seguridad!R307</f>
        <v>1654.80499139453</v>
      </c>
      <c r="I307" s="21" t="n">
        <f aca="false">Stock_Seguridad!S307</f>
        <v>5008.30499139453</v>
      </c>
      <c r="J307" s="21" t="n">
        <f aca="false">Stock_Seguridad!U307</f>
        <v>0</v>
      </c>
      <c r="K307" s="22"/>
      <c r="L307" s="23" t="n">
        <v>0</v>
      </c>
      <c r="M307" s="23" t="n">
        <v>0</v>
      </c>
      <c r="N307" s="23" t="n">
        <v>0</v>
      </c>
      <c r="O307" s="24" t="n">
        <v>0.0358991049633849</v>
      </c>
      <c r="P307" s="24" t="str">
        <f aca="false">IF(ISNUMBER(Stock_Seguridad!N307),Stock_Seguridad!N307,"")</f>
        <v/>
      </c>
      <c r="Q307" s="24" t="str">
        <f aca="false">IF(AND(ISNUMBER(O307),ISNUMBER(P307)),P307-O307,"")</f>
        <v/>
      </c>
      <c r="R307" s="23" t="n">
        <f aca="false">MAX(0,G307-N(L307))</f>
        <v>24580</v>
      </c>
      <c r="S307" s="23" t="n">
        <f aca="false">SUMIFS(Cadenas_vs_FCST!$D$17:$D$2437,Cadenas_vs_FCST!$A$17:$A$2437,A307)</f>
        <v>0</v>
      </c>
      <c r="T307" s="23" t="n">
        <f aca="false">SUMIFS(Cadenas_vs_FCST!$E$17:$E$2437,Cadenas_vs_FCST!$A$17:$A$2437,A307)</f>
        <v>0</v>
      </c>
      <c r="U307" s="24" t="str">
        <f aca="false">IF(T307&gt;0,S307/T307-1,"")</f>
        <v/>
      </c>
      <c r="V307" s="3" t="str">
        <f aca="false">IF(OR(E307="BAJO SS",E307="BAJO SS (XLIB CUBRE)"),"SÍ","")</f>
        <v/>
      </c>
      <c r="W307" s="3" t="str">
        <f aca="false">IF(AND(V307="",N(L307)&gt;=Parametros!$B$17,G307&gt;=H307,R307&lt;H307),"SÍ","")</f>
        <v/>
      </c>
      <c r="X307" s="3" t="str">
        <f aca="false">IF(OR(E307="SOBRE MAX VENDIBLE",N(N307)&gt;=Parametros!$B$17,N(M307)&gt;=Parametros!$B$17),"SÍ","")</f>
        <v/>
      </c>
      <c r="Y307" s="3" t="str">
        <f aca="false">IF(AND(ISNUMBER(U307),MAX(S307,T307)&gt;=Parametros!$B$15,ABS(N(U307))&gt;Parametros!$B$14),"SÍ","")</f>
        <v/>
      </c>
      <c r="Z307" s="3" t="n">
        <f aca="false">COUNTIF(V307:Y307,"SÍ")</f>
        <v>0</v>
      </c>
      <c r="AA307" s="3" t="n">
        <f aca="false">(3*(V307="SÍ")+2*(W307="SÍ")+2*(X307="SÍ")+(Y307="SÍ"))*IF(LEFT(D307,1)="A",3,IF(OR(LEFT(D307,1)="B",D307="SIN HIST"),2,1))</f>
        <v>0</v>
      </c>
      <c r="AB307" s="3" t="str">
        <f aca="false">IF(AA307&gt;=9,"1-ALTA",IF(AA307&gt;=4,"2-MEDIA",IF(AA307&gt;0,"3-BAJA","")))</f>
        <v/>
      </c>
      <c r="AC307" s="3" t="str">
        <f aca="false">IF(E307="BAJO SS","Stock + XLIB bajo el SS: riesgo real de quiebre, adelantar producción. ","")&amp;IF(E307="BAJO SS (XLIB CUBRE)","Disponible bajo el SS; depende de liberar "&amp;TEXT(J307,"#,##0")&amp;" kg"&amp;IF(ISNUMBER(K307)," el "&amp;TEXT(K307,"dd-mm"),"")&amp;". ","")&amp;IF(W307="SÍ","Stock parece sano pero "&amp;TEXT(L307,"#,##0")&amp;" kg no pasan filtro "&amp;Stock_Seguridad!O307&amp;": sin ellos queda bajo el SS para esa cadena. ","")&amp;IF(E307="SOBRE MAX VENDIBLE","Sobrestock vs vida útil: frenar producción/activar venta. ","")&amp;IF(N(N307)&gt;=Parametros!$B$17,TEXT(N307,"#,##0")&amp;" kg ya no los acepta ninguna cadena: venta intermedia/liquidación. ","")&amp;IF(N(M307)&gt;=Parametros!$B$17,TEXT(M307,"#,##0")&amp;" kg a punto de salir del filtro: despachar primero (FEFO). ","")&amp;IF(Y307="SÍ","Pedidos "&amp;IF(N(U307)&gt;0,"sobre","bajo")&amp;" FCST "&amp;TEXT(ABS(N(U307)),"0%")&amp;": revisar forecast con KAM.","")</f>
        <v/>
      </c>
    </row>
    <row r="308" customFormat="false" ht="15" hidden="false" customHeight="false" outlineLevel="0" collapsed="false">
      <c r="A308" s="18" t="n">
        <f aca="false">Stock_Seguridad!A308</f>
        <v>30002183</v>
      </c>
      <c r="B308" s="18" t="str">
        <f aca="false">Stock_Seguridad!B308</f>
        <v>JUGO FRUGO NARANJA 6X1,6LT</v>
      </c>
      <c r="C308" s="18" t="str">
        <f aca="false">Stock_Seguridad!C308</f>
        <v>JUGOS Y NECTARES</v>
      </c>
      <c r="D308" s="18" t="str">
        <f aca="false">Stock_Seguridad!F308</f>
        <v>BX</v>
      </c>
      <c r="E308" s="19" t="str">
        <f aca="false">Stock_Seguridad!X308</f>
        <v>BAJO SS</v>
      </c>
      <c r="F308" s="20" t="n">
        <f aca="false">Stock_Seguridad!W308</f>
        <v>0.00579465201907406</v>
      </c>
      <c r="G308" s="21" t="n">
        <f aca="false">Stock_Seguridad!T308</f>
        <v>19.2</v>
      </c>
      <c r="H308" s="21" t="n">
        <f aca="false">Stock_Seguridad!R308</f>
        <v>5077.02316738868</v>
      </c>
      <c r="I308" s="21" t="n">
        <f aca="false">Stock_Seguridad!S308</f>
        <v>8390.42316738868</v>
      </c>
      <c r="J308" s="21" t="n">
        <f aca="false">Stock_Seguridad!U308</f>
        <v>0</v>
      </c>
      <c r="K308" s="22"/>
      <c r="L308" s="23" t="n">
        <v>9.6</v>
      </c>
      <c r="M308" s="23" t="n">
        <v>9.6</v>
      </c>
      <c r="N308" s="23" t="n">
        <v>0</v>
      </c>
      <c r="O308" s="24" t="n">
        <v>0.27</v>
      </c>
      <c r="P308" s="24" t="n">
        <f aca="false">IF(ISNUMBER(Stock_Seguridad!N308),Stock_Seguridad!N308,"")</f>
        <v>0.235772357723577</v>
      </c>
      <c r="Q308" s="24" t="n">
        <f aca="false">IF(AND(ISNUMBER(O308),ISNUMBER(P308)),P308-O308,"")</f>
        <v>-0.0342276422764228</v>
      </c>
      <c r="R308" s="23" t="n">
        <f aca="false">MAX(0,G308-N(L308))</f>
        <v>9.6</v>
      </c>
      <c r="S308" s="23" t="n">
        <f aca="false">SUMIFS(Cadenas_vs_FCST!$D$17:$D$2437,Cadenas_vs_FCST!$A$17:$A$2437,A308)</f>
        <v>20169.6</v>
      </c>
      <c r="T308" s="23" t="n">
        <f aca="false">SUMIFS(Cadenas_vs_FCST!$E$17:$E$2437,Cadenas_vs_FCST!$A$17:$A$2437,A308)</f>
        <v>9800.48903259575</v>
      </c>
      <c r="U308" s="24" t="n">
        <f aca="false">IF(T308&gt;0,S308/T308-1,"")</f>
        <v>1.05801975114888</v>
      </c>
      <c r="V308" s="3" t="str">
        <f aca="false">IF(OR(E308="BAJO SS",E308="BAJO SS (XLIB CUBRE)"),"SÍ","")</f>
        <v>SÍ</v>
      </c>
      <c r="W308" s="3" t="str">
        <f aca="false">IF(AND(V308="",N(L308)&gt;=Parametros!$B$17,G308&gt;=H308,R308&lt;H308),"SÍ","")</f>
        <v/>
      </c>
      <c r="X308" s="3" t="str">
        <f aca="false">IF(OR(E308="SOBRE MAX VENDIBLE",N(N308)&gt;=Parametros!$B$17,N(M308)&gt;=Parametros!$B$17),"SÍ","")</f>
        <v/>
      </c>
      <c r="Y308" s="3" t="str">
        <f aca="false">IF(AND(ISNUMBER(U308),MAX(S308,T308)&gt;=Parametros!$B$15,ABS(N(U308))&gt;Parametros!$B$14),"SÍ","")</f>
        <v>SÍ</v>
      </c>
      <c r="Z308" s="3" t="n">
        <f aca="false">COUNTIF(V308:Y308,"SÍ")</f>
        <v>2</v>
      </c>
      <c r="AA308" s="3" t="n">
        <f aca="false">(3*(V308="SÍ")+2*(W308="SÍ")+2*(X308="SÍ")+(Y308="SÍ"))*IF(LEFT(D308,1)="A",3,IF(OR(LEFT(D308,1)="B",D308="SIN HIST"),2,1))</f>
        <v>8</v>
      </c>
      <c r="AB308" s="3" t="str">
        <f aca="false">IF(AA308&gt;=9,"1-ALTA",IF(AA308&gt;=4,"2-MEDIA",IF(AA308&gt;0,"3-BAJA","")))</f>
        <v>2-MEDIA</v>
      </c>
      <c r="AC308" s="3" t="str">
        <f aca="false">IF(E308="BAJO SS","Stock + XLIB bajo el SS: riesgo real de quiebre, adelantar producción. ","")&amp;IF(E308="BAJO SS (XLIB CUBRE)","Disponible bajo el SS; depende de liberar "&amp;TEXT(J308,"#,##0")&amp;" kg"&amp;IF(ISNUMBER(K308)," el "&amp;TEXT(K308,"dd-mm"),"")&amp;". ","")&amp;IF(W308="SÍ","Stock parece sano pero "&amp;TEXT(L308,"#,##0")&amp;" kg no pasan filtro "&amp;Stock_Seguridad!O308&amp;": sin ellos queda bajo el SS para esa cadena. ","")&amp;IF(E308="SOBRE MAX VENDIBLE","Sobrestock vs vida útil: frenar producción/activar venta. ","")&amp;IF(N(N308)&gt;=Parametros!$B$17,TEXT(N308,"#,##0")&amp;" kg ya no los acepta ninguna cadena: venta intermedia/liquidación. ","")&amp;IF(N(M308)&gt;=Parametros!$B$17,TEXT(M308,"#,##0")&amp;" kg a punto de salir del filtro: despachar primero (FEFO). ","")&amp;IF(Y308="SÍ","Pedidos "&amp;IF(N(U308)&gt;0,"sobre","bajo")&amp;" FCST "&amp;TEXT(ABS(N(U308)),"0%")&amp;": revisar forecast con KAM.","")</f>
        <v>Stock + XLIB bajo el SS: riesgo real de quiebre, adelantar producción. Pedidos sobre FCST 106%: revisar forecast con KAM.</v>
      </c>
    </row>
    <row r="309" customFormat="false" ht="15" hidden="false" customHeight="false" outlineLevel="0" collapsed="false">
      <c r="A309" s="18" t="n">
        <f aca="false">Stock_Seguridad!A309</f>
        <v>30000238</v>
      </c>
      <c r="B309" s="18" t="str">
        <f aca="false">Stock_Seguridad!B309</f>
        <v>JUGO FRESCO NARANJA 6X1LT</v>
      </c>
      <c r="C309" s="18" t="str">
        <f aca="false">Stock_Seguridad!C309</f>
        <v>JUGOS Y NECTARES</v>
      </c>
      <c r="D309" s="18" t="str">
        <f aca="false">Stock_Seguridad!F309</f>
        <v>BX</v>
      </c>
      <c r="E309" s="19" t="str">
        <f aca="false">Stock_Seguridad!X309</f>
        <v>OK</v>
      </c>
      <c r="F309" s="20" t="n">
        <f aca="false">Stock_Seguridad!W309</f>
        <v>1.71818181818182</v>
      </c>
      <c r="G309" s="21" t="n">
        <f aca="false">Stock_Seguridad!T309</f>
        <v>5670</v>
      </c>
      <c r="H309" s="21" t="n">
        <f aca="false">Stock_Seguridad!R309</f>
        <v>1174.75347747094</v>
      </c>
      <c r="I309" s="21" t="n">
        <f aca="false">Stock_Seguridad!S309</f>
        <v>4474.75347747094</v>
      </c>
      <c r="J309" s="21" t="n">
        <f aca="false">Stock_Seguridad!U309</f>
        <v>0</v>
      </c>
      <c r="K309" s="22"/>
      <c r="L309" s="23" t="n">
        <v>282</v>
      </c>
      <c r="M309" s="23" t="n">
        <v>168</v>
      </c>
      <c r="N309" s="23" t="n">
        <v>0</v>
      </c>
      <c r="O309" s="24" t="n">
        <v>0.128857142857143</v>
      </c>
      <c r="P309" s="24" t="n">
        <f aca="false">IF(ISNUMBER(Stock_Seguridad!N309),Stock_Seguridad!N309,"")</f>
        <v>0.328571428571429</v>
      </c>
      <c r="Q309" s="24" t="n">
        <f aca="false">IF(AND(ISNUMBER(O309),ISNUMBER(P309)),P309-O309,"")</f>
        <v>0.199714285714286</v>
      </c>
      <c r="R309" s="23" t="n">
        <f aca="false">MAX(0,G309-N(L309))</f>
        <v>5388</v>
      </c>
      <c r="S309" s="23" t="n">
        <f aca="false">SUMIFS(Cadenas_vs_FCST!$D$17:$D$2437,Cadenas_vs_FCST!$A$17:$A$2437,A309)</f>
        <v>15144</v>
      </c>
      <c r="T309" s="23" t="n">
        <f aca="false">SUMIFS(Cadenas_vs_FCST!$E$17:$E$2437,Cadenas_vs_FCST!$A$17:$A$2437,A309)</f>
        <v>15184.7634175075</v>
      </c>
      <c r="U309" s="24" t="n">
        <f aca="false">IF(T309&gt;0,S309/T309-1,"")</f>
        <v>-0.00268449473901511</v>
      </c>
      <c r="V309" s="3" t="str">
        <f aca="false">IF(OR(E309="BAJO SS",E309="BAJO SS (XLIB CUBRE)"),"SÍ","")</f>
        <v/>
      </c>
      <c r="W309" s="3" t="str">
        <f aca="false">IF(AND(V309="",N(L309)&gt;=Parametros!$B$17,G309&gt;=H309,R309&lt;H309),"SÍ","")</f>
        <v/>
      </c>
      <c r="X309" s="3" t="str">
        <f aca="false">IF(OR(E309="SOBRE MAX VENDIBLE",N(N309)&gt;=Parametros!$B$17,N(M309)&gt;=Parametros!$B$17),"SÍ","")</f>
        <v/>
      </c>
      <c r="Y309" s="3" t="str">
        <f aca="false">IF(AND(ISNUMBER(U309),MAX(S309,T309)&gt;=Parametros!$B$15,ABS(N(U309))&gt;Parametros!$B$14),"SÍ","")</f>
        <v/>
      </c>
      <c r="Z309" s="3" t="n">
        <f aca="false">COUNTIF(V309:Y309,"SÍ")</f>
        <v>0</v>
      </c>
      <c r="AA309" s="3" t="n">
        <f aca="false">(3*(V309="SÍ")+2*(W309="SÍ")+2*(X309="SÍ")+(Y309="SÍ"))*IF(LEFT(D309,1)="A",3,IF(OR(LEFT(D309,1)="B",D309="SIN HIST"),2,1))</f>
        <v>0</v>
      </c>
      <c r="AB309" s="3" t="str">
        <f aca="false">IF(AA309&gt;=9,"1-ALTA",IF(AA309&gt;=4,"2-MEDIA",IF(AA309&gt;0,"3-BAJA","")))</f>
        <v/>
      </c>
      <c r="AC309" s="3" t="str">
        <f aca="false">IF(E309="BAJO SS","Stock + XLIB bajo el SS: riesgo real de quiebre, adelantar producción. ","")&amp;IF(E309="BAJO SS (XLIB CUBRE)","Disponible bajo el SS; depende de liberar "&amp;TEXT(J309,"#,##0")&amp;" kg"&amp;IF(ISNUMBER(K309)," el "&amp;TEXT(K309,"dd-mm"),"")&amp;". ","")&amp;IF(W309="SÍ","Stock parece sano pero "&amp;TEXT(L309,"#,##0")&amp;" kg no pasan filtro "&amp;Stock_Seguridad!O309&amp;": sin ellos queda bajo el SS para esa cadena. ","")&amp;IF(E309="SOBRE MAX VENDIBLE","Sobrestock vs vida útil: frenar producción/activar venta. ","")&amp;IF(N(N309)&gt;=Parametros!$B$17,TEXT(N309,"#,##0")&amp;" kg ya no los acepta ninguna cadena: venta intermedia/liquidación. ","")&amp;IF(N(M309)&gt;=Parametros!$B$17,TEXT(M309,"#,##0")&amp;" kg a punto de salir del filtro: despachar primero (FEFO). ","")&amp;IF(Y309="SÍ","Pedidos "&amp;IF(N(U309)&gt;0,"sobre","bajo")&amp;" FCST "&amp;TEXT(ABS(N(U309)),"0%")&amp;": revisar forecast con KAM.","")</f>
        <v/>
      </c>
    </row>
    <row r="310" customFormat="false" ht="15" hidden="false" customHeight="false" outlineLevel="0" collapsed="false">
      <c r="A310" s="18" t="n">
        <f aca="false">Stock_Seguridad!A310</f>
        <v>30000069</v>
      </c>
      <c r="B310" s="18" t="str">
        <f aca="false">Stock_Seguridad!B310</f>
        <v>MARGARINA SUREÑA 6X12X125GR</v>
      </c>
      <c r="C310" s="18" t="str">
        <f aca="false">Stock_Seguridad!C310</f>
        <v>MARGARINAS</v>
      </c>
      <c r="D310" s="18" t="str">
        <f aca="false">Stock_Seguridad!F310</f>
        <v>BX</v>
      </c>
      <c r="E310" s="19" t="str">
        <f aca="false">Stock_Seguridad!X310</f>
        <v>OK</v>
      </c>
      <c r="F310" s="20" t="n">
        <f aca="false">Stock_Seguridad!W310</f>
        <v>1.67454545454545</v>
      </c>
      <c r="G310" s="21" t="n">
        <f aca="false">Stock_Seguridad!T310</f>
        <v>5526</v>
      </c>
      <c r="H310" s="21" t="n">
        <f aca="false">Stock_Seguridad!R310</f>
        <v>1633.14510286477</v>
      </c>
      <c r="I310" s="21" t="n">
        <f aca="false">Stock_Seguridad!S310</f>
        <v>4933.14510286477</v>
      </c>
      <c r="J310" s="21" t="n">
        <f aca="false">Stock_Seguridad!U310</f>
        <v>0</v>
      </c>
      <c r="K310" s="22"/>
      <c r="L310" s="23" t="n">
        <v>621</v>
      </c>
      <c r="M310" s="23" t="n">
        <v>0</v>
      </c>
      <c r="N310" s="23" t="n">
        <v>0</v>
      </c>
      <c r="O310" s="24" t="n">
        <v>0.10799674267101</v>
      </c>
      <c r="P310" s="24" t="n">
        <f aca="false">IF(ISNUMBER(Stock_Seguridad!N310),Stock_Seguridad!N310,"")</f>
        <v>0.217391304347826</v>
      </c>
      <c r="Q310" s="24" t="n">
        <f aca="false">IF(AND(ISNUMBER(O310),ISNUMBER(P310)),P310-O310,"")</f>
        <v>0.109394561676816</v>
      </c>
      <c r="R310" s="23" t="n">
        <f aca="false">MAX(0,G310-N(L310))</f>
        <v>4905</v>
      </c>
      <c r="S310" s="23" t="n">
        <f aca="false">SUMIFS(Cadenas_vs_FCST!$D$17:$D$2437,Cadenas_vs_FCST!$A$17:$A$2437,A310)</f>
        <v>12807</v>
      </c>
      <c r="T310" s="23" t="n">
        <f aca="false">SUMIFS(Cadenas_vs_FCST!$E$17:$E$2437,Cadenas_vs_FCST!$A$17:$A$2437,A310)</f>
        <v>14232.4885806797</v>
      </c>
      <c r="U310" s="24" t="n">
        <f aca="false">IF(T310&gt;0,S310/T310-1,"")</f>
        <v>-0.100157366900313</v>
      </c>
      <c r="V310" s="3" t="str">
        <f aca="false">IF(OR(E310="BAJO SS",E310="BAJO SS (XLIB CUBRE)"),"SÍ","")</f>
        <v/>
      </c>
      <c r="W310" s="3" t="str">
        <f aca="false">IF(AND(V310="",N(L310)&gt;=Parametros!$B$17,G310&gt;=H310,R310&lt;H310),"SÍ","")</f>
        <v/>
      </c>
      <c r="X310" s="3" t="str">
        <f aca="false">IF(OR(E310="SOBRE MAX VENDIBLE",N(N310)&gt;=Parametros!$B$17,N(M310)&gt;=Parametros!$B$17),"SÍ","")</f>
        <v/>
      </c>
      <c r="Y310" s="3" t="str">
        <f aca="false">IF(AND(ISNUMBER(U310),MAX(S310,T310)&gt;=Parametros!$B$15,ABS(N(U310))&gt;Parametros!$B$14),"SÍ","")</f>
        <v/>
      </c>
      <c r="Z310" s="3" t="n">
        <f aca="false">COUNTIF(V310:Y310,"SÍ")</f>
        <v>0</v>
      </c>
      <c r="AA310" s="3" t="n">
        <f aca="false">(3*(V310="SÍ")+2*(W310="SÍ")+2*(X310="SÍ")+(Y310="SÍ"))*IF(LEFT(D310,1)="A",3,IF(OR(LEFT(D310,1)="B",D310="SIN HIST"),2,1))</f>
        <v>0</v>
      </c>
      <c r="AB310" s="3" t="str">
        <f aca="false">IF(AA310&gt;=9,"1-ALTA",IF(AA310&gt;=4,"2-MEDIA",IF(AA310&gt;0,"3-BAJA","")))</f>
        <v/>
      </c>
      <c r="AC310" s="3" t="str">
        <f aca="false">IF(E310="BAJO SS","Stock + XLIB bajo el SS: riesgo real de quiebre, adelantar producción. ","")&amp;IF(E310="BAJO SS (XLIB CUBRE)","Disponible bajo el SS; depende de liberar "&amp;TEXT(J310,"#,##0")&amp;" kg"&amp;IF(ISNUMBER(K310)," el "&amp;TEXT(K310,"dd-mm"),"")&amp;". ","")&amp;IF(W310="SÍ","Stock parece sano pero "&amp;TEXT(L310,"#,##0")&amp;" kg no pasan filtro "&amp;Stock_Seguridad!O310&amp;": sin ellos queda bajo el SS para esa cadena. ","")&amp;IF(E310="SOBRE MAX VENDIBLE","Sobrestock vs vida útil: frenar producción/activar venta. ","")&amp;IF(N(N310)&gt;=Parametros!$B$17,TEXT(N310,"#,##0")&amp;" kg ya no los acepta ninguna cadena: venta intermedia/liquidación. ","")&amp;IF(N(M310)&gt;=Parametros!$B$17,TEXT(M310,"#,##0")&amp;" kg a punto de salir del filtro: despachar primero (FEFO). ","")&amp;IF(Y310="SÍ","Pedidos "&amp;IF(N(U310)&gt;0,"sobre","bajo")&amp;" FCST "&amp;TEXT(ABS(N(U310)),"0%")&amp;": revisar forecast con KAM.","")</f>
        <v/>
      </c>
    </row>
    <row r="311" customFormat="false" ht="15" hidden="false" customHeight="false" outlineLevel="0" collapsed="false">
      <c r="A311" s="18" t="n">
        <f aca="false">Stock_Seguridad!A311</f>
        <v>30000634</v>
      </c>
      <c r="B311" s="18" t="str">
        <f aca="false">Stock_Seguridad!B311</f>
        <v>MERMELADA REGIMEL DZNO 24X200GR</v>
      </c>
      <c r="C311" s="18" t="str">
        <f aca="false">Stock_Seguridad!C311</f>
        <v>MERMELADAS</v>
      </c>
      <c r="D311" s="18" t="str">
        <f aca="false">Stock_Seguridad!F311</f>
        <v>BX</v>
      </c>
      <c r="E311" s="19" t="str">
        <f aca="false">Stock_Seguridad!X311</f>
        <v>OK</v>
      </c>
      <c r="F311" s="20" t="n">
        <f aca="false">Stock_Seguridad!W311</f>
        <v>2.93377865492637</v>
      </c>
      <c r="G311" s="21" t="n">
        <f aca="false">Stock_Seguridad!T311</f>
        <v>9662.4</v>
      </c>
      <c r="H311" s="21" t="n">
        <f aca="false">Stock_Seguridad!R311</f>
        <v>796.484619160874</v>
      </c>
      <c r="I311" s="21" t="n">
        <f aca="false">Stock_Seguridad!S311</f>
        <v>4089.98461916087</v>
      </c>
      <c r="J311" s="21" t="n">
        <f aca="false">Stock_Seguridad!U311</f>
        <v>0</v>
      </c>
      <c r="K311" s="22"/>
      <c r="L311" s="23" t="n">
        <v>0</v>
      </c>
      <c r="M311" s="23" t="n">
        <v>0</v>
      </c>
      <c r="N311" s="23" t="n">
        <v>0</v>
      </c>
      <c r="O311" s="24" t="n">
        <v>0.0625572139303483</v>
      </c>
      <c r="P311" s="24" t="n">
        <f aca="false">IF(ISNUMBER(Stock_Seguridad!N311),Stock_Seguridad!N311,"")</f>
        <v>0.32054794520548</v>
      </c>
      <c r="Q311" s="24" t="n">
        <f aca="false">IF(AND(ISNUMBER(O311),ISNUMBER(P311)),P311-O311,"")</f>
        <v>0.257990731275131</v>
      </c>
      <c r="R311" s="23" t="n">
        <f aca="false">MAX(0,G311-N(L311))</f>
        <v>9662.4</v>
      </c>
      <c r="S311" s="23" t="n">
        <f aca="false">SUMIFS(Cadenas_vs_FCST!$D$17:$D$2437,Cadenas_vs_FCST!$A$17:$A$2437,A311)</f>
        <v>10108.8</v>
      </c>
      <c r="T311" s="23" t="n">
        <f aca="false">SUMIFS(Cadenas_vs_FCST!$E$17:$E$2437,Cadenas_vs_FCST!$A$17:$A$2437,A311)</f>
        <v>10432.8</v>
      </c>
      <c r="U311" s="24" t="n">
        <f aca="false">IF(T311&gt;0,S311/T311-1,"")</f>
        <v>-0.0310559006211179</v>
      </c>
      <c r="V311" s="3" t="str">
        <f aca="false">IF(OR(E311="BAJO SS",E311="BAJO SS (XLIB CUBRE)"),"SÍ","")</f>
        <v/>
      </c>
      <c r="W311" s="3" t="str">
        <f aca="false">IF(AND(V311="",N(L311)&gt;=Parametros!$B$17,G311&gt;=H311,R311&lt;H311),"SÍ","")</f>
        <v/>
      </c>
      <c r="X311" s="3" t="str">
        <f aca="false">IF(OR(E311="SOBRE MAX VENDIBLE",N(N311)&gt;=Parametros!$B$17,N(M311)&gt;=Parametros!$B$17),"SÍ","")</f>
        <v/>
      </c>
      <c r="Y311" s="3" t="str">
        <f aca="false">IF(AND(ISNUMBER(U311),MAX(S311,T311)&gt;=Parametros!$B$15,ABS(N(U311))&gt;Parametros!$B$14),"SÍ","")</f>
        <v/>
      </c>
      <c r="Z311" s="3" t="n">
        <f aca="false">COUNTIF(V311:Y311,"SÍ")</f>
        <v>0</v>
      </c>
      <c r="AA311" s="3" t="n">
        <f aca="false">(3*(V311="SÍ")+2*(W311="SÍ")+2*(X311="SÍ")+(Y311="SÍ"))*IF(LEFT(D311,1)="A",3,IF(OR(LEFT(D311,1)="B",D311="SIN HIST"),2,1))</f>
        <v>0</v>
      </c>
      <c r="AB311" s="3" t="str">
        <f aca="false">IF(AA311&gt;=9,"1-ALTA",IF(AA311&gt;=4,"2-MEDIA",IF(AA311&gt;0,"3-BAJA","")))</f>
        <v/>
      </c>
      <c r="AC311" s="3" t="str">
        <f aca="false">IF(E311="BAJO SS","Stock + XLIB bajo el SS: riesgo real de quiebre, adelantar producción. ","")&amp;IF(E311="BAJO SS (XLIB CUBRE)","Disponible bajo el SS; depende de liberar "&amp;TEXT(J311,"#,##0")&amp;" kg"&amp;IF(ISNUMBER(K311)," el "&amp;TEXT(K311,"dd-mm"),"")&amp;". ","")&amp;IF(W311="SÍ","Stock parece sano pero "&amp;TEXT(L311,"#,##0")&amp;" kg no pasan filtro "&amp;Stock_Seguridad!O311&amp;": sin ellos queda bajo el SS para esa cadena. ","")&amp;IF(E311="SOBRE MAX VENDIBLE","Sobrestock vs vida útil: frenar producción/activar venta. ","")&amp;IF(N(N311)&gt;=Parametros!$B$17,TEXT(N311,"#,##0")&amp;" kg ya no los acepta ninguna cadena: venta intermedia/liquidación. ","")&amp;IF(N(M311)&gt;=Parametros!$B$17,TEXT(M311,"#,##0")&amp;" kg a punto de salir del filtro: despachar primero (FEFO). ","")&amp;IF(Y311="SÍ","Pedidos "&amp;IF(N(U311)&gt;0,"sobre","bajo")&amp;" FCST "&amp;TEXT(ABS(N(U311)),"0%")&amp;": revisar forecast con KAM.","")</f>
        <v/>
      </c>
    </row>
    <row r="312" customFormat="false" ht="15" hidden="false" customHeight="false" outlineLevel="0" collapsed="false">
      <c r="A312" s="18" t="n">
        <f aca="false">Stock_Seguridad!A312</f>
        <v>30002292</v>
      </c>
      <c r="B312" s="18" t="str">
        <f aca="false">Stock_Seguridad!B312</f>
        <v>JUGO 100% WATTS TUTTIMANGO LV 30X200ML</v>
      </c>
      <c r="C312" s="18" t="str">
        <f aca="false">Stock_Seguridad!C312</f>
        <v>JUGOS Y NECTARES</v>
      </c>
      <c r="D312" s="18" t="str">
        <f aca="false">Stock_Seguridad!F312</f>
        <v>BX</v>
      </c>
      <c r="E312" s="19" t="str">
        <f aca="false">Stock_Seguridad!X312</f>
        <v>OK</v>
      </c>
      <c r="F312" s="20" t="n">
        <f aca="false">Stock_Seguridad!W312</f>
        <v>2.23492024689849</v>
      </c>
      <c r="G312" s="21" t="n">
        <f aca="false">Stock_Seguridad!T312</f>
        <v>7314</v>
      </c>
      <c r="H312" s="21" t="n">
        <f aca="false">Stock_Seguridad!R312</f>
        <v>1888.50096585156</v>
      </c>
      <c r="I312" s="21" t="n">
        <f aca="false">Stock_Seguridad!S312</f>
        <v>5161.10096585156</v>
      </c>
      <c r="J312" s="21" t="n">
        <f aca="false">Stock_Seguridad!U312</f>
        <v>0</v>
      </c>
      <c r="K312" s="22"/>
      <c r="L312" s="23" t="n">
        <v>0</v>
      </c>
      <c r="M312" s="23" t="n">
        <v>0</v>
      </c>
      <c r="N312" s="23" t="n">
        <v>0</v>
      </c>
      <c r="O312" s="24" t="n">
        <v>0.0522231337161608</v>
      </c>
      <c r="P312" s="24" t="str">
        <f aca="false">IF(ISNUMBER(Stock_Seguridad!N312),Stock_Seguridad!N312,"")</f>
        <v/>
      </c>
      <c r="Q312" s="24" t="str">
        <f aca="false">IF(AND(ISNUMBER(O312),ISNUMBER(P312)),P312-O312,"")</f>
        <v/>
      </c>
      <c r="R312" s="23" t="n">
        <f aca="false">MAX(0,G312-N(L312))</f>
        <v>7314</v>
      </c>
      <c r="S312" s="23" t="n">
        <f aca="false">SUMIFS(Cadenas_vs_FCST!$D$17:$D$2437,Cadenas_vs_FCST!$A$17:$A$2437,A312)</f>
        <v>14004</v>
      </c>
      <c r="T312" s="23" t="n">
        <f aca="false">SUMIFS(Cadenas_vs_FCST!$E$17:$E$2437,Cadenas_vs_FCST!$A$17:$A$2437,A312)</f>
        <v>10905.3388841109</v>
      </c>
      <c r="U312" s="24" t="n">
        <f aca="false">IF(T312&gt;0,S312/T312-1,"")</f>
        <v>0.284141662062778</v>
      </c>
      <c r="V312" s="3" t="str">
        <f aca="false">IF(OR(E312="BAJO SS",E312="BAJO SS (XLIB CUBRE)"),"SÍ","")</f>
        <v/>
      </c>
      <c r="W312" s="3" t="str">
        <f aca="false">IF(AND(V312="",N(L312)&gt;=Parametros!$B$17,G312&gt;=H312,R312&lt;H312),"SÍ","")</f>
        <v/>
      </c>
      <c r="X312" s="3" t="str">
        <f aca="false">IF(OR(E312="SOBRE MAX VENDIBLE",N(N312)&gt;=Parametros!$B$17,N(M312)&gt;=Parametros!$B$17),"SÍ","")</f>
        <v/>
      </c>
      <c r="Y312" s="3" t="str">
        <f aca="false">IF(AND(ISNUMBER(U312),MAX(S312,T312)&gt;=Parametros!$B$15,ABS(N(U312))&gt;Parametros!$B$14),"SÍ","")</f>
        <v>SÍ</v>
      </c>
      <c r="Z312" s="3" t="n">
        <f aca="false">COUNTIF(V312:Y312,"SÍ")</f>
        <v>1</v>
      </c>
      <c r="AA312" s="3" t="n">
        <f aca="false">(3*(V312="SÍ")+2*(W312="SÍ")+2*(X312="SÍ")+(Y312="SÍ"))*IF(LEFT(D312,1)="A",3,IF(OR(LEFT(D312,1)="B",D312="SIN HIST"),2,1))</f>
        <v>2</v>
      </c>
      <c r="AB312" s="3" t="str">
        <f aca="false">IF(AA312&gt;=9,"1-ALTA",IF(AA312&gt;=4,"2-MEDIA",IF(AA312&gt;0,"3-BAJA","")))</f>
        <v>3-BAJA</v>
      </c>
      <c r="AC312" s="3" t="str">
        <f aca="false">IF(E312="BAJO SS","Stock + XLIB bajo el SS: riesgo real de quiebre, adelantar producción. ","")&amp;IF(E312="BAJO SS (XLIB CUBRE)","Disponible bajo el SS; depende de liberar "&amp;TEXT(J312,"#,##0")&amp;" kg"&amp;IF(ISNUMBER(K312)," el "&amp;TEXT(K312,"dd-mm"),"")&amp;". ","")&amp;IF(W312="SÍ","Stock parece sano pero "&amp;TEXT(L312,"#,##0")&amp;" kg no pasan filtro "&amp;Stock_Seguridad!O312&amp;": sin ellos queda bajo el SS para esa cadena. ","")&amp;IF(E312="SOBRE MAX VENDIBLE","Sobrestock vs vida útil: frenar producción/activar venta. ","")&amp;IF(N(N312)&gt;=Parametros!$B$17,TEXT(N312,"#,##0")&amp;" kg ya no los acepta ninguna cadena: venta intermedia/liquidación. ","")&amp;IF(N(M312)&gt;=Parametros!$B$17,TEXT(M312,"#,##0")&amp;" kg a punto de salir del filtro: despachar primero (FEFO). ","")&amp;IF(Y312="SÍ","Pedidos "&amp;IF(N(U312)&gt;0,"sobre","bajo")&amp;" FCST "&amp;TEXT(ABS(N(U312)),"0%")&amp;": revisar forecast con KAM.","")</f>
        <v>Pedidos sobre FCST 28%: revisar forecast con KAM.</v>
      </c>
    </row>
    <row r="313" customFormat="false" ht="15" hidden="false" customHeight="false" outlineLevel="0" collapsed="false">
      <c r="A313" s="18" t="n">
        <f aca="false">Stock_Seguridad!A313</f>
        <v>30001765</v>
      </c>
      <c r="B313" s="18" t="str">
        <f aca="false">Stock_Seguridad!B313</f>
        <v>MERMELADA LOS LAGOS FRUTILLA 24X225GR</v>
      </c>
      <c r="C313" s="18" t="str">
        <f aca="false">Stock_Seguridad!C313</f>
        <v>MERMELADAS</v>
      </c>
      <c r="D313" s="18" t="str">
        <f aca="false">Stock_Seguridad!F313</f>
        <v>BX</v>
      </c>
      <c r="E313" s="19" t="str">
        <f aca="false">Stock_Seguridad!X313</f>
        <v>OK</v>
      </c>
      <c r="F313" s="20" t="n">
        <f aca="false">Stock_Seguridad!W313</f>
        <v>3.21525200159514</v>
      </c>
      <c r="G313" s="21" t="n">
        <f aca="false">Stock_Seguridad!T313</f>
        <v>10481.4</v>
      </c>
      <c r="H313" s="21" t="n">
        <f aca="false">Stock_Seguridad!R313</f>
        <v>1700.9471890396</v>
      </c>
      <c r="I313" s="21" t="n">
        <f aca="false">Stock_Seguridad!S313</f>
        <v>4960.8471890396</v>
      </c>
      <c r="J313" s="21" t="n">
        <f aca="false">Stock_Seguridad!U313</f>
        <v>0</v>
      </c>
      <c r="K313" s="22"/>
      <c r="L313" s="23" t="n">
        <v>0</v>
      </c>
      <c r="M313" s="23" t="n">
        <v>0</v>
      </c>
      <c r="N313" s="23" t="n">
        <v>0</v>
      </c>
      <c r="O313" s="24" t="n">
        <v>0.0679439252336449</v>
      </c>
      <c r="P313" s="24" t="n">
        <f aca="false">IF(ISNUMBER(Stock_Seguridad!N313),Stock_Seguridad!N313,"")</f>
        <v>0.273972602739726</v>
      </c>
      <c r="Q313" s="24" t="n">
        <f aca="false">IF(AND(ISNUMBER(O313),ISNUMBER(P313)),P313-O313,"")</f>
        <v>0.206028677506081</v>
      </c>
      <c r="R313" s="23" t="n">
        <f aca="false">MAX(0,G313-N(L313))</f>
        <v>10481.4</v>
      </c>
      <c r="S313" s="23" t="n">
        <f aca="false">SUMIFS(Cadenas_vs_FCST!$D$17:$D$2437,Cadenas_vs_FCST!$A$17:$A$2437,A313)</f>
        <v>12814.2</v>
      </c>
      <c r="T313" s="23" t="n">
        <f aca="false">SUMIFS(Cadenas_vs_FCST!$E$17:$E$2437,Cadenas_vs_FCST!$A$17:$A$2437,A313)</f>
        <v>13172.8</v>
      </c>
      <c r="U313" s="24" t="n">
        <f aca="false">IF(T313&gt;0,S313/T313-1,"")</f>
        <v>-0.0272227620551438</v>
      </c>
      <c r="V313" s="3" t="str">
        <f aca="false">IF(OR(E313="BAJO SS",E313="BAJO SS (XLIB CUBRE)"),"SÍ","")</f>
        <v/>
      </c>
      <c r="W313" s="3" t="str">
        <f aca="false">IF(AND(V313="",N(L313)&gt;=Parametros!$B$17,G313&gt;=H313,R313&lt;H313),"SÍ","")</f>
        <v/>
      </c>
      <c r="X313" s="3" t="str">
        <f aca="false">IF(OR(E313="SOBRE MAX VENDIBLE",N(N313)&gt;=Parametros!$B$17,N(M313)&gt;=Parametros!$B$17),"SÍ","")</f>
        <v/>
      </c>
      <c r="Y313" s="3" t="str">
        <f aca="false">IF(AND(ISNUMBER(U313),MAX(S313,T313)&gt;=Parametros!$B$15,ABS(N(U313))&gt;Parametros!$B$14),"SÍ","")</f>
        <v/>
      </c>
      <c r="Z313" s="3" t="n">
        <f aca="false">COUNTIF(V313:Y313,"SÍ")</f>
        <v>0</v>
      </c>
      <c r="AA313" s="3" t="n">
        <f aca="false">(3*(V313="SÍ")+2*(W313="SÍ")+2*(X313="SÍ")+(Y313="SÍ"))*IF(LEFT(D313,1)="A",3,IF(OR(LEFT(D313,1)="B",D313="SIN HIST"),2,1))</f>
        <v>0</v>
      </c>
      <c r="AB313" s="3" t="str">
        <f aca="false">IF(AA313&gt;=9,"1-ALTA",IF(AA313&gt;=4,"2-MEDIA",IF(AA313&gt;0,"3-BAJA","")))</f>
        <v/>
      </c>
      <c r="AC313" s="3" t="str">
        <f aca="false">IF(E313="BAJO SS","Stock + XLIB bajo el SS: riesgo real de quiebre, adelantar producción. ","")&amp;IF(E313="BAJO SS (XLIB CUBRE)","Disponible bajo el SS; depende de liberar "&amp;TEXT(J313,"#,##0")&amp;" kg"&amp;IF(ISNUMBER(K313)," el "&amp;TEXT(K313,"dd-mm"),"")&amp;". ","")&amp;IF(W313="SÍ","Stock parece sano pero "&amp;TEXT(L313,"#,##0")&amp;" kg no pasan filtro "&amp;Stock_Seguridad!O313&amp;": sin ellos queda bajo el SS para esa cadena. ","")&amp;IF(E313="SOBRE MAX VENDIBLE","Sobrestock vs vida útil: frenar producción/activar venta. ","")&amp;IF(N(N313)&gt;=Parametros!$B$17,TEXT(N313,"#,##0")&amp;" kg ya no los acepta ninguna cadena: venta intermedia/liquidación. ","")&amp;IF(N(M313)&gt;=Parametros!$B$17,TEXT(M313,"#,##0")&amp;" kg a punto de salir del filtro: despachar primero (FEFO). ","")&amp;IF(Y313="SÍ","Pedidos "&amp;IF(N(U313)&gt;0,"sobre","bajo")&amp;" FCST "&amp;TEXT(ABS(N(U313)),"0%")&amp;": revisar forecast con KAM.","")</f>
        <v/>
      </c>
    </row>
    <row r="314" customFormat="false" ht="15" hidden="false" customHeight="false" outlineLevel="0" collapsed="false">
      <c r="A314" s="18" t="n">
        <f aca="false">Stock_Seguridad!A314</f>
        <v>30001522</v>
      </c>
      <c r="B314" s="18" t="str">
        <f aca="false">Stock_Seguridad!B314</f>
        <v>HABAS WASIL 16X380GR</v>
      </c>
      <c r="C314" s="18" t="str">
        <f aca="false">Stock_Seguridad!C314</f>
        <v>CONSERVAS Y PLATOS LISTOS</v>
      </c>
      <c r="D314" s="18" t="str">
        <f aca="false">Stock_Seguridad!F314</f>
        <v>BX</v>
      </c>
      <c r="E314" s="19" t="str">
        <f aca="false">Stock_Seguridad!X314</f>
        <v>OK</v>
      </c>
      <c r="F314" s="20" t="n">
        <f aca="false">Stock_Seguridad!W314</f>
        <v>9.21732845323409</v>
      </c>
      <c r="G314" s="21" t="n">
        <f aca="false">Stock_Seguridad!T314</f>
        <v>28393.6</v>
      </c>
      <c r="H314" s="21" t="n">
        <f aca="false">Stock_Seguridad!R314</f>
        <v>2357.91966127964</v>
      </c>
      <c r="I314" s="21" t="n">
        <f aca="false">Stock_Seguridad!S314</f>
        <v>5609.21966127964</v>
      </c>
      <c r="J314" s="21" t="n">
        <f aca="false">Stock_Seguridad!U314</f>
        <v>1574.7</v>
      </c>
      <c r="K314" s="22" t="n">
        <v>46308</v>
      </c>
      <c r="L314" s="23" t="n">
        <v>820.8</v>
      </c>
      <c r="M314" s="23" t="n">
        <v>3453.44</v>
      </c>
      <c r="N314" s="23" t="n">
        <v>0</v>
      </c>
      <c r="O314" s="24" t="n">
        <v>0.0688938502131114</v>
      </c>
      <c r="P314" s="24" t="n">
        <f aca="false">IF(ISNUMBER(Stock_Seguridad!N314),Stock_Seguridad!N314,"")</f>
        <v>0.197080291970803</v>
      </c>
      <c r="Q314" s="24" t="n">
        <f aca="false">IF(AND(ISNUMBER(O314),ISNUMBER(P314)),P314-O314,"")</f>
        <v>0.128186441757691</v>
      </c>
      <c r="R314" s="23" t="n">
        <f aca="false">MAX(0,G314-N(L314))</f>
        <v>27572.8</v>
      </c>
      <c r="S314" s="23" t="n">
        <f aca="false">SUMIFS(Cadenas_vs_FCST!$D$17:$D$2437,Cadenas_vs_FCST!$A$17:$A$2437,A314)</f>
        <v>13278.72</v>
      </c>
      <c r="T314" s="23" t="n">
        <f aca="false">SUMIFS(Cadenas_vs_FCST!$E$17:$E$2437,Cadenas_vs_FCST!$A$17:$A$2437,A314)</f>
        <v>11076.72</v>
      </c>
      <c r="U314" s="24" t="n">
        <f aca="false">IF(T314&gt;0,S314/T314-1,"")</f>
        <v>0.198795311247373</v>
      </c>
      <c r="V314" s="3" t="str">
        <f aca="false">IF(OR(E314="BAJO SS",E314="BAJO SS (XLIB CUBRE)"),"SÍ","")</f>
        <v/>
      </c>
      <c r="W314" s="3" t="str">
        <f aca="false">IF(AND(V314="",N(L314)&gt;=Parametros!$B$17,G314&gt;=H314,R314&lt;H314),"SÍ","")</f>
        <v/>
      </c>
      <c r="X314" s="3" t="str">
        <f aca="false">IF(OR(E314="SOBRE MAX VENDIBLE",N(N314)&gt;=Parametros!$B$17,N(M314)&gt;=Parametros!$B$17),"SÍ","")</f>
        <v>SÍ</v>
      </c>
      <c r="Y314" s="3" t="str">
        <f aca="false">IF(AND(ISNUMBER(U314),MAX(S314,T314)&gt;=Parametros!$B$15,ABS(N(U314))&gt;Parametros!$B$14),"SÍ","")</f>
        <v/>
      </c>
      <c r="Z314" s="3" t="n">
        <f aca="false">COUNTIF(V314:Y314,"SÍ")</f>
        <v>1</v>
      </c>
      <c r="AA314" s="3" t="n">
        <f aca="false">(3*(V314="SÍ")+2*(W314="SÍ")+2*(X314="SÍ")+(Y314="SÍ"))*IF(LEFT(D314,1)="A",3,IF(OR(LEFT(D314,1)="B",D314="SIN HIST"),2,1))</f>
        <v>4</v>
      </c>
      <c r="AB314" s="3" t="str">
        <f aca="false">IF(AA314&gt;=9,"1-ALTA",IF(AA314&gt;=4,"2-MEDIA",IF(AA314&gt;0,"3-BAJA","")))</f>
        <v>2-MEDIA</v>
      </c>
      <c r="AC314" s="3" t="str">
        <f aca="false">IF(E314="BAJO SS","Stock + XLIB bajo el SS: riesgo real de quiebre, adelantar producción. ","")&amp;IF(E314="BAJO SS (XLIB CUBRE)","Disponible bajo el SS; depende de liberar "&amp;TEXT(J314,"#,##0")&amp;" kg"&amp;IF(ISNUMBER(K314)," el "&amp;TEXT(K314,"dd-mm"),"")&amp;". ","")&amp;IF(W314="SÍ","Stock parece sano pero "&amp;TEXT(L314,"#,##0")&amp;" kg no pasan filtro "&amp;Stock_Seguridad!O314&amp;": sin ellos queda bajo el SS para esa cadena. ","")&amp;IF(E314="SOBRE MAX VENDIBLE","Sobrestock vs vida útil: frenar producción/activar venta. ","")&amp;IF(N(N314)&gt;=Parametros!$B$17,TEXT(N314,"#,##0")&amp;" kg ya no los acepta ninguna cadena: venta intermedia/liquidación. ","")&amp;IF(N(M314)&gt;=Parametros!$B$17,TEXT(M314,"#,##0")&amp;" kg a punto de salir del filtro: despachar primero (FEFO). ","")&amp;IF(Y314="SÍ","Pedidos "&amp;IF(N(U314)&gt;0,"sobre","bajo")&amp;" FCST "&amp;TEXT(ABS(N(U314)),"0%")&amp;": revisar forecast con KAM.","")</f>
        <v>3,453 kg a punto de salir del filtro: despachar primero (FEFO). </v>
      </c>
    </row>
    <row r="315" customFormat="false" ht="15" hidden="false" customHeight="false" outlineLevel="0" collapsed="false">
      <c r="A315" s="18" t="n">
        <f aca="false">Stock_Seguridad!A315</f>
        <v>30001047</v>
      </c>
      <c r="B315" s="18" t="str">
        <f aca="false">Stock_Seguridad!B315</f>
        <v>PROBIOTICO CALAN MULT UNV BOT 8X6X90G</v>
      </c>
      <c r="C315" s="18" t="str">
        <f aca="false">Stock_Seguridad!C315</f>
        <v>LECHES LIQUIDAS</v>
      </c>
      <c r="D315" s="18" t="str">
        <f aca="false">Stock_Seguridad!F315</f>
        <v>BX</v>
      </c>
      <c r="E315" s="19" t="str">
        <f aca="false">Stock_Seguridad!X315</f>
        <v>BAJO SS (XLIB CUBRE)</v>
      </c>
      <c r="F315" s="20" t="n">
        <f aca="false">Stock_Seguridad!W315</f>
        <v>1.39192949907236</v>
      </c>
      <c r="G315" s="21" t="n">
        <f aca="false">Stock_Seguridad!T315</f>
        <v>1201</v>
      </c>
      <c r="H315" s="21" t="n">
        <f aca="false">Stock_Seguridad!R315</f>
        <v>2740.97471577652</v>
      </c>
      <c r="I315" s="21" t="n">
        <f aca="false">Stock_Seguridad!S315</f>
        <v>5974.97471577652</v>
      </c>
      <c r="J315" s="21" t="n">
        <f aca="false">Stock_Seguridad!U315</f>
        <v>3300.5</v>
      </c>
      <c r="K315" s="22" t="n">
        <v>46319</v>
      </c>
      <c r="L315" s="23" t="n">
        <v>34.56</v>
      </c>
      <c r="M315" s="23" t="n">
        <v>60.48</v>
      </c>
      <c r="N315" s="23" t="n">
        <v>34.56</v>
      </c>
      <c r="O315" s="24" t="n">
        <v>0.0403171456888008</v>
      </c>
      <c r="P315" s="24" t="n">
        <f aca="false">IF(ISNUMBER(Stock_Seguridad!N315),Stock_Seguridad!N315,"")</f>
        <v>0.232876712328767</v>
      </c>
      <c r="Q315" s="24" t="n">
        <f aca="false">IF(AND(ISNUMBER(O315),ISNUMBER(P315)),P315-O315,"")</f>
        <v>0.192559566639966</v>
      </c>
      <c r="R315" s="23" t="n">
        <f aca="false">MAX(0,G315-N(L315))</f>
        <v>1166.44</v>
      </c>
      <c r="S315" s="23" t="n">
        <f aca="false">SUMIFS(Cadenas_vs_FCST!$D$17:$D$2437,Cadenas_vs_FCST!$A$17:$A$2437,A315)</f>
        <v>17249.76</v>
      </c>
      <c r="T315" s="23" t="n">
        <f aca="false">SUMIFS(Cadenas_vs_FCST!$E$17:$E$2437,Cadenas_vs_FCST!$A$17:$A$2437,A315)</f>
        <v>14483.4739164429</v>
      </c>
      <c r="U315" s="24" t="n">
        <f aca="false">IF(T315&gt;0,S315/T315-1,"")</f>
        <v>0.190996034481516</v>
      </c>
      <c r="V315" s="3" t="str">
        <f aca="false">IF(OR(E315="BAJO SS",E315="BAJO SS (XLIB CUBRE)"),"SÍ","")</f>
        <v>SÍ</v>
      </c>
      <c r="W315" s="3" t="str">
        <f aca="false">IF(AND(V315="",N(L315)&gt;=Parametros!$B$17,G315&gt;=H315,R315&lt;H315),"SÍ","")</f>
        <v/>
      </c>
      <c r="X315" s="3" t="str">
        <f aca="false">IF(OR(E315="SOBRE MAX VENDIBLE",N(N315)&gt;=Parametros!$B$17,N(M315)&gt;=Parametros!$B$17),"SÍ","")</f>
        <v/>
      </c>
      <c r="Y315" s="3" t="str">
        <f aca="false">IF(AND(ISNUMBER(U315),MAX(S315,T315)&gt;=Parametros!$B$15,ABS(N(U315))&gt;Parametros!$B$14),"SÍ","")</f>
        <v/>
      </c>
      <c r="Z315" s="3" t="n">
        <f aca="false">COUNTIF(V315:Y315,"SÍ")</f>
        <v>1</v>
      </c>
      <c r="AA315" s="3" t="n">
        <f aca="false">(3*(V315="SÍ")+2*(W315="SÍ")+2*(X315="SÍ")+(Y315="SÍ"))*IF(LEFT(D315,1)="A",3,IF(OR(LEFT(D315,1)="B",D315="SIN HIST"),2,1))</f>
        <v>6</v>
      </c>
      <c r="AB315" s="3" t="str">
        <f aca="false">IF(AA315&gt;=9,"1-ALTA",IF(AA315&gt;=4,"2-MEDIA",IF(AA315&gt;0,"3-BAJA","")))</f>
        <v>2-MEDIA</v>
      </c>
      <c r="AC315" s="3" t="str">
        <f aca="false">IF(E315="BAJO SS","Stock + XLIB bajo el SS: riesgo real de quiebre, adelantar producción. ","")&amp;IF(E315="BAJO SS (XLIB CUBRE)","Disponible bajo el SS; depende de liberar "&amp;TEXT(J315,"#,##0")&amp;" kg"&amp;IF(ISNUMBER(K315)," el "&amp;TEXT(K315,"dd-mm"),"")&amp;". ","")&amp;IF(W315="SÍ","Stock parece sano pero "&amp;TEXT(L315,"#,##0")&amp;" kg no pasan filtro "&amp;Stock_Seguridad!O315&amp;": sin ellos queda bajo el SS para esa cadena. ","")&amp;IF(E315="SOBRE MAX VENDIBLE","Sobrestock vs vida útil: frenar producción/activar venta. ","")&amp;IF(N(N315)&gt;=Parametros!$B$17,TEXT(N315,"#,##0")&amp;" kg ya no los acepta ninguna cadena: venta intermedia/liquidación. ","")&amp;IF(N(M315)&gt;=Parametros!$B$17,TEXT(M315,"#,##0")&amp;" kg a punto de salir del filtro: despachar primero (FEFO). ","")&amp;IF(Y315="SÍ","Pedidos "&amp;IF(N(U315)&gt;0,"sobre","bajo")&amp;" FCST "&amp;TEXT(ABS(N(U315)),"0%")&amp;": revisar forecast con KAM.","")</f>
        <v>Disponible bajo el SS; depende de liberar 3,301 kg el 24-10. </v>
      </c>
    </row>
    <row r="316" customFormat="false" ht="15" hidden="false" customHeight="false" outlineLevel="0" collapsed="false">
      <c r="A316" s="18" t="n">
        <f aca="false">Stock_Seguridad!A316</f>
        <v>30000766</v>
      </c>
      <c r="B316" s="18" t="str">
        <f aca="false">Stock_Seguridad!B316</f>
        <v>HABAS 30X500GR</v>
      </c>
      <c r="C316" s="18" t="str">
        <f aca="false">Stock_Seguridad!C316</f>
        <v>FRUTAS Y HORTALIZAS CONGELADAS</v>
      </c>
      <c r="D316" s="18" t="str">
        <f aca="false">Stock_Seguridad!F316</f>
        <v>SIN HIST</v>
      </c>
      <c r="E316" s="19" t="str">
        <f aca="false">Stock_Seguridad!X316</f>
        <v>OK</v>
      </c>
      <c r="F316" s="20" t="n">
        <f aca="false">Stock_Seguridad!W316</f>
        <v>12.780185179412</v>
      </c>
      <c r="G316" s="21" t="n">
        <f aca="false">Stock_Seguridad!T316</f>
        <v>40995</v>
      </c>
      <c r="H316" s="21" t="n">
        <f aca="false">Stock_Seguridad!R316</f>
        <v>1582.85909375167</v>
      </c>
      <c r="I316" s="21" t="n">
        <f aca="false">Stock_Seguridad!S316</f>
        <v>4790.55909375167</v>
      </c>
      <c r="J316" s="21" t="n">
        <f aca="false">Stock_Seguridad!U316</f>
        <v>0</v>
      </c>
      <c r="K316" s="22"/>
      <c r="L316" s="23" t="n">
        <v>0</v>
      </c>
      <c r="M316" s="23" t="n">
        <v>0</v>
      </c>
      <c r="N316" s="23" t="n">
        <v>0</v>
      </c>
      <c r="O316" s="24" t="n">
        <v>0.0817416758141237</v>
      </c>
      <c r="P316" s="24" t="str">
        <f aca="false">IF(ISNUMBER(Stock_Seguridad!N316),Stock_Seguridad!N316,"")</f>
        <v/>
      </c>
      <c r="Q316" s="24" t="str">
        <f aca="false">IF(AND(ISNUMBER(O316),ISNUMBER(P316)),P316-O316,"")</f>
        <v/>
      </c>
      <c r="R316" s="23" t="n">
        <f aca="false">MAX(0,G316-N(L316))</f>
        <v>40995</v>
      </c>
      <c r="S316" s="23" t="n">
        <f aca="false">SUMIFS(Cadenas_vs_FCST!$D$17:$D$2437,Cadenas_vs_FCST!$A$17:$A$2437,A316)</f>
        <v>0</v>
      </c>
      <c r="T316" s="23" t="n">
        <f aca="false">SUMIFS(Cadenas_vs_FCST!$E$17:$E$2437,Cadenas_vs_FCST!$A$17:$A$2437,A316)</f>
        <v>0</v>
      </c>
      <c r="U316" s="24" t="str">
        <f aca="false">IF(T316&gt;0,S316/T316-1,"")</f>
        <v/>
      </c>
      <c r="V316" s="3" t="str">
        <f aca="false">IF(OR(E316="BAJO SS",E316="BAJO SS (XLIB CUBRE)"),"SÍ","")</f>
        <v/>
      </c>
      <c r="W316" s="3" t="str">
        <f aca="false">IF(AND(V316="",N(L316)&gt;=Parametros!$B$17,G316&gt;=H316,R316&lt;H316),"SÍ","")</f>
        <v/>
      </c>
      <c r="X316" s="3" t="str">
        <f aca="false">IF(OR(E316="SOBRE MAX VENDIBLE",N(N316)&gt;=Parametros!$B$17,N(M316)&gt;=Parametros!$B$17),"SÍ","")</f>
        <v/>
      </c>
      <c r="Y316" s="3" t="str">
        <f aca="false">IF(AND(ISNUMBER(U316),MAX(S316,T316)&gt;=Parametros!$B$15,ABS(N(U316))&gt;Parametros!$B$14),"SÍ","")</f>
        <v/>
      </c>
      <c r="Z316" s="3" t="n">
        <f aca="false">COUNTIF(V316:Y316,"SÍ")</f>
        <v>0</v>
      </c>
      <c r="AA316" s="3" t="n">
        <f aca="false">(3*(V316="SÍ")+2*(W316="SÍ")+2*(X316="SÍ")+(Y316="SÍ"))*IF(LEFT(D316,1)="A",3,IF(OR(LEFT(D316,1)="B",D316="SIN HIST"),2,1))</f>
        <v>0</v>
      </c>
      <c r="AB316" s="3" t="str">
        <f aca="false">IF(AA316&gt;=9,"1-ALTA",IF(AA316&gt;=4,"2-MEDIA",IF(AA316&gt;0,"3-BAJA","")))</f>
        <v/>
      </c>
      <c r="AC316" s="3" t="str">
        <f aca="false">IF(E316="BAJO SS","Stock + XLIB bajo el SS: riesgo real de quiebre, adelantar producción. ","")&amp;IF(E316="BAJO SS (XLIB CUBRE)","Disponible bajo el SS; depende de liberar "&amp;TEXT(J316,"#,##0")&amp;" kg"&amp;IF(ISNUMBER(K316)," el "&amp;TEXT(K316,"dd-mm"),"")&amp;". ","")&amp;IF(W316="SÍ","Stock parece sano pero "&amp;TEXT(L316,"#,##0")&amp;" kg no pasan filtro "&amp;Stock_Seguridad!O316&amp;": sin ellos queda bajo el SS para esa cadena. ","")&amp;IF(E316="SOBRE MAX VENDIBLE","Sobrestock vs vida útil: frenar producción/activar venta. ","")&amp;IF(N(N316)&gt;=Parametros!$B$17,TEXT(N316,"#,##0")&amp;" kg ya no los acepta ninguna cadena: venta intermedia/liquidación. ","")&amp;IF(N(M316)&gt;=Parametros!$B$17,TEXT(M316,"#,##0")&amp;" kg a punto de salir del filtro: despachar primero (FEFO). ","")&amp;IF(Y316="SÍ","Pedidos "&amp;IF(N(U316)&gt;0,"sobre","bajo")&amp;" FCST "&amp;TEXT(ABS(N(U316)),"0%")&amp;": revisar forecast con KAM.","")</f>
        <v/>
      </c>
    </row>
    <row r="317" customFormat="false" ht="15" hidden="false" customHeight="false" outlineLevel="0" collapsed="false">
      <c r="A317" s="18" t="n">
        <f aca="false">Stock_Seguridad!A317</f>
        <v>30001092</v>
      </c>
      <c r="B317" s="18" t="str">
        <f aca="false">Stock_Seguridad!B317</f>
        <v>YOGURT GRIEGO OIKOS CF DZNO 48X150GR</v>
      </c>
      <c r="C317" s="18" t="str">
        <f aca="false">Stock_Seguridad!C317</f>
        <v>YOGURT</v>
      </c>
      <c r="D317" s="18" t="str">
        <f aca="false">Stock_Seguridad!F317</f>
        <v>BX</v>
      </c>
      <c r="E317" s="19" t="str">
        <f aca="false">Stock_Seguridad!X317</f>
        <v>BAJO P.REORDEN</v>
      </c>
      <c r="F317" s="20" t="n">
        <f aca="false">Stock_Seguridad!W317</f>
        <v>1.56536470588235</v>
      </c>
      <c r="G317" s="21" t="n">
        <f aca="false">Stock_Seguridad!T317</f>
        <v>4989.6</v>
      </c>
      <c r="H317" s="21" t="n">
        <f aca="false">Stock_Seguridad!R317</f>
        <v>2796.6488088586</v>
      </c>
      <c r="I317" s="21" t="n">
        <f aca="false">Stock_Seguridad!S317</f>
        <v>5984.1488088586</v>
      </c>
      <c r="J317" s="21" t="n">
        <f aca="false">Stock_Seguridad!U317</f>
        <v>0</v>
      </c>
      <c r="K317" s="22"/>
      <c r="L317" s="23" t="n">
        <v>460.8</v>
      </c>
      <c r="M317" s="23" t="n">
        <v>0</v>
      </c>
      <c r="N317" s="23" t="n">
        <v>460.8</v>
      </c>
      <c r="O317" s="24" t="n">
        <v>0.12368804664723</v>
      </c>
      <c r="P317" s="24" t="n">
        <f aca="false">IF(ISNUMBER(Stock_Seguridad!N317),Stock_Seguridad!N317,"")</f>
        <v>0.298245614035088</v>
      </c>
      <c r="Q317" s="24" t="n">
        <f aca="false">IF(AND(ISNUMBER(O317),ISNUMBER(P317)),P317-O317,"")</f>
        <v>0.174557567387858</v>
      </c>
      <c r="R317" s="23" t="n">
        <f aca="false">MAX(0,G317-N(L317))</f>
        <v>4528.8</v>
      </c>
      <c r="S317" s="23" t="n">
        <f aca="false">SUMIFS(Cadenas_vs_FCST!$D$17:$D$2437,Cadenas_vs_FCST!$A$17:$A$2437,A317)</f>
        <v>9259.2</v>
      </c>
      <c r="T317" s="23" t="n">
        <f aca="false">SUMIFS(Cadenas_vs_FCST!$E$17:$E$2437,Cadenas_vs_FCST!$A$17:$A$2437,A317)</f>
        <v>13907.3445816493</v>
      </c>
      <c r="U317" s="24" t="n">
        <f aca="false">IF(T317&gt;0,S317/T317-1,"")</f>
        <v>-0.334222291995446</v>
      </c>
      <c r="V317" s="3" t="str">
        <f aca="false">IF(OR(E317="BAJO SS",E317="BAJO SS (XLIB CUBRE)"),"SÍ","")</f>
        <v/>
      </c>
      <c r="W317" s="3" t="str">
        <f aca="false">IF(AND(V317="",N(L317)&gt;=Parametros!$B$17,G317&gt;=H317,R317&lt;H317),"SÍ","")</f>
        <v/>
      </c>
      <c r="X317" s="3" t="str">
        <f aca="false">IF(OR(E317="SOBRE MAX VENDIBLE",N(N317)&gt;=Parametros!$B$17,N(M317)&gt;=Parametros!$B$17),"SÍ","")</f>
        <v/>
      </c>
      <c r="Y317" s="3" t="str">
        <f aca="false">IF(AND(ISNUMBER(U317),MAX(S317,T317)&gt;=Parametros!$B$15,ABS(N(U317))&gt;Parametros!$B$14),"SÍ","")</f>
        <v>SÍ</v>
      </c>
      <c r="Z317" s="3" t="n">
        <f aca="false">COUNTIF(V317:Y317,"SÍ")</f>
        <v>1</v>
      </c>
      <c r="AA317" s="3" t="n">
        <f aca="false">(3*(V317="SÍ")+2*(W317="SÍ")+2*(X317="SÍ")+(Y317="SÍ"))*IF(LEFT(D317,1)="A",3,IF(OR(LEFT(D317,1)="B",D317="SIN HIST"),2,1))</f>
        <v>2</v>
      </c>
      <c r="AB317" s="3" t="str">
        <f aca="false">IF(AA317&gt;=9,"1-ALTA",IF(AA317&gt;=4,"2-MEDIA",IF(AA317&gt;0,"3-BAJA","")))</f>
        <v>3-BAJA</v>
      </c>
      <c r="AC317" s="3" t="str">
        <f aca="false">IF(E317="BAJO SS","Stock + XLIB bajo el SS: riesgo real de quiebre, adelantar producción. ","")&amp;IF(E317="BAJO SS (XLIB CUBRE)","Disponible bajo el SS; depende de liberar "&amp;TEXT(J317,"#,##0")&amp;" kg"&amp;IF(ISNUMBER(K317)," el "&amp;TEXT(K317,"dd-mm"),"")&amp;". ","")&amp;IF(W317="SÍ","Stock parece sano pero "&amp;TEXT(L317,"#,##0")&amp;" kg no pasan filtro "&amp;Stock_Seguridad!O317&amp;": sin ellos queda bajo el SS para esa cadena. ","")&amp;IF(E317="SOBRE MAX VENDIBLE","Sobrestock vs vida útil: frenar producción/activar venta. ","")&amp;IF(N(N317)&gt;=Parametros!$B$17,TEXT(N317,"#,##0")&amp;" kg ya no los acepta ninguna cadena: venta intermedia/liquidación. ","")&amp;IF(N(M317)&gt;=Parametros!$B$17,TEXT(M317,"#,##0")&amp;" kg a punto de salir del filtro: despachar primero (FEFO). ","")&amp;IF(Y317="SÍ","Pedidos "&amp;IF(N(U317)&gt;0,"sobre","bajo")&amp;" FCST "&amp;TEXT(ABS(N(U317)),"0%")&amp;": revisar forecast con KAM.","")</f>
        <v>Pedidos bajo FCST 33%: revisar forecast con KAM.</v>
      </c>
    </row>
    <row r="318" customFormat="false" ht="15" hidden="false" customHeight="false" outlineLevel="0" collapsed="false">
      <c r="A318" s="18" t="n">
        <f aca="false">Stock_Seguridad!A318</f>
        <v>30000245</v>
      </c>
      <c r="B318" s="18" t="str">
        <f aca="false">Stock_Seguridad!B318</f>
        <v>NECTAR WATTS MANZANA 12X1LT</v>
      </c>
      <c r="C318" s="18" t="str">
        <f aca="false">Stock_Seguridad!C318</f>
        <v>JUGOS Y NECTARES</v>
      </c>
      <c r="D318" s="18" t="str">
        <f aca="false">Stock_Seguridad!F318</f>
        <v>BX</v>
      </c>
      <c r="E318" s="19" t="str">
        <f aca="false">Stock_Seguridad!X318</f>
        <v>OK</v>
      </c>
      <c r="F318" s="20" t="n">
        <f aca="false">Stock_Seguridad!W318</f>
        <v>10.131240188383</v>
      </c>
      <c r="G318" s="21" t="n">
        <f aca="false">Stock_Seguridad!T318</f>
        <v>32268</v>
      </c>
      <c r="H318" s="21" t="n">
        <f aca="false">Stock_Seguridad!R318</f>
        <v>3499.51584555668</v>
      </c>
      <c r="I318" s="21" t="n">
        <f aca="false">Stock_Seguridad!S318</f>
        <v>6684.51584555668</v>
      </c>
      <c r="J318" s="21" t="n">
        <f aca="false">Stock_Seguridad!U318</f>
        <v>0</v>
      </c>
      <c r="K318" s="22"/>
      <c r="L318" s="23" t="n">
        <v>240</v>
      </c>
      <c r="M318" s="23" t="n">
        <v>10500</v>
      </c>
      <c r="N318" s="23" t="n">
        <v>0</v>
      </c>
      <c r="O318" s="24" t="n">
        <v>0.0619955323901713</v>
      </c>
      <c r="P318" s="24" t="n">
        <f aca="false">IF(ISNUMBER(Stock_Seguridad!N318),Stock_Seguridad!N318,"")</f>
        <v>0.194520547945206</v>
      </c>
      <c r="Q318" s="24" t="n">
        <f aca="false">IF(AND(ISNUMBER(O318),ISNUMBER(P318)),P318-O318,"")</f>
        <v>0.132525015555034</v>
      </c>
      <c r="R318" s="23" t="n">
        <f aca="false">MAX(0,G318-N(L318))</f>
        <v>32028</v>
      </c>
      <c r="S318" s="23" t="n">
        <f aca="false">SUMIFS(Cadenas_vs_FCST!$D$17:$D$2437,Cadenas_vs_FCST!$A$17:$A$2437,A318)</f>
        <v>12408</v>
      </c>
      <c r="T318" s="23" t="n">
        <f aca="false">SUMIFS(Cadenas_vs_FCST!$E$17:$E$2437,Cadenas_vs_FCST!$A$17:$A$2437,A318)</f>
        <v>13608.1168099596</v>
      </c>
      <c r="U318" s="24" t="n">
        <f aca="false">IF(T318&gt;0,S318/T318-1,"")</f>
        <v>-0.0881912484085416</v>
      </c>
      <c r="V318" s="3" t="str">
        <f aca="false">IF(OR(E318="BAJO SS",E318="BAJO SS (XLIB CUBRE)"),"SÍ","")</f>
        <v/>
      </c>
      <c r="W318" s="3" t="str">
        <f aca="false">IF(AND(V318="",N(L318)&gt;=Parametros!$B$17,G318&gt;=H318,R318&lt;H318),"SÍ","")</f>
        <v/>
      </c>
      <c r="X318" s="3" t="str">
        <f aca="false">IF(OR(E318="SOBRE MAX VENDIBLE",N(N318)&gt;=Parametros!$B$17,N(M318)&gt;=Parametros!$B$17),"SÍ","")</f>
        <v>SÍ</v>
      </c>
      <c r="Y318" s="3" t="str">
        <f aca="false">IF(AND(ISNUMBER(U318),MAX(S318,T318)&gt;=Parametros!$B$15,ABS(N(U318))&gt;Parametros!$B$14),"SÍ","")</f>
        <v/>
      </c>
      <c r="Z318" s="3" t="n">
        <f aca="false">COUNTIF(V318:Y318,"SÍ")</f>
        <v>1</v>
      </c>
      <c r="AA318" s="3" t="n">
        <f aca="false">(3*(V318="SÍ")+2*(W318="SÍ")+2*(X318="SÍ")+(Y318="SÍ"))*IF(LEFT(D318,1)="A",3,IF(OR(LEFT(D318,1)="B",D318="SIN HIST"),2,1))</f>
        <v>4</v>
      </c>
      <c r="AB318" s="3" t="str">
        <f aca="false">IF(AA318&gt;=9,"1-ALTA",IF(AA318&gt;=4,"2-MEDIA",IF(AA318&gt;0,"3-BAJA","")))</f>
        <v>2-MEDIA</v>
      </c>
      <c r="AC318" s="3" t="str">
        <f aca="false">IF(E318="BAJO SS","Stock + XLIB bajo el SS: riesgo real de quiebre, adelantar producción. ","")&amp;IF(E318="BAJO SS (XLIB CUBRE)","Disponible bajo el SS; depende de liberar "&amp;TEXT(J318,"#,##0")&amp;" kg"&amp;IF(ISNUMBER(K318)," el "&amp;TEXT(K318,"dd-mm"),"")&amp;". ","")&amp;IF(W318="SÍ","Stock parece sano pero "&amp;TEXT(L318,"#,##0")&amp;" kg no pasan filtro "&amp;Stock_Seguridad!O318&amp;": sin ellos queda bajo el SS para esa cadena. ","")&amp;IF(E318="SOBRE MAX VENDIBLE","Sobrestock vs vida útil: frenar producción/activar venta. ","")&amp;IF(N(N318)&gt;=Parametros!$B$17,TEXT(N318,"#,##0")&amp;" kg ya no los acepta ninguna cadena: venta intermedia/liquidación. ","")&amp;IF(N(M318)&gt;=Parametros!$B$17,TEXT(M318,"#,##0")&amp;" kg a punto de salir del filtro: despachar primero (FEFO). ","")&amp;IF(Y318="SÍ","Pedidos "&amp;IF(N(U318)&gt;0,"sobre","bajo")&amp;" FCST "&amp;TEXT(ABS(N(U318)),"0%")&amp;": revisar forecast con KAM.","")</f>
        <v>10,500 kg a punto de salir del filtro: despachar primero (FEFO). </v>
      </c>
    </row>
    <row r="319" customFormat="false" ht="15" hidden="false" customHeight="false" outlineLevel="0" collapsed="false">
      <c r="A319" s="18" t="n">
        <f aca="false">Stock_Seguridad!A319</f>
        <v>30000642</v>
      </c>
      <c r="B319" s="18" t="str">
        <f aca="false">Stock_Seguridad!B319</f>
        <v>POROTOS GRANADOS WASIL 16X380GR</v>
      </c>
      <c r="C319" s="18" t="str">
        <f aca="false">Stock_Seguridad!C319</f>
        <v>CONSERVAS Y PLATOS LISTOS</v>
      </c>
      <c r="D319" s="18" t="str">
        <f aca="false">Stock_Seguridad!F319</f>
        <v>BX</v>
      </c>
      <c r="E319" s="19" t="str">
        <f aca="false">Stock_Seguridad!X319</f>
        <v>OK</v>
      </c>
      <c r="F319" s="20" t="n">
        <f aca="false">Stock_Seguridad!W319</f>
        <v>28.2432398479947</v>
      </c>
      <c r="G319" s="21" t="n">
        <f aca="false">Stock_Seguridad!T319</f>
        <v>79113</v>
      </c>
      <c r="H319" s="21" t="n">
        <f aca="false">Stock_Seguridad!R319</f>
        <v>796.707343863956</v>
      </c>
      <c r="I319" s="21" t="n">
        <f aca="false">Stock_Seguridad!S319</f>
        <v>3980.80734386396</v>
      </c>
      <c r="J319" s="21" t="n">
        <f aca="false">Stock_Seguridad!U319</f>
        <v>10816.3</v>
      </c>
      <c r="K319" s="22" t="n">
        <v>46321</v>
      </c>
      <c r="L319" s="23" t="n">
        <v>0</v>
      </c>
      <c r="M319" s="23" t="n">
        <v>0</v>
      </c>
      <c r="N319" s="23" t="n">
        <v>0</v>
      </c>
      <c r="O319" s="24" t="n">
        <v>0.10128118450409</v>
      </c>
      <c r="P319" s="24" t="n">
        <f aca="false">IF(ISNUMBER(Stock_Seguridad!N319),Stock_Seguridad!N319,"")</f>
        <v>0.328767123287671</v>
      </c>
      <c r="Q319" s="24" t="n">
        <f aca="false">IF(AND(ISNUMBER(O319),ISNUMBER(P319)),P319-O319,"")</f>
        <v>0.227485938783581</v>
      </c>
      <c r="R319" s="23" t="n">
        <f aca="false">MAX(0,G319-N(L319))</f>
        <v>79113</v>
      </c>
      <c r="S319" s="23" t="n">
        <f aca="false">SUMIFS(Cadenas_vs_FCST!$D$17:$D$2437,Cadenas_vs_FCST!$A$17:$A$2437,A319)</f>
        <v>11083.84</v>
      </c>
      <c r="T319" s="23" t="n">
        <f aca="false">SUMIFS(Cadenas_vs_FCST!$E$17:$E$2437,Cadenas_vs_FCST!$A$17:$A$2437,A319)</f>
        <v>11839.52</v>
      </c>
      <c r="U319" s="24" t="n">
        <f aca="false">IF(T319&gt;0,S319/T319-1,"")</f>
        <v>-0.0638269119018339</v>
      </c>
      <c r="V319" s="3" t="str">
        <f aca="false">IF(OR(E319="BAJO SS",E319="BAJO SS (XLIB CUBRE)"),"SÍ","")</f>
        <v/>
      </c>
      <c r="W319" s="3" t="str">
        <f aca="false">IF(AND(V319="",N(L319)&gt;=Parametros!$B$17,G319&gt;=H319,R319&lt;H319),"SÍ","")</f>
        <v/>
      </c>
      <c r="X319" s="3" t="str">
        <f aca="false">IF(OR(E319="SOBRE MAX VENDIBLE",N(N319)&gt;=Parametros!$B$17,N(M319)&gt;=Parametros!$B$17),"SÍ","")</f>
        <v/>
      </c>
      <c r="Y319" s="3" t="str">
        <f aca="false">IF(AND(ISNUMBER(U319),MAX(S319,T319)&gt;=Parametros!$B$15,ABS(N(U319))&gt;Parametros!$B$14),"SÍ","")</f>
        <v/>
      </c>
      <c r="Z319" s="3" t="n">
        <f aca="false">COUNTIF(V319:Y319,"SÍ")</f>
        <v>0</v>
      </c>
      <c r="AA319" s="3" t="n">
        <f aca="false">(3*(V319="SÍ")+2*(W319="SÍ")+2*(X319="SÍ")+(Y319="SÍ"))*IF(LEFT(D319,1)="A",3,IF(OR(LEFT(D319,1)="B",D319="SIN HIST"),2,1))</f>
        <v>0</v>
      </c>
      <c r="AB319" s="3" t="str">
        <f aca="false">IF(AA319&gt;=9,"1-ALTA",IF(AA319&gt;=4,"2-MEDIA",IF(AA319&gt;0,"3-BAJA","")))</f>
        <v/>
      </c>
      <c r="AC319" s="3" t="str">
        <f aca="false">IF(E319="BAJO SS","Stock + XLIB bajo el SS: riesgo real de quiebre, adelantar producción. ","")&amp;IF(E319="BAJO SS (XLIB CUBRE)","Disponible bajo el SS; depende de liberar "&amp;TEXT(J319,"#,##0")&amp;" kg"&amp;IF(ISNUMBER(K319)," el "&amp;TEXT(K319,"dd-mm"),"")&amp;". ","")&amp;IF(W319="SÍ","Stock parece sano pero "&amp;TEXT(L319,"#,##0")&amp;" kg no pasan filtro "&amp;Stock_Seguridad!O319&amp;": sin ellos queda bajo el SS para esa cadena. ","")&amp;IF(E319="SOBRE MAX VENDIBLE","Sobrestock vs vida útil: frenar producción/activar venta. ","")&amp;IF(N(N319)&gt;=Parametros!$B$17,TEXT(N319,"#,##0")&amp;" kg ya no los acepta ninguna cadena: venta intermedia/liquidación. ","")&amp;IF(N(M319)&gt;=Parametros!$B$17,TEXT(M319,"#,##0")&amp;" kg a punto de salir del filtro: despachar primero (FEFO). ","")&amp;IF(Y319="SÍ","Pedidos "&amp;IF(N(U319)&gt;0,"sobre","bajo")&amp;" FCST "&amp;TEXT(ABS(N(U319)),"0%")&amp;": revisar forecast con KAM.","")</f>
        <v/>
      </c>
    </row>
    <row r="320" customFormat="false" ht="15" hidden="false" customHeight="false" outlineLevel="0" collapsed="false">
      <c r="A320" s="18" t="n">
        <f aca="false">Stock_Seguridad!A320</f>
        <v>30001898</v>
      </c>
      <c r="B320" s="18" t="str">
        <f aca="false">Stock_Seguridad!B320</f>
        <v>JALEA LONCO PROTEIN PIÑA 6X4X100GR</v>
      </c>
      <c r="C320" s="18" t="str">
        <f aca="false">Stock_Seguridad!C320</f>
        <v>POSTRES</v>
      </c>
      <c r="D320" s="18" t="str">
        <f aca="false">Stock_Seguridad!F320</f>
        <v>CX</v>
      </c>
      <c r="E320" s="19" t="str">
        <f aca="false">Stock_Seguridad!X320</f>
        <v>OK</v>
      </c>
      <c r="F320" s="20" t="n">
        <f aca="false">Stock_Seguridad!W320</f>
        <v>2.66481977018731</v>
      </c>
      <c r="G320" s="21" t="n">
        <f aca="false">Stock_Seguridad!T320</f>
        <v>5356.8</v>
      </c>
      <c r="H320" s="21" t="n">
        <f aca="false">Stock_Seguridad!R320</f>
        <v>443.712004275332</v>
      </c>
      <c r="I320" s="21" t="n">
        <f aca="false">Stock_Seguridad!S320</f>
        <v>3620.21200427533</v>
      </c>
      <c r="J320" s="21" t="n">
        <f aca="false">Stock_Seguridad!U320</f>
        <v>3108</v>
      </c>
      <c r="K320" s="22" t="n">
        <v>46318</v>
      </c>
      <c r="L320" s="23" t="n">
        <v>9.6</v>
      </c>
      <c r="M320" s="23" t="n">
        <v>381.6</v>
      </c>
      <c r="N320" s="23" t="n">
        <v>9.6</v>
      </c>
      <c r="O320" s="24" t="n">
        <v>0.0701332577261129</v>
      </c>
      <c r="P320" s="24" t="n">
        <f aca="false">IF(ISNUMBER(Stock_Seguridad!N320),Stock_Seguridad!N320,"")</f>
        <v>0.227272727272727</v>
      </c>
      <c r="Q320" s="24" t="n">
        <f aca="false">IF(AND(ISNUMBER(O320),ISNUMBER(P320)),P320-O320,"")</f>
        <v>0.157139469546614</v>
      </c>
      <c r="R320" s="23" t="n">
        <f aca="false">MAX(0,G320-N(L320))</f>
        <v>5347.2</v>
      </c>
      <c r="S320" s="23" t="n">
        <f aca="false">SUMIFS(Cadenas_vs_FCST!$D$17:$D$2437,Cadenas_vs_FCST!$A$17:$A$2437,A320)</f>
        <v>8911.2</v>
      </c>
      <c r="T320" s="23" t="n">
        <f aca="false">SUMIFS(Cadenas_vs_FCST!$E$17:$E$2437,Cadenas_vs_FCST!$A$17:$A$2437,A320)</f>
        <v>9798.80687767499</v>
      </c>
      <c r="U320" s="24" t="n">
        <f aca="false">IF(T320&gt;0,S320/T320-1,"")</f>
        <v>-0.0905831586187561</v>
      </c>
      <c r="V320" s="3" t="str">
        <f aca="false">IF(OR(E320="BAJO SS",E320="BAJO SS (XLIB CUBRE)"),"SÍ","")</f>
        <v/>
      </c>
      <c r="W320" s="3" t="str">
        <f aca="false">IF(AND(V320="",N(L320)&gt;=Parametros!$B$17,G320&gt;=H320,R320&lt;H320),"SÍ","")</f>
        <v/>
      </c>
      <c r="X320" s="3" t="str">
        <f aca="false">IF(OR(E320="SOBRE MAX VENDIBLE",N(N320)&gt;=Parametros!$B$17,N(M320)&gt;=Parametros!$B$17),"SÍ","")</f>
        <v/>
      </c>
      <c r="Y320" s="3" t="str">
        <f aca="false">IF(AND(ISNUMBER(U320),MAX(S320,T320)&gt;=Parametros!$B$15,ABS(N(U320))&gt;Parametros!$B$14),"SÍ","")</f>
        <v/>
      </c>
      <c r="Z320" s="3" t="n">
        <f aca="false">COUNTIF(V320:Y320,"SÍ")</f>
        <v>0</v>
      </c>
      <c r="AA320" s="3" t="n">
        <f aca="false">(3*(V320="SÍ")+2*(W320="SÍ")+2*(X320="SÍ")+(Y320="SÍ"))*IF(LEFT(D320,1)="A",3,IF(OR(LEFT(D320,1)="B",D320="SIN HIST"),2,1))</f>
        <v>0</v>
      </c>
      <c r="AB320" s="3" t="str">
        <f aca="false">IF(AA320&gt;=9,"1-ALTA",IF(AA320&gt;=4,"2-MEDIA",IF(AA320&gt;0,"3-BAJA","")))</f>
        <v/>
      </c>
      <c r="AC320" s="3" t="str">
        <f aca="false">IF(E320="BAJO SS","Stock + XLIB bajo el SS: riesgo real de quiebre, adelantar producción. ","")&amp;IF(E320="BAJO SS (XLIB CUBRE)","Disponible bajo el SS; depende de liberar "&amp;TEXT(J320,"#,##0")&amp;" kg"&amp;IF(ISNUMBER(K320)," el "&amp;TEXT(K320,"dd-mm"),"")&amp;". ","")&amp;IF(W320="SÍ","Stock parece sano pero "&amp;TEXT(L320,"#,##0")&amp;" kg no pasan filtro "&amp;Stock_Seguridad!O320&amp;": sin ellos queda bajo el SS para esa cadena. ","")&amp;IF(E320="SOBRE MAX VENDIBLE","Sobrestock vs vida útil: frenar producción/activar venta. ","")&amp;IF(N(N320)&gt;=Parametros!$B$17,TEXT(N320,"#,##0")&amp;" kg ya no los acepta ninguna cadena: venta intermedia/liquidación. ","")&amp;IF(N(M320)&gt;=Parametros!$B$17,TEXT(M320,"#,##0")&amp;" kg a punto de salir del filtro: despachar primero (FEFO). ","")&amp;IF(Y320="SÍ","Pedidos "&amp;IF(N(U320)&gt;0,"sobre","bajo")&amp;" FCST "&amp;TEXT(ABS(N(U320)),"0%")&amp;": revisar forecast con KAM.","")</f>
        <v/>
      </c>
    </row>
    <row r="321" customFormat="false" ht="15" hidden="false" customHeight="false" outlineLevel="0" collapsed="false">
      <c r="A321" s="18" t="n">
        <f aca="false">Stock_Seguridad!A321</f>
        <v>30001925</v>
      </c>
      <c r="B321" s="18" t="str">
        <f aca="false">Stock_Seguridad!B321</f>
        <v>LECHE CHOCOLATE LONCOLECHE 30X115ML</v>
      </c>
      <c r="C321" s="18" t="str">
        <f aca="false">Stock_Seguridad!C321</f>
        <v>LECHES LIQUIDAS</v>
      </c>
      <c r="D321" s="18" t="str">
        <f aca="false">Stock_Seguridad!F321</f>
        <v>CZ</v>
      </c>
      <c r="E321" s="19" t="str">
        <f aca="false">Stock_Seguridad!X321</f>
        <v>SOBRE MAX VENDIBLE</v>
      </c>
      <c r="F321" s="20" t="n">
        <f aca="false">Stock_Seguridad!W321</f>
        <v>10.3434273044029</v>
      </c>
      <c r="G321" s="21" t="n">
        <f aca="false">Stock_Seguridad!T321</f>
        <v>32654.2</v>
      </c>
      <c r="H321" s="21" t="n">
        <f aca="false">Stock_Seguridad!R321</f>
        <v>4118.83917522517</v>
      </c>
      <c r="I321" s="21" t="n">
        <f aca="false">Stock_Seguridad!S321</f>
        <v>7275.83917522517</v>
      </c>
      <c r="J321" s="21" t="n">
        <f aca="false">Stock_Seguridad!U321</f>
        <v>0</v>
      </c>
      <c r="K321" s="22"/>
      <c r="L321" s="23" t="n">
        <v>172.5</v>
      </c>
      <c r="M321" s="23" t="n">
        <v>32481.75</v>
      </c>
      <c r="N321" s="23" t="n">
        <v>0</v>
      </c>
      <c r="O321" s="24" t="n">
        <v>0.225452720549393</v>
      </c>
      <c r="P321" s="24" t="n">
        <f aca="false">IF(ISNUMBER(Stock_Seguridad!N321),Stock_Seguridad!N321,"")</f>
        <v>0.266355140186916</v>
      </c>
      <c r="Q321" s="24" t="n">
        <f aca="false">IF(AND(ISNUMBER(O321),ISNUMBER(P321)),P321-O321,"")</f>
        <v>0.0409024196375234</v>
      </c>
      <c r="R321" s="23" t="n">
        <f aca="false">MAX(0,G321-N(L321))</f>
        <v>32481.7</v>
      </c>
      <c r="S321" s="23" t="n">
        <f aca="false">SUMIFS(Cadenas_vs_FCST!$D$17:$D$2437,Cadenas_vs_FCST!$A$17:$A$2437,A321)</f>
        <v>4795.5</v>
      </c>
      <c r="T321" s="23" t="n">
        <f aca="false">SUMIFS(Cadenas_vs_FCST!$E$17:$E$2437,Cadenas_vs_FCST!$A$17:$A$2437,A321)</f>
        <v>12948.4418429878</v>
      </c>
      <c r="U321" s="24" t="n">
        <f aca="false">IF(T321&gt;0,S321/T321-1,"")</f>
        <v>-0.629646558392893</v>
      </c>
      <c r="V321" s="3" t="str">
        <f aca="false">IF(OR(E321="BAJO SS",E321="BAJO SS (XLIB CUBRE)"),"SÍ","")</f>
        <v/>
      </c>
      <c r="W321" s="3" t="str">
        <f aca="false">IF(AND(V321="",N(L321)&gt;=Parametros!$B$17,G321&gt;=H321,R321&lt;H321),"SÍ","")</f>
        <v/>
      </c>
      <c r="X321" s="3" t="str">
        <f aca="false">IF(OR(E321="SOBRE MAX VENDIBLE",N(N321)&gt;=Parametros!$B$17,N(M321)&gt;=Parametros!$B$17),"SÍ","")</f>
        <v>SÍ</v>
      </c>
      <c r="Y321" s="3" t="str">
        <f aca="false">IF(AND(ISNUMBER(U321),MAX(S321,T321)&gt;=Parametros!$B$15,ABS(N(U321))&gt;Parametros!$B$14),"SÍ","")</f>
        <v>SÍ</v>
      </c>
      <c r="Z321" s="3" t="n">
        <f aca="false">COUNTIF(V321:Y321,"SÍ")</f>
        <v>2</v>
      </c>
      <c r="AA321" s="3" t="n">
        <f aca="false">(3*(V321="SÍ")+2*(W321="SÍ")+2*(X321="SÍ")+(Y321="SÍ"))*IF(LEFT(D321,1)="A",3,IF(OR(LEFT(D321,1)="B",D321="SIN HIST"),2,1))</f>
        <v>3</v>
      </c>
      <c r="AB321" s="3" t="str">
        <f aca="false">IF(AA321&gt;=9,"1-ALTA",IF(AA321&gt;=4,"2-MEDIA",IF(AA321&gt;0,"3-BAJA","")))</f>
        <v>3-BAJA</v>
      </c>
      <c r="AC321" s="3" t="str">
        <f aca="false">IF(E321="BAJO SS","Stock + XLIB bajo el SS: riesgo real de quiebre, adelantar producción. ","")&amp;IF(E321="BAJO SS (XLIB CUBRE)","Disponible bajo el SS; depende de liberar "&amp;TEXT(J321,"#,##0")&amp;" kg"&amp;IF(ISNUMBER(K321)," el "&amp;TEXT(K321,"dd-mm"),"")&amp;". ","")&amp;IF(W321="SÍ","Stock parece sano pero "&amp;TEXT(L321,"#,##0")&amp;" kg no pasan filtro "&amp;Stock_Seguridad!O321&amp;": sin ellos queda bajo el SS para esa cadena. ","")&amp;IF(E321="SOBRE MAX VENDIBLE","Sobrestock vs vida útil: frenar producción/activar venta. ","")&amp;IF(N(N321)&gt;=Parametros!$B$17,TEXT(N321,"#,##0")&amp;" kg ya no los acepta ninguna cadena: venta intermedia/liquidación. ","")&amp;IF(N(M321)&gt;=Parametros!$B$17,TEXT(M321,"#,##0")&amp;" kg a punto de salir del filtro: despachar primero (FEFO). ","")&amp;IF(Y321="SÍ","Pedidos "&amp;IF(N(U321)&gt;0,"sobre","bajo")&amp;" FCST "&amp;TEXT(ABS(N(U321)),"0%")&amp;": revisar forecast con KAM.","")</f>
        <v>Sobrestock vs vida útil: frenar producción/activar venta. 32,482 kg a punto de salir del filtro: despachar primero (FEFO). Pedidos bajo FCST 63%: revisar forecast con KAM.</v>
      </c>
    </row>
    <row r="322" customFormat="false" ht="15" hidden="false" customHeight="false" outlineLevel="0" collapsed="false">
      <c r="A322" s="18" t="n">
        <f aca="false">Stock_Seguridad!A322</f>
        <v>30002326</v>
      </c>
      <c r="B322" s="18" t="str">
        <f aca="false">Stock_Seguridad!B322</f>
        <v>CREMA S/L LISTA LONCO 18X250ML</v>
      </c>
      <c r="C322" s="18" t="str">
        <f aca="false">Stock_Seguridad!C322</f>
        <v>CREMA</v>
      </c>
      <c r="D322" s="18" t="str">
        <f aca="false">Stock_Seguridad!F322</f>
        <v>CZ</v>
      </c>
      <c r="E322" s="19" t="str">
        <f aca="false">Stock_Seguridad!X322</f>
        <v>OK</v>
      </c>
      <c r="F322" s="20" t="n">
        <f aca="false">Stock_Seguridad!W322</f>
        <v>3.18096</v>
      </c>
      <c r="G322" s="21" t="n">
        <f aca="false">Stock_Seguridad!T322</f>
        <v>9940.5</v>
      </c>
      <c r="H322" s="21" t="n">
        <f aca="false">Stock_Seguridad!R322</f>
        <v>3811.88779462789</v>
      </c>
      <c r="I322" s="21" t="n">
        <f aca="false">Stock_Seguridad!S322</f>
        <v>6936.88779462789</v>
      </c>
      <c r="J322" s="21" t="n">
        <f aca="false">Stock_Seguridad!U322</f>
        <v>0</v>
      </c>
      <c r="K322" s="22"/>
      <c r="L322" s="23" t="n">
        <v>0</v>
      </c>
      <c r="M322" s="23" t="n">
        <v>0</v>
      </c>
      <c r="N322" s="23" t="n">
        <v>0</v>
      </c>
      <c r="O322" s="24" t="n">
        <v>0.0406382978723404</v>
      </c>
      <c r="P322" s="24" t="str">
        <f aca="false">IF(ISNUMBER(Stock_Seguridad!N322),Stock_Seguridad!N322,"")</f>
        <v/>
      </c>
      <c r="Q322" s="24" t="str">
        <f aca="false">IF(AND(ISNUMBER(O322),ISNUMBER(P322)),P322-O322,"")</f>
        <v/>
      </c>
      <c r="R322" s="23" t="n">
        <f aca="false">MAX(0,G322-N(L322))</f>
        <v>9940.5</v>
      </c>
      <c r="S322" s="23" t="n">
        <f aca="false">SUMIFS(Cadenas_vs_FCST!$D$17:$D$2437,Cadenas_vs_FCST!$A$17:$A$2437,A322)</f>
        <v>10323</v>
      </c>
      <c r="T322" s="23" t="n">
        <f aca="false">SUMIFS(Cadenas_vs_FCST!$E$17:$E$2437,Cadenas_vs_FCST!$A$17:$A$2437,A322)</f>
        <v>6000</v>
      </c>
      <c r="U322" s="24" t="n">
        <f aca="false">IF(T322&gt;0,S322/T322-1,"")</f>
        <v>0.7205</v>
      </c>
      <c r="V322" s="3" t="str">
        <f aca="false">IF(OR(E322="BAJO SS",E322="BAJO SS (XLIB CUBRE)"),"SÍ","")</f>
        <v/>
      </c>
      <c r="W322" s="3" t="str">
        <f aca="false">IF(AND(V322="",N(L322)&gt;=Parametros!$B$17,G322&gt;=H322,R322&lt;H322),"SÍ","")</f>
        <v/>
      </c>
      <c r="X322" s="3" t="str">
        <f aca="false">IF(OR(E322="SOBRE MAX VENDIBLE",N(N322)&gt;=Parametros!$B$17,N(M322)&gt;=Parametros!$B$17),"SÍ","")</f>
        <v/>
      </c>
      <c r="Y322" s="3" t="str">
        <f aca="false">IF(AND(ISNUMBER(U322),MAX(S322,T322)&gt;=Parametros!$B$15,ABS(N(U322))&gt;Parametros!$B$14),"SÍ","")</f>
        <v>SÍ</v>
      </c>
      <c r="Z322" s="3" t="n">
        <f aca="false">COUNTIF(V322:Y322,"SÍ")</f>
        <v>1</v>
      </c>
      <c r="AA322" s="3" t="n">
        <f aca="false">(3*(V322="SÍ")+2*(W322="SÍ")+2*(X322="SÍ")+(Y322="SÍ"))*IF(LEFT(D322,1)="A",3,IF(OR(LEFT(D322,1)="B",D322="SIN HIST"),2,1))</f>
        <v>1</v>
      </c>
      <c r="AB322" s="3" t="str">
        <f aca="false">IF(AA322&gt;=9,"1-ALTA",IF(AA322&gt;=4,"2-MEDIA",IF(AA322&gt;0,"3-BAJA","")))</f>
        <v>3-BAJA</v>
      </c>
      <c r="AC322" s="3" t="str">
        <f aca="false">IF(E322="BAJO SS","Stock + XLIB bajo el SS: riesgo real de quiebre, adelantar producción. ","")&amp;IF(E322="BAJO SS (XLIB CUBRE)","Disponible bajo el SS; depende de liberar "&amp;TEXT(J322,"#,##0")&amp;" kg"&amp;IF(ISNUMBER(K322)," el "&amp;TEXT(K322,"dd-mm"),"")&amp;". ","")&amp;IF(W322="SÍ","Stock parece sano pero "&amp;TEXT(L322,"#,##0")&amp;" kg no pasan filtro "&amp;Stock_Seguridad!O322&amp;": sin ellos queda bajo el SS para esa cadena. ","")&amp;IF(E322="SOBRE MAX VENDIBLE","Sobrestock vs vida útil: frenar producción/activar venta. ","")&amp;IF(N(N322)&gt;=Parametros!$B$17,TEXT(N322,"#,##0")&amp;" kg ya no los acepta ninguna cadena: venta intermedia/liquidación. ","")&amp;IF(N(M322)&gt;=Parametros!$B$17,TEXT(M322,"#,##0")&amp;" kg a punto de salir del filtro: despachar primero (FEFO). ","")&amp;IF(Y322="SÍ","Pedidos "&amp;IF(N(U322)&gt;0,"sobre","bajo")&amp;" FCST "&amp;TEXT(ABS(N(U322)),"0%")&amp;": revisar forecast con KAM.","")</f>
        <v>Pedidos sobre FCST 72%: revisar forecast con KAM.</v>
      </c>
    </row>
    <row r="323" customFormat="false" ht="15" hidden="false" customHeight="false" outlineLevel="0" collapsed="false">
      <c r="A323" s="18" t="n">
        <f aca="false">Stock_Seguridad!A323</f>
        <v>30001752</v>
      </c>
      <c r="B323" s="18" t="str">
        <f aca="false">Stock_Seguridad!B323</f>
        <v>MERMELADA WATTS FRUTAS DEL SUR 24X225GR</v>
      </c>
      <c r="C323" s="18" t="str">
        <f aca="false">Stock_Seguridad!C323</f>
        <v>MERMELADAS</v>
      </c>
      <c r="D323" s="18" t="str">
        <f aca="false">Stock_Seguridad!F323</f>
        <v>BX</v>
      </c>
      <c r="E323" s="19" t="str">
        <f aca="false">Stock_Seguridad!X323</f>
        <v>OK</v>
      </c>
      <c r="F323" s="20" t="n">
        <f aca="false">Stock_Seguridad!W323</f>
        <v>5.21893149366276</v>
      </c>
      <c r="G323" s="21" t="n">
        <f aca="false">Stock_Seguridad!T323</f>
        <v>16264.8</v>
      </c>
      <c r="H323" s="21" t="n">
        <f aca="false">Stock_Seguridad!R323</f>
        <v>1748.85826358084</v>
      </c>
      <c r="I323" s="21" t="n">
        <f aca="false">Stock_Seguridad!S323</f>
        <v>4865.35826358084</v>
      </c>
      <c r="J323" s="21" t="n">
        <f aca="false">Stock_Seguridad!U323</f>
        <v>0</v>
      </c>
      <c r="K323" s="22"/>
      <c r="L323" s="23" t="n">
        <v>48.6</v>
      </c>
      <c r="M323" s="23" t="n">
        <v>0</v>
      </c>
      <c r="N323" s="23" t="n">
        <v>0</v>
      </c>
      <c r="O323" s="24" t="n">
        <v>0.0331156281239587</v>
      </c>
      <c r="P323" s="24" t="n">
        <f aca="false">IF(ISNUMBER(Stock_Seguridad!N323),Stock_Seguridad!N323,"")</f>
        <v>0.32054794520548</v>
      </c>
      <c r="Q323" s="24" t="n">
        <f aca="false">IF(AND(ISNUMBER(O323),ISNUMBER(P323)),P323-O323,"")</f>
        <v>0.287432317081521</v>
      </c>
      <c r="R323" s="23" t="n">
        <f aca="false">MAX(0,G323-N(L323))</f>
        <v>16216.2</v>
      </c>
      <c r="S323" s="23" t="n">
        <f aca="false">SUMIFS(Cadenas_vs_FCST!$D$17:$D$2437,Cadenas_vs_FCST!$A$17:$A$2437,A323)</f>
        <v>9892.8</v>
      </c>
      <c r="T323" s="23" t="n">
        <f aca="false">SUMIFS(Cadenas_vs_FCST!$E$17:$E$2437,Cadenas_vs_FCST!$A$17:$A$2437,A323)</f>
        <v>9406.2</v>
      </c>
      <c r="U323" s="24" t="n">
        <f aca="false">IF(T323&gt;0,S323/T323-1,"")</f>
        <v>0.0517318364482999</v>
      </c>
      <c r="V323" s="3" t="str">
        <f aca="false">IF(OR(E323="BAJO SS",E323="BAJO SS (XLIB CUBRE)"),"SÍ","")</f>
        <v/>
      </c>
      <c r="W323" s="3" t="str">
        <f aca="false">IF(AND(V323="",N(L323)&gt;=Parametros!$B$17,G323&gt;=H323,R323&lt;H323),"SÍ","")</f>
        <v/>
      </c>
      <c r="X323" s="3" t="str">
        <f aca="false">IF(OR(E323="SOBRE MAX VENDIBLE",N(N323)&gt;=Parametros!$B$17,N(M323)&gt;=Parametros!$B$17),"SÍ","")</f>
        <v/>
      </c>
      <c r="Y323" s="3" t="str">
        <f aca="false">IF(AND(ISNUMBER(U323),MAX(S323,T323)&gt;=Parametros!$B$15,ABS(N(U323))&gt;Parametros!$B$14),"SÍ","")</f>
        <v/>
      </c>
      <c r="Z323" s="3" t="n">
        <f aca="false">COUNTIF(V323:Y323,"SÍ")</f>
        <v>0</v>
      </c>
      <c r="AA323" s="3" t="n">
        <f aca="false">(3*(V323="SÍ")+2*(W323="SÍ")+2*(X323="SÍ")+(Y323="SÍ"))*IF(LEFT(D323,1)="A",3,IF(OR(LEFT(D323,1)="B",D323="SIN HIST"),2,1))</f>
        <v>0</v>
      </c>
      <c r="AB323" s="3" t="str">
        <f aca="false">IF(AA323&gt;=9,"1-ALTA",IF(AA323&gt;=4,"2-MEDIA",IF(AA323&gt;0,"3-BAJA","")))</f>
        <v/>
      </c>
      <c r="AC323" s="3" t="str">
        <f aca="false">IF(E323="BAJO SS","Stock + XLIB bajo el SS: riesgo real de quiebre, adelantar producción. ","")&amp;IF(E323="BAJO SS (XLIB CUBRE)","Disponible bajo el SS; depende de liberar "&amp;TEXT(J323,"#,##0")&amp;" kg"&amp;IF(ISNUMBER(K323)," el "&amp;TEXT(K323,"dd-mm"),"")&amp;". ","")&amp;IF(W323="SÍ","Stock parece sano pero "&amp;TEXT(L323,"#,##0")&amp;" kg no pasan filtro "&amp;Stock_Seguridad!O323&amp;": sin ellos queda bajo el SS para esa cadena. ","")&amp;IF(E323="SOBRE MAX VENDIBLE","Sobrestock vs vida útil: frenar producción/activar venta. ","")&amp;IF(N(N323)&gt;=Parametros!$B$17,TEXT(N323,"#,##0")&amp;" kg ya no los acepta ninguna cadena: venta intermedia/liquidación. ","")&amp;IF(N(M323)&gt;=Parametros!$B$17,TEXT(M323,"#,##0")&amp;" kg a punto de salir del filtro: despachar primero (FEFO). ","")&amp;IF(Y323="SÍ","Pedidos "&amp;IF(N(U323)&gt;0,"sobre","bajo")&amp;" FCST "&amp;TEXT(ABS(N(U323)),"0%")&amp;": revisar forecast con KAM.","")</f>
        <v/>
      </c>
    </row>
    <row r="324" customFormat="false" ht="15" hidden="false" customHeight="false" outlineLevel="0" collapsed="false">
      <c r="A324" s="18" t="n">
        <f aca="false">Stock_Seguridad!A324</f>
        <v>30000648</v>
      </c>
      <c r="B324" s="18" t="str">
        <f aca="false">Stock_Seguridad!B324</f>
        <v>CARBONADA WASIL 16X380GR</v>
      </c>
      <c r="C324" s="18" t="str">
        <f aca="false">Stock_Seguridad!C324</f>
        <v>CONSERVAS Y PLATOS LISTOS</v>
      </c>
      <c r="D324" s="18" t="str">
        <f aca="false">Stock_Seguridad!F324</f>
        <v>CX</v>
      </c>
      <c r="E324" s="19" t="str">
        <f aca="false">Stock_Seguridad!X324</f>
        <v>OK</v>
      </c>
      <c r="F324" s="20" t="n">
        <f aca="false">Stock_Seguridad!W324</f>
        <v>14.6549398056999</v>
      </c>
      <c r="G324" s="21" t="n">
        <f aca="false">Stock_Seguridad!T324</f>
        <v>44110.4</v>
      </c>
      <c r="H324" s="21" t="n">
        <f aca="false">Stock_Seguridad!R324</f>
        <v>1067.78489411492</v>
      </c>
      <c r="I324" s="21" t="n">
        <f aca="false">Stock_Seguridad!S324</f>
        <v>4166.08489411492</v>
      </c>
      <c r="J324" s="21" t="n">
        <f aca="false">Stock_Seguridad!U324</f>
        <v>1295</v>
      </c>
      <c r="K324" s="22" t="n">
        <v>45974</v>
      </c>
      <c r="L324" s="23" t="n">
        <v>1295.04</v>
      </c>
      <c r="M324" s="23" t="n">
        <v>0</v>
      </c>
      <c r="N324" s="23" t="n">
        <v>0</v>
      </c>
      <c r="O324" s="24" t="n">
        <v>0.0932217461167649</v>
      </c>
      <c r="P324" s="24" t="n">
        <f aca="false">IF(ISNUMBER(Stock_Seguridad!N324),Stock_Seguridad!N324,"")</f>
        <v>0.328767123287671</v>
      </c>
      <c r="Q324" s="24" t="n">
        <f aca="false">IF(AND(ISNUMBER(O324),ISNUMBER(P324)),P324-O324,"")</f>
        <v>0.235545377170906</v>
      </c>
      <c r="R324" s="23" t="n">
        <f aca="false">MAX(0,G324-N(L324))</f>
        <v>42815.36</v>
      </c>
      <c r="S324" s="23" t="n">
        <f aca="false">SUMIFS(Cadenas_vs_FCST!$D$17:$D$2437,Cadenas_vs_FCST!$A$17:$A$2437,A324)</f>
        <v>9089.6</v>
      </c>
      <c r="T324" s="23" t="n">
        <f aca="false">SUMIFS(Cadenas_vs_FCST!$E$17:$E$2437,Cadenas_vs_FCST!$A$17:$A$2437,A324)</f>
        <v>11081.28</v>
      </c>
      <c r="U324" s="24" t="n">
        <f aca="false">IF(T324&gt;0,S324/T324-1,"")</f>
        <v>-0.179733749169771</v>
      </c>
      <c r="V324" s="3" t="str">
        <f aca="false">IF(OR(E324="BAJO SS",E324="BAJO SS (XLIB CUBRE)"),"SÍ","")</f>
        <v/>
      </c>
      <c r="W324" s="3" t="str">
        <f aca="false">IF(AND(V324="",N(L324)&gt;=Parametros!$B$17,G324&gt;=H324,R324&lt;H324),"SÍ","")</f>
        <v/>
      </c>
      <c r="X324" s="3" t="str">
        <f aca="false">IF(OR(E324="SOBRE MAX VENDIBLE",N(N324)&gt;=Parametros!$B$17,N(M324)&gt;=Parametros!$B$17),"SÍ","")</f>
        <v/>
      </c>
      <c r="Y324" s="3" t="str">
        <f aca="false">IF(AND(ISNUMBER(U324),MAX(S324,T324)&gt;=Parametros!$B$15,ABS(N(U324))&gt;Parametros!$B$14),"SÍ","")</f>
        <v/>
      </c>
      <c r="Z324" s="3" t="n">
        <f aca="false">COUNTIF(V324:Y324,"SÍ")</f>
        <v>0</v>
      </c>
      <c r="AA324" s="3" t="n">
        <f aca="false">(3*(V324="SÍ")+2*(W324="SÍ")+2*(X324="SÍ")+(Y324="SÍ"))*IF(LEFT(D324,1)="A",3,IF(OR(LEFT(D324,1)="B",D324="SIN HIST"),2,1))</f>
        <v>0</v>
      </c>
      <c r="AB324" s="3" t="str">
        <f aca="false">IF(AA324&gt;=9,"1-ALTA",IF(AA324&gt;=4,"2-MEDIA",IF(AA324&gt;0,"3-BAJA","")))</f>
        <v/>
      </c>
      <c r="AC324" s="3" t="str">
        <f aca="false">IF(E324="BAJO SS","Stock + XLIB bajo el SS: riesgo real de quiebre, adelantar producción. ","")&amp;IF(E324="BAJO SS (XLIB CUBRE)","Disponible bajo el SS; depende de liberar "&amp;TEXT(J324,"#,##0")&amp;" kg"&amp;IF(ISNUMBER(K324)," el "&amp;TEXT(K324,"dd-mm"),"")&amp;". ","")&amp;IF(W324="SÍ","Stock parece sano pero "&amp;TEXT(L324,"#,##0")&amp;" kg no pasan filtro "&amp;Stock_Seguridad!O324&amp;": sin ellos queda bajo el SS para esa cadena. ","")&amp;IF(E324="SOBRE MAX VENDIBLE","Sobrestock vs vida útil: frenar producción/activar venta. ","")&amp;IF(N(N324)&gt;=Parametros!$B$17,TEXT(N324,"#,##0")&amp;" kg ya no los acepta ninguna cadena: venta intermedia/liquidación. ","")&amp;IF(N(M324)&gt;=Parametros!$B$17,TEXT(M324,"#,##0")&amp;" kg a punto de salir del filtro: despachar primero (FEFO). ","")&amp;IF(Y324="SÍ","Pedidos "&amp;IF(N(U324)&gt;0,"sobre","bajo")&amp;" FCST "&amp;TEXT(ABS(N(U324)),"0%")&amp;": revisar forecast con KAM.","")</f>
        <v/>
      </c>
    </row>
    <row r="325" customFormat="false" ht="15" hidden="false" customHeight="false" outlineLevel="0" collapsed="false">
      <c r="A325" s="18" t="n">
        <f aca="false">Stock_Seguridad!A325</f>
        <v>30001976</v>
      </c>
      <c r="B325" s="18" t="str">
        <f aca="false">Stock_Seguridad!B325</f>
        <v>BEBIDA LONCOLECHE VEGETAL SOYA 6X1LT</v>
      </c>
      <c r="C325" s="18" t="str">
        <f aca="false">Stock_Seguridad!C325</f>
        <v>LECHES LIQUIDAS</v>
      </c>
      <c r="D325" s="18" t="str">
        <f aca="false">Stock_Seguridad!F325</f>
        <v>BX</v>
      </c>
      <c r="E325" s="19" t="str">
        <f aca="false">Stock_Seguridad!X325</f>
        <v>OK</v>
      </c>
      <c r="F325" s="20" t="n">
        <f aca="false">Stock_Seguridad!W325</f>
        <v>6.47484830690938</v>
      </c>
      <c r="G325" s="21" t="n">
        <f aca="false">Stock_Seguridad!T325</f>
        <v>19848</v>
      </c>
      <c r="H325" s="21" t="n">
        <f aca="false">Stock_Seguridad!R325</f>
        <v>2767.53913163879</v>
      </c>
      <c r="I325" s="21" t="n">
        <f aca="false">Stock_Seguridad!S325</f>
        <v>5832.93913163879</v>
      </c>
      <c r="J325" s="21" t="n">
        <f aca="false">Stock_Seguridad!U325</f>
        <v>0</v>
      </c>
      <c r="K325" s="22"/>
      <c r="L325" s="23" t="n">
        <v>6</v>
      </c>
      <c r="M325" s="23" t="n">
        <v>0</v>
      </c>
      <c r="N325" s="23" t="n">
        <v>6</v>
      </c>
      <c r="O325" s="24" t="n">
        <v>0.311995766555791</v>
      </c>
      <c r="P325" s="24" t="n">
        <f aca="false">IF(ISNUMBER(Stock_Seguridad!N325),Stock_Seguridad!N325,"")</f>
        <v>0.498630136986301</v>
      </c>
      <c r="Q325" s="24" t="n">
        <f aca="false">IF(AND(ISNUMBER(O325),ISNUMBER(P325)),P325-O325,"")</f>
        <v>0.186634370430511</v>
      </c>
      <c r="R325" s="23" t="n">
        <f aca="false">MAX(0,G325-N(L325))</f>
        <v>19842</v>
      </c>
      <c r="S325" s="23" t="n">
        <f aca="false">SUMIFS(Cadenas_vs_FCST!$D$17:$D$2437,Cadenas_vs_FCST!$A$17:$A$2437,A325)</f>
        <v>13212</v>
      </c>
      <c r="T325" s="23" t="n">
        <f aca="false">SUMIFS(Cadenas_vs_FCST!$E$17:$E$2437,Cadenas_vs_FCST!$A$17:$A$2437,A325)</f>
        <v>11500.6778794002</v>
      </c>
      <c r="U325" s="24" t="n">
        <f aca="false">IF(T325&gt;0,S325/T325-1,"")</f>
        <v>0.148801847903688</v>
      </c>
      <c r="V325" s="3" t="str">
        <f aca="false">IF(OR(E325="BAJO SS",E325="BAJO SS (XLIB CUBRE)"),"SÍ","")</f>
        <v/>
      </c>
      <c r="W325" s="3" t="str">
        <f aca="false">IF(AND(V325="",N(L325)&gt;=Parametros!$B$17,G325&gt;=H325,R325&lt;H325),"SÍ","")</f>
        <v/>
      </c>
      <c r="X325" s="3" t="str">
        <f aca="false">IF(OR(E325="SOBRE MAX VENDIBLE",N(N325)&gt;=Parametros!$B$17,N(M325)&gt;=Parametros!$B$17),"SÍ","")</f>
        <v/>
      </c>
      <c r="Y325" s="3" t="str">
        <f aca="false">IF(AND(ISNUMBER(U325),MAX(S325,T325)&gt;=Parametros!$B$15,ABS(N(U325))&gt;Parametros!$B$14),"SÍ","")</f>
        <v/>
      </c>
      <c r="Z325" s="3" t="n">
        <f aca="false">COUNTIF(V325:Y325,"SÍ")</f>
        <v>0</v>
      </c>
      <c r="AA325" s="3" t="n">
        <f aca="false">(3*(V325="SÍ")+2*(W325="SÍ")+2*(X325="SÍ")+(Y325="SÍ"))*IF(LEFT(D325,1)="A",3,IF(OR(LEFT(D325,1)="B",D325="SIN HIST"),2,1))</f>
        <v>0</v>
      </c>
      <c r="AB325" s="3" t="str">
        <f aca="false">IF(AA325&gt;=9,"1-ALTA",IF(AA325&gt;=4,"2-MEDIA",IF(AA325&gt;0,"3-BAJA","")))</f>
        <v/>
      </c>
      <c r="AC325" s="3" t="str">
        <f aca="false">IF(E325="BAJO SS","Stock + XLIB bajo el SS: riesgo real de quiebre, adelantar producción. ","")&amp;IF(E325="BAJO SS (XLIB CUBRE)","Disponible bajo el SS; depende de liberar "&amp;TEXT(J325,"#,##0")&amp;" kg"&amp;IF(ISNUMBER(K325)," el "&amp;TEXT(K325,"dd-mm"),"")&amp;". ","")&amp;IF(W325="SÍ","Stock parece sano pero "&amp;TEXT(L325,"#,##0")&amp;" kg no pasan filtro "&amp;Stock_Seguridad!O325&amp;": sin ellos queda bajo el SS para esa cadena. ","")&amp;IF(E325="SOBRE MAX VENDIBLE","Sobrestock vs vida útil: frenar producción/activar venta. ","")&amp;IF(N(N325)&gt;=Parametros!$B$17,TEXT(N325,"#,##0")&amp;" kg ya no los acepta ninguna cadena: venta intermedia/liquidación. ","")&amp;IF(N(M325)&gt;=Parametros!$B$17,TEXT(M325,"#,##0")&amp;" kg a punto de salir del filtro: despachar primero (FEFO). ","")&amp;IF(Y325="SÍ","Pedidos "&amp;IF(N(U325)&gt;0,"sobre","bajo")&amp;" FCST "&amp;TEXT(ABS(N(U325)),"0%")&amp;": revisar forecast con KAM.","")</f>
        <v/>
      </c>
    </row>
    <row r="326" customFormat="false" ht="15" hidden="false" customHeight="false" outlineLevel="0" collapsed="false">
      <c r="A326" s="18" t="n">
        <f aca="false">Stock_Seguridad!A326</f>
        <v>30002229</v>
      </c>
      <c r="B326" s="18" t="str">
        <f aca="false">Stock_Seguridad!B326</f>
        <v>NECTAR WATTS DURAZNO 5X10X115ML</v>
      </c>
      <c r="C326" s="18" t="str">
        <f aca="false">Stock_Seguridad!C326</f>
        <v>JUGOS Y NECTARES</v>
      </c>
      <c r="D326" s="18" t="str">
        <f aca="false">Stock_Seguridad!F326</f>
        <v>BY</v>
      </c>
      <c r="E326" s="19" t="str">
        <f aca="false">Stock_Seguridad!X326</f>
        <v>SOBRE MAX VENDIBLE</v>
      </c>
      <c r="F326" s="20" t="n">
        <f aca="false">Stock_Seguridad!W326</f>
        <v>29.8207435627956</v>
      </c>
      <c r="G326" s="21" t="n">
        <f aca="false">Stock_Seguridad!T326</f>
        <v>90798.2</v>
      </c>
      <c r="H326" s="21" t="n">
        <f aca="false">Stock_Seguridad!R326</f>
        <v>6474.61041014457</v>
      </c>
      <c r="I326" s="21" t="n">
        <f aca="false">Stock_Seguridad!S326</f>
        <v>9519.41041014457</v>
      </c>
      <c r="J326" s="21" t="n">
        <f aca="false">Stock_Seguridad!U326</f>
        <v>0</v>
      </c>
      <c r="K326" s="22"/>
      <c r="L326" s="23" t="n">
        <v>1150</v>
      </c>
      <c r="M326" s="23" t="n">
        <v>1196</v>
      </c>
      <c r="N326" s="23" t="n">
        <v>1150</v>
      </c>
      <c r="O326" s="24" t="n">
        <v>0.0659958204040276</v>
      </c>
      <c r="P326" s="24" t="n">
        <f aca="false">IF(ISNUMBER(Stock_Seguridad!N326),Stock_Seguridad!N326,"")</f>
        <v>0.273972602739726</v>
      </c>
      <c r="Q326" s="24" t="n">
        <f aca="false">IF(AND(ISNUMBER(O326),ISNUMBER(P326)),P326-O326,"")</f>
        <v>0.207976782335698</v>
      </c>
      <c r="R326" s="23" t="n">
        <f aca="false">MAX(0,G326-N(L326))</f>
        <v>89648.2</v>
      </c>
      <c r="S326" s="23" t="n">
        <f aca="false">SUMIFS(Cadenas_vs_FCST!$D$17:$D$2437,Cadenas_vs_FCST!$A$17:$A$2437,A326)</f>
        <v>35765</v>
      </c>
      <c r="T326" s="23" t="n">
        <f aca="false">SUMIFS(Cadenas_vs_FCST!$E$17:$E$2437,Cadenas_vs_FCST!$A$17:$A$2437,A326)</f>
        <v>23418.8333333333</v>
      </c>
      <c r="U326" s="24" t="n">
        <f aca="false">IF(T326&gt;0,S326/T326-1,"")</f>
        <v>0.527189655049711</v>
      </c>
      <c r="V326" s="3" t="str">
        <f aca="false">IF(OR(E326="BAJO SS",E326="BAJO SS (XLIB CUBRE)"),"SÍ","")</f>
        <v/>
      </c>
      <c r="W326" s="3" t="str">
        <f aca="false">IF(AND(V326="",N(L326)&gt;=Parametros!$B$17,G326&gt;=H326,R326&lt;H326),"SÍ","")</f>
        <v/>
      </c>
      <c r="X326" s="3" t="str">
        <f aca="false">IF(OR(E326="SOBRE MAX VENDIBLE",N(N326)&gt;=Parametros!$B$17,N(M326)&gt;=Parametros!$B$17),"SÍ","")</f>
        <v>SÍ</v>
      </c>
      <c r="Y326" s="3" t="str">
        <f aca="false">IF(AND(ISNUMBER(U326),MAX(S326,T326)&gt;=Parametros!$B$15,ABS(N(U326))&gt;Parametros!$B$14),"SÍ","")</f>
        <v>SÍ</v>
      </c>
      <c r="Z326" s="3" t="n">
        <f aca="false">COUNTIF(V326:Y326,"SÍ")</f>
        <v>2</v>
      </c>
      <c r="AA326" s="3" t="n">
        <f aca="false">(3*(V326="SÍ")+2*(W326="SÍ")+2*(X326="SÍ")+(Y326="SÍ"))*IF(LEFT(D326,1)="A",3,IF(OR(LEFT(D326,1)="B",D326="SIN HIST"),2,1))</f>
        <v>6</v>
      </c>
      <c r="AB326" s="3" t="str">
        <f aca="false">IF(AA326&gt;=9,"1-ALTA",IF(AA326&gt;=4,"2-MEDIA",IF(AA326&gt;0,"3-BAJA","")))</f>
        <v>2-MEDIA</v>
      </c>
      <c r="AC326" s="3" t="str">
        <f aca="false">IF(E326="BAJO SS","Stock + XLIB bajo el SS: riesgo real de quiebre, adelantar producción. ","")&amp;IF(E326="BAJO SS (XLIB CUBRE)","Disponible bajo el SS; depende de liberar "&amp;TEXT(J326,"#,##0")&amp;" kg"&amp;IF(ISNUMBER(K326)," el "&amp;TEXT(K326,"dd-mm"),"")&amp;". ","")&amp;IF(W326="SÍ","Stock parece sano pero "&amp;TEXT(L326,"#,##0")&amp;" kg no pasan filtro "&amp;Stock_Seguridad!O326&amp;": sin ellos queda bajo el SS para esa cadena. ","")&amp;IF(E326="SOBRE MAX VENDIBLE","Sobrestock vs vida útil: frenar producción/activar venta. ","")&amp;IF(N(N326)&gt;=Parametros!$B$17,TEXT(N326,"#,##0")&amp;" kg ya no los acepta ninguna cadena: venta intermedia/liquidación. ","")&amp;IF(N(M326)&gt;=Parametros!$B$17,TEXT(M326,"#,##0")&amp;" kg a punto de salir del filtro: despachar primero (FEFO). ","")&amp;IF(Y326="SÍ","Pedidos "&amp;IF(N(U326)&gt;0,"sobre","bajo")&amp;" FCST "&amp;TEXT(ABS(N(U326)),"0%")&amp;": revisar forecast con KAM.","")</f>
        <v>Sobrestock vs vida útil: frenar producción/activar venta. 1,150 kg ya no los acepta ninguna cadena: venta intermedia/liquidación. 1,196 kg a punto de salir del filtro: despachar primero (FEFO). Pedidos sobre FCST 53%: revisar forecast con KAM.</v>
      </c>
    </row>
    <row r="327" customFormat="false" ht="15" hidden="false" customHeight="false" outlineLevel="0" collapsed="false">
      <c r="A327" s="18" t="n">
        <f aca="false">Stock_Seguridad!A327</f>
        <v>30001048</v>
      </c>
      <c r="B327" s="18" t="str">
        <f aca="false">Stock_Seguridad!B327</f>
        <v>PROBIOTICO CALAN MORA UNV BOT 8X6X90G</v>
      </c>
      <c r="C327" s="18" t="str">
        <f aca="false">Stock_Seguridad!C327</f>
        <v>LECHES LIQUIDAS</v>
      </c>
      <c r="D327" s="18" t="str">
        <f aca="false">Stock_Seguridad!F327</f>
        <v>BX</v>
      </c>
      <c r="E327" s="19" t="str">
        <f aca="false">Stock_Seguridad!X327</f>
        <v>OK</v>
      </c>
      <c r="F327" s="20" t="n">
        <f aca="false">Stock_Seguridad!W327</f>
        <v>2.04851752021563</v>
      </c>
      <c r="G327" s="21" t="n">
        <f aca="false">Stock_Seguridad!T327</f>
        <v>2764.8</v>
      </c>
      <c r="H327" s="21" t="n">
        <f aca="false">Stock_Seguridad!R327</f>
        <v>1516.97071702961</v>
      </c>
      <c r="I327" s="21" t="n">
        <f aca="false">Stock_Seguridad!S327</f>
        <v>4522.07071702961</v>
      </c>
      <c r="J327" s="21" t="n">
        <f aca="false">Stock_Seguridad!U327</f>
        <v>3391.2</v>
      </c>
      <c r="K327" s="22" t="n">
        <v>46319</v>
      </c>
      <c r="L327" s="23" t="n">
        <v>730.08</v>
      </c>
      <c r="M327" s="23" t="n">
        <v>557.28</v>
      </c>
      <c r="N327" s="23" t="n">
        <v>69.12</v>
      </c>
      <c r="O327" s="24" t="n">
        <v>0.0889071428571429</v>
      </c>
      <c r="P327" s="24" t="n">
        <f aca="false">IF(ISNUMBER(Stock_Seguridad!N327),Stock_Seguridad!N327,"")</f>
        <v>0.232876712328767</v>
      </c>
      <c r="Q327" s="24" t="n">
        <f aca="false">IF(AND(ISNUMBER(O327),ISNUMBER(P327)),P327-O327,"")</f>
        <v>0.143969569471624</v>
      </c>
      <c r="R327" s="23" t="n">
        <f aca="false">MAX(0,G327-N(L327))</f>
        <v>2034.72</v>
      </c>
      <c r="S327" s="23" t="n">
        <f aca="false">SUMIFS(Cadenas_vs_FCST!$D$17:$D$2437,Cadenas_vs_FCST!$A$17:$A$2437,A327)</f>
        <v>10946.88</v>
      </c>
      <c r="T327" s="23" t="n">
        <f aca="false">SUMIFS(Cadenas_vs_FCST!$E$17:$E$2437,Cadenas_vs_FCST!$A$17:$A$2437,A327)</f>
        <v>12894.3677938487</v>
      </c>
      <c r="U327" s="24" t="n">
        <f aca="false">IF(T327&gt;0,S327/T327-1,"")</f>
        <v>-0.151033988248554</v>
      </c>
      <c r="V327" s="3" t="str">
        <f aca="false">IF(OR(E327="BAJO SS",E327="BAJO SS (XLIB CUBRE)"),"SÍ","")</f>
        <v/>
      </c>
      <c r="W327" s="3" t="str">
        <f aca="false">IF(AND(V327="",N(L327)&gt;=Parametros!$B$17,G327&gt;=H327,R327&lt;H327),"SÍ","")</f>
        <v/>
      </c>
      <c r="X327" s="3" t="str">
        <f aca="false">IF(OR(E327="SOBRE MAX VENDIBLE",N(N327)&gt;=Parametros!$B$17,N(M327)&gt;=Parametros!$B$17),"SÍ","")</f>
        <v>SÍ</v>
      </c>
      <c r="Y327" s="3" t="str">
        <f aca="false">IF(AND(ISNUMBER(U327),MAX(S327,T327)&gt;=Parametros!$B$15,ABS(N(U327))&gt;Parametros!$B$14),"SÍ","")</f>
        <v/>
      </c>
      <c r="Z327" s="3" t="n">
        <f aca="false">COUNTIF(V327:Y327,"SÍ")</f>
        <v>1</v>
      </c>
      <c r="AA327" s="3" t="n">
        <f aca="false">(3*(V327="SÍ")+2*(W327="SÍ")+2*(X327="SÍ")+(Y327="SÍ"))*IF(LEFT(D327,1)="A",3,IF(OR(LEFT(D327,1)="B",D327="SIN HIST"),2,1))</f>
        <v>4</v>
      </c>
      <c r="AB327" s="3" t="str">
        <f aca="false">IF(AA327&gt;=9,"1-ALTA",IF(AA327&gt;=4,"2-MEDIA",IF(AA327&gt;0,"3-BAJA","")))</f>
        <v>2-MEDIA</v>
      </c>
      <c r="AC327" s="3" t="str">
        <f aca="false">IF(E327="BAJO SS","Stock + XLIB bajo el SS: riesgo real de quiebre, adelantar producción. ","")&amp;IF(E327="BAJO SS (XLIB CUBRE)","Disponible bajo el SS; depende de liberar "&amp;TEXT(J327,"#,##0")&amp;" kg"&amp;IF(ISNUMBER(K327)," el "&amp;TEXT(K327,"dd-mm"),"")&amp;". ","")&amp;IF(W327="SÍ","Stock parece sano pero "&amp;TEXT(L327,"#,##0")&amp;" kg no pasan filtro "&amp;Stock_Seguridad!O327&amp;": sin ellos queda bajo el SS para esa cadena. ","")&amp;IF(E327="SOBRE MAX VENDIBLE","Sobrestock vs vida útil: frenar producción/activar venta. ","")&amp;IF(N(N327)&gt;=Parametros!$B$17,TEXT(N327,"#,##0")&amp;" kg ya no los acepta ninguna cadena: venta intermedia/liquidación. ","")&amp;IF(N(M327)&gt;=Parametros!$B$17,TEXT(M327,"#,##0")&amp;" kg a punto de salir del filtro: despachar primero (FEFO). ","")&amp;IF(Y327="SÍ","Pedidos "&amp;IF(N(U327)&gt;0,"sobre","bajo")&amp;" FCST "&amp;TEXT(ABS(N(U327)),"0%")&amp;": revisar forecast con KAM.","")</f>
        <v>557 kg a punto de salir del filtro: despachar primero (FEFO). </v>
      </c>
    </row>
    <row r="328" customFormat="false" ht="15" hidden="false" customHeight="false" outlineLevel="0" collapsed="false">
      <c r="A328" s="18" t="n">
        <f aca="false">Stock_Seguridad!A328</f>
        <v>30000248</v>
      </c>
      <c r="B328" s="18" t="str">
        <f aca="false">Stock_Seguridad!B328</f>
        <v>NECTAR WATTS PIÑA 12X1LT</v>
      </c>
      <c r="C328" s="18" t="str">
        <f aca="false">Stock_Seguridad!C328</f>
        <v>JUGOS Y NECTARES</v>
      </c>
      <c r="D328" s="18" t="str">
        <f aca="false">Stock_Seguridad!F328</f>
        <v>BX</v>
      </c>
      <c r="E328" s="19" t="str">
        <f aca="false">Stock_Seguridad!X328</f>
        <v>OK</v>
      </c>
      <c r="F328" s="20" t="n">
        <f aca="false">Stock_Seguridad!W328</f>
        <v>6.05513784461153</v>
      </c>
      <c r="G328" s="21" t="n">
        <f aca="false">Stock_Seguridad!T328</f>
        <v>18120</v>
      </c>
      <c r="H328" s="21" t="n">
        <f aca="false">Stock_Seguridad!R328</f>
        <v>1351.79738291706</v>
      </c>
      <c r="I328" s="21" t="n">
        <f aca="false">Stock_Seguridad!S328</f>
        <v>4344.29738291706</v>
      </c>
      <c r="J328" s="21" t="n">
        <f aca="false">Stock_Seguridad!U328</f>
        <v>0</v>
      </c>
      <c r="K328" s="22"/>
      <c r="L328" s="23" t="n">
        <v>0</v>
      </c>
      <c r="M328" s="23" t="n">
        <v>1308</v>
      </c>
      <c r="N328" s="23" t="n">
        <v>0</v>
      </c>
      <c r="O328" s="24" t="n">
        <v>0.0286852589641434</v>
      </c>
      <c r="P328" s="24" t="n">
        <f aca="false">IF(ISNUMBER(Stock_Seguridad!N328),Stock_Seguridad!N328,"")</f>
        <v>0.194520547945206</v>
      </c>
      <c r="Q328" s="24" t="n">
        <f aca="false">IF(AND(ISNUMBER(O328),ISNUMBER(P328)),P328-O328,"")</f>
        <v>0.165835288981062</v>
      </c>
      <c r="R328" s="23" t="n">
        <f aca="false">MAX(0,G328-N(L328))</f>
        <v>18120</v>
      </c>
      <c r="S328" s="23" t="n">
        <f aca="false">SUMIFS(Cadenas_vs_FCST!$D$17:$D$2437,Cadenas_vs_FCST!$A$17:$A$2437,A328)</f>
        <v>12024</v>
      </c>
      <c r="T328" s="23" t="n">
        <f aca="false">SUMIFS(Cadenas_vs_FCST!$E$17:$E$2437,Cadenas_vs_FCST!$A$17:$A$2437,A328)</f>
        <v>13236.5631548566</v>
      </c>
      <c r="U328" s="24" t="n">
        <f aca="false">IF(T328&gt;0,S328/T328-1,"")</f>
        <v>-0.0916070992651645</v>
      </c>
      <c r="V328" s="3" t="str">
        <f aca="false">IF(OR(E328="BAJO SS",E328="BAJO SS (XLIB CUBRE)"),"SÍ","")</f>
        <v/>
      </c>
      <c r="W328" s="3" t="str">
        <f aca="false">IF(AND(V328="",N(L328)&gt;=Parametros!$B$17,G328&gt;=H328,R328&lt;H328),"SÍ","")</f>
        <v/>
      </c>
      <c r="X328" s="3" t="str">
        <f aca="false">IF(OR(E328="SOBRE MAX VENDIBLE",N(N328)&gt;=Parametros!$B$17,N(M328)&gt;=Parametros!$B$17),"SÍ","")</f>
        <v>SÍ</v>
      </c>
      <c r="Y328" s="3" t="str">
        <f aca="false">IF(AND(ISNUMBER(U328),MAX(S328,T328)&gt;=Parametros!$B$15,ABS(N(U328))&gt;Parametros!$B$14),"SÍ","")</f>
        <v/>
      </c>
      <c r="Z328" s="3" t="n">
        <f aca="false">COUNTIF(V328:Y328,"SÍ")</f>
        <v>1</v>
      </c>
      <c r="AA328" s="3" t="n">
        <f aca="false">(3*(V328="SÍ")+2*(W328="SÍ")+2*(X328="SÍ")+(Y328="SÍ"))*IF(LEFT(D328,1)="A",3,IF(OR(LEFT(D328,1)="B",D328="SIN HIST"),2,1))</f>
        <v>4</v>
      </c>
      <c r="AB328" s="3" t="str">
        <f aca="false">IF(AA328&gt;=9,"1-ALTA",IF(AA328&gt;=4,"2-MEDIA",IF(AA328&gt;0,"3-BAJA","")))</f>
        <v>2-MEDIA</v>
      </c>
      <c r="AC328" s="3" t="str">
        <f aca="false">IF(E328="BAJO SS","Stock + XLIB bajo el SS: riesgo real de quiebre, adelantar producción. ","")&amp;IF(E328="BAJO SS (XLIB CUBRE)","Disponible bajo el SS; depende de liberar "&amp;TEXT(J328,"#,##0")&amp;" kg"&amp;IF(ISNUMBER(K328)," el "&amp;TEXT(K328,"dd-mm"),"")&amp;". ","")&amp;IF(W328="SÍ","Stock parece sano pero "&amp;TEXT(L328,"#,##0")&amp;" kg no pasan filtro "&amp;Stock_Seguridad!O328&amp;": sin ellos queda bajo el SS para esa cadena. ","")&amp;IF(E328="SOBRE MAX VENDIBLE","Sobrestock vs vida útil: frenar producción/activar venta. ","")&amp;IF(N(N328)&gt;=Parametros!$B$17,TEXT(N328,"#,##0")&amp;" kg ya no los acepta ninguna cadena: venta intermedia/liquidación. ","")&amp;IF(N(M328)&gt;=Parametros!$B$17,TEXT(M328,"#,##0")&amp;" kg a punto de salir del filtro: despachar primero (FEFO). ","")&amp;IF(Y328="SÍ","Pedidos "&amp;IF(N(U328)&gt;0,"sobre","bajo")&amp;" FCST "&amp;TEXT(ABS(N(U328)),"0%")&amp;": revisar forecast con KAM.","")</f>
        <v>1,308 kg a punto de salir del filtro: despachar primero (FEFO). </v>
      </c>
    </row>
    <row r="329" customFormat="false" ht="15" hidden="false" customHeight="false" outlineLevel="0" collapsed="false">
      <c r="A329" s="18" t="n">
        <f aca="false">Stock_Seguridad!A329</f>
        <v>30001683</v>
      </c>
      <c r="B329" s="18" t="str">
        <f aca="false">Stock_Seguridad!B329</f>
        <v>DAMASCOS MITADES WASIL 16X500GR</v>
      </c>
      <c r="C329" s="18" t="str">
        <f aca="false">Stock_Seguridad!C329</f>
        <v>CONSERVAS Y PLATOS LISTOS</v>
      </c>
      <c r="D329" s="18" t="str">
        <f aca="false">Stock_Seguridad!F329</f>
        <v>BX</v>
      </c>
      <c r="E329" s="19" t="str">
        <f aca="false">Stock_Seguridad!X329</f>
        <v>OK</v>
      </c>
      <c r="F329" s="20" t="n">
        <f aca="false">Stock_Seguridad!W329</f>
        <v>12.7916298661594</v>
      </c>
      <c r="G329" s="21" t="n">
        <f aca="false">Stock_Seguridad!T329</f>
        <v>37656</v>
      </c>
      <c r="H329" s="21" t="n">
        <f aca="false">Stock_Seguridad!R329</f>
        <v>2221.27845010169</v>
      </c>
      <c r="I329" s="21" t="n">
        <f aca="false">Stock_Seguridad!S329</f>
        <v>5165.07845010169</v>
      </c>
      <c r="J329" s="21" t="n">
        <f aca="false">Stock_Seguridad!U329</f>
        <v>0</v>
      </c>
      <c r="K329" s="22"/>
      <c r="L329" s="23" t="n">
        <v>0</v>
      </c>
      <c r="M329" s="23" t="n">
        <v>37656</v>
      </c>
      <c r="N329" s="23" t="n">
        <v>0</v>
      </c>
      <c r="O329" s="24" t="n">
        <v>0.440112598257914</v>
      </c>
      <c r="P329" s="24" t="n">
        <f aca="false">IF(ISNUMBER(Stock_Seguridad!N329),Stock_Seguridad!N329,"")</f>
        <v>0.456164383561644</v>
      </c>
      <c r="Q329" s="24" t="n">
        <f aca="false">IF(AND(ISNUMBER(O329),ISNUMBER(P329)),P329-O329,"")</f>
        <v>0.01605178530373</v>
      </c>
      <c r="R329" s="23" t="n">
        <f aca="false">MAX(0,G329-N(L329))</f>
        <v>37656</v>
      </c>
      <c r="S329" s="23" t="n">
        <f aca="false">SUMIFS(Cadenas_vs_FCST!$D$17:$D$2437,Cadenas_vs_FCST!$A$17:$A$2437,A329)</f>
        <v>9280</v>
      </c>
      <c r="T329" s="23" t="n">
        <f aca="false">SUMIFS(Cadenas_vs_FCST!$E$17:$E$2437,Cadenas_vs_FCST!$A$17:$A$2437,A329)</f>
        <v>11620</v>
      </c>
      <c r="U329" s="24" t="n">
        <f aca="false">IF(T329&gt;0,S329/T329-1,"")</f>
        <v>-0.201376936316695</v>
      </c>
      <c r="V329" s="3" t="str">
        <f aca="false">IF(OR(E329="BAJO SS",E329="BAJO SS (XLIB CUBRE)"),"SÍ","")</f>
        <v/>
      </c>
      <c r="W329" s="3" t="str">
        <f aca="false">IF(AND(V329="",N(L329)&gt;=Parametros!$B$17,G329&gt;=H329,R329&lt;H329),"SÍ","")</f>
        <v/>
      </c>
      <c r="X329" s="3" t="str">
        <f aca="false">IF(OR(E329="SOBRE MAX VENDIBLE",N(N329)&gt;=Parametros!$B$17,N(M329)&gt;=Parametros!$B$17),"SÍ","")</f>
        <v>SÍ</v>
      </c>
      <c r="Y329" s="3" t="str">
        <f aca="false">IF(AND(ISNUMBER(U329),MAX(S329,T329)&gt;=Parametros!$B$15,ABS(N(U329))&gt;Parametros!$B$14),"SÍ","")</f>
        <v>SÍ</v>
      </c>
      <c r="Z329" s="3" t="n">
        <f aca="false">COUNTIF(V329:Y329,"SÍ")</f>
        <v>2</v>
      </c>
      <c r="AA329" s="3" t="n">
        <f aca="false">(3*(V329="SÍ")+2*(W329="SÍ")+2*(X329="SÍ")+(Y329="SÍ"))*IF(LEFT(D329,1)="A",3,IF(OR(LEFT(D329,1)="B",D329="SIN HIST"),2,1))</f>
        <v>6</v>
      </c>
      <c r="AB329" s="3" t="str">
        <f aca="false">IF(AA329&gt;=9,"1-ALTA",IF(AA329&gt;=4,"2-MEDIA",IF(AA329&gt;0,"3-BAJA","")))</f>
        <v>2-MEDIA</v>
      </c>
      <c r="AC329" s="3" t="str">
        <f aca="false">IF(E329="BAJO SS","Stock + XLIB bajo el SS: riesgo real de quiebre, adelantar producción. ","")&amp;IF(E329="BAJO SS (XLIB CUBRE)","Disponible bajo el SS; depende de liberar "&amp;TEXT(J329,"#,##0")&amp;" kg"&amp;IF(ISNUMBER(K329)," el "&amp;TEXT(K329,"dd-mm"),"")&amp;". ","")&amp;IF(W329="SÍ","Stock parece sano pero "&amp;TEXT(L329,"#,##0")&amp;" kg no pasan filtro "&amp;Stock_Seguridad!O329&amp;": sin ellos queda bajo el SS para esa cadena. ","")&amp;IF(E329="SOBRE MAX VENDIBLE","Sobrestock vs vida útil: frenar producción/activar venta. ","")&amp;IF(N(N329)&gt;=Parametros!$B$17,TEXT(N329,"#,##0")&amp;" kg ya no los acepta ninguna cadena: venta intermedia/liquidación. ","")&amp;IF(N(M329)&gt;=Parametros!$B$17,TEXT(M329,"#,##0")&amp;" kg a punto de salir del filtro: despachar primero (FEFO). ","")&amp;IF(Y329="SÍ","Pedidos "&amp;IF(N(U329)&gt;0,"sobre","bajo")&amp;" FCST "&amp;TEXT(ABS(N(U329)),"0%")&amp;": revisar forecast con KAM.","")</f>
        <v>37,656 kg a punto de salir del filtro: despachar primero (FEFO). Pedidos bajo FCST 20%: revisar forecast con KAM.</v>
      </c>
    </row>
    <row r="330" customFormat="false" ht="15" hidden="false" customHeight="false" outlineLevel="0" collapsed="false">
      <c r="A330" s="18" t="n">
        <f aca="false">Stock_Seguridad!A330</f>
        <v>30000488</v>
      </c>
      <c r="B330" s="18" t="str">
        <f aca="false">Stock_Seguridad!B330</f>
        <v>YOGURT LONCO S/LAC CHYA BOLSA 12X900GR</v>
      </c>
      <c r="C330" s="18" t="str">
        <f aca="false">Stock_Seguridad!C330</f>
        <v>YOGURT</v>
      </c>
      <c r="D330" s="18" t="str">
        <f aca="false">Stock_Seguridad!F330</f>
        <v>BX</v>
      </c>
      <c r="E330" s="19" t="str">
        <f aca="false">Stock_Seguridad!X330</f>
        <v>OK</v>
      </c>
      <c r="F330" s="20" t="n">
        <f aca="false">Stock_Seguridad!W330</f>
        <v>2.63286931227924</v>
      </c>
      <c r="G330" s="21" t="n">
        <f aca="false">Stock_Seguridad!T330</f>
        <v>4622.4</v>
      </c>
      <c r="H330" s="21" t="n">
        <f aca="false">Stock_Seguridad!R330</f>
        <v>1004.85290396425</v>
      </c>
      <c r="I330" s="21" t="n">
        <f aca="false">Stock_Seguridad!S330</f>
        <v>3892.65290396425</v>
      </c>
      <c r="J330" s="21" t="n">
        <f aca="false">Stock_Seguridad!U330</f>
        <v>2980.8</v>
      </c>
      <c r="K330" s="22" t="n">
        <v>46318</v>
      </c>
      <c r="L330" s="23" t="n">
        <v>853.2</v>
      </c>
      <c r="M330" s="23" t="n">
        <v>0</v>
      </c>
      <c r="N330" s="23" t="n">
        <v>108</v>
      </c>
      <c r="O330" s="24" t="n">
        <v>0.0983190883190883</v>
      </c>
      <c r="P330" s="24" t="n">
        <f aca="false">IF(ISNUMBER(Stock_Seguridad!N330),Stock_Seguridad!N330,"")</f>
        <v>0.295774647887324</v>
      </c>
      <c r="Q330" s="24" t="n">
        <f aca="false">IF(AND(ISNUMBER(O330),ISNUMBER(P330)),P330-O330,"")</f>
        <v>0.197455559568236</v>
      </c>
      <c r="R330" s="23" t="n">
        <f aca="false">MAX(0,G330-N(L330))</f>
        <v>3769.2</v>
      </c>
      <c r="S330" s="23" t="n">
        <f aca="false">SUMIFS(Cadenas_vs_FCST!$D$17:$D$2437,Cadenas_vs_FCST!$A$17:$A$2437,A330)</f>
        <v>11534.4</v>
      </c>
      <c r="T330" s="23" t="n">
        <f aca="false">SUMIFS(Cadenas_vs_FCST!$E$17:$E$2437,Cadenas_vs_FCST!$A$17:$A$2437,A330)</f>
        <v>12454.7902261475</v>
      </c>
      <c r="U330" s="24" t="n">
        <f aca="false">IF(T330&gt;0,S330/T330-1,"")</f>
        <v>-0.0738984928236901</v>
      </c>
      <c r="V330" s="3" t="str">
        <f aca="false">IF(OR(E330="BAJO SS",E330="BAJO SS (XLIB CUBRE)"),"SÍ","")</f>
        <v/>
      </c>
      <c r="W330" s="3" t="str">
        <f aca="false">IF(AND(V330="",N(L330)&gt;=Parametros!$B$17,G330&gt;=H330,R330&lt;H330),"SÍ","")</f>
        <v/>
      </c>
      <c r="X330" s="3" t="str">
        <f aca="false">IF(OR(E330="SOBRE MAX VENDIBLE",N(N330)&gt;=Parametros!$B$17,N(M330)&gt;=Parametros!$B$17),"SÍ","")</f>
        <v/>
      </c>
      <c r="Y330" s="3" t="str">
        <f aca="false">IF(AND(ISNUMBER(U330),MAX(S330,T330)&gt;=Parametros!$B$15,ABS(N(U330))&gt;Parametros!$B$14),"SÍ","")</f>
        <v/>
      </c>
      <c r="Z330" s="3" t="n">
        <f aca="false">COUNTIF(V330:Y330,"SÍ")</f>
        <v>0</v>
      </c>
      <c r="AA330" s="3" t="n">
        <f aca="false">(3*(V330="SÍ")+2*(W330="SÍ")+2*(X330="SÍ")+(Y330="SÍ"))*IF(LEFT(D330,1)="A",3,IF(OR(LEFT(D330,1)="B",D330="SIN HIST"),2,1))</f>
        <v>0</v>
      </c>
      <c r="AB330" s="3" t="str">
        <f aca="false">IF(AA330&gt;=9,"1-ALTA",IF(AA330&gt;=4,"2-MEDIA",IF(AA330&gt;0,"3-BAJA","")))</f>
        <v/>
      </c>
      <c r="AC330" s="3" t="str">
        <f aca="false">IF(E330="BAJO SS","Stock + XLIB bajo el SS: riesgo real de quiebre, adelantar producción. ","")&amp;IF(E330="BAJO SS (XLIB CUBRE)","Disponible bajo el SS; depende de liberar "&amp;TEXT(J330,"#,##0")&amp;" kg"&amp;IF(ISNUMBER(K330)," el "&amp;TEXT(K330,"dd-mm"),"")&amp;". ","")&amp;IF(W330="SÍ","Stock parece sano pero "&amp;TEXT(L330,"#,##0")&amp;" kg no pasan filtro "&amp;Stock_Seguridad!O330&amp;": sin ellos queda bajo el SS para esa cadena. ","")&amp;IF(E330="SOBRE MAX VENDIBLE","Sobrestock vs vida útil: frenar producción/activar venta. ","")&amp;IF(N(N330)&gt;=Parametros!$B$17,TEXT(N330,"#,##0")&amp;" kg ya no los acepta ninguna cadena: venta intermedia/liquidación. ","")&amp;IF(N(M330)&gt;=Parametros!$B$17,TEXT(M330,"#,##0")&amp;" kg a punto de salir del filtro: despachar primero (FEFO). ","")&amp;IF(Y330="SÍ","Pedidos "&amp;IF(N(U330)&gt;0,"sobre","bajo")&amp;" FCST "&amp;TEXT(ABS(N(U330)),"0%")&amp;": revisar forecast con KAM.","")</f>
        <v/>
      </c>
    </row>
    <row r="331" customFormat="false" ht="15" hidden="false" customHeight="false" outlineLevel="0" collapsed="false">
      <c r="A331" s="18" t="n">
        <f aca="false">Stock_Seguridad!A331</f>
        <v>30000421</v>
      </c>
      <c r="B331" s="18" t="str">
        <f aca="false">Stock_Seguridad!B331</f>
        <v>LECHE S/LACTOSA VAINILLA 12X1LT</v>
      </c>
      <c r="C331" s="18" t="str">
        <f aca="false">Stock_Seguridad!C331</f>
        <v>LECHES LIQUIDAS</v>
      </c>
      <c r="D331" s="18" t="str">
        <f aca="false">Stock_Seguridad!F331</f>
        <v>BX</v>
      </c>
      <c r="E331" s="19" t="str">
        <f aca="false">Stock_Seguridad!X331</f>
        <v>OK</v>
      </c>
      <c r="F331" s="20" t="n">
        <f aca="false">Stock_Seguridad!W331</f>
        <v>3.58725088535518</v>
      </c>
      <c r="G331" s="21" t="n">
        <f aca="false">Stock_Seguridad!T331</f>
        <v>10332</v>
      </c>
      <c r="H331" s="21" t="n">
        <f aca="false">Stock_Seguridad!R331</f>
        <v>845.635036305323</v>
      </c>
      <c r="I331" s="21" t="n">
        <f aca="false">Stock_Seguridad!S331</f>
        <v>3725.83503630532</v>
      </c>
      <c r="J331" s="21" t="n">
        <f aca="false">Stock_Seguridad!U331</f>
        <v>0</v>
      </c>
      <c r="K331" s="22"/>
      <c r="L331" s="23" t="n">
        <v>168</v>
      </c>
      <c r="M331" s="23" t="n">
        <v>756</v>
      </c>
      <c r="N331" s="23" t="n">
        <v>24</v>
      </c>
      <c r="O331" s="24" t="n">
        <v>0.149941792782305</v>
      </c>
      <c r="P331" s="24" t="n">
        <f aca="false">IF(ISNUMBER(Stock_Seguridad!N331),Stock_Seguridad!N331,"")</f>
        <v>0.259259259259259</v>
      </c>
      <c r="Q331" s="24" t="n">
        <f aca="false">IF(AND(ISNUMBER(O331),ISNUMBER(P331)),P331-O331,"")</f>
        <v>0.109317466476954</v>
      </c>
      <c r="R331" s="23" t="n">
        <f aca="false">MAX(0,G331-N(L331))</f>
        <v>10164</v>
      </c>
      <c r="S331" s="23" t="n">
        <f aca="false">SUMIFS(Cadenas_vs_FCST!$D$17:$D$2437,Cadenas_vs_FCST!$A$17:$A$2437,A331)</f>
        <v>10764</v>
      </c>
      <c r="T331" s="23" t="n">
        <f aca="false">SUMIFS(Cadenas_vs_FCST!$E$17:$E$2437,Cadenas_vs_FCST!$A$17:$A$2437,A331)</f>
        <v>9983.09888268619</v>
      </c>
      <c r="U331" s="24" t="n">
        <f aca="false">IF(T331&gt;0,S331/T331-1,"")</f>
        <v>0.0782223161856221</v>
      </c>
      <c r="V331" s="3" t="str">
        <f aca="false">IF(OR(E331="BAJO SS",E331="BAJO SS (XLIB CUBRE)"),"SÍ","")</f>
        <v/>
      </c>
      <c r="W331" s="3" t="str">
        <f aca="false">IF(AND(V331="",N(L331)&gt;=Parametros!$B$17,G331&gt;=H331,R331&lt;H331),"SÍ","")</f>
        <v/>
      </c>
      <c r="X331" s="3" t="str">
        <f aca="false">IF(OR(E331="SOBRE MAX VENDIBLE",N(N331)&gt;=Parametros!$B$17,N(M331)&gt;=Parametros!$B$17),"SÍ","")</f>
        <v>SÍ</v>
      </c>
      <c r="Y331" s="3" t="str">
        <f aca="false">IF(AND(ISNUMBER(U331),MAX(S331,T331)&gt;=Parametros!$B$15,ABS(N(U331))&gt;Parametros!$B$14),"SÍ","")</f>
        <v/>
      </c>
      <c r="Z331" s="3" t="n">
        <f aca="false">COUNTIF(V331:Y331,"SÍ")</f>
        <v>1</v>
      </c>
      <c r="AA331" s="3" t="n">
        <f aca="false">(3*(V331="SÍ")+2*(W331="SÍ")+2*(X331="SÍ")+(Y331="SÍ"))*IF(LEFT(D331,1)="A",3,IF(OR(LEFT(D331,1)="B",D331="SIN HIST"),2,1))</f>
        <v>4</v>
      </c>
      <c r="AB331" s="3" t="str">
        <f aca="false">IF(AA331&gt;=9,"1-ALTA",IF(AA331&gt;=4,"2-MEDIA",IF(AA331&gt;0,"3-BAJA","")))</f>
        <v>2-MEDIA</v>
      </c>
      <c r="AC331" s="3" t="str">
        <f aca="false">IF(E331="BAJO SS","Stock + XLIB bajo el SS: riesgo real de quiebre, adelantar producción. ","")&amp;IF(E331="BAJO SS (XLIB CUBRE)","Disponible bajo el SS; depende de liberar "&amp;TEXT(J331,"#,##0")&amp;" kg"&amp;IF(ISNUMBER(K331)," el "&amp;TEXT(K331,"dd-mm"),"")&amp;". ","")&amp;IF(W331="SÍ","Stock parece sano pero "&amp;TEXT(L331,"#,##0")&amp;" kg no pasan filtro "&amp;Stock_Seguridad!O331&amp;": sin ellos queda bajo el SS para esa cadena. ","")&amp;IF(E331="SOBRE MAX VENDIBLE","Sobrestock vs vida útil: frenar producción/activar venta. ","")&amp;IF(N(N331)&gt;=Parametros!$B$17,TEXT(N331,"#,##0")&amp;" kg ya no los acepta ninguna cadena: venta intermedia/liquidación. ","")&amp;IF(N(M331)&gt;=Parametros!$B$17,TEXT(M331,"#,##0")&amp;" kg a punto de salir del filtro: despachar primero (FEFO). ","")&amp;IF(Y331="SÍ","Pedidos "&amp;IF(N(U331)&gt;0,"sobre","bajo")&amp;" FCST "&amp;TEXT(ABS(N(U331)),"0%")&amp;": revisar forecast con KAM.","")</f>
        <v>756 kg a punto de salir del filtro: despachar primero (FEFO). </v>
      </c>
    </row>
    <row r="332" customFormat="false" ht="15" hidden="false" customHeight="false" outlineLevel="0" collapsed="false">
      <c r="A332" s="18" t="n">
        <f aca="false">Stock_Seguridad!A332</f>
        <v>30001852</v>
      </c>
      <c r="B332" s="18" t="str">
        <f aca="false">Stock_Seguridad!B332</f>
        <v>YOGURT ACTIVIA CIRUELA POTE 24X140GR</v>
      </c>
      <c r="C332" s="18" t="str">
        <f aca="false">Stock_Seguridad!C332</f>
        <v>YOGURT</v>
      </c>
      <c r="D332" s="18" t="str">
        <f aca="false">Stock_Seguridad!F332</f>
        <v>BX</v>
      </c>
      <c r="E332" s="19" t="str">
        <f aca="false">Stock_Seguridad!X332</f>
        <v>OK</v>
      </c>
      <c r="F332" s="20" t="n">
        <f aca="false">Stock_Seguridad!W332</f>
        <v>1.61387033945465</v>
      </c>
      <c r="G332" s="21" t="n">
        <f aca="false">Stock_Seguridad!T332</f>
        <v>4640.2</v>
      </c>
      <c r="H332" s="21" t="n">
        <f aca="false">Stock_Seguridad!R332</f>
        <v>1710.35378493554</v>
      </c>
      <c r="I332" s="21" t="n">
        <f aca="false">Stock_Seguridad!S332</f>
        <v>4585.55378493554</v>
      </c>
      <c r="J332" s="21" t="n">
        <f aca="false">Stock_Seguridad!U332</f>
        <v>0</v>
      </c>
      <c r="K332" s="22"/>
      <c r="L332" s="23" t="n">
        <v>880.32</v>
      </c>
      <c r="M332" s="23" t="n">
        <v>2288.16</v>
      </c>
      <c r="N332" s="23" t="n">
        <v>695.52</v>
      </c>
      <c r="O332" s="24" t="n">
        <v>0.208356263577118</v>
      </c>
      <c r="P332" s="24" t="n">
        <f aca="false">IF(ISNUMBER(Stock_Seguridad!N332),Stock_Seguridad!N332,"")</f>
        <v>0.245614035087719</v>
      </c>
      <c r="Q332" s="24" t="n">
        <f aca="false">IF(AND(ISNUMBER(O332),ISNUMBER(P332)),P332-O332,"")</f>
        <v>0.0372577715106013</v>
      </c>
      <c r="R332" s="23" t="n">
        <f aca="false">MAX(0,G332-N(L332))</f>
        <v>3759.88</v>
      </c>
      <c r="S332" s="23" t="n">
        <f aca="false">SUMIFS(Cadenas_vs_FCST!$D$17:$D$2437,Cadenas_vs_FCST!$A$17:$A$2437,A332)</f>
        <v>9199.68</v>
      </c>
      <c r="T332" s="23" t="n">
        <f aca="false">SUMIFS(Cadenas_vs_FCST!$E$17:$E$2437,Cadenas_vs_FCST!$A$17:$A$2437,A332)</f>
        <v>12400.0808768002</v>
      </c>
      <c r="U332" s="24" t="n">
        <f aca="false">IF(T332&gt;0,S332/T332-1,"")</f>
        <v>-0.258095161523337</v>
      </c>
      <c r="V332" s="3" t="str">
        <f aca="false">IF(OR(E332="BAJO SS",E332="BAJO SS (XLIB CUBRE)"),"SÍ","")</f>
        <v/>
      </c>
      <c r="W332" s="3" t="str">
        <f aca="false">IF(AND(V332="",N(L332)&gt;=Parametros!$B$17,G332&gt;=H332,R332&lt;H332),"SÍ","")</f>
        <v/>
      </c>
      <c r="X332" s="3" t="str">
        <f aca="false">IF(OR(E332="SOBRE MAX VENDIBLE",N(N332)&gt;=Parametros!$B$17,N(M332)&gt;=Parametros!$B$17),"SÍ","")</f>
        <v>SÍ</v>
      </c>
      <c r="Y332" s="3" t="str">
        <f aca="false">IF(AND(ISNUMBER(U332),MAX(S332,T332)&gt;=Parametros!$B$15,ABS(N(U332))&gt;Parametros!$B$14),"SÍ","")</f>
        <v>SÍ</v>
      </c>
      <c r="Z332" s="3" t="n">
        <f aca="false">COUNTIF(V332:Y332,"SÍ")</f>
        <v>2</v>
      </c>
      <c r="AA332" s="3" t="n">
        <f aca="false">(3*(V332="SÍ")+2*(W332="SÍ")+2*(X332="SÍ")+(Y332="SÍ"))*IF(LEFT(D332,1)="A",3,IF(OR(LEFT(D332,1)="B",D332="SIN HIST"),2,1))</f>
        <v>6</v>
      </c>
      <c r="AB332" s="3" t="str">
        <f aca="false">IF(AA332&gt;=9,"1-ALTA",IF(AA332&gt;=4,"2-MEDIA",IF(AA332&gt;0,"3-BAJA","")))</f>
        <v>2-MEDIA</v>
      </c>
      <c r="AC332" s="3" t="str">
        <f aca="false">IF(E332="BAJO SS","Stock + XLIB bajo el SS: riesgo real de quiebre, adelantar producción. ","")&amp;IF(E332="BAJO SS (XLIB CUBRE)","Disponible bajo el SS; depende de liberar "&amp;TEXT(J332,"#,##0")&amp;" kg"&amp;IF(ISNUMBER(K332)," el "&amp;TEXT(K332,"dd-mm"),"")&amp;". ","")&amp;IF(W332="SÍ","Stock parece sano pero "&amp;TEXT(L332,"#,##0")&amp;" kg no pasan filtro "&amp;Stock_Seguridad!O332&amp;": sin ellos queda bajo el SS para esa cadena. ","")&amp;IF(E332="SOBRE MAX VENDIBLE","Sobrestock vs vida útil: frenar producción/activar venta. ","")&amp;IF(N(N332)&gt;=Parametros!$B$17,TEXT(N332,"#,##0")&amp;" kg ya no los acepta ninguna cadena: venta intermedia/liquidación. ","")&amp;IF(N(M332)&gt;=Parametros!$B$17,TEXT(M332,"#,##0")&amp;" kg a punto de salir del filtro: despachar primero (FEFO). ","")&amp;IF(Y332="SÍ","Pedidos "&amp;IF(N(U332)&gt;0,"sobre","bajo")&amp;" FCST "&amp;TEXT(ABS(N(U332)),"0%")&amp;": revisar forecast con KAM.","")</f>
        <v>696 kg ya no los acepta ninguna cadena: venta intermedia/liquidación. 2,288 kg a punto de salir del filtro: despachar primero (FEFO). Pedidos bajo FCST 26%: revisar forecast con KAM.</v>
      </c>
    </row>
    <row r="333" customFormat="false" ht="15" hidden="false" customHeight="false" outlineLevel="0" collapsed="false">
      <c r="A333" s="18" t="n">
        <f aca="false">Stock_Seguridad!A333</f>
        <v>30001494</v>
      </c>
      <c r="B333" s="18" t="str">
        <f aca="false">Stock_Seguridad!B333</f>
        <v>YOGURT LONCO PROTEIN CAP GRAN 12X142G</v>
      </c>
      <c r="C333" s="18" t="str">
        <f aca="false">Stock_Seguridad!C333</f>
        <v>YOGURT</v>
      </c>
      <c r="D333" s="18" t="str">
        <f aca="false">Stock_Seguridad!F333</f>
        <v>BX</v>
      </c>
      <c r="E333" s="19" t="str">
        <f aca="false">Stock_Seguridad!X333</f>
        <v>BAJO SS</v>
      </c>
      <c r="F333" s="20" t="n">
        <f aca="false">Stock_Seguridad!W333</f>
        <v>0.155614562224862</v>
      </c>
      <c r="G333" s="21" t="n">
        <f aca="false">Stock_Seguridad!T333</f>
        <v>445.4</v>
      </c>
      <c r="H333" s="21" t="n">
        <f aca="false">Stock_Seguridad!R333</f>
        <v>982.213685634835</v>
      </c>
      <c r="I333" s="21" t="n">
        <f aca="false">Stock_Seguridad!S333</f>
        <v>3844.41368563484</v>
      </c>
      <c r="J333" s="21" t="n">
        <f aca="false">Stock_Seguridad!U333</f>
        <v>0</v>
      </c>
      <c r="K333" s="22"/>
      <c r="L333" s="23" t="n">
        <v>433.5</v>
      </c>
      <c r="M333" s="23" t="n">
        <v>0</v>
      </c>
      <c r="N333" s="23" t="n">
        <v>40.8</v>
      </c>
      <c r="O333" s="24" t="n">
        <v>0.294117647058824</v>
      </c>
      <c r="P333" s="24" t="n">
        <f aca="false">IF(ISNUMBER(Stock_Seguridad!N333),Stock_Seguridad!N333,"")</f>
        <v>0.2</v>
      </c>
      <c r="Q333" s="24" t="n">
        <f aca="false">IF(AND(ISNUMBER(O333),ISNUMBER(P333)),P333-O333,"")</f>
        <v>-0.0941176470588235</v>
      </c>
      <c r="R333" s="23" t="n">
        <f aca="false">MAX(0,G333-N(L333))</f>
        <v>11.9</v>
      </c>
      <c r="S333" s="23" t="n">
        <f aca="false">SUMIFS(Cadenas_vs_FCST!$D$17:$D$2437,Cadenas_vs_FCST!$A$17:$A$2437,A333)</f>
        <v>13288.9</v>
      </c>
      <c r="T333" s="23" t="n">
        <f aca="false">SUMIFS(Cadenas_vs_FCST!$E$17:$E$2437,Cadenas_vs_FCST!$A$17:$A$2437,A333)</f>
        <v>12344.1485724322</v>
      </c>
      <c r="U333" s="24" t="n">
        <f aca="false">IF(T333&gt;0,S333/T333-1,"")</f>
        <v>0.0765343532625369</v>
      </c>
      <c r="V333" s="3" t="str">
        <f aca="false">IF(OR(E333="BAJO SS",E333="BAJO SS (XLIB CUBRE)"),"SÍ","")</f>
        <v>SÍ</v>
      </c>
      <c r="W333" s="3" t="str">
        <f aca="false">IF(AND(V333="",N(L333)&gt;=Parametros!$B$17,G333&gt;=H333,R333&lt;H333),"SÍ","")</f>
        <v/>
      </c>
      <c r="X333" s="3" t="str">
        <f aca="false">IF(OR(E333="SOBRE MAX VENDIBLE",N(N333)&gt;=Parametros!$B$17,N(M333)&gt;=Parametros!$B$17),"SÍ","")</f>
        <v/>
      </c>
      <c r="Y333" s="3" t="str">
        <f aca="false">IF(AND(ISNUMBER(U333),MAX(S333,T333)&gt;=Parametros!$B$15,ABS(N(U333))&gt;Parametros!$B$14),"SÍ","")</f>
        <v/>
      </c>
      <c r="Z333" s="3" t="n">
        <f aca="false">COUNTIF(V333:Y333,"SÍ")</f>
        <v>1</v>
      </c>
      <c r="AA333" s="3" t="n">
        <f aca="false">(3*(V333="SÍ")+2*(W333="SÍ")+2*(X333="SÍ")+(Y333="SÍ"))*IF(LEFT(D333,1)="A",3,IF(OR(LEFT(D333,1)="B",D333="SIN HIST"),2,1))</f>
        <v>6</v>
      </c>
      <c r="AB333" s="3" t="str">
        <f aca="false">IF(AA333&gt;=9,"1-ALTA",IF(AA333&gt;=4,"2-MEDIA",IF(AA333&gt;0,"3-BAJA","")))</f>
        <v>2-MEDIA</v>
      </c>
      <c r="AC333" s="3" t="str">
        <f aca="false">IF(E333="BAJO SS","Stock + XLIB bajo el SS: riesgo real de quiebre, adelantar producción. ","")&amp;IF(E333="BAJO SS (XLIB CUBRE)","Disponible bajo el SS; depende de liberar "&amp;TEXT(J333,"#,##0")&amp;" kg"&amp;IF(ISNUMBER(K333)," el "&amp;TEXT(K333,"dd-mm"),"")&amp;". ","")&amp;IF(W333="SÍ","Stock parece sano pero "&amp;TEXT(L333,"#,##0")&amp;" kg no pasan filtro "&amp;Stock_Seguridad!O333&amp;": sin ellos queda bajo el SS para esa cadena. ","")&amp;IF(E333="SOBRE MAX VENDIBLE","Sobrestock vs vida útil: frenar producción/activar venta. ","")&amp;IF(N(N333)&gt;=Parametros!$B$17,TEXT(N333,"#,##0")&amp;" kg ya no los acepta ninguna cadena: venta intermedia/liquidación. ","")&amp;IF(N(M333)&gt;=Parametros!$B$17,TEXT(M333,"#,##0")&amp;" kg a punto de salir del filtro: despachar primero (FEFO). ","")&amp;IF(Y333="SÍ","Pedidos "&amp;IF(N(U333)&gt;0,"sobre","bajo")&amp;" FCST "&amp;TEXT(ABS(N(U333)),"0%")&amp;": revisar forecast con KAM.","")</f>
        <v>Stock + XLIB bajo el SS: riesgo real de quiebre, adelantar producción. </v>
      </c>
    </row>
    <row r="334" customFormat="false" ht="15" hidden="false" customHeight="false" outlineLevel="0" collapsed="false">
      <c r="A334" s="18" t="n">
        <f aca="false">Stock_Seguridad!A334</f>
        <v>30000742</v>
      </c>
      <c r="B334" s="18" t="str">
        <f aca="false">Stock_Seguridad!B334</f>
        <v>ARVEJA LC 24X400GR</v>
      </c>
      <c r="C334" s="18" t="str">
        <f aca="false">Stock_Seguridad!C334</f>
        <v>FRUTAS Y HORTALIZAS CONGELADAS</v>
      </c>
      <c r="D334" s="18" t="str">
        <f aca="false">Stock_Seguridad!F334</f>
        <v>SIN HIST</v>
      </c>
      <c r="E334" s="19" t="str">
        <f aca="false">Stock_Seguridad!X334</f>
        <v>OK</v>
      </c>
      <c r="F334" s="20" t="n">
        <f aca="false">Stock_Seguridad!W334</f>
        <v>5.50905080354329</v>
      </c>
      <c r="G334" s="21" t="n">
        <f aca="false">Stock_Seguridad!T334</f>
        <v>15734.4</v>
      </c>
      <c r="H334" s="21" t="n">
        <f aca="false">Stock_Seguridad!R334</f>
        <v>1409.35993318083</v>
      </c>
      <c r="I334" s="21" t="n">
        <f aca="false">Stock_Seguridad!S334</f>
        <v>4265.45993318083</v>
      </c>
      <c r="J334" s="21" t="n">
        <f aca="false">Stock_Seguridad!U334</f>
        <v>0</v>
      </c>
      <c r="K334" s="22"/>
      <c r="L334" s="23" t="n">
        <v>0</v>
      </c>
      <c r="M334" s="23" t="n">
        <v>0</v>
      </c>
      <c r="N334" s="23" t="n">
        <v>0</v>
      </c>
      <c r="O334" s="24" t="n">
        <v>0.0283404514948139</v>
      </c>
      <c r="P334" s="24" t="str">
        <f aca="false">IF(ISNUMBER(Stock_Seguridad!N334),Stock_Seguridad!N334,"")</f>
        <v/>
      </c>
      <c r="Q334" s="24" t="str">
        <f aca="false">IF(AND(ISNUMBER(O334),ISNUMBER(P334)),P334-O334,"")</f>
        <v/>
      </c>
      <c r="R334" s="23" t="n">
        <f aca="false">MAX(0,G334-N(L334))</f>
        <v>15734.4</v>
      </c>
      <c r="S334" s="23" t="n">
        <f aca="false">SUMIFS(Cadenas_vs_FCST!$D$17:$D$2437,Cadenas_vs_FCST!$A$17:$A$2437,A334)</f>
        <v>0</v>
      </c>
      <c r="T334" s="23" t="n">
        <f aca="false">SUMIFS(Cadenas_vs_FCST!$E$17:$E$2437,Cadenas_vs_FCST!$A$17:$A$2437,A334)</f>
        <v>0</v>
      </c>
      <c r="U334" s="24" t="str">
        <f aca="false">IF(T334&gt;0,S334/T334-1,"")</f>
        <v/>
      </c>
      <c r="V334" s="3" t="str">
        <f aca="false">IF(OR(E334="BAJO SS",E334="BAJO SS (XLIB CUBRE)"),"SÍ","")</f>
        <v/>
      </c>
      <c r="W334" s="3" t="str">
        <f aca="false">IF(AND(V334="",N(L334)&gt;=Parametros!$B$17,G334&gt;=H334,R334&lt;H334),"SÍ","")</f>
        <v/>
      </c>
      <c r="X334" s="3" t="str">
        <f aca="false">IF(OR(E334="SOBRE MAX VENDIBLE",N(N334)&gt;=Parametros!$B$17,N(M334)&gt;=Parametros!$B$17),"SÍ","")</f>
        <v/>
      </c>
      <c r="Y334" s="3" t="str">
        <f aca="false">IF(AND(ISNUMBER(U334),MAX(S334,T334)&gt;=Parametros!$B$15,ABS(N(U334))&gt;Parametros!$B$14),"SÍ","")</f>
        <v/>
      </c>
      <c r="Z334" s="3" t="n">
        <f aca="false">COUNTIF(V334:Y334,"SÍ")</f>
        <v>0</v>
      </c>
      <c r="AA334" s="3" t="n">
        <f aca="false">(3*(V334="SÍ")+2*(W334="SÍ")+2*(X334="SÍ")+(Y334="SÍ"))*IF(LEFT(D334,1)="A",3,IF(OR(LEFT(D334,1)="B",D334="SIN HIST"),2,1))</f>
        <v>0</v>
      </c>
      <c r="AB334" s="3" t="str">
        <f aca="false">IF(AA334&gt;=9,"1-ALTA",IF(AA334&gt;=4,"2-MEDIA",IF(AA334&gt;0,"3-BAJA","")))</f>
        <v/>
      </c>
      <c r="AC334" s="3" t="str">
        <f aca="false">IF(E334="BAJO SS","Stock + XLIB bajo el SS: riesgo real de quiebre, adelantar producción. ","")&amp;IF(E334="BAJO SS (XLIB CUBRE)","Disponible bajo el SS; depende de liberar "&amp;TEXT(J334,"#,##0")&amp;" kg"&amp;IF(ISNUMBER(K334)," el "&amp;TEXT(K334,"dd-mm"),"")&amp;". ","")&amp;IF(W334="SÍ","Stock parece sano pero "&amp;TEXT(L334,"#,##0")&amp;" kg no pasan filtro "&amp;Stock_Seguridad!O334&amp;": sin ellos queda bajo el SS para esa cadena. ","")&amp;IF(E334="SOBRE MAX VENDIBLE","Sobrestock vs vida útil: frenar producción/activar venta. ","")&amp;IF(N(N334)&gt;=Parametros!$B$17,TEXT(N334,"#,##0")&amp;" kg ya no los acepta ninguna cadena: venta intermedia/liquidación. ","")&amp;IF(N(M334)&gt;=Parametros!$B$17,TEXT(M334,"#,##0")&amp;" kg a punto de salir del filtro: despachar primero (FEFO). ","")&amp;IF(Y334="SÍ","Pedidos "&amp;IF(N(U334)&gt;0,"sobre","bajo")&amp;" FCST "&amp;TEXT(ABS(N(U334)),"0%")&amp;": revisar forecast con KAM.","")</f>
        <v/>
      </c>
    </row>
    <row r="335" customFormat="false" ht="15" hidden="false" customHeight="false" outlineLevel="0" collapsed="false">
      <c r="A335" s="18" t="n">
        <f aca="false">Stock_Seguridad!A335</f>
        <v>30001767</v>
      </c>
      <c r="B335" s="18" t="str">
        <f aca="false">Stock_Seguridad!B335</f>
        <v>MERMELADA LOS LAGOS DAMASCO 24X225GR</v>
      </c>
      <c r="C335" s="18" t="str">
        <f aca="false">Stock_Seguridad!C335</f>
        <v>MERMELADAS</v>
      </c>
      <c r="D335" s="18" t="str">
        <f aca="false">Stock_Seguridad!F335</f>
        <v>BY</v>
      </c>
      <c r="E335" s="19" t="str">
        <f aca="false">Stock_Seguridad!X335</f>
        <v>OK</v>
      </c>
      <c r="F335" s="20" t="n">
        <f aca="false">Stock_Seguridad!W335</f>
        <v>4.68970370891688</v>
      </c>
      <c r="G335" s="21" t="n">
        <f aca="false">Stock_Seguridad!T335</f>
        <v>8780.4</v>
      </c>
      <c r="H335" s="21" t="n">
        <f aca="false">Stock_Seguridad!R335</f>
        <v>1964.79486321696</v>
      </c>
      <c r="I335" s="21" t="n">
        <f aca="false">Stock_Seguridad!S335</f>
        <v>4806.59486321696</v>
      </c>
      <c r="J335" s="21" t="n">
        <f aca="false">Stock_Seguridad!U335</f>
        <v>4546.8</v>
      </c>
      <c r="K335" s="22" t="n">
        <v>46317</v>
      </c>
      <c r="L335" s="23" t="n">
        <v>86.4</v>
      </c>
      <c r="M335" s="23" t="n">
        <v>0</v>
      </c>
      <c r="N335" s="23" t="n">
        <v>86.4</v>
      </c>
      <c r="O335" s="24" t="n">
        <v>0.0345177045177045</v>
      </c>
      <c r="P335" s="24" t="n">
        <f aca="false">IF(ISNUMBER(Stock_Seguridad!N335),Stock_Seguridad!N335,"")</f>
        <v>0.273972602739726</v>
      </c>
      <c r="Q335" s="24" t="n">
        <f aca="false">IF(AND(ISNUMBER(O335),ISNUMBER(P335)),P335-O335,"")</f>
        <v>0.239454898222021</v>
      </c>
      <c r="R335" s="23" t="n">
        <f aca="false">MAX(0,G335-N(L335))</f>
        <v>8694</v>
      </c>
      <c r="S335" s="23" t="n">
        <f aca="false">SUMIFS(Cadenas_vs_FCST!$D$17:$D$2437,Cadenas_vs_FCST!$A$17:$A$2437,A335)</f>
        <v>10314</v>
      </c>
      <c r="T335" s="23" t="n">
        <f aca="false">SUMIFS(Cadenas_vs_FCST!$E$17:$E$2437,Cadenas_vs_FCST!$A$17:$A$2437,A335)</f>
        <v>9573</v>
      </c>
      <c r="U335" s="24" t="n">
        <f aca="false">IF(T335&gt;0,S335/T335-1,"")</f>
        <v>0.0774052021309934</v>
      </c>
      <c r="V335" s="3" t="str">
        <f aca="false">IF(OR(E335="BAJO SS",E335="BAJO SS (XLIB CUBRE)"),"SÍ","")</f>
        <v/>
      </c>
      <c r="W335" s="3" t="str">
        <f aca="false">IF(AND(V335="",N(L335)&gt;=Parametros!$B$17,G335&gt;=H335,R335&lt;H335),"SÍ","")</f>
        <v/>
      </c>
      <c r="X335" s="3" t="str">
        <f aca="false">IF(OR(E335="SOBRE MAX VENDIBLE",N(N335)&gt;=Parametros!$B$17,N(M335)&gt;=Parametros!$B$17),"SÍ","")</f>
        <v/>
      </c>
      <c r="Y335" s="3" t="str">
        <f aca="false">IF(AND(ISNUMBER(U335),MAX(S335,T335)&gt;=Parametros!$B$15,ABS(N(U335))&gt;Parametros!$B$14),"SÍ","")</f>
        <v/>
      </c>
      <c r="Z335" s="3" t="n">
        <f aca="false">COUNTIF(V335:Y335,"SÍ")</f>
        <v>0</v>
      </c>
      <c r="AA335" s="3" t="n">
        <f aca="false">(3*(V335="SÍ")+2*(W335="SÍ")+2*(X335="SÍ")+(Y335="SÍ"))*IF(LEFT(D335,1)="A",3,IF(OR(LEFT(D335,1)="B",D335="SIN HIST"),2,1))</f>
        <v>0</v>
      </c>
      <c r="AB335" s="3" t="str">
        <f aca="false">IF(AA335&gt;=9,"1-ALTA",IF(AA335&gt;=4,"2-MEDIA",IF(AA335&gt;0,"3-BAJA","")))</f>
        <v/>
      </c>
      <c r="AC335" s="3" t="str">
        <f aca="false">IF(E335="BAJO SS","Stock + XLIB bajo el SS: riesgo real de quiebre, adelantar producción. ","")&amp;IF(E335="BAJO SS (XLIB CUBRE)","Disponible bajo el SS; depende de liberar "&amp;TEXT(J335,"#,##0")&amp;" kg"&amp;IF(ISNUMBER(K335)," el "&amp;TEXT(K335,"dd-mm"),"")&amp;". ","")&amp;IF(W335="SÍ","Stock parece sano pero "&amp;TEXT(L335,"#,##0")&amp;" kg no pasan filtro "&amp;Stock_Seguridad!O335&amp;": sin ellos queda bajo el SS para esa cadena. ","")&amp;IF(E335="SOBRE MAX VENDIBLE","Sobrestock vs vida útil: frenar producción/activar venta. ","")&amp;IF(N(N335)&gt;=Parametros!$B$17,TEXT(N335,"#,##0")&amp;" kg ya no los acepta ninguna cadena: venta intermedia/liquidación. ","")&amp;IF(N(M335)&gt;=Parametros!$B$17,TEXT(M335,"#,##0")&amp;" kg a punto de salir del filtro: despachar primero (FEFO). ","")&amp;IF(Y335="SÍ","Pedidos "&amp;IF(N(U335)&gt;0,"sobre","bajo")&amp;" FCST "&amp;TEXT(ABS(N(U335)),"0%")&amp;": revisar forecast con KAM.","")</f>
        <v/>
      </c>
    </row>
    <row r="336" customFormat="false" ht="15" hidden="false" customHeight="false" outlineLevel="0" collapsed="false">
      <c r="A336" s="18" t="n">
        <f aca="false">Stock_Seguridad!A336</f>
        <v>30000636</v>
      </c>
      <c r="B336" s="18" t="str">
        <f aca="false">Stock_Seguridad!B336</f>
        <v>MERMELADA REGIMEL MORA 24X200GR</v>
      </c>
      <c r="C336" s="18" t="str">
        <f aca="false">Stock_Seguridad!C336</f>
        <v>MERMELADAS</v>
      </c>
      <c r="D336" s="18" t="str">
        <f aca="false">Stock_Seguridad!F336</f>
        <v>BX</v>
      </c>
      <c r="E336" s="19" t="str">
        <f aca="false">Stock_Seguridad!X336</f>
        <v>OK</v>
      </c>
      <c r="F336" s="20" t="n">
        <f aca="false">Stock_Seguridad!W336</f>
        <v>2.72795084005257</v>
      </c>
      <c r="G336" s="21" t="n">
        <f aca="false">Stock_Seguridad!T336</f>
        <v>7680</v>
      </c>
      <c r="H336" s="21" t="n">
        <f aca="false">Stock_Seguridad!R336</f>
        <v>1049.03721500958</v>
      </c>
      <c r="I336" s="21" t="n">
        <f aca="false">Stock_Seguridad!S336</f>
        <v>3864.33721500958</v>
      </c>
      <c r="J336" s="21" t="n">
        <f aca="false">Stock_Seguridad!U336</f>
        <v>0</v>
      </c>
      <c r="K336" s="22"/>
      <c r="L336" s="23" t="n">
        <v>0</v>
      </c>
      <c r="M336" s="23" t="n">
        <v>0</v>
      </c>
      <c r="N336" s="23" t="n">
        <v>0</v>
      </c>
      <c r="O336" s="24" t="n">
        <v>0.0400250156347717</v>
      </c>
      <c r="P336" s="24" t="n">
        <f aca="false">IF(ISNUMBER(Stock_Seguridad!N336),Stock_Seguridad!N336,"")</f>
        <v>0.32054794520548</v>
      </c>
      <c r="Q336" s="24" t="n">
        <f aca="false">IF(AND(ISNUMBER(O336),ISNUMBER(P336)),P336-O336,"")</f>
        <v>0.280522929570708</v>
      </c>
      <c r="R336" s="23" t="n">
        <f aca="false">MAX(0,G336-N(L336))</f>
        <v>7680</v>
      </c>
      <c r="S336" s="23" t="n">
        <f aca="false">SUMIFS(Cadenas_vs_FCST!$D$17:$D$2437,Cadenas_vs_FCST!$A$17:$A$2437,A336)</f>
        <v>10252.8</v>
      </c>
      <c r="T336" s="23" t="n">
        <f aca="false">SUMIFS(Cadenas_vs_FCST!$E$17:$E$2437,Cadenas_vs_FCST!$A$17:$A$2437,A336)</f>
        <v>10439.6</v>
      </c>
      <c r="U336" s="24" t="n">
        <f aca="false">IF(T336&gt;0,S336/T336-1,"")</f>
        <v>-0.0178934058776199</v>
      </c>
      <c r="V336" s="3" t="str">
        <f aca="false">IF(OR(E336="BAJO SS",E336="BAJO SS (XLIB CUBRE)"),"SÍ","")</f>
        <v/>
      </c>
      <c r="W336" s="3" t="str">
        <f aca="false">IF(AND(V336="",N(L336)&gt;=Parametros!$B$17,G336&gt;=H336,R336&lt;H336),"SÍ","")</f>
        <v/>
      </c>
      <c r="X336" s="3" t="str">
        <f aca="false">IF(OR(E336="SOBRE MAX VENDIBLE",N(N336)&gt;=Parametros!$B$17,N(M336)&gt;=Parametros!$B$17),"SÍ","")</f>
        <v/>
      </c>
      <c r="Y336" s="3" t="str">
        <f aca="false">IF(AND(ISNUMBER(U336),MAX(S336,T336)&gt;=Parametros!$B$15,ABS(N(U336))&gt;Parametros!$B$14),"SÍ","")</f>
        <v/>
      </c>
      <c r="Z336" s="3" t="n">
        <f aca="false">COUNTIF(V336:Y336,"SÍ")</f>
        <v>0</v>
      </c>
      <c r="AA336" s="3" t="n">
        <f aca="false">(3*(V336="SÍ")+2*(W336="SÍ")+2*(X336="SÍ")+(Y336="SÍ"))*IF(LEFT(D336,1)="A",3,IF(OR(LEFT(D336,1)="B",D336="SIN HIST"),2,1))</f>
        <v>0</v>
      </c>
      <c r="AB336" s="3" t="str">
        <f aca="false">IF(AA336&gt;=9,"1-ALTA",IF(AA336&gt;=4,"2-MEDIA",IF(AA336&gt;0,"3-BAJA","")))</f>
        <v/>
      </c>
      <c r="AC336" s="3" t="str">
        <f aca="false">IF(E336="BAJO SS","Stock + XLIB bajo el SS: riesgo real de quiebre, adelantar producción. ","")&amp;IF(E336="BAJO SS (XLIB CUBRE)","Disponible bajo el SS; depende de liberar "&amp;TEXT(J336,"#,##0")&amp;" kg"&amp;IF(ISNUMBER(K336)," el "&amp;TEXT(K336,"dd-mm"),"")&amp;". ","")&amp;IF(W336="SÍ","Stock parece sano pero "&amp;TEXT(L336,"#,##0")&amp;" kg no pasan filtro "&amp;Stock_Seguridad!O336&amp;": sin ellos queda bajo el SS para esa cadena. ","")&amp;IF(E336="SOBRE MAX VENDIBLE","Sobrestock vs vida útil: frenar producción/activar venta. ","")&amp;IF(N(N336)&gt;=Parametros!$B$17,TEXT(N336,"#,##0")&amp;" kg ya no los acepta ninguna cadena: venta intermedia/liquidación. ","")&amp;IF(N(M336)&gt;=Parametros!$B$17,TEXT(M336,"#,##0")&amp;" kg a punto de salir del filtro: despachar primero (FEFO). ","")&amp;IF(Y336="SÍ","Pedidos "&amp;IF(N(U336)&gt;0,"sobre","bajo")&amp;" FCST "&amp;TEXT(ABS(N(U336)),"0%")&amp;": revisar forecast con KAM.","")</f>
        <v/>
      </c>
    </row>
    <row r="337" customFormat="false" ht="15" hidden="false" customHeight="false" outlineLevel="0" collapsed="false">
      <c r="A337" s="18" t="n">
        <f aca="false">Stock_Seguridad!A337</f>
        <v>30001060</v>
      </c>
      <c r="B337" s="18" t="str">
        <f aca="false">Stock_Seguridad!B337</f>
        <v>YOGURT LONCO PROTEIN TRZ MGOMYA 24X140G</v>
      </c>
      <c r="C337" s="18" t="str">
        <f aca="false">Stock_Seguridad!C337</f>
        <v>YOGURT</v>
      </c>
      <c r="D337" s="18" t="str">
        <f aca="false">Stock_Seguridad!F337</f>
        <v>BX</v>
      </c>
      <c r="E337" s="19" t="str">
        <f aca="false">Stock_Seguridad!X337</f>
        <v>BAJO SS</v>
      </c>
      <c r="F337" s="20" t="n">
        <f aca="false">Stock_Seguridad!W337</f>
        <v>0.0156850077168802</v>
      </c>
      <c r="G337" s="21" t="n">
        <f aca="false">Stock_Seguridad!T337</f>
        <v>43.7</v>
      </c>
      <c r="H337" s="21" t="n">
        <f aca="false">Stock_Seguridad!R337</f>
        <v>1564.07151265199</v>
      </c>
      <c r="I337" s="21" t="n">
        <f aca="false">Stock_Seguridad!S337</f>
        <v>4350.17151265199</v>
      </c>
      <c r="J337" s="21" t="n">
        <f aca="false">Stock_Seguridad!U337</f>
        <v>0</v>
      </c>
      <c r="K337" s="22"/>
      <c r="L337" s="23" t="n">
        <v>43.68</v>
      </c>
      <c r="M337" s="23" t="n">
        <v>0</v>
      </c>
      <c r="N337" s="23" t="n">
        <v>43.68</v>
      </c>
      <c r="O337" s="24" t="n">
        <v>0.396153846153846</v>
      </c>
      <c r="P337" s="24" t="n">
        <f aca="false">IF(ISNUMBER(Stock_Seguridad!N337),Stock_Seguridad!N337,"")</f>
        <v>0.3</v>
      </c>
      <c r="Q337" s="24" t="n">
        <f aca="false">IF(AND(ISNUMBER(O337),ISNUMBER(P337)),P337-O337,"")</f>
        <v>-0.0961538461538462</v>
      </c>
      <c r="R337" s="23" t="n">
        <f aca="false">MAX(0,G337-N(L337))</f>
        <v>0.0200000000000031</v>
      </c>
      <c r="S337" s="23" t="n">
        <f aca="false">SUMIFS(Cadenas_vs_FCST!$D$17:$D$2437,Cadenas_vs_FCST!$A$17:$A$2437,A337)</f>
        <v>10792.32</v>
      </c>
      <c r="T337" s="23" t="n">
        <f aca="false">SUMIFS(Cadenas_vs_FCST!$E$17:$E$2437,Cadenas_vs_FCST!$A$17:$A$2437,A337)</f>
        <v>11834.5376858298</v>
      </c>
      <c r="U337" s="24" t="n">
        <f aca="false">IF(T337&gt;0,S337/T337-1,"")</f>
        <v>-0.0880657710083347</v>
      </c>
      <c r="V337" s="3" t="str">
        <f aca="false">IF(OR(E337="BAJO SS",E337="BAJO SS (XLIB CUBRE)"),"SÍ","")</f>
        <v>SÍ</v>
      </c>
      <c r="W337" s="3" t="str">
        <f aca="false">IF(AND(V337="",N(L337)&gt;=Parametros!$B$17,G337&gt;=H337,R337&lt;H337),"SÍ","")</f>
        <v/>
      </c>
      <c r="X337" s="3" t="str">
        <f aca="false">IF(OR(E337="SOBRE MAX VENDIBLE",N(N337)&gt;=Parametros!$B$17,N(M337)&gt;=Parametros!$B$17),"SÍ","")</f>
        <v/>
      </c>
      <c r="Y337" s="3" t="str">
        <f aca="false">IF(AND(ISNUMBER(U337),MAX(S337,T337)&gt;=Parametros!$B$15,ABS(N(U337))&gt;Parametros!$B$14),"SÍ","")</f>
        <v/>
      </c>
      <c r="Z337" s="3" t="n">
        <f aca="false">COUNTIF(V337:Y337,"SÍ")</f>
        <v>1</v>
      </c>
      <c r="AA337" s="3" t="n">
        <f aca="false">(3*(V337="SÍ")+2*(W337="SÍ")+2*(X337="SÍ")+(Y337="SÍ"))*IF(LEFT(D337,1)="A",3,IF(OR(LEFT(D337,1)="B",D337="SIN HIST"),2,1))</f>
        <v>6</v>
      </c>
      <c r="AB337" s="3" t="str">
        <f aca="false">IF(AA337&gt;=9,"1-ALTA",IF(AA337&gt;=4,"2-MEDIA",IF(AA337&gt;0,"3-BAJA","")))</f>
        <v>2-MEDIA</v>
      </c>
      <c r="AC337" s="3" t="str">
        <f aca="false">IF(E337="BAJO SS","Stock + XLIB bajo el SS: riesgo real de quiebre, adelantar producción. ","")&amp;IF(E337="BAJO SS (XLIB CUBRE)","Disponible bajo el SS; depende de liberar "&amp;TEXT(J337,"#,##0")&amp;" kg"&amp;IF(ISNUMBER(K337)," el "&amp;TEXT(K337,"dd-mm"),"")&amp;". ","")&amp;IF(W337="SÍ","Stock parece sano pero "&amp;TEXT(L337,"#,##0")&amp;" kg no pasan filtro "&amp;Stock_Seguridad!O337&amp;": sin ellos queda bajo el SS para esa cadena. ","")&amp;IF(E337="SOBRE MAX VENDIBLE","Sobrestock vs vida útil: frenar producción/activar venta. ","")&amp;IF(N(N337)&gt;=Parametros!$B$17,TEXT(N337,"#,##0")&amp;" kg ya no los acepta ninguna cadena: venta intermedia/liquidación. ","")&amp;IF(N(M337)&gt;=Parametros!$B$17,TEXT(M337,"#,##0")&amp;" kg a punto de salir del filtro: despachar primero (FEFO). ","")&amp;IF(Y337="SÍ","Pedidos "&amp;IF(N(U337)&gt;0,"sobre","bajo")&amp;" FCST "&amp;TEXT(ABS(N(U337)),"0%")&amp;": revisar forecast con KAM.","")</f>
        <v>Stock + XLIB bajo el SS: riesgo real de quiebre, adelantar producción. </v>
      </c>
    </row>
    <row r="338" customFormat="false" ht="15" hidden="false" customHeight="false" outlineLevel="0" collapsed="false">
      <c r="A338" s="18" t="n">
        <f aca="false">Stock_Seguridad!A338</f>
        <v>30002359</v>
      </c>
      <c r="B338" s="18" t="str">
        <f aca="false">Stock_Seguridad!B338</f>
        <v>LECHE BON MOMENT DAN CAPPUCCINO 30X200ML</v>
      </c>
      <c r="C338" s="18" t="str">
        <f aca="false">Stock_Seguridad!C338</f>
        <v>LECHES LIQUIDAS</v>
      </c>
      <c r="D338" s="18" t="str">
        <f aca="false">Stock_Seguridad!F338</f>
        <v>BX</v>
      </c>
      <c r="E338" s="19" t="str">
        <f aca="false">Stock_Seguridad!X338</f>
        <v>BAJO SS</v>
      </c>
      <c r="F338" s="20" t="n">
        <f aca="false">Stock_Seguridad!W338</f>
        <v>0.315630179433595</v>
      </c>
      <c r="G338" s="21" t="n">
        <f aca="false">Stock_Seguridad!T338</f>
        <v>876</v>
      </c>
      <c r="H338" s="21" t="n">
        <f aca="false">Stock_Seguridad!R338</f>
        <v>2571.67102910341</v>
      </c>
      <c r="I338" s="21" t="n">
        <f aca="false">Stock_Seguridad!S338</f>
        <v>5347.07102910341</v>
      </c>
      <c r="J338" s="21" t="n">
        <f aca="false">Stock_Seguridad!U338</f>
        <v>0</v>
      </c>
      <c r="K338" s="22"/>
      <c r="L338" s="23" t="n">
        <v>0</v>
      </c>
      <c r="M338" s="23" t="n">
        <v>0</v>
      </c>
      <c r="N338" s="23" t="n">
        <v>0</v>
      </c>
      <c r="O338" s="24" t="n">
        <v>0.271232876712329</v>
      </c>
      <c r="P338" s="24" t="str">
        <f aca="false">IF(ISNUMBER(Stock_Seguridad!N338),Stock_Seguridad!N338,"")</f>
        <v/>
      </c>
      <c r="Q338" s="24" t="str">
        <f aca="false">IF(AND(ISNUMBER(O338),ISNUMBER(P338)),P338-O338,"")</f>
        <v/>
      </c>
      <c r="R338" s="23" t="n">
        <f aca="false">MAX(0,G338-N(L338))</f>
        <v>876</v>
      </c>
      <c r="S338" s="23" t="n">
        <f aca="false">SUMIFS(Cadenas_vs_FCST!$D$17:$D$2437,Cadenas_vs_FCST!$A$17:$A$2437,A338)</f>
        <v>16392</v>
      </c>
      <c r="T338" s="23" t="n">
        <f aca="false">SUMIFS(Cadenas_vs_FCST!$E$17:$E$2437,Cadenas_vs_FCST!$A$17:$A$2437,A338)</f>
        <v>12626.1306136282</v>
      </c>
      <c r="U338" s="24" t="n">
        <f aca="false">IF(T338&gt;0,S338/T338-1,"")</f>
        <v>0.298259973828165</v>
      </c>
      <c r="V338" s="3" t="str">
        <f aca="false">IF(OR(E338="BAJO SS",E338="BAJO SS (XLIB CUBRE)"),"SÍ","")</f>
        <v>SÍ</v>
      </c>
      <c r="W338" s="3" t="str">
        <f aca="false">IF(AND(V338="",N(L338)&gt;=Parametros!$B$17,G338&gt;=H338,R338&lt;H338),"SÍ","")</f>
        <v/>
      </c>
      <c r="X338" s="3" t="str">
        <f aca="false">IF(OR(E338="SOBRE MAX VENDIBLE",N(N338)&gt;=Parametros!$B$17,N(M338)&gt;=Parametros!$B$17),"SÍ","")</f>
        <v/>
      </c>
      <c r="Y338" s="3" t="str">
        <f aca="false">IF(AND(ISNUMBER(U338),MAX(S338,T338)&gt;=Parametros!$B$15,ABS(N(U338))&gt;Parametros!$B$14),"SÍ","")</f>
        <v>SÍ</v>
      </c>
      <c r="Z338" s="3" t="n">
        <f aca="false">COUNTIF(V338:Y338,"SÍ")</f>
        <v>2</v>
      </c>
      <c r="AA338" s="3" t="n">
        <f aca="false">(3*(V338="SÍ")+2*(W338="SÍ")+2*(X338="SÍ")+(Y338="SÍ"))*IF(LEFT(D338,1)="A",3,IF(OR(LEFT(D338,1)="B",D338="SIN HIST"),2,1))</f>
        <v>8</v>
      </c>
      <c r="AB338" s="3" t="str">
        <f aca="false">IF(AA338&gt;=9,"1-ALTA",IF(AA338&gt;=4,"2-MEDIA",IF(AA338&gt;0,"3-BAJA","")))</f>
        <v>2-MEDIA</v>
      </c>
      <c r="AC338" s="3" t="str">
        <f aca="false">IF(E338="BAJO SS","Stock + XLIB bajo el SS: riesgo real de quiebre, adelantar producción. ","")&amp;IF(E338="BAJO SS (XLIB CUBRE)","Disponible bajo el SS; depende de liberar "&amp;TEXT(J338,"#,##0")&amp;" kg"&amp;IF(ISNUMBER(K338)," el "&amp;TEXT(K338,"dd-mm"),"")&amp;". ","")&amp;IF(W338="SÍ","Stock parece sano pero "&amp;TEXT(L338,"#,##0")&amp;" kg no pasan filtro "&amp;Stock_Seguridad!O338&amp;": sin ellos queda bajo el SS para esa cadena. ","")&amp;IF(E338="SOBRE MAX VENDIBLE","Sobrestock vs vida útil: frenar producción/activar venta. ","")&amp;IF(N(N338)&gt;=Parametros!$B$17,TEXT(N338,"#,##0")&amp;" kg ya no los acepta ninguna cadena: venta intermedia/liquidación. ","")&amp;IF(N(M338)&gt;=Parametros!$B$17,TEXT(M338,"#,##0")&amp;" kg a punto de salir del filtro: despachar primero (FEFO). ","")&amp;IF(Y338="SÍ","Pedidos "&amp;IF(N(U338)&gt;0,"sobre","bajo")&amp;" FCST "&amp;TEXT(ABS(N(U338)),"0%")&amp;": revisar forecast con KAM.","")</f>
        <v>Stock + XLIB bajo el SS: riesgo real de quiebre, adelantar producción. Pedidos sobre FCST 30%: revisar forecast con KAM.</v>
      </c>
    </row>
    <row r="339" customFormat="false" ht="15" hidden="false" customHeight="false" outlineLevel="0" collapsed="false">
      <c r="A339" s="18" t="n">
        <f aca="false">Stock_Seguridad!A339</f>
        <v>30001033</v>
      </c>
      <c r="B339" s="18" t="str">
        <f aca="false">Stock_Seguridad!B339</f>
        <v>YOGURT DANONE  L&amp;F VLLA BOLSA 12X900GR</v>
      </c>
      <c r="C339" s="18" t="str">
        <f aca="false">Stock_Seguridad!C339</f>
        <v>YOGURT</v>
      </c>
      <c r="D339" s="18" t="str">
        <f aca="false">Stock_Seguridad!F339</f>
        <v>BX</v>
      </c>
      <c r="E339" s="19" t="str">
        <f aca="false">Stock_Seguridad!X339</f>
        <v>BAJO P.REORDEN</v>
      </c>
      <c r="F339" s="20" t="n">
        <f aca="false">Stock_Seguridad!W339</f>
        <v>0.696950032446463</v>
      </c>
      <c r="G339" s="21" t="n">
        <f aca="false">Stock_Seguridad!T339</f>
        <v>1933.2</v>
      </c>
      <c r="H339" s="21" t="n">
        <f aca="false">Stock_Seguridad!R339</f>
        <v>1481.60197211212</v>
      </c>
      <c r="I339" s="21" t="n">
        <f aca="false">Stock_Seguridad!S339</f>
        <v>4255.40197211212</v>
      </c>
      <c r="J339" s="21" t="n">
        <f aca="false">Stock_Seguridad!U339</f>
        <v>0</v>
      </c>
      <c r="K339" s="22"/>
      <c r="L339" s="23" t="n">
        <v>54</v>
      </c>
      <c r="M339" s="23" t="n">
        <v>10.8</v>
      </c>
      <c r="N339" s="23" t="n">
        <v>54</v>
      </c>
      <c r="O339" s="24" t="n">
        <v>0.0922159090909091</v>
      </c>
      <c r="P339" s="24" t="n">
        <f aca="false">IF(ISNUMBER(Stock_Seguridad!N339),Stock_Seguridad!N339,"")</f>
        <v>0.193548387096774</v>
      </c>
      <c r="Q339" s="24" t="n">
        <f aca="false">IF(AND(ISNUMBER(O339),ISNUMBER(P339)),P339-O339,"")</f>
        <v>0.101332478005865</v>
      </c>
      <c r="R339" s="23" t="n">
        <f aca="false">MAX(0,G339-N(L339))</f>
        <v>1879.2</v>
      </c>
      <c r="S339" s="23" t="n">
        <f aca="false">SUMIFS(Cadenas_vs_FCST!$D$17:$D$2437,Cadenas_vs_FCST!$A$17:$A$2437,A339)</f>
        <v>9417.6</v>
      </c>
      <c r="T339" s="23" t="n">
        <f aca="false">SUMIFS(Cadenas_vs_FCST!$E$17:$E$2437,Cadenas_vs_FCST!$A$17:$A$2437,A339)</f>
        <v>9042.06588502259</v>
      </c>
      <c r="U339" s="24" t="n">
        <f aca="false">IF(T339&gt;0,S339/T339-1,"")</f>
        <v>0.0415318932368605</v>
      </c>
      <c r="V339" s="3" t="str">
        <f aca="false">IF(OR(E339="BAJO SS",E339="BAJO SS (XLIB CUBRE)"),"SÍ","")</f>
        <v/>
      </c>
      <c r="W339" s="3" t="str">
        <f aca="false">IF(AND(V339="",N(L339)&gt;=Parametros!$B$17,G339&gt;=H339,R339&lt;H339),"SÍ","")</f>
        <v/>
      </c>
      <c r="X339" s="3" t="str">
        <f aca="false">IF(OR(E339="SOBRE MAX VENDIBLE",N(N339)&gt;=Parametros!$B$17,N(M339)&gt;=Parametros!$B$17),"SÍ","")</f>
        <v/>
      </c>
      <c r="Y339" s="3" t="str">
        <f aca="false">IF(AND(ISNUMBER(U339),MAX(S339,T339)&gt;=Parametros!$B$15,ABS(N(U339))&gt;Parametros!$B$14),"SÍ","")</f>
        <v/>
      </c>
      <c r="Z339" s="3" t="n">
        <f aca="false">COUNTIF(V339:Y339,"SÍ")</f>
        <v>0</v>
      </c>
      <c r="AA339" s="3" t="n">
        <f aca="false">(3*(V339="SÍ")+2*(W339="SÍ")+2*(X339="SÍ")+(Y339="SÍ"))*IF(LEFT(D339,1)="A",3,IF(OR(LEFT(D339,1)="B",D339="SIN HIST"),2,1))</f>
        <v>0</v>
      </c>
      <c r="AB339" s="3" t="str">
        <f aca="false">IF(AA339&gt;=9,"1-ALTA",IF(AA339&gt;=4,"2-MEDIA",IF(AA339&gt;0,"3-BAJA","")))</f>
        <v/>
      </c>
      <c r="AC339" s="3" t="str">
        <f aca="false">IF(E339="BAJO SS","Stock + XLIB bajo el SS: riesgo real de quiebre, adelantar producción. ","")&amp;IF(E339="BAJO SS (XLIB CUBRE)","Disponible bajo el SS; depende de liberar "&amp;TEXT(J339,"#,##0")&amp;" kg"&amp;IF(ISNUMBER(K339)," el "&amp;TEXT(K339,"dd-mm"),"")&amp;". ","")&amp;IF(W339="SÍ","Stock parece sano pero "&amp;TEXT(L339,"#,##0")&amp;" kg no pasan filtro "&amp;Stock_Seguridad!O339&amp;": sin ellos queda bajo el SS para esa cadena. ","")&amp;IF(E339="SOBRE MAX VENDIBLE","Sobrestock vs vida útil: frenar producción/activar venta. ","")&amp;IF(N(N339)&gt;=Parametros!$B$17,TEXT(N339,"#,##0")&amp;" kg ya no los acepta ninguna cadena: venta intermedia/liquidación. ","")&amp;IF(N(M339)&gt;=Parametros!$B$17,TEXT(M339,"#,##0")&amp;" kg a punto de salir del filtro: despachar primero (FEFO). ","")&amp;IF(Y339="SÍ","Pedidos "&amp;IF(N(U339)&gt;0,"sobre","bajo")&amp;" FCST "&amp;TEXT(ABS(N(U339)),"0%")&amp;": revisar forecast con KAM.","")</f>
        <v/>
      </c>
    </row>
    <row r="340" customFormat="false" ht="15" hidden="false" customHeight="false" outlineLevel="0" collapsed="false">
      <c r="A340" s="18" t="n">
        <f aca="false">Stock_Seguridad!A340</f>
        <v>30001954</v>
      </c>
      <c r="B340" s="18" t="str">
        <f aca="false">Stock_Seguridad!B340</f>
        <v>CEREZAS CON CAROZO 16X500GR</v>
      </c>
      <c r="C340" s="18" t="str">
        <f aca="false">Stock_Seguridad!C340</f>
        <v>CONSERVAS Y PLATOS LISTOS</v>
      </c>
      <c r="D340" s="18" t="str">
        <f aca="false">Stock_Seguridad!F340</f>
        <v>BX</v>
      </c>
      <c r="E340" s="19" t="str">
        <f aca="false">Stock_Seguridad!X340</f>
        <v>OK</v>
      </c>
      <c r="F340" s="20" t="n">
        <f aca="false">Stock_Seguridad!W340</f>
        <v>9.60898745258244</v>
      </c>
      <c r="G340" s="21" t="n">
        <f aca="false">Stock_Seguridad!T340</f>
        <v>26344</v>
      </c>
      <c r="H340" s="21" t="n">
        <f aca="false">Stock_Seguridad!R340</f>
        <v>1546.15234769701</v>
      </c>
      <c r="I340" s="21" t="n">
        <f aca="false">Stock_Seguridad!S340</f>
        <v>4287.75234769701</v>
      </c>
      <c r="J340" s="21" t="n">
        <f aca="false">Stock_Seguridad!U340</f>
        <v>0</v>
      </c>
      <c r="K340" s="22"/>
      <c r="L340" s="23" t="n">
        <v>26344</v>
      </c>
      <c r="M340" s="23" t="n">
        <v>0</v>
      </c>
      <c r="N340" s="23" t="n">
        <v>0</v>
      </c>
      <c r="O340" s="24" t="n">
        <v>0.404904342544792</v>
      </c>
      <c r="P340" s="24" t="n">
        <f aca="false">IF(ISNUMBER(Stock_Seguridad!N340),Stock_Seguridad!N340,"")</f>
        <v>0.12956204379562</v>
      </c>
      <c r="Q340" s="24" t="n">
        <f aca="false">IF(AND(ISNUMBER(O340),ISNUMBER(P340)),P340-O340,"")</f>
        <v>-0.275342298749172</v>
      </c>
      <c r="R340" s="23" t="n">
        <f aca="false">MAX(0,G340-N(L340))</f>
        <v>0</v>
      </c>
      <c r="S340" s="23" t="n">
        <f aca="false">SUMIFS(Cadenas_vs_FCST!$D$17:$D$2437,Cadenas_vs_FCST!$A$17:$A$2437,A340)</f>
        <v>9240</v>
      </c>
      <c r="T340" s="23" t="n">
        <f aca="false">SUMIFS(Cadenas_vs_FCST!$E$17:$E$2437,Cadenas_vs_FCST!$A$17:$A$2437,A340)</f>
        <v>10925</v>
      </c>
      <c r="U340" s="24" t="n">
        <f aca="false">IF(T340&gt;0,S340/T340-1,"")</f>
        <v>-0.154233409610984</v>
      </c>
      <c r="V340" s="3" t="str">
        <f aca="false">IF(OR(E340="BAJO SS",E340="BAJO SS (XLIB CUBRE)"),"SÍ","")</f>
        <v/>
      </c>
      <c r="W340" s="3" t="str">
        <f aca="false">IF(AND(V340="",N(L340)&gt;=Parametros!$B$17,G340&gt;=H340,R340&lt;H340),"SÍ","")</f>
        <v>SÍ</v>
      </c>
      <c r="X340" s="3" t="str">
        <f aca="false">IF(OR(E340="SOBRE MAX VENDIBLE",N(N340)&gt;=Parametros!$B$17,N(M340)&gt;=Parametros!$B$17),"SÍ","")</f>
        <v/>
      </c>
      <c r="Y340" s="3" t="str">
        <f aca="false">IF(AND(ISNUMBER(U340),MAX(S340,T340)&gt;=Parametros!$B$15,ABS(N(U340))&gt;Parametros!$B$14),"SÍ","")</f>
        <v/>
      </c>
      <c r="Z340" s="3" t="n">
        <f aca="false">COUNTIF(V340:Y340,"SÍ")</f>
        <v>1</v>
      </c>
      <c r="AA340" s="3" t="n">
        <f aca="false">(3*(V340="SÍ")+2*(W340="SÍ")+2*(X340="SÍ")+(Y340="SÍ"))*IF(LEFT(D340,1)="A",3,IF(OR(LEFT(D340,1)="B",D340="SIN HIST"),2,1))</f>
        <v>4</v>
      </c>
      <c r="AB340" s="3" t="str">
        <f aca="false">IF(AA340&gt;=9,"1-ALTA",IF(AA340&gt;=4,"2-MEDIA",IF(AA340&gt;0,"3-BAJA","")))</f>
        <v>2-MEDIA</v>
      </c>
      <c r="AC340" s="3" t="str">
        <f aca="false">IF(E340="BAJO SS","Stock + XLIB bajo el SS: riesgo real de quiebre, adelantar producción. ","")&amp;IF(E340="BAJO SS (XLIB CUBRE)","Disponible bajo el SS; depende de liberar "&amp;TEXT(J340,"#,##0")&amp;" kg"&amp;IF(ISNUMBER(K340)," el "&amp;TEXT(K340,"dd-mm"),"")&amp;". ","")&amp;IF(W340="SÍ","Stock parece sano pero "&amp;TEXT(L340,"#,##0")&amp;" kg no pasan filtro "&amp;Stock_Seguridad!O340&amp;": sin ellos queda bajo el SS para esa cadena. ","")&amp;IF(E340="SOBRE MAX VENDIBLE","Sobrestock vs vida útil: frenar producción/activar venta. ","")&amp;IF(N(N340)&gt;=Parametros!$B$17,TEXT(N340,"#,##0")&amp;" kg ya no los acepta ninguna cadena: venta intermedia/liquidación. ","")&amp;IF(N(M340)&gt;=Parametros!$B$17,TEXT(M340,"#,##0")&amp;" kg a punto de salir del filtro: despachar primero (FEFO). ","")&amp;IF(Y340="SÍ","Pedidos "&amp;IF(N(U340)&gt;0,"sobre","bajo")&amp;" FCST "&amp;TEXT(ABS(N(U340)),"0%")&amp;": revisar forecast con KAM.","")</f>
        <v>Stock parece sano pero 26,344 kg no pasan filtro TOTTUS: sin ellos queda bajo el SS para esa cadena. </v>
      </c>
    </row>
    <row r="341" customFormat="false" ht="15" hidden="false" customHeight="false" outlineLevel="0" collapsed="false">
      <c r="A341" s="18" t="n">
        <f aca="false">Stock_Seguridad!A341</f>
        <v>30002135</v>
      </c>
      <c r="B341" s="18" t="str">
        <f aca="false">Stock_Seguridad!B341</f>
        <v>JUGO FRESCO WATTS NJA ZANAHORIA 6X1,6LT</v>
      </c>
      <c r="C341" s="18" t="str">
        <f aca="false">Stock_Seguridad!C341</f>
        <v>JUGOS Y NECTARES</v>
      </c>
      <c r="D341" s="18" t="str">
        <f aca="false">Stock_Seguridad!F341</f>
        <v>BX</v>
      </c>
      <c r="E341" s="19" t="str">
        <f aca="false">Stock_Seguridad!X341</f>
        <v>OK</v>
      </c>
      <c r="F341" s="20" t="n">
        <f aca="false">Stock_Seguridad!W341</f>
        <v>1.6019536019536</v>
      </c>
      <c r="G341" s="21" t="n">
        <f aca="false">Stock_Seguridad!T341</f>
        <v>4329.6</v>
      </c>
      <c r="H341" s="21" t="n">
        <f aca="false">Stock_Seguridad!R341</f>
        <v>964.699753698631</v>
      </c>
      <c r="I341" s="21" t="n">
        <f aca="false">Stock_Seguridad!S341</f>
        <v>3667.39975369863</v>
      </c>
      <c r="J341" s="21" t="n">
        <f aca="false">Stock_Seguridad!U341</f>
        <v>0</v>
      </c>
      <c r="K341" s="22"/>
      <c r="L341" s="23" t="n">
        <v>278.4</v>
      </c>
      <c r="M341" s="23" t="n">
        <v>787.2</v>
      </c>
      <c r="N341" s="23" t="n">
        <v>0</v>
      </c>
      <c r="O341" s="24" t="n">
        <v>0.129223946784922</v>
      </c>
      <c r="P341" s="24" t="n">
        <f aca="false">IF(ISNUMBER(Stock_Seguridad!N341),Stock_Seguridad!N341,"")</f>
        <v>0.214285714285714</v>
      </c>
      <c r="Q341" s="24" t="n">
        <f aca="false">IF(AND(ISNUMBER(O341),ISNUMBER(P341)),P341-O341,"")</f>
        <v>0.0850617675007919</v>
      </c>
      <c r="R341" s="23" t="n">
        <f aca="false">MAX(0,G341-N(L341))</f>
        <v>4051.2</v>
      </c>
      <c r="S341" s="23" t="n">
        <f aca="false">SUMIFS(Cadenas_vs_FCST!$D$17:$D$2437,Cadenas_vs_FCST!$A$17:$A$2437,A341)</f>
        <v>12643.2</v>
      </c>
      <c r="T341" s="23" t="n">
        <f aca="false">SUMIFS(Cadenas_vs_FCST!$E$17:$E$2437,Cadenas_vs_FCST!$A$17:$A$2437,A341)</f>
        <v>11313.8115933622</v>
      </c>
      <c r="U341" s="24" t="n">
        <f aca="false">IF(T341&gt;0,S341/T341-1,"")</f>
        <v>0.117501373932875</v>
      </c>
      <c r="V341" s="3" t="str">
        <f aca="false">IF(OR(E341="BAJO SS",E341="BAJO SS (XLIB CUBRE)"),"SÍ","")</f>
        <v/>
      </c>
      <c r="W341" s="3" t="str">
        <f aca="false">IF(AND(V341="",N(L341)&gt;=Parametros!$B$17,G341&gt;=H341,R341&lt;H341),"SÍ","")</f>
        <v/>
      </c>
      <c r="X341" s="3" t="str">
        <f aca="false">IF(OR(E341="SOBRE MAX VENDIBLE",N(N341)&gt;=Parametros!$B$17,N(M341)&gt;=Parametros!$B$17),"SÍ","")</f>
        <v>SÍ</v>
      </c>
      <c r="Y341" s="3" t="str">
        <f aca="false">IF(AND(ISNUMBER(U341),MAX(S341,T341)&gt;=Parametros!$B$15,ABS(N(U341))&gt;Parametros!$B$14),"SÍ","")</f>
        <v/>
      </c>
      <c r="Z341" s="3" t="n">
        <f aca="false">COUNTIF(V341:Y341,"SÍ")</f>
        <v>1</v>
      </c>
      <c r="AA341" s="3" t="n">
        <f aca="false">(3*(V341="SÍ")+2*(W341="SÍ")+2*(X341="SÍ")+(Y341="SÍ"))*IF(LEFT(D341,1)="A",3,IF(OR(LEFT(D341,1)="B",D341="SIN HIST"),2,1))</f>
        <v>4</v>
      </c>
      <c r="AB341" s="3" t="str">
        <f aca="false">IF(AA341&gt;=9,"1-ALTA",IF(AA341&gt;=4,"2-MEDIA",IF(AA341&gt;0,"3-BAJA","")))</f>
        <v>2-MEDIA</v>
      </c>
      <c r="AC341" s="3" t="str">
        <f aca="false">IF(E341="BAJO SS","Stock + XLIB bajo el SS: riesgo real de quiebre, adelantar producción. ","")&amp;IF(E341="BAJO SS (XLIB CUBRE)","Disponible bajo el SS; depende de liberar "&amp;TEXT(J341,"#,##0")&amp;" kg"&amp;IF(ISNUMBER(K341)," el "&amp;TEXT(K341,"dd-mm"),"")&amp;". ","")&amp;IF(W341="SÍ","Stock parece sano pero "&amp;TEXT(L341,"#,##0")&amp;" kg no pasan filtro "&amp;Stock_Seguridad!O341&amp;": sin ellos queda bajo el SS para esa cadena. ","")&amp;IF(E341="SOBRE MAX VENDIBLE","Sobrestock vs vida útil: frenar producción/activar venta. ","")&amp;IF(N(N341)&gt;=Parametros!$B$17,TEXT(N341,"#,##0")&amp;" kg ya no los acepta ninguna cadena: venta intermedia/liquidación. ","")&amp;IF(N(M341)&gt;=Parametros!$B$17,TEXT(M341,"#,##0")&amp;" kg a punto de salir del filtro: despachar primero (FEFO). ","")&amp;IF(Y341="SÍ","Pedidos "&amp;IF(N(U341)&gt;0,"sobre","bajo")&amp;" FCST "&amp;TEXT(ABS(N(U341)),"0%")&amp;": revisar forecast con KAM.","")</f>
        <v>787 kg a punto de salir del filtro: despachar primero (FEFO). </v>
      </c>
    </row>
    <row r="342" customFormat="false" ht="15" hidden="false" customHeight="false" outlineLevel="0" collapsed="false">
      <c r="A342" s="18" t="n">
        <f aca="false">Stock_Seguridad!A342</f>
        <v>30000778</v>
      </c>
      <c r="B342" s="18" t="str">
        <f aca="false">Stock_Seguridad!B342</f>
        <v>CHOCLO TROZO 20X350GR</v>
      </c>
      <c r="C342" s="18" t="str">
        <f aca="false">Stock_Seguridad!C342</f>
        <v>FRUTAS Y HORTALIZAS CONGELADAS</v>
      </c>
      <c r="D342" s="18" t="str">
        <f aca="false">Stock_Seguridad!F342</f>
        <v>SIN HIST</v>
      </c>
      <c r="E342" s="19" t="str">
        <f aca="false">Stock_Seguridad!X342</f>
        <v>OK</v>
      </c>
      <c r="F342" s="20" t="n">
        <f aca="false">Stock_Seguridad!W342</f>
        <v>16.5019011406844</v>
      </c>
      <c r="G342" s="21" t="n">
        <f aca="false">Stock_Seguridad!T342</f>
        <v>26068</v>
      </c>
      <c r="H342" s="21" t="n">
        <f aca="false">Stock_Seguridad!R342</f>
        <v>1323.74530189801</v>
      </c>
      <c r="I342" s="21" t="n">
        <f aca="false">Stock_Seguridad!S342</f>
        <v>4006.34530189801</v>
      </c>
      <c r="J342" s="21" t="n">
        <f aca="false">Stock_Seguridad!U342</f>
        <v>18200</v>
      </c>
      <c r="K342" s="22"/>
      <c r="L342" s="23" t="n">
        <v>0</v>
      </c>
      <c r="M342" s="23" t="n">
        <v>0</v>
      </c>
      <c r="N342" s="23" t="n">
        <v>0</v>
      </c>
      <c r="O342" s="24" t="n">
        <v>0.11</v>
      </c>
      <c r="P342" s="24" t="str">
        <f aca="false">IF(ISNUMBER(Stock_Seguridad!N342),Stock_Seguridad!N342,"")</f>
        <v/>
      </c>
      <c r="Q342" s="24" t="str">
        <f aca="false">IF(AND(ISNUMBER(O342),ISNUMBER(P342)),P342-O342,"")</f>
        <v/>
      </c>
      <c r="R342" s="23" t="n">
        <f aca="false">MAX(0,G342-N(L342))</f>
        <v>26068</v>
      </c>
      <c r="S342" s="23" t="n">
        <f aca="false">SUMIFS(Cadenas_vs_FCST!$D$17:$D$2437,Cadenas_vs_FCST!$A$17:$A$2437,A342)</f>
        <v>0</v>
      </c>
      <c r="T342" s="23" t="n">
        <f aca="false">SUMIFS(Cadenas_vs_FCST!$E$17:$E$2437,Cadenas_vs_FCST!$A$17:$A$2437,A342)</f>
        <v>0</v>
      </c>
      <c r="U342" s="24" t="str">
        <f aca="false">IF(T342&gt;0,S342/T342-1,"")</f>
        <v/>
      </c>
      <c r="V342" s="3" t="str">
        <f aca="false">IF(OR(E342="BAJO SS",E342="BAJO SS (XLIB CUBRE)"),"SÍ","")</f>
        <v/>
      </c>
      <c r="W342" s="3" t="str">
        <f aca="false">IF(AND(V342="",N(L342)&gt;=Parametros!$B$17,G342&gt;=H342,R342&lt;H342),"SÍ","")</f>
        <v/>
      </c>
      <c r="X342" s="3" t="str">
        <f aca="false">IF(OR(E342="SOBRE MAX VENDIBLE",N(N342)&gt;=Parametros!$B$17,N(M342)&gt;=Parametros!$B$17),"SÍ","")</f>
        <v/>
      </c>
      <c r="Y342" s="3" t="str">
        <f aca="false">IF(AND(ISNUMBER(U342),MAX(S342,T342)&gt;=Parametros!$B$15,ABS(N(U342))&gt;Parametros!$B$14),"SÍ","")</f>
        <v/>
      </c>
      <c r="Z342" s="3" t="n">
        <f aca="false">COUNTIF(V342:Y342,"SÍ")</f>
        <v>0</v>
      </c>
      <c r="AA342" s="3" t="n">
        <f aca="false">(3*(V342="SÍ")+2*(W342="SÍ")+2*(X342="SÍ")+(Y342="SÍ"))*IF(LEFT(D342,1)="A",3,IF(OR(LEFT(D342,1)="B",D342="SIN HIST"),2,1))</f>
        <v>0</v>
      </c>
      <c r="AB342" s="3" t="str">
        <f aca="false">IF(AA342&gt;=9,"1-ALTA",IF(AA342&gt;=4,"2-MEDIA",IF(AA342&gt;0,"3-BAJA","")))</f>
        <v/>
      </c>
      <c r="AC342" s="3" t="str">
        <f aca="false">IF(E342="BAJO SS","Stock + XLIB bajo el SS: riesgo real de quiebre, adelantar producción. ","")&amp;IF(E342="BAJO SS (XLIB CUBRE)","Disponible bajo el SS; depende de liberar "&amp;TEXT(J342,"#,##0")&amp;" kg"&amp;IF(ISNUMBER(K342)," el "&amp;TEXT(K342,"dd-mm"),"")&amp;". ","")&amp;IF(W342="SÍ","Stock parece sano pero "&amp;TEXT(L342,"#,##0")&amp;" kg no pasan filtro "&amp;Stock_Seguridad!O342&amp;": sin ellos queda bajo el SS para esa cadena. ","")&amp;IF(E342="SOBRE MAX VENDIBLE","Sobrestock vs vida útil: frenar producción/activar venta. ","")&amp;IF(N(N342)&gt;=Parametros!$B$17,TEXT(N342,"#,##0")&amp;" kg ya no los acepta ninguna cadena: venta intermedia/liquidación. ","")&amp;IF(N(M342)&gt;=Parametros!$B$17,TEXT(M342,"#,##0")&amp;" kg a punto de salir del filtro: despachar primero (FEFO). ","")&amp;IF(Y342="SÍ","Pedidos "&amp;IF(N(U342)&gt;0,"sobre","bajo")&amp;" FCST "&amp;TEXT(ABS(N(U342)),"0%")&amp;": revisar forecast con KAM.","")</f>
        <v/>
      </c>
    </row>
    <row r="343" customFormat="false" ht="15" hidden="false" customHeight="false" outlineLevel="0" collapsed="false">
      <c r="A343" s="18" t="n">
        <f aca="false">Stock_Seguridad!A343</f>
        <v>30001699</v>
      </c>
      <c r="B343" s="18" t="str">
        <f aca="false">Stock_Seguridad!B343</f>
        <v>ARANDANO RT 15X400GR</v>
      </c>
      <c r="C343" s="18" t="str">
        <f aca="false">Stock_Seguridad!C343</f>
        <v>FRUTAS Y HORTALIZAS CONGELADAS</v>
      </c>
      <c r="D343" s="18" t="str">
        <f aca="false">Stock_Seguridad!F343</f>
        <v>SIN HIST</v>
      </c>
      <c r="E343" s="19" t="str">
        <f aca="false">Stock_Seguridad!X343</f>
        <v>BAJO SS</v>
      </c>
      <c r="F343" s="20" t="n">
        <f aca="false">Stock_Seguridad!W343</f>
        <v>0.313983478488394</v>
      </c>
      <c r="G343" s="21" t="n">
        <f aca="false">Stock_Seguridad!T343</f>
        <v>840</v>
      </c>
      <c r="H343" s="21" t="n">
        <f aca="false">Stock_Seguridad!R343</f>
        <v>1320.14307245498</v>
      </c>
      <c r="I343" s="21" t="n">
        <f aca="false">Stock_Seguridad!S343</f>
        <v>3995.44307245498</v>
      </c>
      <c r="J343" s="21" t="n">
        <f aca="false">Stock_Seguridad!U343</f>
        <v>0</v>
      </c>
      <c r="K343" s="22"/>
      <c r="L343" s="23" t="n">
        <v>0</v>
      </c>
      <c r="M343" s="23" t="n">
        <v>0</v>
      </c>
      <c r="N343" s="23" t="n">
        <v>0</v>
      </c>
      <c r="O343" s="24" t="n">
        <v>0.1425</v>
      </c>
      <c r="P343" s="24" t="str">
        <f aca="false">IF(ISNUMBER(Stock_Seguridad!N343),Stock_Seguridad!N343,"")</f>
        <v/>
      </c>
      <c r="Q343" s="24" t="str">
        <f aca="false">IF(AND(ISNUMBER(O343),ISNUMBER(P343)),P343-O343,"")</f>
        <v/>
      </c>
      <c r="R343" s="23" t="n">
        <f aca="false">MAX(0,G343-N(L343))</f>
        <v>840</v>
      </c>
      <c r="S343" s="23" t="n">
        <f aca="false">SUMIFS(Cadenas_vs_FCST!$D$17:$D$2437,Cadenas_vs_FCST!$A$17:$A$2437,A343)</f>
        <v>0</v>
      </c>
      <c r="T343" s="23" t="n">
        <f aca="false">SUMIFS(Cadenas_vs_FCST!$E$17:$E$2437,Cadenas_vs_FCST!$A$17:$A$2437,A343)</f>
        <v>0</v>
      </c>
      <c r="U343" s="24" t="str">
        <f aca="false">IF(T343&gt;0,S343/T343-1,"")</f>
        <v/>
      </c>
      <c r="V343" s="3" t="str">
        <f aca="false">IF(OR(E343="BAJO SS",E343="BAJO SS (XLIB CUBRE)"),"SÍ","")</f>
        <v>SÍ</v>
      </c>
      <c r="W343" s="3" t="str">
        <f aca="false">IF(AND(V343="",N(L343)&gt;=Parametros!$B$17,G343&gt;=H343,R343&lt;H343),"SÍ","")</f>
        <v/>
      </c>
      <c r="X343" s="3" t="str">
        <f aca="false">IF(OR(E343="SOBRE MAX VENDIBLE",N(N343)&gt;=Parametros!$B$17,N(M343)&gt;=Parametros!$B$17),"SÍ","")</f>
        <v/>
      </c>
      <c r="Y343" s="3" t="str">
        <f aca="false">IF(AND(ISNUMBER(U343),MAX(S343,T343)&gt;=Parametros!$B$15,ABS(N(U343))&gt;Parametros!$B$14),"SÍ","")</f>
        <v/>
      </c>
      <c r="Z343" s="3" t="n">
        <f aca="false">COUNTIF(V343:Y343,"SÍ")</f>
        <v>1</v>
      </c>
      <c r="AA343" s="3" t="n">
        <f aca="false">(3*(V343="SÍ")+2*(W343="SÍ")+2*(X343="SÍ")+(Y343="SÍ"))*IF(LEFT(D343,1)="A",3,IF(OR(LEFT(D343,1)="B",D343="SIN HIST"),2,1))</f>
        <v>6</v>
      </c>
      <c r="AB343" s="3" t="str">
        <f aca="false">IF(AA343&gt;=9,"1-ALTA",IF(AA343&gt;=4,"2-MEDIA",IF(AA343&gt;0,"3-BAJA","")))</f>
        <v>2-MEDIA</v>
      </c>
      <c r="AC343" s="3" t="str">
        <f aca="false">IF(E343="BAJO SS","Stock + XLIB bajo el SS: riesgo real de quiebre, adelantar producción. ","")&amp;IF(E343="BAJO SS (XLIB CUBRE)","Disponible bajo el SS; depende de liberar "&amp;TEXT(J343,"#,##0")&amp;" kg"&amp;IF(ISNUMBER(K343)," el "&amp;TEXT(K343,"dd-mm"),"")&amp;". ","")&amp;IF(W343="SÍ","Stock parece sano pero "&amp;TEXT(L343,"#,##0")&amp;" kg no pasan filtro "&amp;Stock_Seguridad!O343&amp;": sin ellos queda bajo el SS para esa cadena. ","")&amp;IF(E343="SOBRE MAX VENDIBLE","Sobrestock vs vida útil: frenar producción/activar venta. ","")&amp;IF(N(N343)&gt;=Parametros!$B$17,TEXT(N343,"#,##0")&amp;" kg ya no los acepta ninguna cadena: venta intermedia/liquidación. ","")&amp;IF(N(M343)&gt;=Parametros!$B$17,TEXT(M343,"#,##0")&amp;" kg a punto de salir del filtro: despachar primero (FEFO). ","")&amp;IF(Y343="SÍ","Pedidos "&amp;IF(N(U343)&gt;0,"sobre","bajo")&amp;" FCST "&amp;TEXT(ABS(N(U343)),"0%")&amp;": revisar forecast con KAM.","")</f>
        <v>Stock + XLIB bajo el SS: riesgo real de quiebre, adelantar producción. </v>
      </c>
    </row>
    <row r="344" customFormat="false" ht="15" hidden="false" customHeight="false" outlineLevel="0" collapsed="false">
      <c r="A344" s="18" t="n">
        <f aca="false">Stock_Seguridad!A344</f>
        <v>30001856</v>
      </c>
      <c r="B344" s="18" t="str">
        <f aca="false">Stock_Seguridad!B344</f>
        <v>YOGURT ACTIVIA SEMILLA DZNO POTE 24X140G</v>
      </c>
      <c r="C344" s="18" t="str">
        <f aca="false">Stock_Seguridad!C344</f>
        <v>YOGURT</v>
      </c>
      <c r="D344" s="18" t="str">
        <f aca="false">Stock_Seguridad!F344</f>
        <v>BX</v>
      </c>
      <c r="E344" s="19" t="str">
        <f aca="false">Stock_Seguridad!X344</f>
        <v>SOBRE MAX VENDIBLE</v>
      </c>
      <c r="F344" s="20" t="n">
        <f aca="false">Stock_Seguridad!W344</f>
        <v>2.36819592701946</v>
      </c>
      <c r="G344" s="21" t="n">
        <f aca="false">Stock_Seguridad!T344</f>
        <v>3134.9</v>
      </c>
      <c r="H344" s="21" t="n">
        <f aca="false">Stock_Seguridad!R344</f>
        <v>1008.69428353166</v>
      </c>
      <c r="I344" s="21" t="n">
        <f aca="false">Stock_Seguridad!S344</f>
        <v>3650.49428353166</v>
      </c>
      <c r="J344" s="21" t="n">
        <f aca="false">Stock_Seguridad!U344</f>
        <v>3121.4</v>
      </c>
      <c r="K344" s="22" t="n">
        <v>46317</v>
      </c>
      <c r="L344" s="23" t="n">
        <v>0</v>
      </c>
      <c r="M344" s="23" t="n">
        <v>1142.4</v>
      </c>
      <c r="N344" s="23" t="n">
        <v>0</v>
      </c>
      <c r="O344" s="24" t="n">
        <v>0.0797046186895811</v>
      </c>
      <c r="P344" s="24" t="n">
        <f aca="false">IF(ISNUMBER(Stock_Seguridad!N344),Stock_Seguridad!N344,"")</f>
        <v>0.245614035087719</v>
      </c>
      <c r="Q344" s="24" t="n">
        <f aca="false">IF(AND(ISNUMBER(O344),ISNUMBER(P344)),P344-O344,"")</f>
        <v>0.165909416398138</v>
      </c>
      <c r="R344" s="23" t="n">
        <f aca="false">MAX(0,G344-N(L344))</f>
        <v>3134.9</v>
      </c>
      <c r="S344" s="23" t="n">
        <f aca="false">SUMIFS(Cadenas_vs_FCST!$D$17:$D$2437,Cadenas_vs_FCST!$A$17:$A$2437,A344)</f>
        <v>8930.88</v>
      </c>
      <c r="T344" s="23" t="n">
        <f aca="false">SUMIFS(Cadenas_vs_FCST!$E$17:$E$2437,Cadenas_vs_FCST!$A$17:$A$2437,A344)</f>
        <v>10889.3498391005</v>
      </c>
      <c r="U344" s="24" t="n">
        <f aca="false">IF(T344&gt;0,S344/T344-1,"")</f>
        <v>-0.179851861501245</v>
      </c>
      <c r="V344" s="3" t="str">
        <f aca="false">IF(OR(E344="BAJO SS",E344="BAJO SS (XLIB CUBRE)"),"SÍ","")</f>
        <v/>
      </c>
      <c r="W344" s="3" t="str">
        <f aca="false">IF(AND(V344="",N(L344)&gt;=Parametros!$B$17,G344&gt;=H344,R344&lt;H344),"SÍ","")</f>
        <v/>
      </c>
      <c r="X344" s="3" t="str">
        <f aca="false">IF(OR(E344="SOBRE MAX VENDIBLE",N(N344)&gt;=Parametros!$B$17,N(M344)&gt;=Parametros!$B$17),"SÍ","")</f>
        <v>SÍ</v>
      </c>
      <c r="Y344" s="3" t="str">
        <f aca="false">IF(AND(ISNUMBER(U344),MAX(S344,T344)&gt;=Parametros!$B$15,ABS(N(U344))&gt;Parametros!$B$14),"SÍ","")</f>
        <v/>
      </c>
      <c r="Z344" s="3" t="n">
        <f aca="false">COUNTIF(V344:Y344,"SÍ")</f>
        <v>1</v>
      </c>
      <c r="AA344" s="3" t="n">
        <f aca="false">(3*(V344="SÍ")+2*(W344="SÍ")+2*(X344="SÍ")+(Y344="SÍ"))*IF(LEFT(D344,1)="A",3,IF(OR(LEFT(D344,1)="B",D344="SIN HIST"),2,1))</f>
        <v>4</v>
      </c>
      <c r="AB344" s="3" t="str">
        <f aca="false">IF(AA344&gt;=9,"1-ALTA",IF(AA344&gt;=4,"2-MEDIA",IF(AA344&gt;0,"3-BAJA","")))</f>
        <v>2-MEDIA</v>
      </c>
      <c r="AC344" s="3" t="str">
        <f aca="false">IF(E344="BAJO SS","Stock + XLIB bajo el SS: riesgo real de quiebre, adelantar producción. ","")&amp;IF(E344="BAJO SS (XLIB CUBRE)","Disponible bajo el SS; depende de liberar "&amp;TEXT(J344,"#,##0")&amp;" kg"&amp;IF(ISNUMBER(K344)," el "&amp;TEXT(K344,"dd-mm"),"")&amp;". ","")&amp;IF(W344="SÍ","Stock parece sano pero "&amp;TEXT(L344,"#,##0")&amp;" kg no pasan filtro "&amp;Stock_Seguridad!O344&amp;": sin ellos queda bajo el SS para esa cadena. ","")&amp;IF(E344="SOBRE MAX VENDIBLE","Sobrestock vs vida útil: frenar producción/activar venta. ","")&amp;IF(N(N344)&gt;=Parametros!$B$17,TEXT(N344,"#,##0")&amp;" kg ya no los acepta ninguna cadena: venta intermedia/liquidación. ","")&amp;IF(N(M344)&gt;=Parametros!$B$17,TEXT(M344,"#,##0")&amp;" kg a punto de salir del filtro: despachar primero (FEFO). ","")&amp;IF(Y344="SÍ","Pedidos "&amp;IF(N(U344)&gt;0,"sobre","bajo")&amp;" FCST "&amp;TEXT(ABS(N(U344)),"0%")&amp;": revisar forecast con KAM.","")</f>
        <v>Sobrestock vs vida útil: frenar producción/activar venta. 1,142 kg a punto de salir del filtro: despachar primero (FEFO). </v>
      </c>
    </row>
    <row r="345" customFormat="false" ht="15" hidden="false" customHeight="false" outlineLevel="0" collapsed="false">
      <c r="A345" s="18" t="n">
        <f aca="false">Stock_Seguridad!A345</f>
        <v>30000706</v>
      </c>
      <c r="B345" s="18" t="str">
        <f aca="false">Stock_Seguridad!B345</f>
        <v>MIX PIMENTONES IQF 20X150GR</v>
      </c>
      <c r="C345" s="18" t="str">
        <f aca="false">Stock_Seguridad!C345</f>
        <v>FRUTAS Y HORTALIZAS CONGELADAS</v>
      </c>
      <c r="D345" s="18" t="str">
        <f aca="false">Stock_Seguridad!F345</f>
        <v>SIN HIST</v>
      </c>
      <c r="E345" s="19" t="str">
        <f aca="false">Stock_Seguridad!X345</f>
        <v>OK</v>
      </c>
      <c r="F345" s="20" t="n">
        <f aca="false">Stock_Seguridad!W345</f>
        <v>15.5318987725413</v>
      </c>
      <c r="G345" s="21" t="n">
        <f aca="false">Stock_Seguridad!T345</f>
        <v>26598</v>
      </c>
      <c r="H345" s="21" t="n">
        <f aca="false">Stock_Seguridad!R345</f>
        <v>1302.52669011033</v>
      </c>
      <c r="I345" s="21" t="n">
        <f aca="false">Stock_Seguridad!S345</f>
        <v>3942.12669011033</v>
      </c>
      <c r="J345" s="21" t="n">
        <f aca="false">Stock_Seguridad!U345</f>
        <v>14400</v>
      </c>
      <c r="K345" s="22"/>
      <c r="L345" s="23" t="n">
        <v>0</v>
      </c>
      <c r="M345" s="23" t="n">
        <v>0</v>
      </c>
      <c r="N345" s="23" t="n">
        <v>0</v>
      </c>
      <c r="O345" s="24" t="n">
        <v>0.223398601398601</v>
      </c>
      <c r="P345" s="24" t="str">
        <f aca="false">IF(ISNUMBER(Stock_Seguridad!N345),Stock_Seguridad!N345,"")</f>
        <v/>
      </c>
      <c r="Q345" s="24" t="str">
        <f aca="false">IF(AND(ISNUMBER(O345),ISNUMBER(P345)),P345-O345,"")</f>
        <v/>
      </c>
      <c r="R345" s="23" t="n">
        <f aca="false">MAX(0,G345-N(L345))</f>
        <v>26598</v>
      </c>
      <c r="S345" s="23" t="n">
        <f aca="false">SUMIFS(Cadenas_vs_FCST!$D$17:$D$2437,Cadenas_vs_FCST!$A$17:$A$2437,A345)</f>
        <v>0</v>
      </c>
      <c r="T345" s="23" t="n">
        <f aca="false">SUMIFS(Cadenas_vs_FCST!$E$17:$E$2437,Cadenas_vs_FCST!$A$17:$A$2437,A345)</f>
        <v>0</v>
      </c>
      <c r="U345" s="24" t="str">
        <f aca="false">IF(T345&gt;0,S345/T345-1,"")</f>
        <v/>
      </c>
      <c r="V345" s="3" t="str">
        <f aca="false">IF(OR(E345="BAJO SS",E345="BAJO SS (XLIB CUBRE)"),"SÍ","")</f>
        <v/>
      </c>
      <c r="W345" s="3" t="str">
        <f aca="false">IF(AND(V345="",N(L345)&gt;=Parametros!$B$17,G345&gt;=H345,R345&lt;H345),"SÍ","")</f>
        <v/>
      </c>
      <c r="X345" s="3" t="str">
        <f aca="false">IF(OR(E345="SOBRE MAX VENDIBLE",N(N345)&gt;=Parametros!$B$17,N(M345)&gt;=Parametros!$B$17),"SÍ","")</f>
        <v/>
      </c>
      <c r="Y345" s="3" t="str">
        <f aca="false">IF(AND(ISNUMBER(U345),MAX(S345,T345)&gt;=Parametros!$B$15,ABS(N(U345))&gt;Parametros!$B$14),"SÍ","")</f>
        <v/>
      </c>
      <c r="Z345" s="3" t="n">
        <f aca="false">COUNTIF(V345:Y345,"SÍ")</f>
        <v>0</v>
      </c>
      <c r="AA345" s="3" t="n">
        <f aca="false">(3*(V345="SÍ")+2*(W345="SÍ")+2*(X345="SÍ")+(Y345="SÍ"))*IF(LEFT(D345,1)="A",3,IF(OR(LEFT(D345,1)="B",D345="SIN HIST"),2,1))</f>
        <v>0</v>
      </c>
      <c r="AB345" s="3" t="str">
        <f aca="false">IF(AA345&gt;=9,"1-ALTA",IF(AA345&gt;=4,"2-MEDIA",IF(AA345&gt;0,"3-BAJA","")))</f>
        <v/>
      </c>
      <c r="AC345" s="3" t="str">
        <f aca="false">IF(E345="BAJO SS","Stock + XLIB bajo el SS: riesgo real de quiebre, adelantar producción. ","")&amp;IF(E345="BAJO SS (XLIB CUBRE)","Disponible bajo el SS; depende de liberar "&amp;TEXT(J345,"#,##0")&amp;" kg"&amp;IF(ISNUMBER(K345)," el "&amp;TEXT(K345,"dd-mm"),"")&amp;". ","")&amp;IF(W345="SÍ","Stock parece sano pero "&amp;TEXT(L345,"#,##0")&amp;" kg no pasan filtro "&amp;Stock_Seguridad!O345&amp;": sin ellos queda bajo el SS para esa cadena. ","")&amp;IF(E345="SOBRE MAX VENDIBLE","Sobrestock vs vida útil: frenar producción/activar venta. ","")&amp;IF(N(N345)&gt;=Parametros!$B$17,TEXT(N345,"#,##0")&amp;" kg ya no los acepta ninguna cadena: venta intermedia/liquidación. ","")&amp;IF(N(M345)&gt;=Parametros!$B$17,TEXT(M345,"#,##0")&amp;" kg a punto de salir del filtro: despachar primero (FEFO). ","")&amp;IF(Y345="SÍ","Pedidos "&amp;IF(N(U345)&gt;0,"sobre","bajo")&amp;" FCST "&amp;TEXT(ABS(N(U345)),"0%")&amp;": revisar forecast con KAM.","")</f>
        <v/>
      </c>
    </row>
    <row r="346" customFormat="false" ht="15" hidden="false" customHeight="false" outlineLevel="0" collapsed="false">
      <c r="A346" s="18" t="n">
        <f aca="false">Stock_Seguridad!A346</f>
        <v>30001854</v>
      </c>
      <c r="B346" s="18" t="str">
        <f aca="false">Stock_Seguridad!B346</f>
        <v>YOGURT ACTIVIA SEMILLA FLLA POTE 24X140G</v>
      </c>
      <c r="C346" s="18" t="str">
        <f aca="false">Stock_Seguridad!C346</f>
        <v>YOGURT</v>
      </c>
      <c r="D346" s="18" t="str">
        <f aca="false">Stock_Seguridad!F346</f>
        <v>BX</v>
      </c>
      <c r="E346" s="19" t="str">
        <f aca="false">Stock_Seguridad!X346</f>
        <v>BAJO P.REORDEN</v>
      </c>
      <c r="F346" s="20" t="n">
        <f aca="false">Stock_Seguridad!W346</f>
        <v>1.41294328267246</v>
      </c>
      <c r="G346" s="21" t="n">
        <f aca="false">Stock_Seguridad!T346</f>
        <v>3709.4</v>
      </c>
      <c r="H346" s="21" t="n">
        <f aca="false">Stock_Seguridad!R346</f>
        <v>2625.3</v>
      </c>
      <c r="I346" s="21" t="n">
        <f aca="false">Stock_Seguridad!S346</f>
        <v>5250.6</v>
      </c>
      <c r="J346" s="21" t="n">
        <f aca="false">Stock_Seguridad!U346</f>
        <v>0</v>
      </c>
      <c r="K346" s="22"/>
      <c r="L346" s="23" t="n">
        <v>705.6</v>
      </c>
      <c r="M346" s="23" t="n">
        <v>1290.24</v>
      </c>
      <c r="N346" s="23" t="n">
        <v>43.68</v>
      </c>
      <c r="O346" s="24" t="n">
        <v>0.173179347826087</v>
      </c>
      <c r="P346" s="24" t="n">
        <f aca="false">IF(ISNUMBER(Stock_Seguridad!N346),Stock_Seguridad!N346,"")</f>
        <v>0.245614035087719</v>
      </c>
      <c r="Q346" s="24" t="n">
        <f aca="false">IF(AND(ISNUMBER(O346),ISNUMBER(P346)),P346-O346,"")</f>
        <v>0.0724346872616324</v>
      </c>
      <c r="R346" s="23" t="n">
        <f aca="false">MAX(0,G346-N(L346))</f>
        <v>3003.8</v>
      </c>
      <c r="S346" s="23" t="n">
        <f aca="false">SUMIFS(Cadenas_vs_FCST!$D$17:$D$2437,Cadenas_vs_FCST!$A$17:$A$2437,A346)</f>
        <v>14894.88</v>
      </c>
      <c r="T346" s="23" t="n">
        <f aca="false">SUMIFS(Cadenas_vs_FCST!$E$17:$E$2437,Cadenas_vs_FCST!$A$17:$A$2437,A346)</f>
        <v>9073.63323888608</v>
      </c>
      <c r="U346" s="24" t="n">
        <f aca="false">IF(T346&gt;0,S346/T346-1,"")</f>
        <v>0.64155632125027</v>
      </c>
      <c r="V346" s="3" t="str">
        <f aca="false">IF(OR(E346="BAJO SS",E346="BAJO SS (XLIB CUBRE)"),"SÍ","")</f>
        <v/>
      </c>
      <c r="W346" s="3" t="str">
        <f aca="false">IF(AND(V346="",N(L346)&gt;=Parametros!$B$17,G346&gt;=H346,R346&lt;H346),"SÍ","")</f>
        <v/>
      </c>
      <c r="X346" s="3" t="str">
        <f aca="false">IF(OR(E346="SOBRE MAX VENDIBLE",N(N346)&gt;=Parametros!$B$17,N(M346)&gt;=Parametros!$B$17),"SÍ","")</f>
        <v>SÍ</v>
      </c>
      <c r="Y346" s="3" t="str">
        <f aca="false">IF(AND(ISNUMBER(U346),MAX(S346,T346)&gt;=Parametros!$B$15,ABS(N(U346))&gt;Parametros!$B$14),"SÍ","")</f>
        <v>SÍ</v>
      </c>
      <c r="Z346" s="3" t="n">
        <f aca="false">COUNTIF(V346:Y346,"SÍ")</f>
        <v>2</v>
      </c>
      <c r="AA346" s="3" t="n">
        <f aca="false">(3*(V346="SÍ")+2*(W346="SÍ")+2*(X346="SÍ")+(Y346="SÍ"))*IF(LEFT(D346,1)="A",3,IF(OR(LEFT(D346,1)="B",D346="SIN HIST"),2,1))</f>
        <v>6</v>
      </c>
      <c r="AB346" s="3" t="str">
        <f aca="false">IF(AA346&gt;=9,"1-ALTA",IF(AA346&gt;=4,"2-MEDIA",IF(AA346&gt;0,"3-BAJA","")))</f>
        <v>2-MEDIA</v>
      </c>
      <c r="AC346" s="3" t="str">
        <f aca="false">IF(E346="BAJO SS","Stock + XLIB bajo el SS: riesgo real de quiebre, adelantar producción. ","")&amp;IF(E346="BAJO SS (XLIB CUBRE)","Disponible bajo el SS; depende de liberar "&amp;TEXT(J346,"#,##0")&amp;" kg"&amp;IF(ISNUMBER(K346)," el "&amp;TEXT(K346,"dd-mm"),"")&amp;". ","")&amp;IF(W346="SÍ","Stock parece sano pero "&amp;TEXT(L346,"#,##0")&amp;" kg no pasan filtro "&amp;Stock_Seguridad!O346&amp;": sin ellos queda bajo el SS para esa cadena. ","")&amp;IF(E346="SOBRE MAX VENDIBLE","Sobrestock vs vida útil: frenar producción/activar venta. ","")&amp;IF(N(N346)&gt;=Parametros!$B$17,TEXT(N346,"#,##0")&amp;" kg ya no los acepta ninguna cadena: venta intermedia/liquidación. ","")&amp;IF(N(M346)&gt;=Parametros!$B$17,TEXT(M346,"#,##0")&amp;" kg a punto de salir del filtro: despachar primero (FEFO). ","")&amp;IF(Y346="SÍ","Pedidos "&amp;IF(N(U346)&gt;0,"sobre","bajo")&amp;" FCST "&amp;TEXT(ABS(N(U346)),"0%")&amp;": revisar forecast con KAM.","")</f>
        <v>1,290 kg a punto de salir del filtro: despachar primero (FEFO). Pedidos sobre FCST 64%: revisar forecast con KAM.</v>
      </c>
    </row>
    <row r="347" customFormat="false" ht="15" hidden="false" customHeight="false" outlineLevel="0" collapsed="false">
      <c r="A347" s="18" t="n">
        <f aca="false">Stock_Seguridad!A347</f>
        <v>30000764</v>
      </c>
      <c r="B347" s="18" t="str">
        <f aca="false">Stock_Seguridad!B347</f>
        <v>HABAS TIERNAS LC 24X400GR</v>
      </c>
      <c r="C347" s="18" t="str">
        <f aca="false">Stock_Seguridad!C347</f>
        <v>FRUTAS Y HORTALIZAS CONGELADAS</v>
      </c>
      <c r="D347" s="18" t="str">
        <f aca="false">Stock_Seguridad!F347</f>
        <v>SIN HIST</v>
      </c>
      <c r="E347" s="19" t="str">
        <f aca="false">Stock_Seguridad!X347</f>
        <v>OK</v>
      </c>
      <c r="F347" s="20" t="n">
        <f aca="false">Stock_Seguridad!W347</f>
        <v>2.17390308168175</v>
      </c>
      <c r="G347" s="21" t="n">
        <f aca="false">Stock_Seguridad!T347</f>
        <v>5692.8</v>
      </c>
      <c r="H347" s="21" t="n">
        <f aca="false">Stock_Seguridad!R347</f>
        <v>1292.21345786935</v>
      </c>
      <c r="I347" s="21" t="n">
        <f aca="false">Stock_Seguridad!S347</f>
        <v>3910.91345786935</v>
      </c>
      <c r="J347" s="21" t="n">
        <f aca="false">Stock_Seguridad!U347</f>
        <v>0</v>
      </c>
      <c r="K347" s="22"/>
      <c r="L347" s="23" t="n">
        <v>0</v>
      </c>
      <c r="M347" s="23" t="n">
        <v>0</v>
      </c>
      <c r="N347" s="23" t="n">
        <v>0</v>
      </c>
      <c r="O347" s="24" t="n">
        <v>0.05</v>
      </c>
      <c r="P347" s="24" t="str">
        <f aca="false">IF(ISNUMBER(Stock_Seguridad!N347),Stock_Seguridad!N347,"")</f>
        <v/>
      </c>
      <c r="Q347" s="24" t="str">
        <f aca="false">IF(AND(ISNUMBER(O347),ISNUMBER(P347)),P347-O347,"")</f>
        <v/>
      </c>
      <c r="R347" s="23" t="n">
        <f aca="false">MAX(0,G347-N(L347))</f>
        <v>5692.8</v>
      </c>
      <c r="S347" s="23" t="n">
        <f aca="false">SUMIFS(Cadenas_vs_FCST!$D$17:$D$2437,Cadenas_vs_FCST!$A$17:$A$2437,A347)</f>
        <v>0</v>
      </c>
      <c r="T347" s="23" t="n">
        <f aca="false">SUMIFS(Cadenas_vs_FCST!$E$17:$E$2437,Cadenas_vs_FCST!$A$17:$A$2437,A347)</f>
        <v>0</v>
      </c>
      <c r="U347" s="24" t="str">
        <f aca="false">IF(T347&gt;0,S347/T347-1,"")</f>
        <v/>
      </c>
      <c r="V347" s="3" t="str">
        <f aca="false">IF(OR(E347="BAJO SS",E347="BAJO SS (XLIB CUBRE)"),"SÍ","")</f>
        <v/>
      </c>
      <c r="W347" s="3" t="str">
        <f aca="false">IF(AND(V347="",N(L347)&gt;=Parametros!$B$17,G347&gt;=H347,R347&lt;H347),"SÍ","")</f>
        <v/>
      </c>
      <c r="X347" s="3" t="str">
        <f aca="false">IF(OR(E347="SOBRE MAX VENDIBLE",N(N347)&gt;=Parametros!$B$17,N(M347)&gt;=Parametros!$B$17),"SÍ","")</f>
        <v/>
      </c>
      <c r="Y347" s="3" t="str">
        <f aca="false">IF(AND(ISNUMBER(U347),MAX(S347,T347)&gt;=Parametros!$B$15,ABS(N(U347))&gt;Parametros!$B$14),"SÍ","")</f>
        <v/>
      </c>
      <c r="Z347" s="3" t="n">
        <f aca="false">COUNTIF(V347:Y347,"SÍ")</f>
        <v>0</v>
      </c>
      <c r="AA347" s="3" t="n">
        <f aca="false">(3*(V347="SÍ")+2*(W347="SÍ")+2*(X347="SÍ")+(Y347="SÍ"))*IF(LEFT(D347,1)="A",3,IF(OR(LEFT(D347,1)="B",D347="SIN HIST"),2,1))</f>
        <v>0</v>
      </c>
      <c r="AB347" s="3" t="str">
        <f aca="false">IF(AA347&gt;=9,"1-ALTA",IF(AA347&gt;=4,"2-MEDIA",IF(AA347&gt;0,"3-BAJA","")))</f>
        <v/>
      </c>
      <c r="AC347" s="3" t="str">
        <f aca="false">IF(E347="BAJO SS","Stock + XLIB bajo el SS: riesgo real de quiebre, adelantar producción. ","")&amp;IF(E347="BAJO SS (XLIB CUBRE)","Disponible bajo el SS; depende de liberar "&amp;TEXT(J347,"#,##0")&amp;" kg"&amp;IF(ISNUMBER(K347)," el "&amp;TEXT(K347,"dd-mm"),"")&amp;". ","")&amp;IF(W347="SÍ","Stock parece sano pero "&amp;TEXT(L347,"#,##0")&amp;" kg no pasan filtro "&amp;Stock_Seguridad!O347&amp;": sin ellos queda bajo el SS para esa cadena. ","")&amp;IF(E347="SOBRE MAX VENDIBLE","Sobrestock vs vida útil: frenar producción/activar venta. ","")&amp;IF(N(N347)&gt;=Parametros!$B$17,TEXT(N347,"#,##0")&amp;" kg ya no los acepta ninguna cadena: venta intermedia/liquidación. ","")&amp;IF(N(M347)&gt;=Parametros!$B$17,TEXT(M347,"#,##0")&amp;" kg a punto de salir del filtro: despachar primero (FEFO). ","")&amp;IF(Y347="SÍ","Pedidos "&amp;IF(N(U347)&gt;0,"sobre","bajo")&amp;" FCST "&amp;TEXT(ABS(N(U347)),"0%")&amp;": revisar forecast con KAM.","")</f>
        <v/>
      </c>
    </row>
    <row r="348" customFormat="false" ht="15" hidden="false" customHeight="false" outlineLevel="0" collapsed="false">
      <c r="A348" s="18" t="n">
        <f aca="false">Stock_Seguridad!A348</f>
        <v>30001995</v>
      </c>
      <c r="B348" s="18" t="str">
        <f aca="false">Stock_Seguridad!B348</f>
        <v>MARGARINA SUREÑA POTE 24X250GR</v>
      </c>
      <c r="C348" s="18" t="str">
        <f aca="false">Stock_Seguridad!C348</f>
        <v>MARGARINAS</v>
      </c>
      <c r="D348" s="18" t="str">
        <f aca="false">Stock_Seguridad!F348</f>
        <v>BX</v>
      </c>
      <c r="E348" s="19" t="str">
        <f aca="false">Stock_Seguridad!X348</f>
        <v>OK</v>
      </c>
      <c r="F348" s="20" t="n">
        <f aca="false">Stock_Seguridad!W348</f>
        <v>1.89923076923077</v>
      </c>
      <c r="G348" s="21" t="n">
        <f aca="false">Stock_Seguridad!T348</f>
        <v>4938</v>
      </c>
      <c r="H348" s="21" t="n">
        <f aca="false">Stock_Seguridad!R348</f>
        <v>1126.93603626159</v>
      </c>
      <c r="I348" s="21" t="n">
        <f aca="false">Stock_Seguridad!S348</f>
        <v>3726.93603626159</v>
      </c>
      <c r="J348" s="21" t="n">
        <f aca="false">Stock_Seguridad!U348</f>
        <v>0</v>
      </c>
      <c r="K348" s="22"/>
      <c r="L348" s="23" t="n">
        <v>0</v>
      </c>
      <c r="M348" s="23" t="n">
        <v>4938</v>
      </c>
      <c r="N348" s="23" t="n">
        <v>0</v>
      </c>
      <c r="O348" s="24" t="n">
        <v>0.160230862697448</v>
      </c>
      <c r="P348" s="24" t="n">
        <f aca="false">IF(ISNUMBER(Stock_Seguridad!N348),Stock_Seguridad!N348,"")</f>
        <v>0.217391304347826</v>
      </c>
      <c r="Q348" s="24" t="n">
        <f aca="false">IF(AND(ISNUMBER(O348),ISNUMBER(P348)),P348-O348,"")</f>
        <v>0.0571604416503777</v>
      </c>
      <c r="R348" s="23" t="n">
        <f aca="false">MAX(0,G348-N(L348))</f>
        <v>4938</v>
      </c>
      <c r="S348" s="23" t="n">
        <f aca="false">SUMIFS(Cadenas_vs_FCST!$D$17:$D$2437,Cadenas_vs_FCST!$A$17:$A$2437,A348)</f>
        <v>9606</v>
      </c>
      <c r="T348" s="23" t="n">
        <f aca="false">SUMIFS(Cadenas_vs_FCST!$E$17:$E$2437,Cadenas_vs_FCST!$A$17:$A$2437,A348)</f>
        <v>11438.0254584702</v>
      </c>
      <c r="U348" s="24" t="n">
        <f aca="false">IF(T348&gt;0,S348/T348-1,"")</f>
        <v>-0.160169730791558</v>
      </c>
      <c r="V348" s="3" t="str">
        <f aca="false">IF(OR(E348="BAJO SS",E348="BAJO SS (XLIB CUBRE)"),"SÍ","")</f>
        <v/>
      </c>
      <c r="W348" s="3" t="str">
        <f aca="false">IF(AND(V348="",N(L348)&gt;=Parametros!$B$17,G348&gt;=H348,R348&lt;H348),"SÍ","")</f>
        <v/>
      </c>
      <c r="X348" s="3" t="str">
        <f aca="false">IF(OR(E348="SOBRE MAX VENDIBLE",N(N348)&gt;=Parametros!$B$17,N(M348)&gt;=Parametros!$B$17),"SÍ","")</f>
        <v>SÍ</v>
      </c>
      <c r="Y348" s="3" t="str">
        <f aca="false">IF(AND(ISNUMBER(U348),MAX(S348,T348)&gt;=Parametros!$B$15,ABS(N(U348))&gt;Parametros!$B$14),"SÍ","")</f>
        <v/>
      </c>
      <c r="Z348" s="3" t="n">
        <f aca="false">COUNTIF(V348:Y348,"SÍ")</f>
        <v>1</v>
      </c>
      <c r="AA348" s="3" t="n">
        <f aca="false">(3*(V348="SÍ")+2*(W348="SÍ")+2*(X348="SÍ")+(Y348="SÍ"))*IF(LEFT(D348,1)="A",3,IF(OR(LEFT(D348,1)="B",D348="SIN HIST"),2,1))</f>
        <v>4</v>
      </c>
      <c r="AB348" s="3" t="str">
        <f aca="false">IF(AA348&gt;=9,"1-ALTA",IF(AA348&gt;=4,"2-MEDIA",IF(AA348&gt;0,"3-BAJA","")))</f>
        <v>2-MEDIA</v>
      </c>
      <c r="AC348" s="3" t="str">
        <f aca="false">IF(E348="BAJO SS","Stock + XLIB bajo el SS: riesgo real de quiebre, adelantar producción. ","")&amp;IF(E348="BAJO SS (XLIB CUBRE)","Disponible bajo el SS; depende de liberar "&amp;TEXT(J348,"#,##0")&amp;" kg"&amp;IF(ISNUMBER(K348)," el "&amp;TEXT(K348,"dd-mm"),"")&amp;". ","")&amp;IF(W348="SÍ","Stock parece sano pero "&amp;TEXT(L348,"#,##0")&amp;" kg no pasan filtro "&amp;Stock_Seguridad!O348&amp;": sin ellos queda bajo el SS para esa cadena. ","")&amp;IF(E348="SOBRE MAX VENDIBLE","Sobrestock vs vida útil: frenar producción/activar venta. ","")&amp;IF(N(N348)&gt;=Parametros!$B$17,TEXT(N348,"#,##0")&amp;" kg ya no los acepta ninguna cadena: venta intermedia/liquidación. ","")&amp;IF(N(M348)&gt;=Parametros!$B$17,TEXT(M348,"#,##0")&amp;" kg a punto de salir del filtro: despachar primero (FEFO). ","")&amp;IF(Y348="SÍ","Pedidos "&amp;IF(N(U348)&gt;0,"sobre","bajo")&amp;" FCST "&amp;TEXT(ABS(N(U348)),"0%")&amp;": revisar forecast con KAM.","")</f>
        <v>4,938 kg a punto de salir del filtro: despachar primero (FEFO). </v>
      </c>
    </row>
    <row r="349" customFormat="false" ht="15" hidden="false" customHeight="false" outlineLevel="0" collapsed="false">
      <c r="A349" s="18" t="n">
        <f aca="false">Stock_Seguridad!A349</f>
        <v>30001540</v>
      </c>
      <c r="B349" s="18" t="str">
        <f aca="false">Stock_Seguridad!B349</f>
        <v>PASTELERA DE CHOCLO 16X380GR</v>
      </c>
      <c r="C349" s="18" t="str">
        <f aca="false">Stock_Seguridad!C349</f>
        <v>CONSERVAS Y PLATOS LISTOS</v>
      </c>
      <c r="D349" s="18" t="str">
        <f aca="false">Stock_Seguridad!F349</f>
        <v>CX</v>
      </c>
      <c r="E349" s="19" t="str">
        <f aca="false">Stock_Seguridad!X349</f>
        <v>OK</v>
      </c>
      <c r="F349" s="20" t="n">
        <f aca="false">Stock_Seguridad!W349</f>
        <v>17.3853075215207</v>
      </c>
      <c r="G349" s="21" t="n">
        <f aca="false">Stock_Seguridad!T349</f>
        <v>44633.3</v>
      </c>
      <c r="H349" s="21" t="n">
        <f aca="false">Stock_Seguridad!R349</f>
        <v>1028.17776871958</v>
      </c>
      <c r="I349" s="21" t="n">
        <f aca="false">Stock_Seguridad!S349</f>
        <v>3595.47776871958</v>
      </c>
      <c r="J349" s="21" t="n">
        <f aca="false">Stock_Seguridad!U349</f>
        <v>0</v>
      </c>
      <c r="K349" s="22"/>
      <c r="L349" s="23" t="n">
        <v>176.32</v>
      </c>
      <c r="M349" s="23" t="n">
        <v>474.24</v>
      </c>
      <c r="N349" s="23" t="n">
        <v>0</v>
      </c>
      <c r="O349" s="24" t="n">
        <v>0.0761081596512737</v>
      </c>
      <c r="P349" s="24" t="n">
        <f aca="false">IF(ISNUMBER(Stock_Seguridad!N349),Stock_Seguridad!N349,"")</f>
        <v>0.197260273972603</v>
      </c>
      <c r="Q349" s="24" t="n">
        <f aca="false">IF(AND(ISNUMBER(O349),ISNUMBER(P349)),P349-O349,"")</f>
        <v>0.121152114321329</v>
      </c>
      <c r="R349" s="23" t="n">
        <f aca="false">MAX(0,G349-N(L349))</f>
        <v>44456.98</v>
      </c>
      <c r="S349" s="23" t="n">
        <f aca="false">SUMIFS(Cadenas_vs_FCST!$D$17:$D$2437,Cadenas_vs_FCST!$A$17:$A$2437,A349)</f>
        <v>9211.2</v>
      </c>
      <c r="T349" s="23" t="n">
        <f aca="false">SUMIFS(Cadenas_vs_FCST!$E$17:$E$2437,Cadenas_vs_FCST!$A$17:$A$2437,A349)</f>
        <v>10075.6</v>
      </c>
      <c r="U349" s="24" t="n">
        <f aca="false">IF(T349&gt;0,S349/T349-1,"")</f>
        <v>-0.0857914168883243</v>
      </c>
      <c r="V349" s="3" t="str">
        <f aca="false">IF(OR(E349="BAJO SS",E349="BAJO SS (XLIB CUBRE)"),"SÍ","")</f>
        <v/>
      </c>
      <c r="W349" s="3" t="str">
        <f aca="false">IF(AND(V349="",N(L349)&gt;=Parametros!$B$17,G349&gt;=H349,R349&lt;H349),"SÍ","")</f>
        <v/>
      </c>
      <c r="X349" s="3" t="str">
        <f aca="false">IF(OR(E349="SOBRE MAX VENDIBLE",N(N349)&gt;=Parametros!$B$17,N(M349)&gt;=Parametros!$B$17),"SÍ","")</f>
        <v/>
      </c>
      <c r="Y349" s="3" t="str">
        <f aca="false">IF(AND(ISNUMBER(U349),MAX(S349,T349)&gt;=Parametros!$B$15,ABS(N(U349))&gt;Parametros!$B$14),"SÍ","")</f>
        <v/>
      </c>
      <c r="Z349" s="3" t="n">
        <f aca="false">COUNTIF(V349:Y349,"SÍ")</f>
        <v>0</v>
      </c>
      <c r="AA349" s="3" t="n">
        <f aca="false">(3*(V349="SÍ")+2*(W349="SÍ")+2*(X349="SÍ")+(Y349="SÍ"))*IF(LEFT(D349,1)="A",3,IF(OR(LEFT(D349,1)="B",D349="SIN HIST"),2,1))</f>
        <v>0</v>
      </c>
      <c r="AB349" s="3" t="str">
        <f aca="false">IF(AA349&gt;=9,"1-ALTA",IF(AA349&gt;=4,"2-MEDIA",IF(AA349&gt;0,"3-BAJA","")))</f>
        <v/>
      </c>
      <c r="AC349" s="3" t="str">
        <f aca="false">IF(E349="BAJO SS","Stock + XLIB bajo el SS: riesgo real de quiebre, adelantar producción. ","")&amp;IF(E349="BAJO SS (XLIB CUBRE)","Disponible bajo el SS; depende de liberar "&amp;TEXT(J349,"#,##0")&amp;" kg"&amp;IF(ISNUMBER(K349)," el "&amp;TEXT(K349,"dd-mm"),"")&amp;". ","")&amp;IF(W349="SÍ","Stock parece sano pero "&amp;TEXT(L349,"#,##0")&amp;" kg no pasan filtro "&amp;Stock_Seguridad!O349&amp;": sin ellos queda bajo el SS para esa cadena. ","")&amp;IF(E349="SOBRE MAX VENDIBLE","Sobrestock vs vida útil: frenar producción/activar venta. ","")&amp;IF(N(N349)&gt;=Parametros!$B$17,TEXT(N349,"#,##0")&amp;" kg ya no los acepta ninguna cadena: venta intermedia/liquidación. ","")&amp;IF(N(M349)&gt;=Parametros!$B$17,TEXT(M349,"#,##0")&amp;" kg a punto de salir del filtro: despachar primero (FEFO). ","")&amp;IF(Y349="SÍ","Pedidos "&amp;IF(N(U349)&gt;0,"sobre","bajo")&amp;" FCST "&amp;TEXT(ABS(N(U349)),"0%")&amp;": revisar forecast con KAM.","")</f>
        <v/>
      </c>
    </row>
    <row r="350" customFormat="false" ht="15" hidden="false" customHeight="false" outlineLevel="0" collapsed="false">
      <c r="A350" s="18" t="n">
        <f aca="false">Stock_Seguridad!A350</f>
        <v>30001536</v>
      </c>
      <c r="B350" s="18" t="str">
        <f aca="false">Stock_Seguridad!B350</f>
        <v>YOGURT DANONE L&amp;F TRZO PAPAYA 24X145GR</v>
      </c>
      <c r="C350" s="18" t="str">
        <f aca="false">Stock_Seguridad!C350</f>
        <v>YOGURT</v>
      </c>
      <c r="D350" s="18" t="str">
        <f aca="false">Stock_Seguridad!F350</f>
        <v>BX</v>
      </c>
      <c r="E350" s="19" t="str">
        <f aca="false">Stock_Seguridad!X350</f>
        <v>BAJO P.REORDEN</v>
      </c>
      <c r="F350" s="20" t="n">
        <f aca="false">Stock_Seguridad!W350</f>
        <v>0.957872955139968</v>
      </c>
      <c r="G350" s="21" t="n">
        <f aca="false">Stock_Seguridad!T350</f>
        <v>2453.4</v>
      </c>
      <c r="H350" s="21" t="n">
        <f aca="false">Stock_Seguridad!R350</f>
        <v>2005.37739869353</v>
      </c>
      <c r="I350" s="21" t="n">
        <f aca="false">Stock_Seguridad!S350</f>
        <v>4566.67739869353</v>
      </c>
      <c r="J350" s="21" t="n">
        <f aca="false">Stock_Seguridad!U350</f>
        <v>0</v>
      </c>
      <c r="K350" s="22"/>
      <c r="L350" s="23" t="n">
        <v>0</v>
      </c>
      <c r="M350" s="23" t="n">
        <v>0</v>
      </c>
      <c r="N350" s="23" t="n">
        <v>0</v>
      </c>
      <c r="O350" s="24" t="n">
        <v>0.0970428571428571</v>
      </c>
      <c r="P350" s="24" t="n">
        <f aca="false">IF(ISNUMBER(Stock_Seguridad!N350),Stock_Seguridad!N350,"")</f>
        <v>0.323076923076923</v>
      </c>
      <c r="Q350" s="24" t="n">
        <f aca="false">IF(AND(ISNUMBER(O350),ISNUMBER(P350)),P350-O350,"")</f>
        <v>0.226034065934066</v>
      </c>
      <c r="R350" s="23" t="n">
        <f aca="false">MAX(0,G350-N(L350))</f>
        <v>2453.4</v>
      </c>
      <c r="S350" s="23" t="n">
        <f aca="false">SUMIFS(Cadenas_vs_FCST!$D$17:$D$2437,Cadenas_vs_FCST!$A$17:$A$2437,A350)</f>
        <v>14518.56</v>
      </c>
      <c r="T350" s="23" t="n">
        <f aca="false">SUMIFS(Cadenas_vs_FCST!$E$17:$E$2437,Cadenas_vs_FCST!$A$17:$A$2437,A350)</f>
        <v>10702.1709227718</v>
      </c>
      <c r="U350" s="24" t="n">
        <f aca="false">IF(T350&gt;0,S350/T350-1,"")</f>
        <v>0.356599525906256</v>
      </c>
      <c r="V350" s="3" t="str">
        <f aca="false">IF(OR(E350="BAJO SS",E350="BAJO SS (XLIB CUBRE)"),"SÍ","")</f>
        <v/>
      </c>
      <c r="W350" s="3" t="str">
        <f aca="false">IF(AND(V350="",N(L350)&gt;=Parametros!$B$17,G350&gt;=H350,R350&lt;H350),"SÍ","")</f>
        <v/>
      </c>
      <c r="X350" s="3" t="str">
        <f aca="false">IF(OR(E350="SOBRE MAX VENDIBLE",N(N350)&gt;=Parametros!$B$17,N(M350)&gt;=Parametros!$B$17),"SÍ","")</f>
        <v/>
      </c>
      <c r="Y350" s="3" t="str">
        <f aca="false">IF(AND(ISNUMBER(U350),MAX(S350,T350)&gt;=Parametros!$B$15,ABS(N(U350))&gt;Parametros!$B$14),"SÍ","")</f>
        <v>SÍ</v>
      </c>
      <c r="Z350" s="3" t="n">
        <f aca="false">COUNTIF(V350:Y350,"SÍ")</f>
        <v>1</v>
      </c>
      <c r="AA350" s="3" t="n">
        <f aca="false">(3*(V350="SÍ")+2*(W350="SÍ")+2*(X350="SÍ")+(Y350="SÍ"))*IF(LEFT(D350,1)="A",3,IF(OR(LEFT(D350,1)="B",D350="SIN HIST"),2,1))</f>
        <v>2</v>
      </c>
      <c r="AB350" s="3" t="str">
        <f aca="false">IF(AA350&gt;=9,"1-ALTA",IF(AA350&gt;=4,"2-MEDIA",IF(AA350&gt;0,"3-BAJA","")))</f>
        <v>3-BAJA</v>
      </c>
      <c r="AC350" s="3" t="str">
        <f aca="false">IF(E350="BAJO SS","Stock + XLIB bajo el SS: riesgo real de quiebre, adelantar producción. ","")&amp;IF(E350="BAJO SS (XLIB CUBRE)","Disponible bajo el SS; depende de liberar "&amp;TEXT(J350,"#,##0")&amp;" kg"&amp;IF(ISNUMBER(K350)," el "&amp;TEXT(K350,"dd-mm"),"")&amp;". ","")&amp;IF(W350="SÍ","Stock parece sano pero "&amp;TEXT(L350,"#,##0")&amp;" kg no pasan filtro "&amp;Stock_Seguridad!O350&amp;": sin ellos queda bajo el SS para esa cadena. ","")&amp;IF(E350="SOBRE MAX VENDIBLE","Sobrestock vs vida útil: frenar producción/activar venta. ","")&amp;IF(N(N350)&gt;=Parametros!$B$17,TEXT(N350,"#,##0")&amp;" kg ya no los acepta ninguna cadena: venta intermedia/liquidación. ","")&amp;IF(N(M350)&gt;=Parametros!$B$17,TEXT(M350,"#,##0")&amp;" kg a punto de salir del filtro: despachar primero (FEFO). ","")&amp;IF(Y350="SÍ","Pedidos "&amp;IF(N(U350)&gt;0,"sobre","bajo")&amp;" FCST "&amp;TEXT(ABS(N(U350)),"0%")&amp;": revisar forecast con KAM.","")</f>
        <v>Pedidos sobre FCST 36%: revisar forecast con KAM.</v>
      </c>
    </row>
    <row r="351" customFormat="false" ht="15" hidden="false" customHeight="false" outlineLevel="0" collapsed="false">
      <c r="A351" s="18" t="n">
        <f aca="false">Stock_Seguridad!A351</f>
        <v>30000476</v>
      </c>
      <c r="B351" s="18" t="str">
        <f aca="false">Stock_Seguridad!B351</f>
        <v>PREPARADO HELADO ESTAND MORA CREMA12X1LT</v>
      </c>
      <c r="C351" s="18" t="str">
        <f aca="false">Stock_Seguridad!C351</f>
        <v>PREPARADOS DE HELADO</v>
      </c>
      <c r="D351" s="18" t="str">
        <f aca="false">Stock_Seguridad!F351</f>
        <v>SIN HIST</v>
      </c>
      <c r="E351" s="19" t="str">
        <f aca="false">Stock_Seguridad!X351</f>
        <v>OK</v>
      </c>
      <c r="F351" s="20" t="n">
        <f aca="false">Stock_Seguridad!W351</f>
        <v>2.35487275712443</v>
      </c>
      <c r="G351" s="21" t="n">
        <f aca="false">Stock_Seguridad!T351</f>
        <v>6024</v>
      </c>
      <c r="H351" s="21" t="n">
        <f aca="false">Stock_Seguridad!R351</f>
        <v>1262.31001893137</v>
      </c>
      <c r="I351" s="21" t="n">
        <f aca="false">Stock_Seguridad!S351</f>
        <v>3820.41001893137</v>
      </c>
      <c r="J351" s="21" t="n">
        <f aca="false">Stock_Seguridad!U351</f>
        <v>0</v>
      </c>
      <c r="K351" s="22"/>
      <c r="L351" s="23" t="n">
        <v>192</v>
      </c>
      <c r="M351" s="23" t="n">
        <v>0</v>
      </c>
      <c r="N351" s="23" t="n">
        <v>0</v>
      </c>
      <c r="O351" s="24" t="n">
        <v>0.115099601593626</v>
      </c>
      <c r="P351" s="24" t="n">
        <f aca="false">IF(ISNUMBER(Stock_Seguridad!N351),Stock_Seguridad!N351,"")</f>
        <v>0.253061224489796</v>
      </c>
      <c r="Q351" s="24" t="n">
        <f aca="false">IF(AND(ISNUMBER(O351),ISNUMBER(P351)),P351-O351,"")</f>
        <v>0.137961622896171</v>
      </c>
      <c r="R351" s="23" t="n">
        <f aca="false">MAX(0,G351-N(L351))</f>
        <v>5832</v>
      </c>
      <c r="S351" s="23" t="n">
        <f aca="false">SUMIFS(Cadenas_vs_FCST!$D$17:$D$2437,Cadenas_vs_FCST!$A$17:$A$2437,A351)</f>
        <v>0</v>
      </c>
      <c r="T351" s="23" t="n">
        <f aca="false">SUMIFS(Cadenas_vs_FCST!$E$17:$E$2437,Cadenas_vs_FCST!$A$17:$A$2437,A351)</f>
        <v>0</v>
      </c>
      <c r="U351" s="24" t="str">
        <f aca="false">IF(T351&gt;0,S351/T351-1,"")</f>
        <v/>
      </c>
      <c r="V351" s="3" t="str">
        <f aca="false">IF(OR(E351="BAJO SS",E351="BAJO SS (XLIB CUBRE)"),"SÍ","")</f>
        <v/>
      </c>
      <c r="W351" s="3" t="str">
        <f aca="false">IF(AND(V351="",N(L351)&gt;=Parametros!$B$17,G351&gt;=H351,R351&lt;H351),"SÍ","")</f>
        <v/>
      </c>
      <c r="X351" s="3" t="str">
        <f aca="false">IF(OR(E351="SOBRE MAX VENDIBLE",N(N351)&gt;=Parametros!$B$17,N(M351)&gt;=Parametros!$B$17),"SÍ","")</f>
        <v/>
      </c>
      <c r="Y351" s="3" t="str">
        <f aca="false">IF(AND(ISNUMBER(U351),MAX(S351,T351)&gt;=Parametros!$B$15,ABS(N(U351))&gt;Parametros!$B$14),"SÍ","")</f>
        <v/>
      </c>
      <c r="Z351" s="3" t="n">
        <f aca="false">COUNTIF(V351:Y351,"SÍ")</f>
        <v>0</v>
      </c>
      <c r="AA351" s="3" t="n">
        <f aca="false">(3*(V351="SÍ")+2*(W351="SÍ")+2*(X351="SÍ")+(Y351="SÍ"))*IF(LEFT(D351,1)="A",3,IF(OR(LEFT(D351,1)="B",D351="SIN HIST"),2,1))</f>
        <v>0</v>
      </c>
      <c r="AB351" s="3" t="str">
        <f aca="false">IF(AA351&gt;=9,"1-ALTA",IF(AA351&gt;=4,"2-MEDIA",IF(AA351&gt;0,"3-BAJA","")))</f>
        <v/>
      </c>
      <c r="AC351" s="3" t="str">
        <f aca="false">IF(E351="BAJO SS","Stock + XLIB bajo el SS: riesgo real de quiebre, adelantar producción. ","")&amp;IF(E351="BAJO SS (XLIB CUBRE)","Disponible bajo el SS; depende de liberar "&amp;TEXT(J351,"#,##0")&amp;" kg"&amp;IF(ISNUMBER(K351)," el "&amp;TEXT(K351,"dd-mm"),"")&amp;". ","")&amp;IF(W351="SÍ","Stock parece sano pero "&amp;TEXT(L351,"#,##0")&amp;" kg no pasan filtro "&amp;Stock_Seguridad!O351&amp;": sin ellos queda bajo el SS para esa cadena. ","")&amp;IF(E351="SOBRE MAX VENDIBLE","Sobrestock vs vida útil: frenar producción/activar venta. ","")&amp;IF(N(N351)&gt;=Parametros!$B$17,TEXT(N351,"#,##0")&amp;" kg ya no los acepta ninguna cadena: venta intermedia/liquidación. ","")&amp;IF(N(M351)&gt;=Parametros!$B$17,TEXT(M351,"#,##0")&amp;" kg a punto de salir del filtro: despachar primero (FEFO). ","")&amp;IF(Y351="SÍ","Pedidos "&amp;IF(N(U351)&gt;0,"sobre","bajo")&amp;" FCST "&amp;TEXT(ABS(N(U351)),"0%")&amp;": revisar forecast con KAM.","")</f>
        <v/>
      </c>
    </row>
    <row r="352" customFormat="false" ht="15" hidden="false" customHeight="false" outlineLevel="0" collapsed="false">
      <c r="A352" s="18" t="n">
        <f aca="false">Stock_Seguridad!A352</f>
        <v>30001858</v>
      </c>
      <c r="B352" s="18" t="str">
        <f aca="false">Stock_Seguridad!B352</f>
        <v>PREPARADO HELADO CHIRIMOYA TTRA 12X1LT</v>
      </c>
      <c r="C352" s="18" t="str">
        <f aca="false">Stock_Seguridad!C352</f>
        <v>PREPARADOS DE HELADO</v>
      </c>
      <c r="D352" s="18" t="str">
        <f aca="false">Stock_Seguridad!F352</f>
        <v>SIN HIST</v>
      </c>
      <c r="E352" s="19" t="str">
        <f aca="false">Stock_Seguridad!X352</f>
        <v>SOBRE MAX VENDIBLE</v>
      </c>
      <c r="F352" s="20" t="n">
        <f aca="false">Stock_Seguridad!W352</f>
        <v>10.2169578984403</v>
      </c>
      <c r="G352" s="21" t="n">
        <f aca="false">Stock_Seguridad!T352</f>
        <v>4536</v>
      </c>
      <c r="H352" s="21" t="n">
        <f aca="false">Stock_Seguridad!R352</f>
        <v>1262.31001893137</v>
      </c>
      <c r="I352" s="21" t="n">
        <f aca="false">Stock_Seguridad!S352</f>
        <v>3820.41001893137</v>
      </c>
      <c r="J352" s="21" t="n">
        <f aca="false">Stock_Seguridad!U352</f>
        <v>21600</v>
      </c>
      <c r="K352" s="22" t="n">
        <v>46321</v>
      </c>
      <c r="L352" s="23" t="n">
        <v>48</v>
      </c>
      <c r="M352" s="23" t="n">
        <v>0</v>
      </c>
      <c r="N352" s="23" t="n">
        <v>0</v>
      </c>
      <c r="O352" s="24" t="n">
        <v>0.0193847566574839</v>
      </c>
      <c r="P352" s="24" t="n">
        <f aca="false">IF(ISNUMBER(Stock_Seguridad!N352),Stock_Seguridad!N352,"")</f>
        <v>0.253061224489796</v>
      </c>
      <c r="Q352" s="24" t="n">
        <f aca="false">IF(AND(ISNUMBER(O352),ISNUMBER(P352)),P352-O352,"")</f>
        <v>0.233676467832312</v>
      </c>
      <c r="R352" s="23" t="n">
        <f aca="false">MAX(0,G352-N(L352))</f>
        <v>4488</v>
      </c>
      <c r="S352" s="23" t="n">
        <f aca="false">SUMIFS(Cadenas_vs_FCST!$D$17:$D$2437,Cadenas_vs_FCST!$A$17:$A$2437,A352)</f>
        <v>0</v>
      </c>
      <c r="T352" s="23" t="n">
        <f aca="false">SUMIFS(Cadenas_vs_FCST!$E$17:$E$2437,Cadenas_vs_FCST!$A$17:$A$2437,A352)</f>
        <v>0</v>
      </c>
      <c r="U352" s="24" t="str">
        <f aca="false">IF(T352&gt;0,S352/T352-1,"")</f>
        <v/>
      </c>
      <c r="V352" s="3" t="str">
        <f aca="false">IF(OR(E352="BAJO SS",E352="BAJO SS (XLIB CUBRE)"),"SÍ","")</f>
        <v/>
      </c>
      <c r="W352" s="3" t="str">
        <f aca="false">IF(AND(V352="",N(L352)&gt;=Parametros!$B$17,G352&gt;=H352,R352&lt;H352),"SÍ","")</f>
        <v/>
      </c>
      <c r="X352" s="3" t="str">
        <f aca="false">IF(OR(E352="SOBRE MAX VENDIBLE",N(N352)&gt;=Parametros!$B$17,N(M352)&gt;=Parametros!$B$17),"SÍ","")</f>
        <v>SÍ</v>
      </c>
      <c r="Y352" s="3" t="str">
        <f aca="false">IF(AND(ISNUMBER(U352),MAX(S352,T352)&gt;=Parametros!$B$15,ABS(N(U352))&gt;Parametros!$B$14),"SÍ","")</f>
        <v/>
      </c>
      <c r="Z352" s="3" t="n">
        <f aca="false">COUNTIF(V352:Y352,"SÍ")</f>
        <v>1</v>
      </c>
      <c r="AA352" s="3" t="n">
        <f aca="false">(3*(V352="SÍ")+2*(W352="SÍ")+2*(X352="SÍ")+(Y352="SÍ"))*IF(LEFT(D352,1)="A",3,IF(OR(LEFT(D352,1)="B",D352="SIN HIST"),2,1))</f>
        <v>4</v>
      </c>
      <c r="AB352" s="3" t="str">
        <f aca="false">IF(AA352&gt;=9,"1-ALTA",IF(AA352&gt;=4,"2-MEDIA",IF(AA352&gt;0,"3-BAJA","")))</f>
        <v>2-MEDIA</v>
      </c>
      <c r="AC352" s="3" t="str">
        <f aca="false">IF(E352="BAJO SS","Stock + XLIB bajo el SS: riesgo real de quiebre, adelantar producción. ","")&amp;IF(E352="BAJO SS (XLIB CUBRE)","Disponible bajo el SS; depende de liberar "&amp;TEXT(J352,"#,##0")&amp;" kg"&amp;IF(ISNUMBER(K352)," el "&amp;TEXT(K352,"dd-mm"),"")&amp;". ","")&amp;IF(W352="SÍ","Stock parece sano pero "&amp;TEXT(L352,"#,##0")&amp;" kg no pasan filtro "&amp;Stock_Seguridad!O352&amp;": sin ellos queda bajo el SS para esa cadena. ","")&amp;IF(E352="SOBRE MAX VENDIBLE","Sobrestock vs vida útil: frenar producción/activar venta. ","")&amp;IF(N(N352)&gt;=Parametros!$B$17,TEXT(N352,"#,##0")&amp;" kg ya no los acepta ninguna cadena: venta intermedia/liquidación. ","")&amp;IF(N(M352)&gt;=Parametros!$B$17,TEXT(M352,"#,##0")&amp;" kg a punto de salir del filtro: despachar primero (FEFO). ","")&amp;IF(Y352="SÍ","Pedidos "&amp;IF(N(U352)&gt;0,"sobre","bajo")&amp;" FCST "&amp;TEXT(ABS(N(U352)),"0%")&amp;": revisar forecast con KAM.","")</f>
        <v>Sobrestock vs vida útil: frenar producción/activar venta. </v>
      </c>
    </row>
    <row r="353" customFormat="false" ht="15" hidden="false" customHeight="false" outlineLevel="0" collapsed="false">
      <c r="A353" s="18" t="n">
        <f aca="false">Stock_Seguridad!A353</f>
        <v>30001403</v>
      </c>
      <c r="B353" s="18" t="str">
        <f aca="false">Stock_Seguridad!B353</f>
        <v>MARGARINA CALO 6X900G</v>
      </c>
      <c r="C353" s="18" t="str">
        <f aca="false">Stock_Seguridad!C353</f>
        <v>MARGARINAS</v>
      </c>
      <c r="D353" s="18" t="str">
        <f aca="false">Stock_Seguridad!F353</f>
        <v>BX</v>
      </c>
      <c r="E353" s="19" t="str">
        <f aca="false">Stock_Seguridad!X353</f>
        <v>OK</v>
      </c>
      <c r="F353" s="20" t="n">
        <f aca="false">Stock_Seguridad!W353</f>
        <v>4.38352941176471</v>
      </c>
      <c r="G353" s="21" t="n">
        <f aca="false">Stock_Seguridad!T353</f>
        <v>8537.4</v>
      </c>
      <c r="H353" s="21" t="n">
        <f aca="false">Stock_Seguridad!R353</f>
        <v>1221.27306452553</v>
      </c>
      <c r="I353" s="21" t="n">
        <f aca="false">Stock_Seguridad!S353</f>
        <v>3771.27306452553</v>
      </c>
      <c r="J353" s="21" t="n">
        <f aca="false">Stock_Seguridad!U353</f>
        <v>2640.6</v>
      </c>
      <c r="K353" s="22" t="n">
        <v>46317</v>
      </c>
      <c r="L353" s="23" t="n">
        <v>2716.2</v>
      </c>
      <c r="M353" s="23" t="n">
        <v>0</v>
      </c>
      <c r="N353" s="23" t="n">
        <v>0</v>
      </c>
      <c r="O353" s="24" t="n">
        <v>0.135980535279805</v>
      </c>
      <c r="P353" s="24" t="n">
        <f aca="false">IF(ISNUMBER(Stock_Seguridad!N353),Stock_Seguridad!N353,"")</f>
        <v>0.217391304347826</v>
      </c>
      <c r="Q353" s="24" t="n">
        <f aca="false">IF(AND(ISNUMBER(O353),ISNUMBER(P353)),P353-O353,"")</f>
        <v>0.0814107690680207</v>
      </c>
      <c r="R353" s="23" t="n">
        <f aca="false">MAX(0,G353-N(L353))</f>
        <v>5821.2</v>
      </c>
      <c r="S353" s="23" t="n">
        <f aca="false">SUMIFS(Cadenas_vs_FCST!$D$17:$D$2437,Cadenas_vs_FCST!$A$17:$A$2437,A353)</f>
        <v>9666</v>
      </c>
      <c r="T353" s="23" t="n">
        <f aca="false">SUMIFS(Cadenas_vs_FCST!$E$17:$E$2437,Cadenas_vs_FCST!$A$17:$A$2437,A353)</f>
        <v>10982.1883186967</v>
      </c>
      <c r="U353" s="24" t="n">
        <f aca="false">IF(T353&gt;0,S353/T353-1,"")</f>
        <v>-0.119847545908128</v>
      </c>
      <c r="V353" s="3" t="str">
        <f aca="false">IF(OR(E353="BAJO SS",E353="BAJO SS (XLIB CUBRE)"),"SÍ","")</f>
        <v/>
      </c>
      <c r="W353" s="3" t="str">
        <f aca="false">IF(AND(V353="",N(L353)&gt;=Parametros!$B$17,G353&gt;=H353,R353&lt;H353),"SÍ","")</f>
        <v/>
      </c>
      <c r="X353" s="3" t="str">
        <f aca="false">IF(OR(E353="SOBRE MAX VENDIBLE",N(N353)&gt;=Parametros!$B$17,N(M353)&gt;=Parametros!$B$17),"SÍ","")</f>
        <v/>
      </c>
      <c r="Y353" s="3" t="str">
        <f aca="false">IF(AND(ISNUMBER(U353),MAX(S353,T353)&gt;=Parametros!$B$15,ABS(N(U353))&gt;Parametros!$B$14),"SÍ","")</f>
        <v/>
      </c>
      <c r="Z353" s="3" t="n">
        <f aca="false">COUNTIF(V353:Y353,"SÍ")</f>
        <v>0</v>
      </c>
      <c r="AA353" s="3" t="n">
        <f aca="false">(3*(V353="SÍ")+2*(W353="SÍ")+2*(X353="SÍ")+(Y353="SÍ"))*IF(LEFT(D353,1)="A",3,IF(OR(LEFT(D353,1)="B",D353="SIN HIST"),2,1))</f>
        <v>0</v>
      </c>
      <c r="AB353" s="3" t="str">
        <f aca="false">IF(AA353&gt;=9,"1-ALTA",IF(AA353&gt;=4,"2-MEDIA",IF(AA353&gt;0,"3-BAJA","")))</f>
        <v/>
      </c>
      <c r="AC353" s="3" t="str">
        <f aca="false">IF(E353="BAJO SS","Stock + XLIB bajo el SS: riesgo real de quiebre, adelantar producción. ","")&amp;IF(E353="BAJO SS (XLIB CUBRE)","Disponible bajo el SS; depende de liberar "&amp;TEXT(J353,"#,##0")&amp;" kg"&amp;IF(ISNUMBER(K353)," el "&amp;TEXT(K353,"dd-mm"),"")&amp;". ","")&amp;IF(W353="SÍ","Stock parece sano pero "&amp;TEXT(L353,"#,##0")&amp;" kg no pasan filtro "&amp;Stock_Seguridad!O353&amp;": sin ellos queda bajo el SS para esa cadena. ","")&amp;IF(E353="SOBRE MAX VENDIBLE","Sobrestock vs vida útil: frenar producción/activar venta. ","")&amp;IF(N(N353)&gt;=Parametros!$B$17,TEXT(N353,"#,##0")&amp;" kg ya no los acepta ninguna cadena: venta intermedia/liquidación. ","")&amp;IF(N(M353)&gt;=Parametros!$B$17,TEXT(M353,"#,##0")&amp;" kg a punto de salir del filtro: despachar primero (FEFO). ","")&amp;IF(Y353="SÍ","Pedidos "&amp;IF(N(U353)&gt;0,"sobre","bajo")&amp;" FCST "&amp;TEXT(ABS(N(U353)),"0%")&amp;": revisar forecast con KAM.","")</f>
        <v/>
      </c>
    </row>
    <row r="354" customFormat="false" ht="15" hidden="false" customHeight="false" outlineLevel="0" collapsed="false">
      <c r="A354" s="18" t="n">
        <f aca="false">Stock_Seguridad!A354</f>
        <v>30000674</v>
      </c>
      <c r="B354" s="18" t="str">
        <f aca="false">Stock_Seguridad!B354</f>
        <v>ARVEJITAS WSL 48X300GR</v>
      </c>
      <c r="C354" s="18" t="str">
        <f aca="false">Stock_Seguridad!C354</f>
        <v>CONSERVAS Y PLATOS LISTOS</v>
      </c>
      <c r="D354" s="18" t="str">
        <f aca="false">Stock_Seguridad!F354</f>
        <v>BY</v>
      </c>
      <c r="E354" s="19" t="str">
        <f aca="false">Stock_Seguridad!X354</f>
        <v>OK</v>
      </c>
      <c r="F354" s="20" t="n">
        <f aca="false">Stock_Seguridad!W354</f>
        <v>14.885837583366</v>
      </c>
      <c r="G354" s="21" t="n">
        <f aca="false">Stock_Seguridad!T354</f>
        <v>37944</v>
      </c>
      <c r="H354" s="21" t="n">
        <f aca="false">Stock_Seguridad!R354</f>
        <v>1843.78674150243</v>
      </c>
      <c r="I354" s="21" t="n">
        <f aca="false">Stock_Seguridad!S354</f>
        <v>4392.78674150243</v>
      </c>
      <c r="J354" s="21" t="n">
        <f aca="false">Stock_Seguridad!U354</f>
        <v>0</v>
      </c>
      <c r="K354" s="22"/>
      <c r="L354" s="23" t="n">
        <v>0</v>
      </c>
      <c r="M354" s="23" t="n">
        <v>0</v>
      </c>
      <c r="N354" s="23" t="n">
        <v>0</v>
      </c>
      <c r="O354" s="24" t="n">
        <v>0.162037950664137</v>
      </c>
      <c r="P354" s="24" t="n">
        <f aca="false">IF(ISNUMBER(Stock_Seguridad!N354),Stock_Seguridad!N354,"")</f>
        <v>0.480365296803653</v>
      </c>
      <c r="Q354" s="24" t="n">
        <f aca="false">IF(AND(ISNUMBER(O354),ISNUMBER(P354)),P354-O354,"")</f>
        <v>0.318327346139516</v>
      </c>
      <c r="R354" s="23" t="n">
        <f aca="false">MAX(0,G354-N(L354))</f>
        <v>37944</v>
      </c>
      <c r="S354" s="23" t="n">
        <f aca="false">SUMIFS(Cadenas_vs_FCST!$D$17:$D$2437,Cadenas_vs_FCST!$A$17:$A$2437,A354)</f>
        <v>10598.4</v>
      </c>
      <c r="T354" s="23" t="n">
        <f aca="false">SUMIFS(Cadenas_vs_FCST!$E$17:$E$2437,Cadenas_vs_FCST!$A$17:$A$2437,A354)</f>
        <v>9348</v>
      </c>
      <c r="U354" s="24" t="n">
        <f aca="false">IF(T354&gt;0,S354/T354-1,"")</f>
        <v>0.133761232349165</v>
      </c>
      <c r="V354" s="3" t="str">
        <f aca="false">IF(OR(E354="BAJO SS",E354="BAJO SS (XLIB CUBRE)"),"SÍ","")</f>
        <v/>
      </c>
      <c r="W354" s="3" t="str">
        <f aca="false">IF(AND(V354="",N(L354)&gt;=Parametros!$B$17,G354&gt;=H354,R354&lt;H354),"SÍ","")</f>
        <v/>
      </c>
      <c r="X354" s="3" t="str">
        <f aca="false">IF(OR(E354="SOBRE MAX VENDIBLE",N(N354)&gt;=Parametros!$B$17,N(M354)&gt;=Parametros!$B$17),"SÍ","")</f>
        <v/>
      </c>
      <c r="Y354" s="3" t="str">
        <f aca="false">IF(AND(ISNUMBER(U354),MAX(S354,T354)&gt;=Parametros!$B$15,ABS(N(U354))&gt;Parametros!$B$14),"SÍ","")</f>
        <v/>
      </c>
      <c r="Z354" s="3" t="n">
        <f aca="false">COUNTIF(V354:Y354,"SÍ")</f>
        <v>0</v>
      </c>
      <c r="AA354" s="3" t="n">
        <f aca="false">(3*(V354="SÍ")+2*(W354="SÍ")+2*(X354="SÍ")+(Y354="SÍ"))*IF(LEFT(D354,1)="A",3,IF(OR(LEFT(D354,1)="B",D354="SIN HIST"),2,1))</f>
        <v>0</v>
      </c>
      <c r="AB354" s="3" t="str">
        <f aca="false">IF(AA354&gt;=9,"1-ALTA",IF(AA354&gt;=4,"2-MEDIA",IF(AA354&gt;0,"3-BAJA","")))</f>
        <v/>
      </c>
      <c r="AC354" s="3" t="str">
        <f aca="false">IF(E354="BAJO SS","Stock + XLIB bajo el SS: riesgo real de quiebre, adelantar producción. ","")&amp;IF(E354="BAJO SS (XLIB CUBRE)","Disponible bajo el SS; depende de liberar "&amp;TEXT(J354,"#,##0")&amp;" kg"&amp;IF(ISNUMBER(K354)," el "&amp;TEXT(K354,"dd-mm"),"")&amp;". ","")&amp;IF(W354="SÍ","Stock parece sano pero "&amp;TEXT(L354,"#,##0")&amp;" kg no pasan filtro "&amp;Stock_Seguridad!O354&amp;": sin ellos queda bajo el SS para esa cadena. ","")&amp;IF(E354="SOBRE MAX VENDIBLE","Sobrestock vs vida útil: frenar producción/activar venta. ","")&amp;IF(N(N354)&gt;=Parametros!$B$17,TEXT(N354,"#,##0")&amp;" kg ya no los acepta ninguna cadena: venta intermedia/liquidación. ","")&amp;IF(N(M354)&gt;=Parametros!$B$17,TEXT(M354,"#,##0")&amp;" kg a punto de salir del filtro: despachar primero (FEFO). ","")&amp;IF(Y354="SÍ","Pedidos "&amp;IF(N(U354)&gt;0,"sobre","bajo")&amp;" FCST "&amp;TEXT(ABS(N(U354)),"0%")&amp;": revisar forecast con KAM.","")</f>
        <v/>
      </c>
    </row>
    <row r="355" customFormat="false" ht="15" hidden="false" customHeight="false" outlineLevel="0" collapsed="false">
      <c r="A355" s="18" t="n">
        <f aca="false">Stock_Seguridad!A355</f>
        <v>30000435</v>
      </c>
      <c r="B355" s="18" t="str">
        <f aca="false">Stock_Seguridad!B355</f>
        <v>PROT SHOT BERRIES PACK 8X6X100ML</v>
      </c>
      <c r="C355" s="18" t="str">
        <f aca="false">Stock_Seguridad!C355</f>
        <v>LECHES LIQUIDAS</v>
      </c>
      <c r="D355" s="18" t="str">
        <f aca="false">Stock_Seguridad!F355</f>
        <v>BX</v>
      </c>
      <c r="E355" s="19" t="str">
        <f aca="false">Stock_Seguridad!X355</f>
        <v>BAJO SS</v>
      </c>
      <c r="F355" s="20" t="n">
        <f aca="false">Stock_Seguridad!W355</f>
        <v>0.673889490790899</v>
      </c>
      <c r="G355" s="21" t="n">
        <f aca="false">Stock_Seguridad!T355</f>
        <v>1679.4</v>
      </c>
      <c r="H355" s="21" t="n">
        <f aca="false">Stock_Seguridad!R355</f>
        <v>1970.96761006524</v>
      </c>
      <c r="I355" s="21" t="n">
        <f aca="false">Stock_Seguridad!S355</f>
        <v>4463.06761006524</v>
      </c>
      <c r="J355" s="21" t="n">
        <f aca="false">Stock_Seguridad!U355</f>
        <v>0</v>
      </c>
      <c r="K355" s="22"/>
      <c r="L355" s="23" t="n">
        <v>87.04</v>
      </c>
      <c r="M355" s="23" t="n">
        <v>0</v>
      </c>
      <c r="N355" s="23" t="n">
        <v>0</v>
      </c>
      <c r="O355" s="24" t="n">
        <v>0.145938461538462</v>
      </c>
      <c r="P355" s="24" t="n">
        <f aca="false">IF(ISNUMBER(Stock_Seguridad!N355),Stock_Seguridad!N355,"")</f>
        <v>0.346153846153846</v>
      </c>
      <c r="Q355" s="24" t="n">
        <f aca="false">IF(AND(ISNUMBER(O355),ISNUMBER(P355)),P355-O355,"")</f>
        <v>0.200215384615385</v>
      </c>
      <c r="R355" s="23" t="n">
        <f aca="false">MAX(0,G355-N(L355))</f>
        <v>1592.36</v>
      </c>
      <c r="S355" s="23" t="n">
        <f aca="false">SUMIFS(Cadenas_vs_FCST!$D$17:$D$2437,Cadenas_vs_FCST!$A$17:$A$2437,A355)</f>
        <v>12323.84</v>
      </c>
      <c r="T355" s="23" t="n">
        <f aca="false">SUMIFS(Cadenas_vs_FCST!$E$17:$E$2437,Cadenas_vs_FCST!$A$17:$A$2437,A355)</f>
        <v>6911.42129957362</v>
      </c>
      <c r="U355" s="24" t="n">
        <f aca="false">IF(T355&gt;0,S355/T355-1,"")</f>
        <v>0.783112252288871</v>
      </c>
      <c r="V355" s="3" t="str">
        <f aca="false">IF(OR(E355="BAJO SS",E355="BAJO SS (XLIB CUBRE)"),"SÍ","")</f>
        <v>SÍ</v>
      </c>
      <c r="W355" s="3" t="str">
        <f aca="false">IF(AND(V355="",N(L355)&gt;=Parametros!$B$17,G355&gt;=H355,R355&lt;H355),"SÍ","")</f>
        <v/>
      </c>
      <c r="X355" s="3" t="str">
        <f aca="false">IF(OR(E355="SOBRE MAX VENDIBLE",N(N355)&gt;=Parametros!$B$17,N(M355)&gt;=Parametros!$B$17),"SÍ","")</f>
        <v/>
      </c>
      <c r="Y355" s="3" t="str">
        <f aca="false">IF(AND(ISNUMBER(U355),MAX(S355,T355)&gt;=Parametros!$B$15,ABS(N(U355))&gt;Parametros!$B$14),"SÍ","")</f>
        <v>SÍ</v>
      </c>
      <c r="Z355" s="3" t="n">
        <f aca="false">COUNTIF(V355:Y355,"SÍ")</f>
        <v>2</v>
      </c>
      <c r="AA355" s="3" t="n">
        <f aca="false">(3*(V355="SÍ")+2*(W355="SÍ")+2*(X355="SÍ")+(Y355="SÍ"))*IF(LEFT(D355,1)="A",3,IF(OR(LEFT(D355,1)="B",D355="SIN HIST"),2,1))</f>
        <v>8</v>
      </c>
      <c r="AB355" s="3" t="str">
        <f aca="false">IF(AA355&gt;=9,"1-ALTA",IF(AA355&gt;=4,"2-MEDIA",IF(AA355&gt;0,"3-BAJA","")))</f>
        <v>2-MEDIA</v>
      </c>
      <c r="AC355" s="3" t="str">
        <f aca="false">IF(E355="BAJO SS","Stock + XLIB bajo el SS: riesgo real de quiebre, adelantar producción. ","")&amp;IF(E355="BAJO SS (XLIB CUBRE)","Disponible bajo el SS; depende de liberar "&amp;TEXT(J355,"#,##0")&amp;" kg"&amp;IF(ISNUMBER(K355)," el "&amp;TEXT(K355,"dd-mm"),"")&amp;". ","")&amp;IF(W355="SÍ","Stock parece sano pero "&amp;TEXT(L355,"#,##0")&amp;" kg no pasan filtro "&amp;Stock_Seguridad!O355&amp;": sin ellos queda bajo el SS para esa cadena. ","")&amp;IF(E355="SOBRE MAX VENDIBLE","Sobrestock vs vida útil: frenar producción/activar venta. ","")&amp;IF(N(N355)&gt;=Parametros!$B$17,TEXT(N355,"#,##0")&amp;" kg ya no los acepta ninguna cadena: venta intermedia/liquidación. ","")&amp;IF(N(M355)&gt;=Parametros!$B$17,TEXT(M355,"#,##0")&amp;" kg a punto de salir del filtro: despachar primero (FEFO). ","")&amp;IF(Y355="SÍ","Pedidos "&amp;IF(N(U355)&gt;0,"sobre","bajo")&amp;" FCST "&amp;TEXT(ABS(N(U355)),"0%")&amp;": revisar forecast con KAM.","")</f>
        <v>Stock + XLIB bajo el SS: riesgo real de quiebre, adelantar producción. Pedidos sobre FCST 78%: revisar forecast con KAM.</v>
      </c>
    </row>
    <row r="356" customFormat="false" ht="15" hidden="false" customHeight="false" outlineLevel="0" collapsed="false">
      <c r="A356" s="18" t="n">
        <f aca="false">Stock_Seguridad!A356</f>
        <v>30000801</v>
      </c>
      <c r="B356" s="18" t="str">
        <f aca="false">Stock_Seguridad!B356</f>
        <v>SOFRITO APIO TOMATE 14X150GR</v>
      </c>
      <c r="C356" s="18" t="str">
        <f aca="false">Stock_Seguridad!C356</f>
        <v>FRUTAS Y HORTALIZAS CONGELADAS</v>
      </c>
      <c r="D356" s="18" t="str">
        <f aca="false">Stock_Seguridad!F356</f>
        <v>SIN HIST</v>
      </c>
      <c r="E356" s="19" t="str">
        <f aca="false">Stock_Seguridad!X356</f>
        <v>OK</v>
      </c>
      <c r="F356" s="20" t="n">
        <f aca="false">Stock_Seguridad!W356</f>
        <v>7.93948928960426</v>
      </c>
      <c r="G356" s="21" t="n">
        <f aca="false">Stock_Seguridad!T356</f>
        <v>19681.2</v>
      </c>
      <c r="H356" s="21" t="n">
        <f aca="false">Stock_Seguridad!R356</f>
        <v>1223.228296755</v>
      </c>
      <c r="I356" s="21" t="n">
        <f aca="false">Stock_Seguridad!S356</f>
        <v>3702.128296755</v>
      </c>
      <c r="J356" s="21" t="n">
        <f aca="false">Stock_Seguridad!U356</f>
        <v>0</v>
      </c>
      <c r="K356" s="22"/>
      <c r="L356" s="23" t="n">
        <v>0</v>
      </c>
      <c r="M356" s="23" t="n">
        <v>0</v>
      </c>
      <c r="N356" s="23" t="n">
        <v>0</v>
      </c>
      <c r="O356" s="24" t="n">
        <v>0.138617754357519</v>
      </c>
      <c r="P356" s="24" t="str">
        <f aca="false">IF(ISNUMBER(Stock_Seguridad!N356),Stock_Seguridad!N356,"")</f>
        <v/>
      </c>
      <c r="Q356" s="24" t="str">
        <f aca="false">IF(AND(ISNUMBER(O356),ISNUMBER(P356)),P356-O356,"")</f>
        <v/>
      </c>
      <c r="R356" s="23" t="n">
        <f aca="false">MAX(0,G356-N(L356))</f>
        <v>19681.2</v>
      </c>
      <c r="S356" s="23" t="n">
        <f aca="false">SUMIFS(Cadenas_vs_FCST!$D$17:$D$2437,Cadenas_vs_FCST!$A$17:$A$2437,A356)</f>
        <v>0</v>
      </c>
      <c r="T356" s="23" t="n">
        <f aca="false">SUMIFS(Cadenas_vs_FCST!$E$17:$E$2437,Cadenas_vs_FCST!$A$17:$A$2437,A356)</f>
        <v>0</v>
      </c>
      <c r="U356" s="24" t="str">
        <f aca="false">IF(T356&gt;0,S356/T356-1,"")</f>
        <v/>
      </c>
      <c r="V356" s="3" t="str">
        <f aca="false">IF(OR(E356="BAJO SS",E356="BAJO SS (XLIB CUBRE)"),"SÍ","")</f>
        <v/>
      </c>
      <c r="W356" s="3" t="str">
        <f aca="false">IF(AND(V356="",N(L356)&gt;=Parametros!$B$17,G356&gt;=H356,R356&lt;H356),"SÍ","")</f>
        <v/>
      </c>
      <c r="X356" s="3" t="str">
        <f aca="false">IF(OR(E356="SOBRE MAX VENDIBLE",N(N356)&gt;=Parametros!$B$17,N(M356)&gt;=Parametros!$B$17),"SÍ","")</f>
        <v/>
      </c>
      <c r="Y356" s="3" t="str">
        <f aca="false">IF(AND(ISNUMBER(U356),MAX(S356,T356)&gt;=Parametros!$B$15,ABS(N(U356))&gt;Parametros!$B$14),"SÍ","")</f>
        <v/>
      </c>
      <c r="Z356" s="3" t="n">
        <f aca="false">COUNTIF(V356:Y356,"SÍ")</f>
        <v>0</v>
      </c>
      <c r="AA356" s="3" t="n">
        <f aca="false">(3*(V356="SÍ")+2*(W356="SÍ")+2*(X356="SÍ")+(Y356="SÍ"))*IF(LEFT(D356,1)="A",3,IF(OR(LEFT(D356,1)="B",D356="SIN HIST"),2,1))</f>
        <v>0</v>
      </c>
      <c r="AB356" s="3" t="str">
        <f aca="false">IF(AA356&gt;=9,"1-ALTA",IF(AA356&gt;=4,"2-MEDIA",IF(AA356&gt;0,"3-BAJA","")))</f>
        <v/>
      </c>
      <c r="AC356" s="3" t="str">
        <f aca="false">IF(E356="BAJO SS","Stock + XLIB bajo el SS: riesgo real de quiebre, adelantar producción. ","")&amp;IF(E356="BAJO SS (XLIB CUBRE)","Disponible bajo el SS; depende de liberar "&amp;TEXT(J356,"#,##0")&amp;" kg"&amp;IF(ISNUMBER(K356)," el "&amp;TEXT(K356,"dd-mm"),"")&amp;". ","")&amp;IF(W356="SÍ","Stock parece sano pero "&amp;TEXT(L356,"#,##0")&amp;" kg no pasan filtro "&amp;Stock_Seguridad!O356&amp;": sin ellos queda bajo el SS para esa cadena. ","")&amp;IF(E356="SOBRE MAX VENDIBLE","Sobrestock vs vida útil: frenar producción/activar venta. ","")&amp;IF(N(N356)&gt;=Parametros!$B$17,TEXT(N356,"#,##0")&amp;" kg ya no los acepta ninguna cadena: venta intermedia/liquidación. ","")&amp;IF(N(M356)&gt;=Parametros!$B$17,TEXT(M356,"#,##0")&amp;" kg a punto de salir del filtro: despachar primero (FEFO). ","")&amp;IF(Y356="SÍ","Pedidos "&amp;IF(N(U356)&gt;0,"sobre","bajo")&amp;" FCST "&amp;TEXT(ABS(N(U356)),"0%")&amp;": revisar forecast con KAM.","")</f>
        <v/>
      </c>
    </row>
    <row r="357" customFormat="false" ht="15" hidden="false" customHeight="false" outlineLevel="0" collapsed="false">
      <c r="A357" s="18" t="n">
        <f aca="false">Stock_Seguridad!A357</f>
        <v>30002113</v>
      </c>
      <c r="B357" s="18" t="str">
        <f aca="false">Stock_Seguridad!B357</f>
        <v>MERMELADA WATTS FRAMBUESA FRASCO 10X500G</v>
      </c>
      <c r="C357" s="18" t="str">
        <f aca="false">Stock_Seguridad!C357</f>
        <v>MERMELADAS</v>
      </c>
      <c r="D357" s="18" t="str">
        <f aca="false">Stock_Seguridad!F357</f>
        <v>CX</v>
      </c>
      <c r="E357" s="19" t="str">
        <f aca="false">Stock_Seguridad!X357</f>
        <v>OK</v>
      </c>
      <c r="F357" s="20" t="n">
        <f aca="false">Stock_Seguridad!W357</f>
        <v>1.46922300706357</v>
      </c>
      <c r="G357" s="21" t="n">
        <f aca="false">Stock_Seguridad!T357</f>
        <v>3640</v>
      </c>
      <c r="H357" s="21" t="n">
        <f aca="false">Stock_Seguridad!R357</f>
        <v>388.969021605766</v>
      </c>
      <c r="I357" s="21" t="n">
        <f aca="false">Stock_Seguridad!S357</f>
        <v>2866.46902160577</v>
      </c>
      <c r="J357" s="21" t="n">
        <f aca="false">Stock_Seguridad!U357</f>
        <v>0</v>
      </c>
      <c r="K357" s="22"/>
      <c r="L357" s="23" t="n">
        <v>5</v>
      </c>
      <c r="M357" s="23" t="n">
        <v>255</v>
      </c>
      <c r="N357" s="23" t="n">
        <v>0</v>
      </c>
      <c r="O357" s="24" t="n">
        <v>0.0360714285714286</v>
      </c>
      <c r="P357" s="24" t="n">
        <f aca="false">IF(ISNUMBER(Stock_Seguridad!N357),Stock_Seguridad!N357,"")</f>
        <v>0.194520547945206</v>
      </c>
      <c r="Q357" s="24" t="n">
        <f aca="false">IF(AND(ISNUMBER(O357),ISNUMBER(P357)),P357-O357,"")</f>
        <v>0.158449119373777</v>
      </c>
      <c r="R357" s="23" t="n">
        <f aca="false">MAX(0,G357-N(L357))</f>
        <v>3635</v>
      </c>
      <c r="S357" s="23" t="n">
        <f aca="false">SUMIFS(Cadenas_vs_FCST!$D$17:$D$2437,Cadenas_vs_FCST!$A$17:$A$2437,A357)</f>
        <v>8065</v>
      </c>
      <c r="T357" s="23" t="n">
        <f aca="false">SUMIFS(Cadenas_vs_FCST!$E$17:$E$2437,Cadenas_vs_FCST!$A$17:$A$2437,A357)</f>
        <v>8620</v>
      </c>
      <c r="U357" s="24" t="n">
        <f aca="false">IF(T357&gt;0,S357/T357-1,"")</f>
        <v>-0.064385150812065</v>
      </c>
      <c r="V357" s="3" t="str">
        <f aca="false">IF(OR(E357="BAJO SS",E357="BAJO SS (XLIB CUBRE)"),"SÍ","")</f>
        <v/>
      </c>
      <c r="W357" s="3" t="str">
        <f aca="false">IF(AND(V357="",N(L357)&gt;=Parametros!$B$17,G357&gt;=H357,R357&lt;H357),"SÍ","")</f>
        <v/>
      </c>
      <c r="X357" s="3" t="str">
        <f aca="false">IF(OR(E357="SOBRE MAX VENDIBLE",N(N357)&gt;=Parametros!$B$17,N(M357)&gt;=Parametros!$B$17),"SÍ","")</f>
        <v/>
      </c>
      <c r="Y357" s="3" t="str">
        <f aca="false">IF(AND(ISNUMBER(U357),MAX(S357,T357)&gt;=Parametros!$B$15,ABS(N(U357))&gt;Parametros!$B$14),"SÍ","")</f>
        <v/>
      </c>
      <c r="Z357" s="3" t="n">
        <f aca="false">COUNTIF(V357:Y357,"SÍ")</f>
        <v>0</v>
      </c>
      <c r="AA357" s="3" t="n">
        <f aca="false">(3*(V357="SÍ")+2*(W357="SÍ")+2*(X357="SÍ")+(Y357="SÍ"))*IF(LEFT(D357,1)="A",3,IF(OR(LEFT(D357,1)="B",D357="SIN HIST"),2,1))</f>
        <v>0</v>
      </c>
      <c r="AB357" s="3" t="str">
        <f aca="false">IF(AA357&gt;=9,"1-ALTA",IF(AA357&gt;=4,"2-MEDIA",IF(AA357&gt;0,"3-BAJA","")))</f>
        <v/>
      </c>
      <c r="AC357" s="3" t="str">
        <f aca="false">IF(E357="BAJO SS","Stock + XLIB bajo el SS: riesgo real de quiebre, adelantar producción. ","")&amp;IF(E357="BAJO SS (XLIB CUBRE)","Disponible bajo el SS; depende de liberar "&amp;TEXT(J357,"#,##0")&amp;" kg"&amp;IF(ISNUMBER(K357)," el "&amp;TEXT(K357,"dd-mm"),"")&amp;". ","")&amp;IF(W357="SÍ","Stock parece sano pero "&amp;TEXT(L357,"#,##0")&amp;" kg no pasan filtro "&amp;Stock_Seguridad!O357&amp;": sin ellos queda bajo el SS para esa cadena. ","")&amp;IF(E357="SOBRE MAX VENDIBLE","Sobrestock vs vida útil: frenar producción/activar venta. ","")&amp;IF(N(N357)&gt;=Parametros!$B$17,TEXT(N357,"#,##0")&amp;" kg ya no los acepta ninguna cadena: venta intermedia/liquidación. ","")&amp;IF(N(M357)&gt;=Parametros!$B$17,TEXT(M357,"#,##0")&amp;" kg a punto de salir del filtro: despachar primero (FEFO). ","")&amp;IF(Y357="SÍ","Pedidos "&amp;IF(N(U357)&gt;0,"sobre","bajo")&amp;" FCST "&amp;TEXT(ABS(N(U357)),"0%")&amp;": revisar forecast con KAM.","")</f>
        <v/>
      </c>
    </row>
    <row r="358" customFormat="false" ht="15" hidden="false" customHeight="false" outlineLevel="0" collapsed="false">
      <c r="A358" s="18" t="n">
        <f aca="false">Stock_Seguridad!A358</f>
        <v>30001757</v>
      </c>
      <c r="B358" s="18" t="str">
        <f aca="false">Stock_Seguridad!B358</f>
        <v>MERMELADA WATTS DAMASCO 12X225GR</v>
      </c>
      <c r="C358" s="18" t="str">
        <f aca="false">Stock_Seguridad!C358</f>
        <v>MERMELADAS</v>
      </c>
      <c r="D358" s="18" t="str">
        <f aca="false">Stock_Seguridad!F358</f>
        <v>CX</v>
      </c>
      <c r="E358" s="19" t="str">
        <f aca="false">Stock_Seguridad!X358</f>
        <v>OK</v>
      </c>
      <c r="F358" s="20" t="n">
        <f aca="false">Stock_Seguridad!W358</f>
        <v>3.05044897959184</v>
      </c>
      <c r="G358" s="21" t="n">
        <f aca="false">Stock_Seguridad!T358</f>
        <v>7473.6</v>
      </c>
      <c r="H358" s="21" t="n">
        <f aca="false">Stock_Seguridad!R358</f>
        <v>1164.39012105051</v>
      </c>
      <c r="I358" s="21" t="n">
        <f aca="false">Stock_Seguridad!S358</f>
        <v>3614.39012105051</v>
      </c>
      <c r="J358" s="21" t="n">
        <f aca="false">Stock_Seguridad!U358</f>
        <v>0</v>
      </c>
      <c r="K358" s="22"/>
      <c r="L358" s="23" t="n">
        <v>0</v>
      </c>
      <c r="M358" s="23" t="n">
        <v>78.3</v>
      </c>
      <c r="N358" s="23" t="n">
        <v>0</v>
      </c>
      <c r="O358" s="24" t="n">
        <v>0.0828901734104046</v>
      </c>
      <c r="P358" s="24" t="n">
        <f aca="false">IF(ISNUMBER(Stock_Seguridad!N358),Stock_Seguridad!N358,"")</f>
        <v>0.273972602739726</v>
      </c>
      <c r="Q358" s="24" t="n">
        <f aca="false">IF(AND(ISNUMBER(O358),ISNUMBER(P358)),P358-O358,"")</f>
        <v>0.191082429329321</v>
      </c>
      <c r="R358" s="23" t="n">
        <f aca="false">MAX(0,G358-N(L358))</f>
        <v>7473.6</v>
      </c>
      <c r="S358" s="23" t="n">
        <f aca="false">SUMIFS(Cadenas_vs_FCST!$D$17:$D$2437,Cadenas_vs_FCST!$A$17:$A$2437,A358)</f>
        <v>9933.3</v>
      </c>
      <c r="T358" s="23" t="n">
        <f aca="false">SUMIFS(Cadenas_vs_FCST!$E$17:$E$2437,Cadenas_vs_FCST!$A$17:$A$2437,A358)</f>
        <v>8500</v>
      </c>
      <c r="U358" s="24" t="n">
        <f aca="false">IF(T358&gt;0,S358/T358-1,"")</f>
        <v>0.168623529411765</v>
      </c>
      <c r="V358" s="3" t="str">
        <f aca="false">IF(OR(E358="BAJO SS",E358="BAJO SS (XLIB CUBRE)"),"SÍ","")</f>
        <v/>
      </c>
      <c r="W358" s="3" t="str">
        <f aca="false">IF(AND(V358="",N(L358)&gt;=Parametros!$B$17,G358&gt;=H358,R358&lt;H358),"SÍ","")</f>
        <v/>
      </c>
      <c r="X358" s="3" t="str">
        <f aca="false">IF(OR(E358="SOBRE MAX VENDIBLE",N(N358)&gt;=Parametros!$B$17,N(M358)&gt;=Parametros!$B$17),"SÍ","")</f>
        <v/>
      </c>
      <c r="Y358" s="3" t="str">
        <f aca="false">IF(AND(ISNUMBER(U358),MAX(S358,T358)&gt;=Parametros!$B$15,ABS(N(U358))&gt;Parametros!$B$14),"SÍ","")</f>
        <v/>
      </c>
      <c r="Z358" s="3" t="n">
        <f aca="false">COUNTIF(V358:Y358,"SÍ")</f>
        <v>0</v>
      </c>
      <c r="AA358" s="3" t="n">
        <f aca="false">(3*(V358="SÍ")+2*(W358="SÍ")+2*(X358="SÍ")+(Y358="SÍ"))*IF(LEFT(D358,1)="A",3,IF(OR(LEFT(D358,1)="B",D358="SIN HIST"),2,1))</f>
        <v>0</v>
      </c>
      <c r="AB358" s="3" t="str">
        <f aca="false">IF(AA358&gt;=9,"1-ALTA",IF(AA358&gt;=4,"2-MEDIA",IF(AA358&gt;0,"3-BAJA","")))</f>
        <v/>
      </c>
      <c r="AC358" s="3" t="str">
        <f aca="false">IF(E358="BAJO SS","Stock + XLIB bajo el SS: riesgo real de quiebre, adelantar producción. ","")&amp;IF(E358="BAJO SS (XLIB CUBRE)","Disponible bajo el SS; depende de liberar "&amp;TEXT(J358,"#,##0")&amp;" kg"&amp;IF(ISNUMBER(K358)," el "&amp;TEXT(K358,"dd-mm"),"")&amp;". ","")&amp;IF(W358="SÍ","Stock parece sano pero "&amp;TEXT(L358,"#,##0")&amp;" kg no pasan filtro "&amp;Stock_Seguridad!O358&amp;": sin ellos queda bajo el SS para esa cadena. ","")&amp;IF(E358="SOBRE MAX VENDIBLE","Sobrestock vs vida útil: frenar producción/activar venta. ","")&amp;IF(N(N358)&gt;=Parametros!$B$17,TEXT(N358,"#,##0")&amp;" kg ya no los acepta ninguna cadena: venta intermedia/liquidación. ","")&amp;IF(N(M358)&gt;=Parametros!$B$17,TEXT(M358,"#,##0")&amp;" kg a punto de salir del filtro: despachar primero (FEFO). ","")&amp;IF(Y358="SÍ","Pedidos "&amp;IF(N(U358)&gt;0,"sobre","bajo")&amp;" FCST "&amp;TEXT(ABS(N(U358)),"0%")&amp;": revisar forecast con KAM.","")</f>
        <v/>
      </c>
    </row>
    <row r="359" customFormat="false" ht="15" hidden="false" customHeight="false" outlineLevel="0" collapsed="false">
      <c r="A359" s="18" t="n">
        <f aca="false">Stock_Seguridad!A359</f>
        <v>30001143</v>
      </c>
      <c r="B359" s="18" t="str">
        <f aca="false">Stock_Seguridad!B359</f>
        <v>MERMELADA WATTS MORA FRASCO 10X500GR</v>
      </c>
      <c r="C359" s="18" t="str">
        <f aca="false">Stock_Seguridad!C359</f>
        <v>MERMELADAS</v>
      </c>
      <c r="D359" s="18" t="str">
        <f aca="false">Stock_Seguridad!F359</f>
        <v>CX</v>
      </c>
      <c r="E359" s="19" t="str">
        <f aca="false">Stock_Seguridad!X359</f>
        <v>OK</v>
      </c>
      <c r="F359" s="20" t="n">
        <f aca="false">Stock_Seguridad!W359</f>
        <v>2.61082737487232</v>
      </c>
      <c r="G359" s="21" t="n">
        <f aca="false">Stock_Seguridad!T359</f>
        <v>6390</v>
      </c>
      <c r="H359" s="21" t="n">
        <f aca="false">Stock_Seguridad!R359</f>
        <v>600.861844195742</v>
      </c>
      <c r="I359" s="21" t="n">
        <f aca="false">Stock_Seguridad!S359</f>
        <v>3048.36184419574</v>
      </c>
      <c r="J359" s="21" t="n">
        <f aca="false">Stock_Seguridad!U359</f>
        <v>0</v>
      </c>
      <c r="K359" s="22"/>
      <c r="L359" s="23" t="n">
        <v>540</v>
      </c>
      <c r="M359" s="23" t="n">
        <v>0</v>
      </c>
      <c r="N359" s="23" t="n">
        <v>0</v>
      </c>
      <c r="O359" s="24" t="n">
        <v>0.0543912018853103</v>
      </c>
      <c r="P359" s="24" t="n">
        <f aca="false">IF(ISNUMBER(Stock_Seguridad!N359),Stock_Seguridad!N359,"")</f>
        <v>0.194520547945206</v>
      </c>
      <c r="Q359" s="24" t="n">
        <f aca="false">IF(AND(ISNUMBER(O359),ISNUMBER(P359)),P359-O359,"")</f>
        <v>0.140129346059895</v>
      </c>
      <c r="R359" s="23" t="n">
        <f aca="false">MAX(0,G359-N(L359))</f>
        <v>5850</v>
      </c>
      <c r="S359" s="23" t="n">
        <f aca="false">SUMIFS(Cadenas_vs_FCST!$D$17:$D$2437,Cadenas_vs_FCST!$A$17:$A$2437,A359)</f>
        <v>7140</v>
      </c>
      <c r="T359" s="23" t="n">
        <f aca="false">SUMIFS(Cadenas_vs_FCST!$E$17:$E$2437,Cadenas_vs_FCST!$A$17:$A$2437,A359)</f>
        <v>8810</v>
      </c>
      <c r="U359" s="24" t="n">
        <f aca="false">IF(T359&gt;0,S359/T359-1,"")</f>
        <v>-0.18955732122588</v>
      </c>
      <c r="V359" s="3" t="str">
        <f aca="false">IF(OR(E359="BAJO SS",E359="BAJO SS (XLIB CUBRE)"),"SÍ","")</f>
        <v/>
      </c>
      <c r="W359" s="3" t="str">
        <f aca="false">IF(AND(V359="",N(L359)&gt;=Parametros!$B$17,G359&gt;=H359,R359&lt;H359),"SÍ","")</f>
        <v/>
      </c>
      <c r="X359" s="3" t="str">
        <f aca="false">IF(OR(E359="SOBRE MAX VENDIBLE",N(N359)&gt;=Parametros!$B$17,N(M359)&gt;=Parametros!$B$17),"SÍ","")</f>
        <v/>
      </c>
      <c r="Y359" s="3" t="str">
        <f aca="false">IF(AND(ISNUMBER(U359),MAX(S359,T359)&gt;=Parametros!$B$15,ABS(N(U359))&gt;Parametros!$B$14),"SÍ","")</f>
        <v/>
      </c>
      <c r="Z359" s="3" t="n">
        <f aca="false">COUNTIF(V359:Y359,"SÍ")</f>
        <v>0</v>
      </c>
      <c r="AA359" s="3" t="n">
        <f aca="false">(3*(V359="SÍ")+2*(W359="SÍ")+2*(X359="SÍ")+(Y359="SÍ"))*IF(LEFT(D359,1)="A",3,IF(OR(LEFT(D359,1)="B",D359="SIN HIST"),2,1))</f>
        <v>0</v>
      </c>
      <c r="AB359" s="3" t="str">
        <f aca="false">IF(AA359&gt;=9,"1-ALTA",IF(AA359&gt;=4,"2-MEDIA",IF(AA359&gt;0,"3-BAJA","")))</f>
        <v/>
      </c>
      <c r="AC359" s="3" t="str">
        <f aca="false">IF(E359="BAJO SS","Stock + XLIB bajo el SS: riesgo real de quiebre, adelantar producción. ","")&amp;IF(E359="BAJO SS (XLIB CUBRE)","Disponible bajo el SS; depende de liberar "&amp;TEXT(J359,"#,##0")&amp;" kg"&amp;IF(ISNUMBER(K359)," el "&amp;TEXT(K359,"dd-mm"),"")&amp;". ","")&amp;IF(W359="SÍ","Stock parece sano pero "&amp;TEXT(L359,"#,##0")&amp;" kg no pasan filtro "&amp;Stock_Seguridad!O359&amp;": sin ellos queda bajo el SS para esa cadena. ","")&amp;IF(E359="SOBRE MAX VENDIBLE","Sobrestock vs vida útil: frenar producción/activar venta. ","")&amp;IF(N(N359)&gt;=Parametros!$B$17,TEXT(N359,"#,##0")&amp;" kg ya no los acepta ninguna cadena: venta intermedia/liquidación. ","")&amp;IF(N(M359)&gt;=Parametros!$B$17,TEXT(M359,"#,##0")&amp;" kg a punto de salir del filtro: despachar primero (FEFO). ","")&amp;IF(Y359="SÍ","Pedidos "&amp;IF(N(U359)&gt;0,"sobre","bajo")&amp;" FCST "&amp;TEXT(ABS(N(U359)),"0%")&amp;": revisar forecast con KAM.","")</f>
        <v/>
      </c>
    </row>
    <row r="360" customFormat="false" ht="15" hidden="false" customHeight="false" outlineLevel="0" collapsed="false">
      <c r="A360" s="18" t="n">
        <f aca="false">Stock_Seguridad!A360</f>
        <v>30000041</v>
      </c>
      <c r="B360" s="18" t="str">
        <f aca="false">Stock_Seguridad!B360</f>
        <v>ACEITE BELMONT 4X5LT</v>
      </c>
      <c r="C360" s="18" t="str">
        <f aca="false">Stock_Seguridad!C360</f>
        <v>ACEITES</v>
      </c>
      <c r="D360" s="18" t="str">
        <f aca="false">Stock_Seguridad!F360</f>
        <v>BY</v>
      </c>
      <c r="E360" s="19" t="str">
        <f aca="false">Stock_Seguridad!X360</f>
        <v>OK</v>
      </c>
      <c r="F360" s="20" t="n">
        <f aca="false">Stock_Seguridad!W360</f>
        <v>8.74455445544554</v>
      </c>
      <c r="G360" s="21" t="n">
        <f aca="false">Stock_Seguridad!T360</f>
        <v>21196.8</v>
      </c>
      <c r="H360" s="21" t="n">
        <f aca="false">Stock_Seguridad!R360</f>
        <v>3689.56092036108</v>
      </c>
      <c r="I360" s="21" t="n">
        <f aca="false">Stock_Seguridad!S360</f>
        <v>6113.56092036108</v>
      </c>
      <c r="J360" s="21" t="n">
        <f aca="false">Stock_Seguridad!U360</f>
        <v>0</v>
      </c>
      <c r="K360" s="22"/>
      <c r="L360" s="23" t="n">
        <v>36.8</v>
      </c>
      <c r="M360" s="23" t="n">
        <v>0</v>
      </c>
      <c r="N360" s="23" t="n">
        <v>0</v>
      </c>
      <c r="O360" s="24" t="n">
        <v>0.0545739130434783</v>
      </c>
      <c r="P360" s="24" t="n">
        <f aca="false">IF(ISNUMBER(Stock_Seguridad!N360),Stock_Seguridad!N360,"")</f>
        <v>0.275547445255475</v>
      </c>
      <c r="Q360" s="24" t="n">
        <f aca="false">IF(AND(ISNUMBER(O360),ISNUMBER(P360)),P360-O360,"")</f>
        <v>0.220973532211996</v>
      </c>
      <c r="R360" s="23" t="n">
        <f aca="false">MAX(0,G360-N(L360))</f>
        <v>21160</v>
      </c>
      <c r="S360" s="23" t="n">
        <f aca="false">SUMIFS(Cadenas_vs_FCST!$D$17:$D$2437,Cadenas_vs_FCST!$A$17:$A$2437,A360)</f>
        <v>11316</v>
      </c>
      <c r="T360" s="23" t="n">
        <f aca="false">SUMIFS(Cadenas_vs_FCST!$E$17:$E$2437,Cadenas_vs_FCST!$A$17:$A$2437,A360)</f>
        <v>10230.4</v>
      </c>
      <c r="U360" s="24" t="n">
        <f aca="false">IF(T360&gt;0,S360/T360-1,"")</f>
        <v>0.106115107913669</v>
      </c>
      <c r="V360" s="3" t="str">
        <f aca="false">IF(OR(E360="BAJO SS",E360="BAJO SS (XLIB CUBRE)"),"SÍ","")</f>
        <v/>
      </c>
      <c r="W360" s="3" t="str">
        <f aca="false">IF(AND(V360="",N(L360)&gt;=Parametros!$B$17,G360&gt;=H360,R360&lt;H360),"SÍ","")</f>
        <v/>
      </c>
      <c r="X360" s="3" t="str">
        <f aca="false">IF(OR(E360="SOBRE MAX VENDIBLE",N(N360)&gt;=Parametros!$B$17,N(M360)&gt;=Parametros!$B$17),"SÍ","")</f>
        <v/>
      </c>
      <c r="Y360" s="3" t="str">
        <f aca="false">IF(AND(ISNUMBER(U360),MAX(S360,T360)&gt;=Parametros!$B$15,ABS(N(U360))&gt;Parametros!$B$14),"SÍ","")</f>
        <v/>
      </c>
      <c r="Z360" s="3" t="n">
        <f aca="false">COUNTIF(V360:Y360,"SÍ")</f>
        <v>0</v>
      </c>
      <c r="AA360" s="3" t="n">
        <f aca="false">(3*(V360="SÍ")+2*(W360="SÍ")+2*(X360="SÍ")+(Y360="SÍ"))*IF(LEFT(D360,1)="A",3,IF(OR(LEFT(D360,1)="B",D360="SIN HIST"),2,1))</f>
        <v>0</v>
      </c>
      <c r="AB360" s="3" t="str">
        <f aca="false">IF(AA360&gt;=9,"1-ALTA",IF(AA360&gt;=4,"2-MEDIA",IF(AA360&gt;0,"3-BAJA","")))</f>
        <v/>
      </c>
      <c r="AC360" s="3" t="str">
        <f aca="false">IF(E360="BAJO SS","Stock + XLIB bajo el SS: riesgo real de quiebre, adelantar producción. ","")&amp;IF(E360="BAJO SS (XLIB CUBRE)","Disponible bajo el SS; depende de liberar "&amp;TEXT(J360,"#,##0")&amp;" kg"&amp;IF(ISNUMBER(K360)," el "&amp;TEXT(K360,"dd-mm"),"")&amp;". ","")&amp;IF(W360="SÍ","Stock parece sano pero "&amp;TEXT(L360,"#,##0")&amp;" kg no pasan filtro "&amp;Stock_Seguridad!O360&amp;": sin ellos queda bajo el SS para esa cadena. ","")&amp;IF(E360="SOBRE MAX VENDIBLE","Sobrestock vs vida útil: frenar producción/activar venta. ","")&amp;IF(N(N360)&gt;=Parametros!$B$17,TEXT(N360,"#,##0")&amp;" kg ya no los acepta ninguna cadena: venta intermedia/liquidación. ","")&amp;IF(N(M360)&gt;=Parametros!$B$17,TEXT(M360,"#,##0")&amp;" kg a punto de salir del filtro: despachar primero (FEFO). ","")&amp;IF(Y360="SÍ","Pedidos "&amp;IF(N(U360)&gt;0,"sobre","bajo")&amp;" FCST "&amp;TEXT(ABS(N(U360)),"0%")&amp;": revisar forecast con KAM.","")</f>
        <v/>
      </c>
    </row>
    <row r="361" customFormat="false" ht="15" hidden="false" customHeight="false" outlineLevel="0" collapsed="false">
      <c r="A361" s="18" t="n">
        <f aca="false">Stock_Seguridad!A361</f>
        <v>30000180</v>
      </c>
      <c r="B361" s="18" t="str">
        <f aca="false">Stock_Seguridad!B361</f>
        <v>MERMELADA WATTS S/A ARAND SACHET 24X200G</v>
      </c>
      <c r="C361" s="18" t="str">
        <f aca="false">Stock_Seguridad!C361</f>
        <v>MERMELADAS</v>
      </c>
      <c r="D361" s="18" t="str">
        <f aca="false">Stock_Seguridad!F361</f>
        <v>BX</v>
      </c>
      <c r="E361" s="19" t="str">
        <f aca="false">Stock_Seguridad!X361</f>
        <v>OK</v>
      </c>
      <c r="F361" s="20" t="n">
        <f aca="false">Stock_Seguridad!W361</f>
        <v>2.43592188730876</v>
      </c>
      <c r="G361" s="21" t="n">
        <f aca="false">Stock_Seguridad!T361</f>
        <v>5875.2</v>
      </c>
      <c r="H361" s="21" t="n">
        <f aca="false">Stock_Seguridad!R361</f>
        <v>1431.86978791965</v>
      </c>
      <c r="I361" s="21" t="n">
        <f aca="false">Stock_Seguridad!S361</f>
        <v>3843.76978791965</v>
      </c>
      <c r="J361" s="21" t="n">
        <f aca="false">Stock_Seguridad!U361</f>
        <v>0</v>
      </c>
      <c r="K361" s="22"/>
      <c r="L361" s="23" t="n">
        <v>0</v>
      </c>
      <c r="M361" s="23" t="n">
        <v>0</v>
      </c>
      <c r="N361" s="23" t="n">
        <v>0</v>
      </c>
      <c r="O361" s="24" t="n">
        <v>0.0981803278688525</v>
      </c>
      <c r="P361" s="24" t="n">
        <f aca="false">IF(ISNUMBER(Stock_Seguridad!N361),Stock_Seguridad!N361,"")</f>
        <v>0.28804347826087</v>
      </c>
      <c r="Q361" s="24" t="n">
        <f aca="false">IF(AND(ISNUMBER(O361),ISNUMBER(P361)),P361-O361,"")</f>
        <v>0.189863150392017</v>
      </c>
      <c r="R361" s="23" t="n">
        <f aca="false">MAX(0,G361-N(L361))</f>
        <v>5875.2</v>
      </c>
      <c r="S361" s="23" t="n">
        <f aca="false">SUMIFS(Cadenas_vs_FCST!$D$17:$D$2437,Cadenas_vs_FCST!$A$17:$A$2437,A361)</f>
        <v>11740.8</v>
      </c>
      <c r="T361" s="23" t="n">
        <f aca="false">SUMIFS(Cadenas_vs_FCST!$E$17:$E$2437,Cadenas_vs_FCST!$A$17:$A$2437,A361)</f>
        <v>8530</v>
      </c>
      <c r="U361" s="24" t="n">
        <f aca="false">IF(T361&gt;0,S361/T361-1,"")</f>
        <v>0.376412661195779</v>
      </c>
      <c r="V361" s="3" t="str">
        <f aca="false">IF(OR(E361="BAJO SS",E361="BAJO SS (XLIB CUBRE)"),"SÍ","")</f>
        <v/>
      </c>
      <c r="W361" s="3" t="str">
        <f aca="false">IF(AND(V361="",N(L361)&gt;=Parametros!$B$17,G361&gt;=H361,R361&lt;H361),"SÍ","")</f>
        <v/>
      </c>
      <c r="X361" s="3" t="str">
        <f aca="false">IF(OR(E361="SOBRE MAX VENDIBLE",N(N361)&gt;=Parametros!$B$17,N(M361)&gt;=Parametros!$B$17),"SÍ","")</f>
        <v/>
      </c>
      <c r="Y361" s="3" t="str">
        <f aca="false">IF(AND(ISNUMBER(U361),MAX(S361,T361)&gt;=Parametros!$B$15,ABS(N(U361))&gt;Parametros!$B$14),"SÍ","")</f>
        <v>SÍ</v>
      </c>
      <c r="Z361" s="3" t="n">
        <f aca="false">COUNTIF(V361:Y361,"SÍ")</f>
        <v>1</v>
      </c>
      <c r="AA361" s="3" t="n">
        <f aca="false">(3*(V361="SÍ")+2*(W361="SÍ")+2*(X361="SÍ")+(Y361="SÍ"))*IF(LEFT(D361,1)="A",3,IF(OR(LEFT(D361,1)="B",D361="SIN HIST"),2,1))</f>
        <v>2</v>
      </c>
      <c r="AB361" s="3" t="str">
        <f aca="false">IF(AA361&gt;=9,"1-ALTA",IF(AA361&gt;=4,"2-MEDIA",IF(AA361&gt;0,"3-BAJA","")))</f>
        <v>3-BAJA</v>
      </c>
      <c r="AC361" s="3" t="str">
        <f aca="false">IF(E361="BAJO SS","Stock + XLIB bajo el SS: riesgo real de quiebre, adelantar producción. ","")&amp;IF(E361="BAJO SS (XLIB CUBRE)","Disponible bajo el SS; depende de liberar "&amp;TEXT(J361,"#,##0")&amp;" kg"&amp;IF(ISNUMBER(K361)," el "&amp;TEXT(K361,"dd-mm"),"")&amp;". ","")&amp;IF(W361="SÍ","Stock parece sano pero "&amp;TEXT(L361,"#,##0")&amp;" kg no pasan filtro "&amp;Stock_Seguridad!O361&amp;": sin ellos queda bajo el SS para esa cadena. ","")&amp;IF(E361="SOBRE MAX VENDIBLE","Sobrestock vs vida útil: frenar producción/activar venta. ","")&amp;IF(N(N361)&gt;=Parametros!$B$17,TEXT(N361,"#,##0")&amp;" kg ya no los acepta ninguna cadena: venta intermedia/liquidación. ","")&amp;IF(N(M361)&gt;=Parametros!$B$17,TEXT(M361,"#,##0")&amp;" kg a punto de salir del filtro: despachar primero (FEFO). ","")&amp;IF(Y361="SÍ","Pedidos "&amp;IF(N(U361)&gt;0,"sobre","bajo")&amp;" FCST "&amp;TEXT(ABS(N(U361)),"0%")&amp;": revisar forecast con KAM.","")</f>
        <v>Pedidos sobre FCST 38%: revisar forecast con KAM.</v>
      </c>
    </row>
    <row r="362" customFormat="false" ht="15" hidden="false" customHeight="false" outlineLevel="0" collapsed="false">
      <c r="A362" s="18" t="n">
        <f aca="false">Stock_Seguridad!A362</f>
        <v>30000608</v>
      </c>
      <c r="B362" s="18" t="str">
        <f aca="false">Stock_Seguridad!B362</f>
        <v>COCTEL DE FRUTA WASIL 24X560GR</v>
      </c>
      <c r="C362" s="18" t="str">
        <f aca="false">Stock_Seguridad!C362</f>
        <v>CONSERVAS Y PLATOS LISTOS</v>
      </c>
      <c r="D362" s="18" t="str">
        <f aca="false">Stock_Seguridad!F362</f>
        <v>BX</v>
      </c>
      <c r="E362" s="19" t="str">
        <f aca="false">Stock_Seguridad!X362</f>
        <v>OK</v>
      </c>
      <c r="F362" s="20" t="n">
        <f aca="false">Stock_Seguridad!W362</f>
        <v>19.0526468635911</v>
      </c>
      <c r="G362" s="21" t="n">
        <f aca="false">Stock_Seguridad!T362</f>
        <v>45924.5</v>
      </c>
      <c r="H362" s="21" t="n">
        <f aca="false">Stock_Seguridad!R362</f>
        <v>3461.98301731216</v>
      </c>
      <c r="I362" s="21" t="n">
        <f aca="false">Stock_Seguridad!S362</f>
        <v>5872.38301731216</v>
      </c>
      <c r="J362" s="21" t="n">
        <f aca="false">Stock_Seguridad!U362</f>
        <v>0</v>
      </c>
      <c r="K362" s="22"/>
      <c r="L362" s="23" t="n">
        <v>0</v>
      </c>
      <c r="M362" s="23" t="n">
        <v>0</v>
      </c>
      <c r="N362" s="23" t="n">
        <v>0</v>
      </c>
      <c r="O362" s="24" t="n">
        <v>0.173524590163934</v>
      </c>
      <c r="P362" s="24" t="n">
        <f aca="false">IF(ISNUMBER(Stock_Seguridad!N362),Stock_Seguridad!N362,"")</f>
        <v>0.461187214611872</v>
      </c>
      <c r="Q362" s="24" t="n">
        <f aca="false">IF(AND(ISNUMBER(O362),ISNUMBER(P362)),P362-O362,"")</f>
        <v>0.287662624447938</v>
      </c>
      <c r="R362" s="23" t="n">
        <f aca="false">MAX(0,G362-N(L362))</f>
        <v>45924.5</v>
      </c>
      <c r="S362" s="23" t="n">
        <f aca="false">SUMIFS(Cadenas_vs_FCST!$D$17:$D$2437,Cadenas_vs_FCST!$A$17:$A$2437,A362)</f>
        <v>11101.44</v>
      </c>
      <c r="T362" s="23" t="n">
        <f aca="false">SUMIFS(Cadenas_vs_FCST!$E$17:$E$2437,Cadenas_vs_FCST!$A$17:$A$2437,A362)</f>
        <v>10632.56</v>
      </c>
      <c r="U362" s="24" t="n">
        <f aca="false">IF(T362&gt;0,S362/T362-1,"")</f>
        <v>0.0440985049696405</v>
      </c>
      <c r="V362" s="3" t="str">
        <f aca="false">IF(OR(E362="BAJO SS",E362="BAJO SS (XLIB CUBRE)"),"SÍ","")</f>
        <v/>
      </c>
      <c r="W362" s="3" t="str">
        <f aca="false">IF(AND(V362="",N(L362)&gt;=Parametros!$B$17,G362&gt;=H362,R362&lt;H362),"SÍ","")</f>
        <v/>
      </c>
      <c r="X362" s="3" t="str">
        <f aca="false">IF(OR(E362="SOBRE MAX VENDIBLE",N(N362)&gt;=Parametros!$B$17,N(M362)&gt;=Parametros!$B$17),"SÍ","")</f>
        <v/>
      </c>
      <c r="Y362" s="3" t="str">
        <f aca="false">IF(AND(ISNUMBER(U362),MAX(S362,T362)&gt;=Parametros!$B$15,ABS(N(U362))&gt;Parametros!$B$14),"SÍ","")</f>
        <v/>
      </c>
      <c r="Z362" s="3" t="n">
        <f aca="false">COUNTIF(V362:Y362,"SÍ")</f>
        <v>0</v>
      </c>
      <c r="AA362" s="3" t="n">
        <f aca="false">(3*(V362="SÍ")+2*(W362="SÍ")+2*(X362="SÍ")+(Y362="SÍ"))*IF(LEFT(D362,1)="A",3,IF(OR(LEFT(D362,1)="B",D362="SIN HIST"),2,1))</f>
        <v>0</v>
      </c>
      <c r="AB362" s="3" t="str">
        <f aca="false">IF(AA362&gt;=9,"1-ALTA",IF(AA362&gt;=4,"2-MEDIA",IF(AA362&gt;0,"3-BAJA","")))</f>
        <v/>
      </c>
      <c r="AC362" s="3" t="str">
        <f aca="false">IF(E362="BAJO SS","Stock + XLIB bajo el SS: riesgo real de quiebre, adelantar producción. ","")&amp;IF(E362="BAJO SS (XLIB CUBRE)","Disponible bajo el SS; depende de liberar "&amp;TEXT(J362,"#,##0")&amp;" kg"&amp;IF(ISNUMBER(K362)," el "&amp;TEXT(K362,"dd-mm"),"")&amp;". ","")&amp;IF(W362="SÍ","Stock parece sano pero "&amp;TEXT(L362,"#,##0")&amp;" kg no pasan filtro "&amp;Stock_Seguridad!O362&amp;": sin ellos queda bajo el SS para esa cadena. ","")&amp;IF(E362="SOBRE MAX VENDIBLE","Sobrestock vs vida útil: frenar producción/activar venta. ","")&amp;IF(N(N362)&gt;=Parametros!$B$17,TEXT(N362,"#,##0")&amp;" kg ya no los acepta ninguna cadena: venta intermedia/liquidación. ","")&amp;IF(N(M362)&gt;=Parametros!$B$17,TEXT(M362,"#,##0")&amp;" kg a punto de salir del filtro: despachar primero (FEFO). ","")&amp;IF(Y362="SÍ","Pedidos "&amp;IF(N(U362)&gt;0,"sobre","bajo")&amp;" FCST "&amp;TEXT(ABS(N(U362)),"0%")&amp;": revisar forecast con KAM.","")</f>
        <v/>
      </c>
    </row>
    <row r="363" customFormat="false" ht="15" hidden="false" customHeight="false" outlineLevel="0" collapsed="false">
      <c r="A363" s="18" t="n">
        <f aca="false">Stock_Seguridad!A363</f>
        <v>30000327</v>
      </c>
      <c r="B363" s="18" t="str">
        <f aca="false">Stock_Seguridad!B363</f>
        <v>LECHE LONCO S/LACTOSA FRUTILLA 12X1LT</v>
      </c>
      <c r="C363" s="18" t="str">
        <f aca="false">Stock_Seguridad!C363</f>
        <v>LECHES LIQUIDAS</v>
      </c>
      <c r="D363" s="18" t="str">
        <f aca="false">Stock_Seguridad!F363</f>
        <v>BY</v>
      </c>
      <c r="E363" s="19" t="str">
        <f aca="false">Stock_Seguridad!X363</f>
        <v>OK</v>
      </c>
      <c r="F363" s="20" t="n">
        <f aca="false">Stock_Seguridad!W363</f>
        <v>6.19786251923317</v>
      </c>
      <c r="G363" s="21" t="n">
        <f aca="false">Stock_Seguridad!T363</f>
        <v>14904</v>
      </c>
      <c r="H363" s="21" t="n">
        <f aca="false">Stock_Seguridad!R363</f>
        <v>5089.65699917282</v>
      </c>
      <c r="I363" s="21" t="n">
        <f aca="false">Stock_Seguridad!S363</f>
        <v>7494.35699917282</v>
      </c>
      <c r="J363" s="21" t="n">
        <f aca="false">Stock_Seguridad!U363</f>
        <v>0</v>
      </c>
      <c r="K363" s="22"/>
      <c r="L363" s="23" t="n">
        <v>48</v>
      </c>
      <c r="M363" s="23" t="n">
        <v>0</v>
      </c>
      <c r="N363" s="23" t="n">
        <v>0</v>
      </c>
      <c r="O363" s="24" t="n">
        <v>0.0887489911218725</v>
      </c>
      <c r="P363" s="24" t="n">
        <f aca="false">IF(ISNUMBER(Stock_Seguridad!N363),Stock_Seguridad!N363,"")</f>
        <v>0.333333333333333</v>
      </c>
      <c r="Q363" s="24" t="n">
        <f aca="false">IF(AND(ISNUMBER(O363),ISNUMBER(P363)),P363-O363,"")</f>
        <v>0.244584342211461</v>
      </c>
      <c r="R363" s="23" t="n">
        <f aca="false">MAX(0,G363-N(L363))</f>
        <v>14856</v>
      </c>
      <c r="S363" s="23" t="n">
        <f aca="false">SUMIFS(Cadenas_vs_FCST!$D$17:$D$2437,Cadenas_vs_FCST!$A$17:$A$2437,A363)</f>
        <v>14280</v>
      </c>
      <c r="T363" s="23" t="n">
        <f aca="false">SUMIFS(Cadenas_vs_FCST!$E$17:$E$2437,Cadenas_vs_FCST!$A$17:$A$2437,A363)</f>
        <v>9614.41687320258</v>
      </c>
      <c r="U363" s="24" t="n">
        <f aca="false">IF(T363&gt;0,S363/T363-1,"")</f>
        <v>0.485269485224984</v>
      </c>
      <c r="V363" s="3" t="str">
        <f aca="false">IF(OR(E363="BAJO SS",E363="BAJO SS (XLIB CUBRE)"),"SÍ","")</f>
        <v/>
      </c>
      <c r="W363" s="3" t="str">
        <f aca="false">IF(AND(V363="",N(L363)&gt;=Parametros!$B$17,G363&gt;=H363,R363&lt;H363),"SÍ","")</f>
        <v/>
      </c>
      <c r="X363" s="3" t="str">
        <f aca="false">IF(OR(E363="SOBRE MAX VENDIBLE",N(N363)&gt;=Parametros!$B$17,N(M363)&gt;=Parametros!$B$17),"SÍ","")</f>
        <v/>
      </c>
      <c r="Y363" s="3" t="str">
        <f aca="false">IF(AND(ISNUMBER(U363),MAX(S363,T363)&gt;=Parametros!$B$15,ABS(N(U363))&gt;Parametros!$B$14),"SÍ","")</f>
        <v>SÍ</v>
      </c>
      <c r="Z363" s="3" t="n">
        <f aca="false">COUNTIF(V363:Y363,"SÍ")</f>
        <v>1</v>
      </c>
      <c r="AA363" s="3" t="n">
        <f aca="false">(3*(V363="SÍ")+2*(W363="SÍ")+2*(X363="SÍ")+(Y363="SÍ"))*IF(LEFT(D363,1)="A",3,IF(OR(LEFT(D363,1)="B",D363="SIN HIST"),2,1))</f>
        <v>2</v>
      </c>
      <c r="AB363" s="3" t="str">
        <f aca="false">IF(AA363&gt;=9,"1-ALTA",IF(AA363&gt;=4,"2-MEDIA",IF(AA363&gt;0,"3-BAJA","")))</f>
        <v>3-BAJA</v>
      </c>
      <c r="AC363" s="3" t="str">
        <f aca="false">IF(E363="BAJO SS","Stock + XLIB bajo el SS: riesgo real de quiebre, adelantar producción. ","")&amp;IF(E363="BAJO SS (XLIB CUBRE)","Disponible bajo el SS; depende de liberar "&amp;TEXT(J363,"#,##0")&amp;" kg"&amp;IF(ISNUMBER(K363)," el "&amp;TEXT(K363,"dd-mm"),"")&amp;". ","")&amp;IF(W363="SÍ","Stock parece sano pero "&amp;TEXT(L363,"#,##0")&amp;" kg no pasan filtro "&amp;Stock_Seguridad!O363&amp;": sin ellos queda bajo el SS para esa cadena. ","")&amp;IF(E363="SOBRE MAX VENDIBLE","Sobrestock vs vida útil: frenar producción/activar venta. ","")&amp;IF(N(N363)&gt;=Parametros!$B$17,TEXT(N363,"#,##0")&amp;" kg ya no los acepta ninguna cadena: venta intermedia/liquidación. ","")&amp;IF(N(M363)&gt;=Parametros!$B$17,TEXT(M363,"#,##0")&amp;" kg a punto de salir del filtro: despachar primero (FEFO). ","")&amp;IF(Y363="SÍ","Pedidos "&amp;IF(N(U363)&gt;0,"sobre","bajo")&amp;" FCST "&amp;TEXT(ABS(N(U363)),"0%")&amp;": revisar forecast con KAM.","")</f>
        <v>Pedidos sobre FCST 49%: revisar forecast con KAM.</v>
      </c>
    </row>
    <row r="364" customFormat="false" ht="15" hidden="false" customHeight="false" outlineLevel="0" collapsed="false">
      <c r="A364" s="18" t="n">
        <f aca="false">Stock_Seguridad!A364</f>
        <v>30002134</v>
      </c>
      <c r="B364" s="18" t="str">
        <f aca="false">Stock_Seguridad!B364</f>
        <v>JUGO FRESCO WATTS NARANJA-PIÑA 6X1,6LT</v>
      </c>
      <c r="C364" s="18" t="str">
        <f aca="false">Stock_Seguridad!C364</f>
        <v>JUGOS Y NECTARES</v>
      </c>
      <c r="D364" s="18" t="str">
        <f aca="false">Stock_Seguridad!F364</f>
        <v>BX</v>
      </c>
      <c r="E364" s="19" t="str">
        <f aca="false">Stock_Seguridad!X364</f>
        <v>OK</v>
      </c>
      <c r="F364" s="20" t="n">
        <f aca="false">Stock_Seguridad!W364</f>
        <v>1.692</v>
      </c>
      <c r="G364" s="21" t="n">
        <f aca="false">Stock_Seguridad!T364</f>
        <v>4060.8</v>
      </c>
      <c r="H364" s="21" t="n">
        <f aca="false">Stock_Seguridad!R364</f>
        <v>1560.84860443737</v>
      </c>
      <c r="I364" s="21" t="n">
        <f aca="false">Stock_Seguridad!S364</f>
        <v>3960.84860443737</v>
      </c>
      <c r="J364" s="21" t="n">
        <f aca="false">Stock_Seguridad!U364</f>
        <v>0</v>
      </c>
      <c r="K364" s="22"/>
      <c r="L364" s="23" t="n">
        <v>259.2</v>
      </c>
      <c r="M364" s="23" t="n">
        <v>624</v>
      </c>
      <c r="N364" s="23" t="n">
        <v>0</v>
      </c>
      <c r="O364" s="24" t="n">
        <v>0.126595744680851</v>
      </c>
      <c r="P364" s="24" t="n">
        <f aca="false">IF(ISNUMBER(Stock_Seguridad!N364),Stock_Seguridad!N364,"")</f>
        <v>0.214285714285714</v>
      </c>
      <c r="Q364" s="24" t="n">
        <f aca="false">IF(AND(ISNUMBER(O364),ISNUMBER(P364)),P364-O364,"")</f>
        <v>0.0876899696048632</v>
      </c>
      <c r="R364" s="23" t="n">
        <f aca="false">MAX(0,G364-N(L364))</f>
        <v>3801.6</v>
      </c>
      <c r="S364" s="23" t="n">
        <f aca="false">SUMIFS(Cadenas_vs_FCST!$D$17:$D$2437,Cadenas_vs_FCST!$A$17:$A$2437,A364)</f>
        <v>12624</v>
      </c>
      <c r="T364" s="23" t="n">
        <f aca="false">SUMIFS(Cadenas_vs_FCST!$E$17:$E$2437,Cadenas_vs_FCST!$A$17:$A$2437,A364)</f>
        <v>9531.88807059503</v>
      </c>
      <c r="U364" s="24" t="n">
        <f aca="false">IF(T364&gt;0,S364/T364-1,"")</f>
        <v>0.324396584024506</v>
      </c>
      <c r="V364" s="3" t="str">
        <f aca="false">IF(OR(E364="BAJO SS",E364="BAJO SS (XLIB CUBRE)"),"SÍ","")</f>
        <v/>
      </c>
      <c r="W364" s="3" t="str">
        <f aca="false">IF(AND(V364="",N(L364)&gt;=Parametros!$B$17,G364&gt;=H364,R364&lt;H364),"SÍ","")</f>
        <v/>
      </c>
      <c r="X364" s="3" t="str">
        <f aca="false">IF(OR(E364="SOBRE MAX VENDIBLE",N(N364)&gt;=Parametros!$B$17,N(M364)&gt;=Parametros!$B$17),"SÍ","")</f>
        <v>SÍ</v>
      </c>
      <c r="Y364" s="3" t="str">
        <f aca="false">IF(AND(ISNUMBER(U364),MAX(S364,T364)&gt;=Parametros!$B$15,ABS(N(U364))&gt;Parametros!$B$14),"SÍ","")</f>
        <v>SÍ</v>
      </c>
      <c r="Z364" s="3" t="n">
        <f aca="false">COUNTIF(V364:Y364,"SÍ")</f>
        <v>2</v>
      </c>
      <c r="AA364" s="3" t="n">
        <f aca="false">(3*(V364="SÍ")+2*(W364="SÍ")+2*(X364="SÍ")+(Y364="SÍ"))*IF(LEFT(D364,1)="A",3,IF(OR(LEFT(D364,1)="B",D364="SIN HIST"),2,1))</f>
        <v>6</v>
      </c>
      <c r="AB364" s="3" t="str">
        <f aca="false">IF(AA364&gt;=9,"1-ALTA",IF(AA364&gt;=4,"2-MEDIA",IF(AA364&gt;0,"3-BAJA","")))</f>
        <v>2-MEDIA</v>
      </c>
      <c r="AC364" s="3" t="str">
        <f aca="false">IF(E364="BAJO SS","Stock + XLIB bajo el SS: riesgo real de quiebre, adelantar producción. ","")&amp;IF(E364="BAJO SS (XLIB CUBRE)","Disponible bajo el SS; depende de liberar "&amp;TEXT(J364,"#,##0")&amp;" kg"&amp;IF(ISNUMBER(K364)," el "&amp;TEXT(K364,"dd-mm"),"")&amp;". ","")&amp;IF(W364="SÍ","Stock parece sano pero "&amp;TEXT(L364,"#,##0")&amp;" kg no pasan filtro "&amp;Stock_Seguridad!O364&amp;": sin ellos queda bajo el SS para esa cadena. ","")&amp;IF(E364="SOBRE MAX VENDIBLE","Sobrestock vs vida útil: frenar producción/activar venta. ","")&amp;IF(N(N364)&gt;=Parametros!$B$17,TEXT(N364,"#,##0")&amp;" kg ya no los acepta ninguna cadena: venta intermedia/liquidación. ","")&amp;IF(N(M364)&gt;=Parametros!$B$17,TEXT(M364,"#,##0")&amp;" kg a punto de salir del filtro: despachar primero (FEFO). ","")&amp;IF(Y364="SÍ","Pedidos "&amp;IF(N(U364)&gt;0,"sobre","bajo")&amp;" FCST "&amp;TEXT(ABS(N(U364)),"0%")&amp;": revisar forecast con KAM.","")</f>
        <v>624 kg a punto de salir del filtro: despachar primero (FEFO). Pedidos sobre FCST 32%: revisar forecast con KAM.</v>
      </c>
    </row>
    <row r="365" customFormat="false" ht="15" hidden="false" customHeight="false" outlineLevel="0" collapsed="false">
      <c r="A365" s="18" t="n">
        <f aca="false">Stock_Seguridad!A365</f>
        <v>30000780</v>
      </c>
      <c r="B365" s="18" t="str">
        <f aca="false">Stock_Seguridad!B365</f>
        <v>PASTA CHOCLO NEUTRA FM 4X2,5KG</v>
      </c>
      <c r="C365" s="18" t="str">
        <f aca="false">Stock_Seguridad!C365</f>
        <v>FRUTAS Y HORTALIZAS CONGELADAS</v>
      </c>
      <c r="D365" s="18" t="str">
        <f aca="false">Stock_Seguridad!F365</f>
        <v>SIN HIST</v>
      </c>
      <c r="E365" s="19" t="str">
        <f aca="false">Stock_Seguridad!X365</f>
        <v>OK</v>
      </c>
      <c r="F365" s="20" t="n">
        <f aca="false">Stock_Seguridad!W365</f>
        <v>10.6203204082486</v>
      </c>
      <c r="G365" s="21" t="n">
        <f aca="false">Stock_Seguridad!T365</f>
        <v>25390</v>
      </c>
      <c r="H365" s="21" t="n">
        <f aca="false">Stock_Seguridad!R365</f>
        <v>1179.70546978586</v>
      </c>
      <c r="I365" s="21" t="n">
        <f aca="false">Stock_Seguridad!S365</f>
        <v>3570.40546978586</v>
      </c>
      <c r="J365" s="21" t="n">
        <f aca="false">Stock_Seguridad!U365</f>
        <v>0</v>
      </c>
      <c r="K365" s="22"/>
      <c r="L365" s="23" t="n">
        <v>0</v>
      </c>
      <c r="M365" s="23" t="n">
        <v>0</v>
      </c>
      <c r="N365" s="23" t="n">
        <v>0</v>
      </c>
      <c r="O365" s="24" t="n">
        <v>0.127971642378889</v>
      </c>
      <c r="P365" s="24" t="str">
        <f aca="false">IF(ISNUMBER(Stock_Seguridad!N365),Stock_Seguridad!N365,"")</f>
        <v/>
      </c>
      <c r="Q365" s="24" t="str">
        <f aca="false">IF(AND(ISNUMBER(O365),ISNUMBER(P365)),P365-O365,"")</f>
        <v/>
      </c>
      <c r="R365" s="23" t="n">
        <f aca="false">MAX(0,G365-N(L365))</f>
        <v>25390</v>
      </c>
      <c r="S365" s="23" t="n">
        <f aca="false">SUMIFS(Cadenas_vs_FCST!$D$17:$D$2437,Cadenas_vs_FCST!$A$17:$A$2437,A365)</f>
        <v>0</v>
      </c>
      <c r="T365" s="23" t="n">
        <f aca="false">SUMIFS(Cadenas_vs_FCST!$E$17:$E$2437,Cadenas_vs_FCST!$A$17:$A$2437,A365)</f>
        <v>0</v>
      </c>
      <c r="U365" s="24" t="str">
        <f aca="false">IF(T365&gt;0,S365/T365-1,"")</f>
        <v/>
      </c>
      <c r="V365" s="3" t="str">
        <f aca="false">IF(OR(E365="BAJO SS",E365="BAJO SS (XLIB CUBRE)"),"SÍ","")</f>
        <v/>
      </c>
      <c r="W365" s="3" t="str">
        <f aca="false">IF(AND(V365="",N(L365)&gt;=Parametros!$B$17,G365&gt;=H365,R365&lt;H365),"SÍ","")</f>
        <v/>
      </c>
      <c r="X365" s="3" t="str">
        <f aca="false">IF(OR(E365="SOBRE MAX VENDIBLE",N(N365)&gt;=Parametros!$B$17,N(M365)&gt;=Parametros!$B$17),"SÍ","")</f>
        <v/>
      </c>
      <c r="Y365" s="3" t="str">
        <f aca="false">IF(AND(ISNUMBER(U365),MAX(S365,T365)&gt;=Parametros!$B$15,ABS(N(U365))&gt;Parametros!$B$14),"SÍ","")</f>
        <v/>
      </c>
      <c r="Z365" s="3" t="n">
        <f aca="false">COUNTIF(V365:Y365,"SÍ")</f>
        <v>0</v>
      </c>
      <c r="AA365" s="3" t="n">
        <f aca="false">(3*(V365="SÍ")+2*(W365="SÍ")+2*(X365="SÍ")+(Y365="SÍ"))*IF(LEFT(D365,1)="A",3,IF(OR(LEFT(D365,1)="B",D365="SIN HIST"),2,1))</f>
        <v>0</v>
      </c>
      <c r="AB365" s="3" t="str">
        <f aca="false">IF(AA365&gt;=9,"1-ALTA",IF(AA365&gt;=4,"2-MEDIA",IF(AA365&gt;0,"3-BAJA","")))</f>
        <v/>
      </c>
      <c r="AC365" s="3" t="str">
        <f aca="false">IF(E365="BAJO SS","Stock + XLIB bajo el SS: riesgo real de quiebre, adelantar producción. ","")&amp;IF(E365="BAJO SS (XLIB CUBRE)","Disponible bajo el SS; depende de liberar "&amp;TEXT(J365,"#,##0")&amp;" kg"&amp;IF(ISNUMBER(K365)," el "&amp;TEXT(K365,"dd-mm"),"")&amp;". ","")&amp;IF(W365="SÍ","Stock parece sano pero "&amp;TEXT(L365,"#,##0")&amp;" kg no pasan filtro "&amp;Stock_Seguridad!O365&amp;": sin ellos queda bajo el SS para esa cadena. ","")&amp;IF(E365="SOBRE MAX VENDIBLE","Sobrestock vs vida útil: frenar producción/activar venta. ","")&amp;IF(N(N365)&gt;=Parametros!$B$17,TEXT(N365,"#,##0")&amp;" kg ya no los acepta ninguna cadena: venta intermedia/liquidación. ","")&amp;IF(N(M365)&gt;=Parametros!$B$17,TEXT(M365,"#,##0")&amp;" kg a punto de salir del filtro: despachar primero (FEFO). ","")&amp;IF(Y365="SÍ","Pedidos "&amp;IF(N(U365)&gt;0,"sobre","bajo")&amp;" FCST "&amp;TEXT(ABS(N(U365)),"0%")&amp;": revisar forecast con KAM.","")</f>
        <v/>
      </c>
    </row>
    <row r="366" customFormat="false" ht="15" hidden="false" customHeight="false" outlineLevel="0" collapsed="false">
      <c r="A366" s="18" t="n">
        <f aca="false">Stock_Seguridad!A366</f>
        <v>30000498</v>
      </c>
      <c r="B366" s="18" t="str">
        <f aca="false">Stock_Seguridad!B366</f>
        <v>LECHE CULTIVADA LONCO FLLA LIGHT 6X900ML</v>
      </c>
      <c r="C366" s="18" t="str">
        <f aca="false">Stock_Seguridad!C366</f>
        <v>LECHES LIQUIDAS</v>
      </c>
      <c r="D366" s="18" t="str">
        <f aca="false">Stock_Seguridad!F366</f>
        <v>BX</v>
      </c>
      <c r="E366" s="19" t="str">
        <f aca="false">Stock_Seguridad!X366</f>
        <v>BAJO SS</v>
      </c>
      <c r="F366" s="20" t="n">
        <f aca="false">Stock_Seguridad!W366</f>
        <v>0.124476110645432</v>
      </c>
      <c r="G366" s="21" t="n">
        <f aca="false">Stock_Seguridad!T366</f>
        <v>297</v>
      </c>
      <c r="H366" s="21" t="n">
        <f aca="false">Stock_Seguridad!R366</f>
        <v>1659.34227981686</v>
      </c>
      <c r="I366" s="21" t="n">
        <f aca="false">Stock_Seguridad!S366</f>
        <v>4045.34227981686</v>
      </c>
      <c r="J366" s="21" t="n">
        <f aca="false">Stock_Seguridad!U366</f>
        <v>0</v>
      </c>
      <c r="K366" s="22"/>
      <c r="L366" s="23" t="n">
        <v>118.8</v>
      </c>
      <c r="M366" s="23" t="n">
        <v>135</v>
      </c>
      <c r="N366" s="23" t="n">
        <v>118.8</v>
      </c>
      <c r="O366" s="24" t="n">
        <v>0.367021276595745</v>
      </c>
      <c r="P366" s="24" t="n">
        <f aca="false">IF(ISNUMBER(Stock_Seguridad!N366),Stock_Seguridad!N366,"")</f>
        <v>0.23943661971831</v>
      </c>
      <c r="Q366" s="24" t="n">
        <f aca="false">IF(AND(ISNUMBER(O366),ISNUMBER(P366)),P366-O366,"")</f>
        <v>-0.127584656877435</v>
      </c>
      <c r="R366" s="23" t="n">
        <f aca="false">MAX(0,G366-N(L366))</f>
        <v>178.2</v>
      </c>
      <c r="S366" s="23" t="n">
        <f aca="false">SUMIFS(Cadenas_vs_FCST!$D$17:$D$2437,Cadenas_vs_FCST!$A$17:$A$2437,A366)</f>
        <v>11955.6</v>
      </c>
      <c r="T366" s="23" t="n">
        <f aca="false">SUMIFS(Cadenas_vs_FCST!$E$17:$E$2437,Cadenas_vs_FCST!$A$17:$A$2437,A366)</f>
        <v>8754.04932460941</v>
      </c>
      <c r="U366" s="24" t="n">
        <f aca="false">IF(T366&gt;0,S366/T366-1,"")</f>
        <v>0.365722256829236</v>
      </c>
      <c r="V366" s="3" t="str">
        <f aca="false">IF(OR(E366="BAJO SS",E366="BAJO SS (XLIB CUBRE)"),"SÍ","")</f>
        <v>SÍ</v>
      </c>
      <c r="W366" s="3" t="str">
        <f aca="false">IF(AND(V366="",N(L366)&gt;=Parametros!$B$17,G366&gt;=H366,R366&lt;H366),"SÍ","")</f>
        <v/>
      </c>
      <c r="X366" s="3" t="str">
        <f aca="false">IF(OR(E366="SOBRE MAX VENDIBLE",N(N366)&gt;=Parametros!$B$17,N(M366)&gt;=Parametros!$B$17),"SÍ","")</f>
        <v/>
      </c>
      <c r="Y366" s="3" t="str">
        <f aca="false">IF(AND(ISNUMBER(U366),MAX(S366,T366)&gt;=Parametros!$B$15,ABS(N(U366))&gt;Parametros!$B$14),"SÍ","")</f>
        <v>SÍ</v>
      </c>
      <c r="Z366" s="3" t="n">
        <f aca="false">COUNTIF(V366:Y366,"SÍ")</f>
        <v>2</v>
      </c>
      <c r="AA366" s="3" t="n">
        <f aca="false">(3*(V366="SÍ")+2*(W366="SÍ")+2*(X366="SÍ")+(Y366="SÍ"))*IF(LEFT(D366,1)="A",3,IF(OR(LEFT(D366,1)="B",D366="SIN HIST"),2,1))</f>
        <v>8</v>
      </c>
      <c r="AB366" s="3" t="str">
        <f aca="false">IF(AA366&gt;=9,"1-ALTA",IF(AA366&gt;=4,"2-MEDIA",IF(AA366&gt;0,"3-BAJA","")))</f>
        <v>2-MEDIA</v>
      </c>
      <c r="AC366" s="3" t="str">
        <f aca="false">IF(E366="BAJO SS","Stock + XLIB bajo el SS: riesgo real de quiebre, adelantar producción. ","")&amp;IF(E366="BAJO SS (XLIB CUBRE)","Disponible bajo el SS; depende de liberar "&amp;TEXT(J366,"#,##0")&amp;" kg"&amp;IF(ISNUMBER(K366)," el "&amp;TEXT(K366,"dd-mm"),"")&amp;". ","")&amp;IF(W366="SÍ","Stock parece sano pero "&amp;TEXT(L366,"#,##0")&amp;" kg no pasan filtro "&amp;Stock_Seguridad!O366&amp;": sin ellos queda bajo el SS para esa cadena. ","")&amp;IF(E366="SOBRE MAX VENDIBLE","Sobrestock vs vida útil: frenar producción/activar venta. ","")&amp;IF(N(N366)&gt;=Parametros!$B$17,TEXT(N366,"#,##0")&amp;" kg ya no los acepta ninguna cadena: venta intermedia/liquidación. ","")&amp;IF(N(M366)&gt;=Parametros!$B$17,TEXT(M366,"#,##0")&amp;" kg a punto de salir del filtro: despachar primero (FEFO). ","")&amp;IF(Y366="SÍ","Pedidos "&amp;IF(N(U366)&gt;0,"sobre","bajo")&amp;" FCST "&amp;TEXT(ABS(N(U366)),"0%")&amp;": revisar forecast con KAM.","")</f>
        <v>Stock + XLIB bajo el SS: riesgo real de quiebre, adelantar producción. Pedidos sobre FCST 37%: revisar forecast con KAM.</v>
      </c>
    </row>
    <row r="367" customFormat="false" ht="15" hidden="false" customHeight="false" outlineLevel="0" collapsed="false">
      <c r="A367" s="18" t="n">
        <f aca="false">Stock_Seguridad!A367</f>
        <v>30001853</v>
      </c>
      <c r="B367" s="18" t="str">
        <f aca="false">Stock_Seguridad!B367</f>
        <v>YOGURT ACTIVIA TRZ MGO-MYA POTE 24X140G</v>
      </c>
      <c r="C367" s="18" t="str">
        <f aca="false">Stock_Seguridad!C367</f>
        <v>YOGURT</v>
      </c>
      <c r="D367" s="18" t="str">
        <f aca="false">Stock_Seguridad!F367</f>
        <v>CX</v>
      </c>
      <c r="E367" s="19" t="str">
        <f aca="false">Stock_Seguridad!X367</f>
        <v>OK</v>
      </c>
      <c r="F367" s="20" t="n">
        <f aca="false">Stock_Seguridad!W367</f>
        <v>1.28986784140969</v>
      </c>
      <c r="G367" s="21" t="n">
        <f aca="false">Stock_Seguridad!T367</f>
        <v>3074.4</v>
      </c>
      <c r="H367" s="21" t="n">
        <f aca="false">Stock_Seguridad!R367</f>
        <v>609.592421358805</v>
      </c>
      <c r="I367" s="21" t="n">
        <f aca="false">Stock_Seguridad!S367</f>
        <v>2993.0924213588</v>
      </c>
      <c r="J367" s="21" t="n">
        <f aca="false">Stock_Seguridad!U367</f>
        <v>0</v>
      </c>
      <c r="K367" s="22"/>
      <c r="L367" s="23" t="n">
        <v>456.96</v>
      </c>
      <c r="M367" s="23" t="n">
        <v>131.04</v>
      </c>
      <c r="N367" s="23" t="n">
        <v>26.88</v>
      </c>
      <c r="O367" s="24" t="n">
        <v>0.136382513661202</v>
      </c>
      <c r="P367" s="24" t="n">
        <f aca="false">IF(ISNUMBER(Stock_Seguridad!N367),Stock_Seguridad!N367,"")</f>
        <v>0.245614035087719</v>
      </c>
      <c r="Q367" s="24" t="n">
        <f aca="false">IF(AND(ISNUMBER(O367),ISNUMBER(P367)),P367-O367,"")</f>
        <v>0.109231521426517</v>
      </c>
      <c r="R367" s="23" t="n">
        <f aca="false">MAX(0,G367-N(L367))</f>
        <v>2617.44</v>
      </c>
      <c r="S367" s="23" t="n">
        <f aca="false">SUMIFS(Cadenas_vs_FCST!$D$17:$D$2437,Cadenas_vs_FCST!$A$17:$A$2437,A367)</f>
        <v>8097.6</v>
      </c>
      <c r="T367" s="23" t="n">
        <f aca="false">SUMIFS(Cadenas_vs_FCST!$E$17:$E$2437,Cadenas_vs_FCST!$A$17:$A$2437,A367)</f>
        <v>7374.13402772338</v>
      </c>
      <c r="U367" s="24" t="n">
        <f aca="false">IF(T367&gt;0,S367/T367-1,"")</f>
        <v>0.0981086008956065</v>
      </c>
      <c r="V367" s="3" t="str">
        <f aca="false">IF(OR(E367="BAJO SS",E367="BAJO SS (XLIB CUBRE)"),"SÍ","")</f>
        <v/>
      </c>
      <c r="W367" s="3" t="str">
        <f aca="false">IF(AND(V367="",N(L367)&gt;=Parametros!$B$17,G367&gt;=H367,R367&lt;H367),"SÍ","")</f>
        <v/>
      </c>
      <c r="X367" s="3" t="str">
        <f aca="false">IF(OR(E367="SOBRE MAX VENDIBLE",N(N367)&gt;=Parametros!$B$17,N(M367)&gt;=Parametros!$B$17),"SÍ","")</f>
        <v/>
      </c>
      <c r="Y367" s="3" t="str">
        <f aca="false">IF(AND(ISNUMBER(U367),MAX(S367,T367)&gt;=Parametros!$B$15,ABS(N(U367))&gt;Parametros!$B$14),"SÍ","")</f>
        <v/>
      </c>
      <c r="Z367" s="3" t="n">
        <f aca="false">COUNTIF(V367:Y367,"SÍ")</f>
        <v>0</v>
      </c>
      <c r="AA367" s="3" t="n">
        <f aca="false">(3*(V367="SÍ")+2*(W367="SÍ")+2*(X367="SÍ")+(Y367="SÍ"))*IF(LEFT(D367,1)="A",3,IF(OR(LEFT(D367,1)="B",D367="SIN HIST"),2,1))</f>
        <v>0</v>
      </c>
      <c r="AB367" s="3" t="str">
        <f aca="false">IF(AA367&gt;=9,"1-ALTA",IF(AA367&gt;=4,"2-MEDIA",IF(AA367&gt;0,"3-BAJA","")))</f>
        <v/>
      </c>
      <c r="AC367" s="3" t="str">
        <f aca="false">IF(E367="BAJO SS","Stock + XLIB bajo el SS: riesgo real de quiebre, adelantar producción. ","")&amp;IF(E367="BAJO SS (XLIB CUBRE)","Disponible bajo el SS; depende de liberar "&amp;TEXT(J367,"#,##0")&amp;" kg"&amp;IF(ISNUMBER(K367)," el "&amp;TEXT(K367,"dd-mm"),"")&amp;". ","")&amp;IF(W367="SÍ","Stock parece sano pero "&amp;TEXT(L367,"#,##0")&amp;" kg no pasan filtro "&amp;Stock_Seguridad!O367&amp;": sin ellos queda bajo el SS para esa cadena. ","")&amp;IF(E367="SOBRE MAX VENDIBLE","Sobrestock vs vida útil: frenar producción/activar venta. ","")&amp;IF(N(N367)&gt;=Parametros!$B$17,TEXT(N367,"#,##0")&amp;" kg ya no los acepta ninguna cadena: venta intermedia/liquidación. ","")&amp;IF(N(M367)&gt;=Parametros!$B$17,TEXT(M367,"#,##0")&amp;" kg a punto de salir del filtro: despachar primero (FEFO). ","")&amp;IF(Y367="SÍ","Pedidos "&amp;IF(N(U367)&gt;0,"sobre","bajo")&amp;" FCST "&amp;TEXT(ABS(N(U367)),"0%")&amp;": revisar forecast con KAM.","")</f>
        <v/>
      </c>
    </row>
    <row r="368" customFormat="false" ht="15" hidden="false" customHeight="false" outlineLevel="0" collapsed="false">
      <c r="A368" s="18" t="n">
        <f aca="false">Stock_Seguridad!A368</f>
        <v>30000079</v>
      </c>
      <c r="B368" s="18" t="str">
        <f aca="false">Stock_Seguridad!B368</f>
        <v>MANTECA CRUCINA 40X200GR</v>
      </c>
      <c r="C368" s="18" t="str">
        <f aca="false">Stock_Seguridad!C368</f>
        <v>MANTECAS</v>
      </c>
      <c r="D368" s="18" t="str">
        <f aca="false">Stock_Seguridad!F368</f>
        <v>BX</v>
      </c>
      <c r="E368" s="19" t="str">
        <f aca="false">Stock_Seguridad!X368</f>
        <v>OK</v>
      </c>
      <c r="F368" s="20" t="n">
        <f aca="false">Stock_Seguridad!W368</f>
        <v>3.0389108328431</v>
      </c>
      <c r="G368" s="21" t="n">
        <f aca="false">Stock_Seguridad!T368</f>
        <v>7232</v>
      </c>
      <c r="H368" s="21" t="n">
        <f aca="false">Stock_Seguridad!R368</f>
        <v>2112.38708278615</v>
      </c>
      <c r="I368" s="21" t="n">
        <f aca="false">Stock_Seguridad!S368</f>
        <v>4492.18708278616</v>
      </c>
      <c r="J368" s="21" t="n">
        <f aca="false">Stock_Seguridad!U368</f>
        <v>0</v>
      </c>
      <c r="K368" s="22"/>
      <c r="L368" s="23" t="n">
        <v>2136</v>
      </c>
      <c r="M368" s="23" t="n">
        <v>752</v>
      </c>
      <c r="N368" s="23" t="n">
        <v>2136</v>
      </c>
      <c r="O368" s="24" t="n">
        <v>0.180077605321508</v>
      </c>
      <c r="P368" s="24" t="n">
        <f aca="false">IF(ISNUMBER(Stock_Seguridad!N368),Stock_Seguridad!N368,"")</f>
        <v>0.217391304347826</v>
      </c>
      <c r="Q368" s="24" t="n">
        <f aca="false">IF(AND(ISNUMBER(O368),ISNUMBER(P368)),P368-O368,"")</f>
        <v>0.0373136990263183</v>
      </c>
      <c r="R368" s="23" t="n">
        <f aca="false">MAX(0,G368-N(L368))</f>
        <v>5096</v>
      </c>
      <c r="S368" s="23" t="n">
        <f aca="false">SUMIFS(Cadenas_vs_FCST!$D$17:$D$2437,Cadenas_vs_FCST!$A$17:$A$2437,A368)</f>
        <v>12864</v>
      </c>
      <c r="T368" s="23" t="n">
        <f aca="false">SUMIFS(Cadenas_vs_FCST!$E$17:$E$2437,Cadenas_vs_FCST!$A$17:$A$2437,A368)</f>
        <v>12138.9752265708</v>
      </c>
      <c r="U368" s="24" t="n">
        <f aca="false">IF(T368&gt;0,S368/T368-1,"")</f>
        <v>0.0597270164817669</v>
      </c>
      <c r="V368" s="3" t="str">
        <f aca="false">IF(OR(E368="BAJO SS",E368="BAJO SS (XLIB CUBRE)"),"SÍ","")</f>
        <v/>
      </c>
      <c r="W368" s="3" t="str">
        <f aca="false">IF(AND(V368="",N(L368)&gt;=Parametros!$B$17,G368&gt;=H368,R368&lt;H368),"SÍ","")</f>
        <v/>
      </c>
      <c r="X368" s="3" t="str">
        <f aca="false">IF(OR(E368="SOBRE MAX VENDIBLE",N(N368)&gt;=Parametros!$B$17,N(M368)&gt;=Parametros!$B$17),"SÍ","")</f>
        <v>SÍ</v>
      </c>
      <c r="Y368" s="3" t="str">
        <f aca="false">IF(AND(ISNUMBER(U368),MAX(S368,T368)&gt;=Parametros!$B$15,ABS(N(U368))&gt;Parametros!$B$14),"SÍ","")</f>
        <v/>
      </c>
      <c r="Z368" s="3" t="n">
        <f aca="false">COUNTIF(V368:Y368,"SÍ")</f>
        <v>1</v>
      </c>
      <c r="AA368" s="3" t="n">
        <f aca="false">(3*(V368="SÍ")+2*(W368="SÍ")+2*(X368="SÍ")+(Y368="SÍ"))*IF(LEFT(D368,1)="A",3,IF(OR(LEFT(D368,1)="B",D368="SIN HIST"),2,1))</f>
        <v>4</v>
      </c>
      <c r="AB368" s="3" t="str">
        <f aca="false">IF(AA368&gt;=9,"1-ALTA",IF(AA368&gt;=4,"2-MEDIA",IF(AA368&gt;0,"3-BAJA","")))</f>
        <v>2-MEDIA</v>
      </c>
      <c r="AC368" s="3" t="str">
        <f aca="false">IF(E368="BAJO SS","Stock + XLIB bajo el SS: riesgo real de quiebre, adelantar producción. ","")&amp;IF(E368="BAJO SS (XLIB CUBRE)","Disponible bajo el SS; depende de liberar "&amp;TEXT(J368,"#,##0")&amp;" kg"&amp;IF(ISNUMBER(K368)," el "&amp;TEXT(K368,"dd-mm"),"")&amp;". ","")&amp;IF(W368="SÍ","Stock parece sano pero "&amp;TEXT(L368,"#,##0")&amp;" kg no pasan filtro "&amp;Stock_Seguridad!O368&amp;": sin ellos queda bajo el SS para esa cadena. ","")&amp;IF(E368="SOBRE MAX VENDIBLE","Sobrestock vs vida útil: frenar producción/activar venta. ","")&amp;IF(N(N368)&gt;=Parametros!$B$17,TEXT(N368,"#,##0")&amp;" kg ya no los acepta ninguna cadena: venta intermedia/liquidación. ","")&amp;IF(N(M368)&gt;=Parametros!$B$17,TEXT(M368,"#,##0")&amp;" kg a punto de salir del filtro: despachar primero (FEFO). ","")&amp;IF(Y368="SÍ","Pedidos "&amp;IF(N(U368)&gt;0,"sobre","bajo")&amp;" FCST "&amp;TEXT(ABS(N(U368)),"0%")&amp;": revisar forecast con KAM.","")</f>
        <v>2,136 kg ya no los acepta ninguna cadena: venta intermedia/liquidación. 752 kg a punto de salir del filtro: despachar primero (FEFO). </v>
      </c>
    </row>
    <row r="369" customFormat="false" ht="15" hidden="false" customHeight="false" outlineLevel="0" collapsed="false">
      <c r="A369" s="18" t="n">
        <f aca="false">Stock_Seguridad!A369</f>
        <v>30000759</v>
      </c>
      <c r="B369" s="18" t="str">
        <f aca="false">Stock_Seguridad!B369</f>
        <v>SALTEADO CHAPSUI FM 7X2KG</v>
      </c>
      <c r="C369" s="18" t="str">
        <f aca="false">Stock_Seguridad!C369</f>
        <v>FRUTAS Y HORTALIZAS CONGELADAS</v>
      </c>
      <c r="D369" s="18" t="str">
        <f aca="false">Stock_Seguridad!F369</f>
        <v>SIN HIST</v>
      </c>
      <c r="E369" s="19" t="str">
        <f aca="false">Stock_Seguridad!X369</f>
        <v>OK</v>
      </c>
      <c r="F369" s="20" t="n">
        <f aca="false">Stock_Seguridad!W369</f>
        <v>2.91691521090754</v>
      </c>
      <c r="G369" s="21" t="n">
        <f aca="false">Stock_Seguridad!T369</f>
        <v>6846</v>
      </c>
      <c r="H369" s="21" t="n">
        <f aca="false">Stock_Seguridad!R369</f>
        <v>1158.14143873653</v>
      </c>
      <c r="I369" s="21" t="n">
        <f aca="false">Stock_Seguridad!S369</f>
        <v>3505.14143873653</v>
      </c>
      <c r="J369" s="21" t="n">
        <f aca="false">Stock_Seguridad!U369</f>
        <v>0</v>
      </c>
      <c r="K369" s="22"/>
      <c r="L369" s="23" t="n">
        <v>0</v>
      </c>
      <c r="M369" s="23" t="n">
        <v>0</v>
      </c>
      <c r="N369" s="23" t="n">
        <v>0</v>
      </c>
      <c r="O369" s="24" t="n">
        <v>0.0106748466257669</v>
      </c>
      <c r="P369" s="24" t="str">
        <f aca="false">IF(ISNUMBER(Stock_Seguridad!N369),Stock_Seguridad!N369,"")</f>
        <v/>
      </c>
      <c r="Q369" s="24" t="str">
        <f aca="false">IF(AND(ISNUMBER(O369),ISNUMBER(P369)),P369-O369,"")</f>
        <v/>
      </c>
      <c r="R369" s="23" t="n">
        <f aca="false">MAX(0,G369-N(L369))</f>
        <v>6846</v>
      </c>
      <c r="S369" s="23" t="n">
        <f aca="false">SUMIFS(Cadenas_vs_FCST!$D$17:$D$2437,Cadenas_vs_FCST!$A$17:$A$2437,A369)</f>
        <v>0</v>
      </c>
      <c r="T369" s="23" t="n">
        <f aca="false">SUMIFS(Cadenas_vs_FCST!$E$17:$E$2437,Cadenas_vs_FCST!$A$17:$A$2437,A369)</f>
        <v>0</v>
      </c>
      <c r="U369" s="24" t="str">
        <f aca="false">IF(T369&gt;0,S369/T369-1,"")</f>
        <v/>
      </c>
      <c r="V369" s="3" t="str">
        <f aca="false">IF(OR(E369="BAJO SS",E369="BAJO SS (XLIB CUBRE)"),"SÍ","")</f>
        <v/>
      </c>
      <c r="W369" s="3" t="str">
        <f aca="false">IF(AND(V369="",N(L369)&gt;=Parametros!$B$17,G369&gt;=H369,R369&lt;H369),"SÍ","")</f>
        <v/>
      </c>
      <c r="X369" s="3" t="str">
        <f aca="false">IF(OR(E369="SOBRE MAX VENDIBLE",N(N369)&gt;=Parametros!$B$17,N(M369)&gt;=Parametros!$B$17),"SÍ","")</f>
        <v/>
      </c>
      <c r="Y369" s="3" t="str">
        <f aca="false">IF(AND(ISNUMBER(U369),MAX(S369,T369)&gt;=Parametros!$B$15,ABS(N(U369))&gt;Parametros!$B$14),"SÍ","")</f>
        <v/>
      </c>
      <c r="Z369" s="3" t="n">
        <f aca="false">COUNTIF(V369:Y369,"SÍ")</f>
        <v>0</v>
      </c>
      <c r="AA369" s="3" t="n">
        <f aca="false">(3*(V369="SÍ")+2*(W369="SÍ")+2*(X369="SÍ")+(Y369="SÍ"))*IF(LEFT(D369,1)="A",3,IF(OR(LEFT(D369,1)="B",D369="SIN HIST"),2,1))</f>
        <v>0</v>
      </c>
      <c r="AB369" s="3" t="str">
        <f aca="false">IF(AA369&gt;=9,"1-ALTA",IF(AA369&gt;=4,"2-MEDIA",IF(AA369&gt;0,"3-BAJA","")))</f>
        <v/>
      </c>
      <c r="AC369" s="3" t="str">
        <f aca="false">IF(E369="BAJO SS","Stock + XLIB bajo el SS: riesgo real de quiebre, adelantar producción. ","")&amp;IF(E369="BAJO SS (XLIB CUBRE)","Disponible bajo el SS; depende de liberar "&amp;TEXT(J369,"#,##0")&amp;" kg"&amp;IF(ISNUMBER(K369)," el "&amp;TEXT(K369,"dd-mm"),"")&amp;". ","")&amp;IF(W369="SÍ","Stock parece sano pero "&amp;TEXT(L369,"#,##0")&amp;" kg no pasan filtro "&amp;Stock_Seguridad!O369&amp;": sin ellos queda bajo el SS para esa cadena. ","")&amp;IF(E369="SOBRE MAX VENDIBLE","Sobrestock vs vida útil: frenar producción/activar venta. ","")&amp;IF(N(N369)&gt;=Parametros!$B$17,TEXT(N369,"#,##0")&amp;" kg ya no los acepta ninguna cadena: venta intermedia/liquidación. ","")&amp;IF(N(M369)&gt;=Parametros!$B$17,TEXT(M369,"#,##0")&amp;" kg a punto de salir del filtro: despachar primero (FEFO). ","")&amp;IF(Y369="SÍ","Pedidos "&amp;IF(N(U369)&gt;0,"sobre","bajo")&amp;" FCST "&amp;TEXT(ABS(N(U369)),"0%")&amp;": revisar forecast con KAM.","")</f>
        <v/>
      </c>
    </row>
    <row r="370" customFormat="false" ht="15" hidden="false" customHeight="false" outlineLevel="0" collapsed="false">
      <c r="A370" s="18" t="n">
        <f aca="false">Stock_Seguridad!A370</f>
        <v>30002256</v>
      </c>
      <c r="B370" s="18" t="str">
        <f aca="false">Stock_Seguridad!B370</f>
        <v>CHARQUICAN WASIL 16X380GR</v>
      </c>
      <c r="C370" s="18" t="str">
        <f aca="false">Stock_Seguridad!C370</f>
        <v>CONSERVAS Y PLATOS LISTOS</v>
      </c>
      <c r="D370" s="18" t="str">
        <f aca="false">Stock_Seguridad!F370</f>
        <v>CX</v>
      </c>
      <c r="E370" s="19" t="str">
        <f aca="false">Stock_Seguridad!X370</f>
        <v>OK</v>
      </c>
      <c r="F370" s="20" t="n">
        <f aca="false">Stock_Seguridad!W370</f>
        <v>12.4357219251337</v>
      </c>
      <c r="G370" s="21" t="n">
        <f aca="false">Stock_Seguridad!T370</f>
        <v>29068.5</v>
      </c>
      <c r="H370" s="21" t="n">
        <f aca="false">Stock_Seguridad!R370</f>
        <v>523.0284050432</v>
      </c>
      <c r="I370" s="21" t="n">
        <f aca="false">Stock_Seguridad!S370</f>
        <v>2860.5284050432</v>
      </c>
      <c r="J370" s="21" t="n">
        <f aca="false">Stock_Seguridad!U370</f>
        <v>0</v>
      </c>
      <c r="K370" s="22"/>
      <c r="L370" s="23" t="n">
        <v>0</v>
      </c>
      <c r="M370" s="23" t="n">
        <v>0</v>
      </c>
      <c r="N370" s="23" t="n">
        <v>0</v>
      </c>
      <c r="O370" s="24" t="n">
        <v>0.0529617234888099</v>
      </c>
      <c r="P370" s="24" t="n">
        <f aca="false">IF(ISNUMBER(Stock_Seguridad!N370),Stock_Seguridad!N370,"")</f>
        <v>0.28</v>
      </c>
      <c r="Q370" s="24" t="n">
        <f aca="false">IF(AND(ISNUMBER(O370),ISNUMBER(P370)),P370-O370,"")</f>
        <v>0.22703827651119</v>
      </c>
      <c r="R370" s="23" t="n">
        <f aca="false">MAX(0,G370-N(L370))</f>
        <v>29068.5</v>
      </c>
      <c r="S370" s="23" t="n">
        <f aca="false">SUMIFS(Cadenas_vs_FCST!$D$17:$D$2437,Cadenas_vs_FCST!$A$17:$A$2437,A370)</f>
        <v>7320.32</v>
      </c>
      <c r="T370" s="23" t="n">
        <f aca="false">SUMIFS(Cadenas_vs_FCST!$E$17:$E$2437,Cadenas_vs_FCST!$A$17:$A$2437,A370)</f>
        <v>8114.16</v>
      </c>
      <c r="U370" s="24" t="n">
        <f aca="false">IF(T370&gt;0,S370/T370-1,"")</f>
        <v>-0.0978339101028326</v>
      </c>
      <c r="V370" s="3" t="str">
        <f aca="false">IF(OR(E370="BAJO SS",E370="BAJO SS (XLIB CUBRE)"),"SÍ","")</f>
        <v/>
      </c>
      <c r="W370" s="3" t="str">
        <f aca="false">IF(AND(V370="",N(L370)&gt;=Parametros!$B$17,G370&gt;=H370,R370&lt;H370),"SÍ","")</f>
        <v/>
      </c>
      <c r="X370" s="3" t="str">
        <f aca="false">IF(OR(E370="SOBRE MAX VENDIBLE",N(N370)&gt;=Parametros!$B$17,N(M370)&gt;=Parametros!$B$17),"SÍ","")</f>
        <v/>
      </c>
      <c r="Y370" s="3" t="str">
        <f aca="false">IF(AND(ISNUMBER(U370),MAX(S370,T370)&gt;=Parametros!$B$15,ABS(N(U370))&gt;Parametros!$B$14),"SÍ","")</f>
        <v/>
      </c>
      <c r="Z370" s="3" t="n">
        <f aca="false">COUNTIF(V370:Y370,"SÍ")</f>
        <v>0</v>
      </c>
      <c r="AA370" s="3" t="n">
        <f aca="false">(3*(V370="SÍ")+2*(W370="SÍ")+2*(X370="SÍ")+(Y370="SÍ"))*IF(LEFT(D370,1)="A",3,IF(OR(LEFT(D370,1)="B",D370="SIN HIST"),2,1))</f>
        <v>0</v>
      </c>
      <c r="AB370" s="3" t="str">
        <f aca="false">IF(AA370&gt;=9,"1-ALTA",IF(AA370&gt;=4,"2-MEDIA",IF(AA370&gt;0,"3-BAJA","")))</f>
        <v/>
      </c>
      <c r="AC370" s="3" t="str">
        <f aca="false">IF(E370="BAJO SS","Stock + XLIB bajo el SS: riesgo real de quiebre, adelantar producción. ","")&amp;IF(E370="BAJO SS (XLIB CUBRE)","Disponible bajo el SS; depende de liberar "&amp;TEXT(J370,"#,##0")&amp;" kg"&amp;IF(ISNUMBER(K370)," el "&amp;TEXT(K370,"dd-mm"),"")&amp;". ","")&amp;IF(W370="SÍ","Stock parece sano pero "&amp;TEXT(L370,"#,##0")&amp;" kg no pasan filtro "&amp;Stock_Seguridad!O370&amp;": sin ellos queda bajo el SS para esa cadena. ","")&amp;IF(E370="SOBRE MAX VENDIBLE","Sobrestock vs vida útil: frenar producción/activar venta. ","")&amp;IF(N(N370)&gt;=Parametros!$B$17,TEXT(N370,"#,##0")&amp;" kg ya no los acepta ninguna cadena: venta intermedia/liquidación. ","")&amp;IF(N(M370)&gt;=Parametros!$B$17,TEXT(M370,"#,##0")&amp;" kg a punto de salir del filtro: despachar primero (FEFO). ","")&amp;IF(Y370="SÍ","Pedidos "&amp;IF(N(U370)&gt;0,"sobre","bajo")&amp;" FCST "&amp;TEXT(ABS(N(U370)),"0%")&amp;": revisar forecast con KAM.","")</f>
        <v/>
      </c>
    </row>
    <row r="371" customFormat="false" ht="15" hidden="false" customHeight="false" outlineLevel="0" collapsed="false">
      <c r="A371" s="18" t="n">
        <f aca="false">Stock_Seguridad!A371</f>
        <v>30000055</v>
      </c>
      <c r="B371" s="18" t="str">
        <f aca="false">Stock_Seguridad!B371</f>
        <v>ACEITE CHEF PEPITA UVA 30X500ML</v>
      </c>
      <c r="C371" s="18" t="str">
        <f aca="false">Stock_Seguridad!C371</f>
        <v>ACEITES</v>
      </c>
      <c r="D371" s="18" t="str">
        <f aca="false">Stock_Seguridad!F371</f>
        <v>BX</v>
      </c>
      <c r="E371" s="19" t="str">
        <f aca="false">Stock_Seguridad!X371</f>
        <v>OK</v>
      </c>
      <c r="F371" s="20" t="n">
        <f aca="false">Stock_Seguridad!W371</f>
        <v>4.89260880762297</v>
      </c>
      <c r="G371" s="21" t="n">
        <f aca="false">Stock_Seguridad!T371</f>
        <v>11398.8</v>
      </c>
      <c r="H371" s="21" t="n">
        <f aca="false">Stock_Seguridad!R371</f>
        <v>3379.15118707694</v>
      </c>
      <c r="I371" s="21" t="n">
        <f aca="false">Stock_Seguridad!S371</f>
        <v>5708.95118707694</v>
      </c>
      <c r="J371" s="21" t="n">
        <f aca="false">Stock_Seguridad!U371</f>
        <v>0</v>
      </c>
      <c r="K371" s="22"/>
      <c r="L371" s="23" t="n">
        <v>0</v>
      </c>
      <c r="M371" s="23" t="n">
        <v>0</v>
      </c>
      <c r="N371" s="23" t="n">
        <v>0</v>
      </c>
      <c r="O371" s="24" t="n">
        <v>0.0663592233009709</v>
      </c>
      <c r="P371" s="24" t="n">
        <f aca="false">IF(ISNUMBER(Stock_Seguridad!N371),Stock_Seguridad!N371,"")</f>
        <v>0.32054794520548</v>
      </c>
      <c r="Q371" s="24" t="n">
        <f aca="false">IF(AND(ISNUMBER(O371),ISNUMBER(P371)),P371-O371,"")</f>
        <v>0.254188721904509</v>
      </c>
      <c r="R371" s="23" t="n">
        <f aca="false">MAX(0,G371-N(L371))</f>
        <v>11398.8</v>
      </c>
      <c r="S371" s="23" t="n">
        <f aca="false">SUMIFS(Cadenas_vs_FCST!$D$17:$D$2437,Cadenas_vs_FCST!$A$17:$A$2437,A371)</f>
        <v>13441.2</v>
      </c>
      <c r="T371" s="23" t="n">
        <f aca="false">SUMIFS(Cadenas_vs_FCST!$E$17:$E$2437,Cadenas_vs_FCST!$A$17:$A$2437,A371)</f>
        <v>8695.6</v>
      </c>
      <c r="U371" s="24" t="n">
        <f aca="false">IF(T371&gt;0,S371/T371-1,"")</f>
        <v>0.545747274483647</v>
      </c>
      <c r="V371" s="3" t="str">
        <f aca="false">IF(OR(E371="BAJO SS",E371="BAJO SS (XLIB CUBRE)"),"SÍ","")</f>
        <v/>
      </c>
      <c r="W371" s="3" t="str">
        <f aca="false">IF(AND(V371="",N(L371)&gt;=Parametros!$B$17,G371&gt;=H371,R371&lt;H371),"SÍ","")</f>
        <v/>
      </c>
      <c r="X371" s="3" t="str">
        <f aca="false">IF(OR(E371="SOBRE MAX VENDIBLE",N(N371)&gt;=Parametros!$B$17,N(M371)&gt;=Parametros!$B$17),"SÍ","")</f>
        <v/>
      </c>
      <c r="Y371" s="3" t="str">
        <f aca="false">IF(AND(ISNUMBER(U371),MAX(S371,T371)&gt;=Parametros!$B$15,ABS(N(U371))&gt;Parametros!$B$14),"SÍ","")</f>
        <v>SÍ</v>
      </c>
      <c r="Z371" s="3" t="n">
        <f aca="false">COUNTIF(V371:Y371,"SÍ")</f>
        <v>1</v>
      </c>
      <c r="AA371" s="3" t="n">
        <f aca="false">(3*(V371="SÍ")+2*(W371="SÍ")+2*(X371="SÍ")+(Y371="SÍ"))*IF(LEFT(D371,1)="A",3,IF(OR(LEFT(D371,1)="B",D371="SIN HIST"),2,1))</f>
        <v>2</v>
      </c>
      <c r="AB371" s="3" t="str">
        <f aca="false">IF(AA371&gt;=9,"1-ALTA",IF(AA371&gt;=4,"2-MEDIA",IF(AA371&gt;0,"3-BAJA","")))</f>
        <v>3-BAJA</v>
      </c>
      <c r="AC371" s="3" t="str">
        <f aca="false">IF(E371="BAJO SS","Stock + XLIB bajo el SS: riesgo real de quiebre, adelantar producción. ","")&amp;IF(E371="BAJO SS (XLIB CUBRE)","Disponible bajo el SS; depende de liberar "&amp;TEXT(J371,"#,##0")&amp;" kg"&amp;IF(ISNUMBER(K371)," el "&amp;TEXT(K371,"dd-mm"),"")&amp;". ","")&amp;IF(W371="SÍ","Stock parece sano pero "&amp;TEXT(L371,"#,##0")&amp;" kg no pasan filtro "&amp;Stock_Seguridad!O371&amp;": sin ellos queda bajo el SS para esa cadena. ","")&amp;IF(E371="SOBRE MAX VENDIBLE","Sobrestock vs vida útil: frenar producción/activar venta. ","")&amp;IF(N(N371)&gt;=Parametros!$B$17,TEXT(N371,"#,##0")&amp;" kg ya no los acepta ninguna cadena: venta intermedia/liquidación. ","")&amp;IF(N(M371)&gt;=Parametros!$B$17,TEXT(M371,"#,##0")&amp;" kg a punto de salir del filtro: despachar primero (FEFO). ","")&amp;IF(Y371="SÍ","Pedidos "&amp;IF(N(U371)&gt;0,"sobre","bajo")&amp;" FCST "&amp;TEXT(ABS(N(U371)),"0%")&amp;": revisar forecast con KAM.","")</f>
        <v>Pedidos sobre FCST 55%: revisar forecast con KAM.</v>
      </c>
    </row>
    <row r="372" customFormat="false" ht="15" hidden="false" customHeight="false" outlineLevel="0" collapsed="false">
      <c r="A372" s="18" t="n">
        <f aca="false">Stock_Seguridad!A372</f>
        <v>30000413</v>
      </c>
      <c r="B372" s="18" t="str">
        <f aca="false">Stock_Seguridad!B372</f>
        <v>CREMA VEGETAL CALO 12X1LT</v>
      </c>
      <c r="C372" s="18" t="str">
        <f aca="false">Stock_Seguridad!C372</f>
        <v>CREMA</v>
      </c>
      <c r="D372" s="18" t="str">
        <f aca="false">Stock_Seguridad!F372</f>
        <v>SIN HIST</v>
      </c>
      <c r="E372" s="19" t="str">
        <f aca="false">Stock_Seguridad!X372</f>
        <v>BAJO P.REORDEN</v>
      </c>
      <c r="F372" s="20" t="n">
        <f aca="false">Stock_Seguridad!W372</f>
        <v>1.12487100103199</v>
      </c>
      <c r="G372" s="21" t="n">
        <f aca="false">Stock_Seguridad!T372</f>
        <v>2616</v>
      </c>
      <c r="H372" s="21" t="n">
        <f aca="false">Stock_Seguridad!R372</f>
        <v>1147.5814784515</v>
      </c>
      <c r="I372" s="21" t="n">
        <f aca="false">Stock_Seguridad!S372</f>
        <v>3473.1814784515</v>
      </c>
      <c r="J372" s="21" t="n">
        <f aca="false">Stock_Seguridad!U372</f>
        <v>0</v>
      </c>
      <c r="K372" s="22"/>
      <c r="L372" s="23" t="n">
        <v>0</v>
      </c>
      <c r="M372" s="23" t="n">
        <v>0</v>
      </c>
      <c r="N372" s="23" t="n">
        <v>0</v>
      </c>
      <c r="O372" s="24" t="n">
        <v>0.32</v>
      </c>
      <c r="P372" s="24" t="n">
        <f aca="false">IF(ISNUMBER(Stock_Seguridad!N372),Stock_Seguridad!N372,"")</f>
        <v>0.468852459016394</v>
      </c>
      <c r="Q372" s="24" t="n">
        <f aca="false">IF(AND(ISNUMBER(O372),ISNUMBER(P372)),P372-O372,"")</f>
        <v>0.148852459016394</v>
      </c>
      <c r="R372" s="23" t="n">
        <f aca="false">MAX(0,G372-N(L372))</f>
        <v>2616</v>
      </c>
      <c r="S372" s="23" t="n">
        <f aca="false">SUMIFS(Cadenas_vs_FCST!$D$17:$D$2437,Cadenas_vs_FCST!$A$17:$A$2437,A372)</f>
        <v>0</v>
      </c>
      <c r="T372" s="23" t="n">
        <f aca="false">SUMIFS(Cadenas_vs_FCST!$E$17:$E$2437,Cadenas_vs_FCST!$A$17:$A$2437,A372)</f>
        <v>0</v>
      </c>
      <c r="U372" s="24" t="str">
        <f aca="false">IF(T372&gt;0,S372/T372-1,"")</f>
        <v/>
      </c>
      <c r="V372" s="3" t="str">
        <f aca="false">IF(OR(E372="BAJO SS",E372="BAJO SS (XLIB CUBRE)"),"SÍ","")</f>
        <v/>
      </c>
      <c r="W372" s="3" t="str">
        <f aca="false">IF(AND(V372="",N(L372)&gt;=Parametros!$B$17,G372&gt;=H372,R372&lt;H372),"SÍ","")</f>
        <v/>
      </c>
      <c r="X372" s="3" t="str">
        <f aca="false">IF(OR(E372="SOBRE MAX VENDIBLE",N(N372)&gt;=Parametros!$B$17,N(M372)&gt;=Parametros!$B$17),"SÍ","")</f>
        <v/>
      </c>
      <c r="Y372" s="3" t="str">
        <f aca="false">IF(AND(ISNUMBER(U372),MAX(S372,T372)&gt;=Parametros!$B$15,ABS(N(U372))&gt;Parametros!$B$14),"SÍ","")</f>
        <v/>
      </c>
      <c r="Z372" s="3" t="n">
        <f aca="false">COUNTIF(V372:Y372,"SÍ")</f>
        <v>0</v>
      </c>
      <c r="AA372" s="3" t="n">
        <f aca="false">(3*(V372="SÍ")+2*(W372="SÍ")+2*(X372="SÍ")+(Y372="SÍ"))*IF(LEFT(D372,1)="A",3,IF(OR(LEFT(D372,1)="B",D372="SIN HIST"),2,1))</f>
        <v>0</v>
      </c>
      <c r="AB372" s="3" t="str">
        <f aca="false">IF(AA372&gt;=9,"1-ALTA",IF(AA372&gt;=4,"2-MEDIA",IF(AA372&gt;0,"3-BAJA","")))</f>
        <v/>
      </c>
      <c r="AC372" s="3" t="str">
        <f aca="false">IF(E372="BAJO SS","Stock + XLIB bajo el SS: riesgo real de quiebre, adelantar producción. ","")&amp;IF(E372="BAJO SS (XLIB CUBRE)","Disponible bajo el SS; depende de liberar "&amp;TEXT(J372,"#,##0")&amp;" kg"&amp;IF(ISNUMBER(K372)," el "&amp;TEXT(K372,"dd-mm"),"")&amp;". ","")&amp;IF(W372="SÍ","Stock parece sano pero "&amp;TEXT(L372,"#,##0")&amp;" kg no pasan filtro "&amp;Stock_Seguridad!O372&amp;": sin ellos queda bajo el SS para esa cadena. ","")&amp;IF(E372="SOBRE MAX VENDIBLE","Sobrestock vs vida útil: frenar producción/activar venta. ","")&amp;IF(N(N372)&gt;=Parametros!$B$17,TEXT(N372,"#,##0")&amp;" kg ya no los acepta ninguna cadena: venta intermedia/liquidación. ","")&amp;IF(N(M372)&gt;=Parametros!$B$17,TEXT(M372,"#,##0")&amp;" kg a punto de salir del filtro: despachar primero (FEFO). ","")&amp;IF(Y372="SÍ","Pedidos "&amp;IF(N(U372)&gt;0,"sobre","bajo")&amp;" FCST "&amp;TEXT(ABS(N(U372)),"0%")&amp;": revisar forecast con KAM.","")</f>
        <v/>
      </c>
    </row>
    <row r="373" customFormat="false" ht="15" hidden="false" customHeight="false" outlineLevel="0" collapsed="false">
      <c r="A373" s="18" t="n">
        <f aca="false">Stock_Seguridad!A373</f>
        <v>30000802</v>
      </c>
      <c r="B373" s="18" t="str">
        <f aca="false">Stock_Seguridad!B373</f>
        <v>PULPA FRAMBUESA S/AZUCAR 10X1KG</v>
      </c>
      <c r="C373" s="18" t="str">
        <f aca="false">Stock_Seguridad!C373</f>
        <v>FRUTAS Y HORTALIZAS CONGELADAS</v>
      </c>
      <c r="D373" s="18" t="str">
        <f aca="false">Stock_Seguridad!F373</f>
        <v>SIN HIST</v>
      </c>
      <c r="E373" s="19" t="str">
        <f aca="false">Stock_Seguridad!X373</f>
        <v>OK</v>
      </c>
      <c r="F373" s="20" t="n">
        <f aca="false">Stock_Seguridad!W373</f>
        <v>11.7389060887513</v>
      </c>
      <c r="G373" s="21" t="n">
        <f aca="false">Stock_Seguridad!T373</f>
        <v>27300</v>
      </c>
      <c r="H373" s="21" t="n">
        <f aca="false">Stock_Seguridad!R373</f>
        <v>1147.5814784515</v>
      </c>
      <c r="I373" s="21" t="n">
        <f aca="false">Stock_Seguridad!S373</f>
        <v>3473.1814784515</v>
      </c>
      <c r="J373" s="21" t="n">
        <f aca="false">Stock_Seguridad!U373</f>
        <v>0</v>
      </c>
      <c r="K373" s="22"/>
      <c r="L373" s="23" t="n">
        <v>0</v>
      </c>
      <c r="M373" s="23" t="n">
        <v>0</v>
      </c>
      <c r="N373" s="23" t="n">
        <v>0</v>
      </c>
      <c r="O373" s="24" t="n">
        <v>0.249098901098901</v>
      </c>
      <c r="P373" s="24" t="str">
        <f aca="false">IF(ISNUMBER(Stock_Seguridad!N373),Stock_Seguridad!N373,"")</f>
        <v/>
      </c>
      <c r="Q373" s="24" t="str">
        <f aca="false">IF(AND(ISNUMBER(O373),ISNUMBER(P373)),P373-O373,"")</f>
        <v/>
      </c>
      <c r="R373" s="23" t="n">
        <f aca="false">MAX(0,G373-N(L373))</f>
        <v>27300</v>
      </c>
      <c r="S373" s="23" t="n">
        <f aca="false">SUMIFS(Cadenas_vs_FCST!$D$17:$D$2437,Cadenas_vs_FCST!$A$17:$A$2437,A373)</f>
        <v>0</v>
      </c>
      <c r="T373" s="23" t="n">
        <f aca="false">SUMIFS(Cadenas_vs_FCST!$E$17:$E$2437,Cadenas_vs_FCST!$A$17:$A$2437,A373)</f>
        <v>0</v>
      </c>
      <c r="U373" s="24" t="str">
        <f aca="false">IF(T373&gt;0,S373/T373-1,"")</f>
        <v/>
      </c>
      <c r="V373" s="3" t="str">
        <f aca="false">IF(OR(E373="BAJO SS",E373="BAJO SS (XLIB CUBRE)"),"SÍ","")</f>
        <v/>
      </c>
      <c r="W373" s="3" t="str">
        <f aca="false">IF(AND(V373="",N(L373)&gt;=Parametros!$B$17,G373&gt;=H373,R373&lt;H373),"SÍ","")</f>
        <v/>
      </c>
      <c r="X373" s="3" t="str">
        <f aca="false">IF(OR(E373="SOBRE MAX VENDIBLE",N(N373)&gt;=Parametros!$B$17,N(M373)&gt;=Parametros!$B$17),"SÍ","")</f>
        <v/>
      </c>
      <c r="Y373" s="3" t="str">
        <f aca="false">IF(AND(ISNUMBER(U373),MAX(S373,T373)&gt;=Parametros!$B$15,ABS(N(U373))&gt;Parametros!$B$14),"SÍ","")</f>
        <v/>
      </c>
      <c r="Z373" s="3" t="n">
        <f aca="false">COUNTIF(V373:Y373,"SÍ")</f>
        <v>0</v>
      </c>
      <c r="AA373" s="3" t="n">
        <f aca="false">(3*(V373="SÍ")+2*(W373="SÍ")+2*(X373="SÍ")+(Y373="SÍ"))*IF(LEFT(D373,1)="A",3,IF(OR(LEFT(D373,1)="B",D373="SIN HIST"),2,1))</f>
        <v>0</v>
      </c>
      <c r="AB373" s="3" t="str">
        <f aca="false">IF(AA373&gt;=9,"1-ALTA",IF(AA373&gt;=4,"2-MEDIA",IF(AA373&gt;0,"3-BAJA","")))</f>
        <v/>
      </c>
      <c r="AC373" s="3" t="str">
        <f aca="false">IF(E373="BAJO SS","Stock + XLIB bajo el SS: riesgo real de quiebre, adelantar producción. ","")&amp;IF(E373="BAJO SS (XLIB CUBRE)","Disponible bajo el SS; depende de liberar "&amp;TEXT(J373,"#,##0")&amp;" kg"&amp;IF(ISNUMBER(K373)," el "&amp;TEXT(K373,"dd-mm"),"")&amp;". ","")&amp;IF(W373="SÍ","Stock parece sano pero "&amp;TEXT(L373,"#,##0")&amp;" kg no pasan filtro "&amp;Stock_Seguridad!O373&amp;": sin ellos queda bajo el SS para esa cadena. ","")&amp;IF(E373="SOBRE MAX VENDIBLE","Sobrestock vs vida útil: frenar producción/activar venta. ","")&amp;IF(N(N373)&gt;=Parametros!$B$17,TEXT(N373,"#,##0")&amp;" kg ya no los acepta ninguna cadena: venta intermedia/liquidación. ","")&amp;IF(N(M373)&gt;=Parametros!$B$17,TEXT(M373,"#,##0")&amp;" kg a punto de salir del filtro: despachar primero (FEFO). ","")&amp;IF(Y373="SÍ","Pedidos "&amp;IF(N(U373)&gt;0,"sobre","bajo")&amp;" FCST "&amp;TEXT(ABS(N(U373)),"0%")&amp;": revisar forecast con KAM.","")</f>
        <v/>
      </c>
    </row>
    <row r="374" customFormat="false" ht="15" hidden="false" customHeight="false" outlineLevel="0" collapsed="false">
      <c r="A374" s="18" t="n">
        <f aca="false">Stock_Seguridad!A374</f>
        <v>30001001</v>
      </c>
      <c r="B374" s="18" t="str">
        <f aca="false">Stock_Seguridad!B374</f>
        <v>PULPA MARACUYA S/AZUCAR 10X1KG</v>
      </c>
      <c r="C374" s="18" t="str">
        <f aca="false">Stock_Seguridad!C374</f>
        <v>FRUTAS Y HORTALIZAS CONGELADAS</v>
      </c>
      <c r="D374" s="18" t="str">
        <f aca="false">Stock_Seguridad!F374</f>
        <v>SIN HIST</v>
      </c>
      <c r="E374" s="19" t="str">
        <f aca="false">Stock_Seguridad!X374</f>
        <v>OK</v>
      </c>
      <c r="F374" s="20" t="n">
        <f aca="false">Stock_Seguridad!W374</f>
        <v>7.73993808049536</v>
      </c>
      <c r="G374" s="21" t="n">
        <f aca="false">Stock_Seguridad!T374</f>
        <v>18000</v>
      </c>
      <c r="H374" s="21" t="n">
        <f aca="false">Stock_Seguridad!R374</f>
        <v>1147.5814784515</v>
      </c>
      <c r="I374" s="21" t="n">
        <f aca="false">Stock_Seguridad!S374</f>
        <v>3473.1814784515</v>
      </c>
      <c r="J374" s="21" t="n">
        <f aca="false">Stock_Seguridad!U374</f>
        <v>0</v>
      </c>
      <c r="K374" s="22"/>
      <c r="L374" s="23" t="n">
        <v>0</v>
      </c>
      <c r="M374" s="23" t="n">
        <v>0</v>
      </c>
      <c r="N374" s="23" t="n">
        <v>0</v>
      </c>
      <c r="O374" s="24" t="n">
        <v>0.12535</v>
      </c>
      <c r="P374" s="24" t="str">
        <f aca="false">IF(ISNUMBER(Stock_Seguridad!N374),Stock_Seguridad!N374,"")</f>
        <v/>
      </c>
      <c r="Q374" s="24" t="str">
        <f aca="false">IF(AND(ISNUMBER(O374),ISNUMBER(P374)),P374-O374,"")</f>
        <v/>
      </c>
      <c r="R374" s="23" t="n">
        <f aca="false">MAX(0,G374-N(L374))</f>
        <v>18000</v>
      </c>
      <c r="S374" s="23" t="n">
        <f aca="false">SUMIFS(Cadenas_vs_FCST!$D$17:$D$2437,Cadenas_vs_FCST!$A$17:$A$2437,A374)</f>
        <v>0</v>
      </c>
      <c r="T374" s="23" t="n">
        <f aca="false">SUMIFS(Cadenas_vs_FCST!$E$17:$E$2437,Cadenas_vs_FCST!$A$17:$A$2437,A374)</f>
        <v>0</v>
      </c>
      <c r="U374" s="24" t="str">
        <f aca="false">IF(T374&gt;0,S374/T374-1,"")</f>
        <v/>
      </c>
      <c r="V374" s="3" t="str">
        <f aca="false">IF(OR(E374="BAJO SS",E374="BAJO SS (XLIB CUBRE)"),"SÍ","")</f>
        <v/>
      </c>
      <c r="W374" s="3" t="str">
        <f aca="false">IF(AND(V374="",N(L374)&gt;=Parametros!$B$17,G374&gt;=H374,R374&lt;H374),"SÍ","")</f>
        <v/>
      </c>
      <c r="X374" s="3" t="str">
        <f aca="false">IF(OR(E374="SOBRE MAX VENDIBLE",N(N374)&gt;=Parametros!$B$17,N(M374)&gt;=Parametros!$B$17),"SÍ","")</f>
        <v/>
      </c>
      <c r="Y374" s="3" t="str">
        <f aca="false">IF(AND(ISNUMBER(U374),MAX(S374,T374)&gt;=Parametros!$B$15,ABS(N(U374))&gt;Parametros!$B$14),"SÍ","")</f>
        <v/>
      </c>
      <c r="Z374" s="3" t="n">
        <f aca="false">COUNTIF(V374:Y374,"SÍ")</f>
        <v>0</v>
      </c>
      <c r="AA374" s="3" t="n">
        <f aca="false">(3*(V374="SÍ")+2*(W374="SÍ")+2*(X374="SÍ")+(Y374="SÍ"))*IF(LEFT(D374,1)="A",3,IF(OR(LEFT(D374,1)="B",D374="SIN HIST"),2,1))</f>
        <v>0</v>
      </c>
      <c r="AB374" s="3" t="str">
        <f aca="false">IF(AA374&gt;=9,"1-ALTA",IF(AA374&gt;=4,"2-MEDIA",IF(AA374&gt;0,"3-BAJA","")))</f>
        <v/>
      </c>
      <c r="AC374" s="3" t="str">
        <f aca="false">IF(E374="BAJO SS","Stock + XLIB bajo el SS: riesgo real de quiebre, adelantar producción. ","")&amp;IF(E374="BAJO SS (XLIB CUBRE)","Disponible bajo el SS; depende de liberar "&amp;TEXT(J374,"#,##0")&amp;" kg"&amp;IF(ISNUMBER(K374)," el "&amp;TEXT(K374,"dd-mm"),"")&amp;". ","")&amp;IF(W374="SÍ","Stock parece sano pero "&amp;TEXT(L374,"#,##0")&amp;" kg no pasan filtro "&amp;Stock_Seguridad!O374&amp;": sin ellos queda bajo el SS para esa cadena. ","")&amp;IF(E374="SOBRE MAX VENDIBLE","Sobrestock vs vida útil: frenar producción/activar venta. ","")&amp;IF(N(N374)&gt;=Parametros!$B$17,TEXT(N374,"#,##0")&amp;" kg ya no los acepta ninguna cadena: venta intermedia/liquidación. ","")&amp;IF(N(M374)&gt;=Parametros!$B$17,TEXT(M374,"#,##0")&amp;" kg a punto de salir del filtro: despachar primero (FEFO). ","")&amp;IF(Y374="SÍ","Pedidos "&amp;IF(N(U374)&gt;0,"sobre","bajo")&amp;" FCST "&amp;TEXT(ABS(N(U374)),"0%")&amp;": revisar forecast con KAM.","")</f>
        <v/>
      </c>
    </row>
    <row r="375" customFormat="false" ht="15" hidden="false" customHeight="false" outlineLevel="0" collapsed="false">
      <c r="A375" s="18" t="n">
        <f aca="false">Stock_Seguridad!A375</f>
        <v>30000058</v>
      </c>
      <c r="B375" s="18" t="str">
        <f aca="false">Stock_Seguridad!B375</f>
        <v>ACEITE CHEF MAIZ 2X10LT</v>
      </c>
      <c r="C375" s="18" t="str">
        <f aca="false">Stock_Seguridad!C375</f>
        <v>ACEITES</v>
      </c>
      <c r="D375" s="18" t="str">
        <f aca="false">Stock_Seguridad!F375</f>
        <v>SIN HIST</v>
      </c>
      <c r="E375" s="19" t="str">
        <f aca="false">Stock_Seguridad!X375</f>
        <v>OK</v>
      </c>
      <c r="F375" s="20" t="n">
        <f aca="false">Stock_Seguridad!W375</f>
        <v>7.24733402132783</v>
      </c>
      <c r="G375" s="21" t="n">
        <f aca="false">Stock_Seguridad!T375</f>
        <v>16854.4</v>
      </c>
      <c r="H375" s="21" t="n">
        <f aca="false">Stock_Seguridad!R375</f>
        <v>1147.5814784515</v>
      </c>
      <c r="I375" s="21" t="n">
        <f aca="false">Stock_Seguridad!S375</f>
        <v>3473.1814784515</v>
      </c>
      <c r="J375" s="21" t="n">
        <f aca="false">Stock_Seguridad!U375</f>
        <v>0</v>
      </c>
      <c r="K375" s="22"/>
      <c r="L375" s="23" t="n">
        <v>1600.8</v>
      </c>
      <c r="M375" s="23" t="n">
        <v>460</v>
      </c>
      <c r="N375" s="23" t="n">
        <v>0</v>
      </c>
      <c r="O375" s="24" t="n">
        <v>0.159705240174673</v>
      </c>
      <c r="P375" s="24" t="n">
        <f aca="false">IF(ISNUMBER(Stock_Seguridad!N375),Stock_Seguridad!N375,"")</f>
        <v>0.273972602739726</v>
      </c>
      <c r="Q375" s="24" t="n">
        <f aca="false">IF(AND(ISNUMBER(O375),ISNUMBER(P375)),P375-O375,"")</f>
        <v>0.114267362565054</v>
      </c>
      <c r="R375" s="23" t="n">
        <f aca="false">MAX(0,G375-N(L375))</f>
        <v>15253.6</v>
      </c>
      <c r="S375" s="23" t="n">
        <f aca="false">SUMIFS(Cadenas_vs_FCST!$D$17:$D$2437,Cadenas_vs_FCST!$A$17:$A$2437,A375)</f>
        <v>0</v>
      </c>
      <c r="T375" s="23" t="n">
        <f aca="false">SUMIFS(Cadenas_vs_FCST!$E$17:$E$2437,Cadenas_vs_FCST!$A$17:$A$2437,A375)</f>
        <v>0</v>
      </c>
      <c r="U375" s="24" t="str">
        <f aca="false">IF(T375&gt;0,S375/T375-1,"")</f>
        <v/>
      </c>
      <c r="V375" s="3" t="str">
        <f aca="false">IF(OR(E375="BAJO SS",E375="BAJO SS (XLIB CUBRE)"),"SÍ","")</f>
        <v/>
      </c>
      <c r="W375" s="3" t="str">
        <f aca="false">IF(AND(V375="",N(L375)&gt;=Parametros!$B$17,G375&gt;=H375,R375&lt;H375),"SÍ","")</f>
        <v/>
      </c>
      <c r="X375" s="3" t="str">
        <f aca="false">IF(OR(E375="SOBRE MAX VENDIBLE",N(N375)&gt;=Parametros!$B$17,N(M375)&gt;=Parametros!$B$17),"SÍ","")</f>
        <v/>
      </c>
      <c r="Y375" s="3" t="str">
        <f aca="false">IF(AND(ISNUMBER(U375),MAX(S375,T375)&gt;=Parametros!$B$15,ABS(N(U375))&gt;Parametros!$B$14),"SÍ","")</f>
        <v/>
      </c>
      <c r="Z375" s="3" t="n">
        <f aca="false">COUNTIF(V375:Y375,"SÍ")</f>
        <v>0</v>
      </c>
      <c r="AA375" s="3" t="n">
        <f aca="false">(3*(V375="SÍ")+2*(W375="SÍ")+2*(X375="SÍ")+(Y375="SÍ"))*IF(LEFT(D375,1)="A",3,IF(OR(LEFT(D375,1)="B",D375="SIN HIST"),2,1))</f>
        <v>0</v>
      </c>
      <c r="AB375" s="3" t="str">
        <f aca="false">IF(AA375&gt;=9,"1-ALTA",IF(AA375&gt;=4,"2-MEDIA",IF(AA375&gt;0,"3-BAJA","")))</f>
        <v/>
      </c>
      <c r="AC375" s="3" t="str">
        <f aca="false">IF(E375="BAJO SS","Stock + XLIB bajo el SS: riesgo real de quiebre, adelantar producción. ","")&amp;IF(E375="BAJO SS (XLIB CUBRE)","Disponible bajo el SS; depende de liberar "&amp;TEXT(J375,"#,##0")&amp;" kg"&amp;IF(ISNUMBER(K375)," el "&amp;TEXT(K375,"dd-mm"),"")&amp;". ","")&amp;IF(W375="SÍ","Stock parece sano pero "&amp;TEXT(L375,"#,##0")&amp;" kg no pasan filtro "&amp;Stock_Seguridad!O375&amp;": sin ellos queda bajo el SS para esa cadena. ","")&amp;IF(E375="SOBRE MAX VENDIBLE","Sobrestock vs vida útil: frenar producción/activar venta. ","")&amp;IF(N(N375)&gt;=Parametros!$B$17,TEXT(N375,"#,##0")&amp;" kg ya no los acepta ninguna cadena: venta intermedia/liquidación. ","")&amp;IF(N(M375)&gt;=Parametros!$B$17,TEXT(M375,"#,##0")&amp;" kg a punto de salir del filtro: despachar primero (FEFO). ","")&amp;IF(Y375="SÍ","Pedidos "&amp;IF(N(U375)&gt;0,"sobre","bajo")&amp;" FCST "&amp;TEXT(ABS(N(U375)),"0%")&amp;": revisar forecast con KAM.","")</f>
        <v/>
      </c>
    </row>
    <row r="376" customFormat="false" ht="15" hidden="false" customHeight="false" outlineLevel="0" collapsed="false">
      <c r="A376" s="18" t="n">
        <f aca="false">Stock_Seguridad!A376</f>
        <v>30000878</v>
      </c>
      <c r="B376" s="18" t="str">
        <f aca="false">Stock_Seguridad!B376</f>
        <v>PULPA DE MANGO S/AZUCAR 10X1KG</v>
      </c>
      <c r="C376" s="18" t="str">
        <f aca="false">Stock_Seguridad!C376</f>
        <v>FRUTAS Y HORTALIZAS CONGELADAS</v>
      </c>
      <c r="D376" s="18" t="str">
        <f aca="false">Stock_Seguridad!F376</f>
        <v>SIN HIST</v>
      </c>
      <c r="E376" s="19" t="str">
        <f aca="false">Stock_Seguridad!X376</f>
        <v>OK</v>
      </c>
      <c r="F376" s="20" t="n">
        <f aca="false">Stock_Seguridad!W376</f>
        <v>8.94392844857241</v>
      </c>
      <c r="G376" s="21" t="n">
        <f aca="false">Stock_Seguridad!T376</f>
        <v>20800</v>
      </c>
      <c r="H376" s="21" t="n">
        <f aca="false">Stock_Seguridad!R376</f>
        <v>1147.5814784515</v>
      </c>
      <c r="I376" s="21" t="n">
        <f aca="false">Stock_Seguridad!S376</f>
        <v>3473.1814784515</v>
      </c>
      <c r="J376" s="21" t="n">
        <f aca="false">Stock_Seguridad!U376</f>
        <v>0</v>
      </c>
      <c r="K376" s="22"/>
      <c r="L376" s="23" t="n">
        <v>0</v>
      </c>
      <c r="M376" s="23" t="n">
        <v>0</v>
      </c>
      <c r="N376" s="23" t="n">
        <v>0</v>
      </c>
      <c r="O376" s="24" t="n">
        <v>0.202990384615385</v>
      </c>
      <c r="P376" s="24" t="str">
        <f aca="false">IF(ISNUMBER(Stock_Seguridad!N376),Stock_Seguridad!N376,"")</f>
        <v/>
      </c>
      <c r="Q376" s="24" t="str">
        <f aca="false">IF(AND(ISNUMBER(O376),ISNUMBER(P376)),P376-O376,"")</f>
        <v/>
      </c>
      <c r="R376" s="23" t="n">
        <f aca="false">MAX(0,G376-N(L376))</f>
        <v>20800</v>
      </c>
      <c r="S376" s="23" t="n">
        <f aca="false">SUMIFS(Cadenas_vs_FCST!$D$17:$D$2437,Cadenas_vs_FCST!$A$17:$A$2437,A376)</f>
        <v>0</v>
      </c>
      <c r="T376" s="23" t="n">
        <f aca="false">SUMIFS(Cadenas_vs_FCST!$E$17:$E$2437,Cadenas_vs_FCST!$A$17:$A$2437,A376)</f>
        <v>0</v>
      </c>
      <c r="U376" s="24" t="str">
        <f aca="false">IF(T376&gt;0,S376/T376-1,"")</f>
        <v/>
      </c>
      <c r="V376" s="3" t="str">
        <f aca="false">IF(OR(E376="BAJO SS",E376="BAJO SS (XLIB CUBRE)"),"SÍ","")</f>
        <v/>
      </c>
      <c r="W376" s="3" t="str">
        <f aca="false">IF(AND(V376="",N(L376)&gt;=Parametros!$B$17,G376&gt;=H376,R376&lt;H376),"SÍ","")</f>
        <v/>
      </c>
      <c r="X376" s="3" t="str">
        <f aca="false">IF(OR(E376="SOBRE MAX VENDIBLE",N(N376)&gt;=Parametros!$B$17,N(M376)&gt;=Parametros!$B$17),"SÍ","")</f>
        <v/>
      </c>
      <c r="Y376" s="3" t="str">
        <f aca="false">IF(AND(ISNUMBER(U376),MAX(S376,T376)&gt;=Parametros!$B$15,ABS(N(U376))&gt;Parametros!$B$14),"SÍ","")</f>
        <v/>
      </c>
      <c r="Z376" s="3" t="n">
        <f aca="false">COUNTIF(V376:Y376,"SÍ")</f>
        <v>0</v>
      </c>
      <c r="AA376" s="3" t="n">
        <f aca="false">(3*(V376="SÍ")+2*(W376="SÍ")+2*(X376="SÍ")+(Y376="SÍ"))*IF(LEFT(D376,1)="A",3,IF(OR(LEFT(D376,1)="B",D376="SIN HIST"),2,1))</f>
        <v>0</v>
      </c>
      <c r="AB376" s="3" t="str">
        <f aca="false">IF(AA376&gt;=9,"1-ALTA",IF(AA376&gt;=4,"2-MEDIA",IF(AA376&gt;0,"3-BAJA","")))</f>
        <v/>
      </c>
      <c r="AC376" s="3" t="str">
        <f aca="false">IF(E376="BAJO SS","Stock + XLIB bajo el SS: riesgo real de quiebre, adelantar producción. ","")&amp;IF(E376="BAJO SS (XLIB CUBRE)","Disponible bajo el SS; depende de liberar "&amp;TEXT(J376,"#,##0")&amp;" kg"&amp;IF(ISNUMBER(K376)," el "&amp;TEXT(K376,"dd-mm"),"")&amp;". ","")&amp;IF(W376="SÍ","Stock parece sano pero "&amp;TEXT(L376,"#,##0")&amp;" kg no pasan filtro "&amp;Stock_Seguridad!O376&amp;": sin ellos queda bajo el SS para esa cadena. ","")&amp;IF(E376="SOBRE MAX VENDIBLE","Sobrestock vs vida útil: frenar producción/activar venta. ","")&amp;IF(N(N376)&gt;=Parametros!$B$17,TEXT(N376,"#,##0")&amp;" kg ya no los acepta ninguna cadena: venta intermedia/liquidación. ","")&amp;IF(N(M376)&gt;=Parametros!$B$17,TEXT(M376,"#,##0")&amp;" kg a punto de salir del filtro: despachar primero (FEFO). ","")&amp;IF(Y376="SÍ","Pedidos "&amp;IF(N(U376)&gt;0,"sobre","bajo")&amp;" FCST "&amp;TEXT(ABS(N(U376)),"0%")&amp;": revisar forecast con KAM.","")</f>
        <v/>
      </c>
    </row>
    <row r="377" customFormat="false" ht="15" hidden="false" customHeight="false" outlineLevel="0" collapsed="false">
      <c r="A377" s="18" t="n">
        <f aca="false">Stock_Seguridad!A377</f>
        <v>30000767</v>
      </c>
      <c r="B377" s="18" t="str">
        <f aca="false">Stock_Seguridad!B377</f>
        <v>ESPARRAGO IQF 10X1KG</v>
      </c>
      <c r="C377" s="18" t="str">
        <f aca="false">Stock_Seguridad!C377</f>
        <v>FRUTAS Y HORTALIZAS CONGELADAS</v>
      </c>
      <c r="D377" s="18" t="str">
        <f aca="false">Stock_Seguridad!F377</f>
        <v>SIN HIST</v>
      </c>
      <c r="E377" s="19" t="str">
        <f aca="false">Stock_Seguridad!X377</f>
        <v>OK</v>
      </c>
      <c r="F377" s="20" t="n">
        <f aca="false">Stock_Seguridad!W377</f>
        <v>7.45217391304348</v>
      </c>
      <c r="G377" s="21" t="n">
        <f aca="false">Stock_Seguridad!T377</f>
        <v>17140</v>
      </c>
      <c r="H377" s="21" t="n">
        <f aca="false">Stock_Seguridad!R377</f>
        <v>1134.94900259652</v>
      </c>
      <c r="I377" s="21" t="n">
        <f aca="false">Stock_Seguridad!S377</f>
        <v>3434.94900259652</v>
      </c>
      <c r="J377" s="21" t="n">
        <f aca="false">Stock_Seguridad!U377</f>
        <v>0</v>
      </c>
      <c r="K377" s="22"/>
      <c r="L377" s="23" t="n">
        <v>0</v>
      </c>
      <c r="M377" s="23" t="n">
        <v>0</v>
      </c>
      <c r="N377" s="23" t="n">
        <v>0</v>
      </c>
      <c r="O377" s="24" t="n">
        <v>0.207252042007001</v>
      </c>
      <c r="P377" s="24" t="str">
        <f aca="false">IF(ISNUMBER(Stock_Seguridad!N377),Stock_Seguridad!N377,"")</f>
        <v/>
      </c>
      <c r="Q377" s="24" t="str">
        <f aca="false">IF(AND(ISNUMBER(O377),ISNUMBER(P377)),P377-O377,"")</f>
        <v/>
      </c>
      <c r="R377" s="23" t="n">
        <f aca="false">MAX(0,G377-N(L377))</f>
        <v>17140</v>
      </c>
      <c r="S377" s="23" t="n">
        <f aca="false">SUMIFS(Cadenas_vs_FCST!$D$17:$D$2437,Cadenas_vs_FCST!$A$17:$A$2437,A377)</f>
        <v>0</v>
      </c>
      <c r="T377" s="23" t="n">
        <f aca="false">SUMIFS(Cadenas_vs_FCST!$E$17:$E$2437,Cadenas_vs_FCST!$A$17:$A$2437,A377)</f>
        <v>0</v>
      </c>
      <c r="U377" s="24" t="str">
        <f aca="false">IF(T377&gt;0,S377/T377-1,"")</f>
        <v/>
      </c>
      <c r="V377" s="3" t="str">
        <f aca="false">IF(OR(E377="BAJO SS",E377="BAJO SS (XLIB CUBRE)"),"SÍ","")</f>
        <v/>
      </c>
      <c r="W377" s="3" t="str">
        <f aca="false">IF(AND(V377="",N(L377)&gt;=Parametros!$B$17,G377&gt;=H377,R377&lt;H377),"SÍ","")</f>
        <v/>
      </c>
      <c r="X377" s="3" t="str">
        <f aca="false">IF(OR(E377="SOBRE MAX VENDIBLE",N(N377)&gt;=Parametros!$B$17,N(M377)&gt;=Parametros!$B$17),"SÍ","")</f>
        <v/>
      </c>
      <c r="Y377" s="3" t="str">
        <f aca="false">IF(AND(ISNUMBER(U377),MAX(S377,T377)&gt;=Parametros!$B$15,ABS(N(U377))&gt;Parametros!$B$14),"SÍ","")</f>
        <v/>
      </c>
      <c r="Z377" s="3" t="n">
        <f aca="false">COUNTIF(V377:Y377,"SÍ")</f>
        <v>0</v>
      </c>
      <c r="AA377" s="3" t="n">
        <f aca="false">(3*(V377="SÍ")+2*(W377="SÍ")+2*(X377="SÍ")+(Y377="SÍ"))*IF(LEFT(D377,1)="A",3,IF(OR(LEFT(D377,1)="B",D377="SIN HIST"),2,1))</f>
        <v>0</v>
      </c>
      <c r="AB377" s="3" t="str">
        <f aca="false">IF(AA377&gt;=9,"1-ALTA",IF(AA377&gt;=4,"2-MEDIA",IF(AA377&gt;0,"3-BAJA","")))</f>
        <v/>
      </c>
      <c r="AC377" s="3" t="str">
        <f aca="false">IF(E377="BAJO SS","Stock + XLIB bajo el SS: riesgo real de quiebre, adelantar producción. ","")&amp;IF(E377="BAJO SS (XLIB CUBRE)","Disponible bajo el SS; depende de liberar "&amp;TEXT(J377,"#,##0")&amp;" kg"&amp;IF(ISNUMBER(K377)," el "&amp;TEXT(K377,"dd-mm"),"")&amp;". ","")&amp;IF(W377="SÍ","Stock parece sano pero "&amp;TEXT(L377,"#,##0")&amp;" kg no pasan filtro "&amp;Stock_Seguridad!O377&amp;": sin ellos queda bajo el SS para esa cadena. ","")&amp;IF(E377="SOBRE MAX VENDIBLE","Sobrestock vs vida útil: frenar producción/activar venta. ","")&amp;IF(N(N377)&gt;=Parametros!$B$17,TEXT(N377,"#,##0")&amp;" kg ya no los acepta ninguna cadena: venta intermedia/liquidación. ","")&amp;IF(N(M377)&gt;=Parametros!$B$17,TEXT(M377,"#,##0")&amp;" kg a punto de salir del filtro: despachar primero (FEFO). ","")&amp;IF(Y377="SÍ","Pedidos "&amp;IF(N(U377)&gt;0,"sobre","bajo")&amp;" FCST "&amp;TEXT(ABS(N(U377)),"0%")&amp;": revisar forecast con KAM.","")</f>
        <v/>
      </c>
    </row>
    <row r="378" customFormat="false" ht="15" hidden="false" customHeight="false" outlineLevel="0" collapsed="false">
      <c r="A378" s="18" t="n">
        <f aca="false">Stock_Seguridad!A378</f>
        <v>30000914</v>
      </c>
      <c r="B378" s="18" t="str">
        <f aca="false">Stock_Seguridad!B378</f>
        <v>CEBOLLA CUBO IQF 14X150GR</v>
      </c>
      <c r="C378" s="18" t="str">
        <f aca="false">Stock_Seguridad!C378</f>
        <v>FRUTAS Y HORTALIZAS CONGELADAS</v>
      </c>
      <c r="D378" s="18" t="str">
        <f aca="false">Stock_Seguridad!F378</f>
        <v>SIN HIST</v>
      </c>
      <c r="E378" s="19" t="str">
        <f aca="false">Stock_Seguridad!X378</f>
        <v>OK</v>
      </c>
      <c r="F378" s="20" t="n">
        <f aca="false">Stock_Seguridad!W378</f>
        <v>19.5447809980388</v>
      </c>
      <c r="G378" s="21" t="n">
        <f aca="false">Stock_Seguridad!T378</f>
        <v>27205.5</v>
      </c>
      <c r="H378" s="21" t="n">
        <f aca="false">Stock_Seguridad!R378</f>
        <v>1132.23499411205</v>
      </c>
      <c r="I378" s="21" t="n">
        <f aca="false">Stock_Seguridad!S378</f>
        <v>3426.73499411205</v>
      </c>
      <c r="J378" s="21" t="n">
        <f aca="false">Stock_Seguridad!U378</f>
        <v>17640</v>
      </c>
      <c r="K378" s="22"/>
      <c r="L378" s="23" t="n">
        <v>0</v>
      </c>
      <c r="M378" s="23" t="n">
        <v>0</v>
      </c>
      <c r="N378" s="23" t="n">
        <v>0</v>
      </c>
      <c r="O378" s="24" t="n">
        <v>0.152775273663876</v>
      </c>
      <c r="P378" s="24" t="str">
        <f aca="false">IF(ISNUMBER(Stock_Seguridad!N378),Stock_Seguridad!N378,"")</f>
        <v/>
      </c>
      <c r="Q378" s="24" t="str">
        <f aca="false">IF(AND(ISNUMBER(O378),ISNUMBER(P378)),P378-O378,"")</f>
        <v/>
      </c>
      <c r="R378" s="23" t="n">
        <f aca="false">MAX(0,G378-N(L378))</f>
        <v>27205.5</v>
      </c>
      <c r="S378" s="23" t="n">
        <f aca="false">SUMIFS(Cadenas_vs_FCST!$D$17:$D$2437,Cadenas_vs_FCST!$A$17:$A$2437,A378)</f>
        <v>0</v>
      </c>
      <c r="T378" s="23" t="n">
        <f aca="false">SUMIFS(Cadenas_vs_FCST!$E$17:$E$2437,Cadenas_vs_FCST!$A$17:$A$2437,A378)</f>
        <v>0</v>
      </c>
      <c r="U378" s="24" t="str">
        <f aca="false">IF(T378&gt;0,S378/T378-1,"")</f>
        <v/>
      </c>
      <c r="V378" s="3" t="str">
        <f aca="false">IF(OR(E378="BAJO SS",E378="BAJO SS (XLIB CUBRE)"),"SÍ","")</f>
        <v/>
      </c>
      <c r="W378" s="3" t="str">
        <f aca="false">IF(AND(V378="",N(L378)&gt;=Parametros!$B$17,G378&gt;=H378,R378&lt;H378),"SÍ","")</f>
        <v/>
      </c>
      <c r="X378" s="3" t="str">
        <f aca="false">IF(OR(E378="SOBRE MAX VENDIBLE",N(N378)&gt;=Parametros!$B$17,N(M378)&gt;=Parametros!$B$17),"SÍ","")</f>
        <v/>
      </c>
      <c r="Y378" s="3" t="str">
        <f aca="false">IF(AND(ISNUMBER(U378),MAX(S378,T378)&gt;=Parametros!$B$15,ABS(N(U378))&gt;Parametros!$B$14),"SÍ","")</f>
        <v/>
      </c>
      <c r="Z378" s="3" t="n">
        <f aca="false">COUNTIF(V378:Y378,"SÍ")</f>
        <v>0</v>
      </c>
      <c r="AA378" s="3" t="n">
        <f aca="false">(3*(V378="SÍ")+2*(W378="SÍ")+2*(X378="SÍ")+(Y378="SÍ"))*IF(LEFT(D378,1)="A",3,IF(OR(LEFT(D378,1)="B",D378="SIN HIST"),2,1))</f>
        <v>0</v>
      </c>
      <c r="AB378" s="3" t="str">
        <f aca="false">IF(AA378&gt;=9,"1-ALTA",IF(AA378&gt;=4,"2-MEDIA",IF(AA378&gt;0,"3-BAJA","")))</f>
        <v/>
      </c>
      <c r="AC378" s="3" t="str">
        <f aca="false">IF(E378="BAJO SS","Stock + XLIB bajo el SS: riesgo real de quiebre, adelantar producción. ","")&amp;IF(E378="BAJO SS (XLIB CUBRE)","Disponible bajo el SS; depende de liberar "&amp;TEXT(J378,"#,##0")&amp;" kg"&amp;IF(ISNUMBER(K378)," el "&amp;TEXT(K378,"dd-mm"),"")&amp;". ","")&amp;IF(W378="SÍ","Stock parece sano pero "&amp;TEXT(L378,"#,##0")&amp;" kg no pasan filtro "&amp;Stock_Seguridad!O378&amp;": sin ellos queda bajo el SS para esa cadena. ","")&amp;IF(E378="SOBRE MAX VENDIBLE","Sobrestock vs vida útil: frenar producción/activar venta. ","")&amp;IF(N(N378)&gt;=Parametros!$B$17,TEXT(N378,"#,##0")&amp;" kg ya no los acepta ninguna cadena: venta intermedia/liquidación. ","")&amp;IF(N(M378)&gt;=Parametros!$B$17,TEXT(M378,"#,##0")&amp;" kg a punto de salir del filtro: despachar primero (FEFO). ","")&amp;IF(Y378="SÍ","Pedidos "&amp;IF(N(U378)&gt;0,"sobre","bajo")&amp;" FCST "&amp;TEXT(ABS(N(U378)),"0%")&amp;": revisar forecast con KAM.","")</f>
        <v/>
      </c>
    </row>
    <row r="379" customFormat="false" ht="15" hidden="false" customHeight="false" outlineLevel="0" collapsed="false">
      <c r="A379" s="18" t="n">
        <f aca="false">Stock_Seguridad!A379</f>
        <v>30002178</v>
      </c>
      <c r="B379" s="18" t="str">
        <f aca="false">Stock_Seguridad!B379</f>
        <v>SHAKE SHAKE CHOCOLATE 30X190ML</v>
      </c>
      <c r="C379" s="18" t="str">
        <f aca="false">Stock_Seguridad!C379</f>
        <v>LECHES LIQUIDAS</v>
      </c>
      <c r="D379" s="18" t="str">
        <f aca="false">Stock_Seguridad!F379</f>
        <v>CX</v>
      </c>
      <c r="E379" s="19" t="str">
        <f aca="false">Stock_Seguridad!X379</f>
        <v>OK</v>
      </c>
      <c r="F379" s="20" t="n">
        <f aca="false">Stock_Seguridad!W379</f>
        <v>3.9977769059762</v>
      </c>
      <c r="G379" s="21" t="n">
        <f aca="false">Stock_Seguridad!T379</f>
        <v>9171.3</v>
      </c>
      <c r="H379" s="21" t="n">
        <f aca="false">Stock_Seguridad!R379</f>
        <v>831.274816621534</v>
      </c>
      <c r="I379" s="21" t="n">
        <f aca="false">Stock_Seguridad!S379</f>
        <v>3125.37481662153</v>
      </c>
      <c r="J379" s="21" t="n">
        <f aca="false">Stock_Seguridad!U379</f>
        <v>0</v>
      </c>
      <c r="K379" s="22"/>
      <c r="L379" s="23" t="n">
        <v>96.9</v>
      </c>
      <c r="M379" s="23" t="n">
        <v>0</v>
      </c>
      <c r="N379" s="23" t="n">
        <v>0</v>
      </c>
      <c r="O379" s="24" t="n">
        <v>0.0821379738968303</v>
      </c>
      <c r="P379" s="24" t="n">
        <f aca="false">IF(ISNUMBER(Stock_Seguridad!N379),Stock_Seguridad!N379,"")</f>
        <v>0.19</v>
      </c>
      <c r="Q379" s="24" t="n">
        <f aca="false">IF(AND(ISNUMBER(O379),ISNUMBER(P379)),P379-O379,"")</f>
        <v>0.10786202610317</v>
      </c>
      <c r="R379" s="23" t="n">
        <f aca="false">MAX(0,G379-N(L379))</f>
        <v>9074.4</v>
      </c>
      <c r="S379" s="23" t="n">
        <f aca="false">SUMIFS(Cadenas_vs_FCST!$D$17:$D$2437,Cadenas_vs_FCST!$A$17:$A$2437,A379)</f>
        <v>6988.2</v>
      </c>
      <c r="T379" s="23" t="n">
        <f aca="false">SUMIFS(Cadenas_vs_FCST!$E$17:$E$2437,Cadenas_vs_FCST!$A$17:$A$2437,A379)</f>
        <v>7099.24851972842</v>
      </c>
      <c r="U379" s="24" t="n">
        <f aca="false">IF(T379&gt;0,S379/T379-1,"")</f>
        <v>-0.0156422921975222</v>
      </c>
      <c r="V379" s="3" t="str">
        <f aca="false">IF(OR(E379="BAJO SS",E379="BAJO SS (XLIB CUBRE)"),"SÍ","")</f>
        <v/>
      </c>
      <c r="W379" s="3" t="str">
        <f aca="false">IF(AND(V379="",N(L379)&gt;=Parametros!$B$17,G379&gt;=H379,R379&lt;H379),"SÍ","")</f>
        <v/>
      </c>
      <c r="X379" s="3" t="str">
        <f aca="false">IF(OR(E379="SOBRE MAX VENDIBLE",N(N379)&gt;=Parametros!$B$17,N(M379)&gt;=Parametros!$B$17),"SÍ","")</f>
        <v/>
      </c>
      <c r="Y379" s="3" t="str">
        <f aca="false">IF(AND(ISNUMBER(U379),MAX(S379,T379)&gt;=Parametros!$B$15,ABS(N(U379))&gt;Parametros!$B$14),"SÍ","")</f>
        <v/>
      </c>
      <c r="Z379" s="3" t="n">
        <f aca="false">COUNTIF(V379:Y379,"SÍ")</f>
        <v>0</v>
      </c>
      <c r="AA379" s="3" t="n">
        <f aca="false">(3*(V379="SÍ")+2*(W379="SÍ")+2*(X379="SÍ")+(Y379="SÍ"))*IF(LEFT(D379,1)="A",3,IF(OR(LEFT(D379,1)="B",D379="SIN HIST"),2,1))</f>
        <v>0</v>
      </c>
      <c r="AB379" s="3" t="str">
        <f aca="false">IF(AA379&gt;=9,"1-ALTA",IF(AA379&gt;=4,"2-MEDIA",IF(AA379&gt;0,"3-BAJA","")))</f>
        <v/>
      </c>
      <c r="AC379" s="3" t="str">
        <f aca="false">IF(E379="BAJO SS","Stock + XLIB bajo el SS: riesgo real de quiebre, adelantar producción. ","")&amp;IF(E379="BAJO SS (XLIB CUBRE)","Disponible bajo el SS; depende de liberar "&amp;TEXT(J379,"#,##0")&amp;" kg"&amp;IF(ISNUMBER(K379)," el "&amp;TEXT(K379,"dd-mm"),"")&amp;". ","")&amp;IF(W379="SÍ","Stock parece sano pero "&amp;TEXT(L379,"#,##0")&amp;" kg no pasan filtro "&amp;Stock_Seguridad!O379&amp;": sin ellos queda bajo el SS para esa cadena. ","")&amp;IF(E379="SOBRE MAX VENDIBLE","Sobrestock vs vida útil: frenar producción/activar venta. ","")&amp;IF(N(N379)&gt;=Parametros!$B$17,TEXT(N379,"#,##0")&amp;" kg ya no los acepta ninguna cadena: venta intermedia/liquidación. ","")&amp;IF(N(M379)&gt;=Parametros!$B$17,TEXT(M379,"#,##0")&amp;" kg a punto de salir del filtro: despachar primero (FEFO). ","")&amp;IF(Y379="SÍ","Pedidos "&amp;IF(N(U379)&gt;0,"sobre","bajo")&amp;" FCST "&amp;TEXT(ABS(N(U379)),"0%")&amp;": revisar forecast con KAM.","")</f>
        <v/>
      </c>
    </row>
    <row r="380" customFormat="false" ht="15" hidden="false" customHeight="false" outlineLevel="0" collapsed="false">
      <c r="A380" s="18" t="n">
        <f aca="false">Stock_Seguridad!A380</f>
        <v>30002169</v>
      </c>
      <c r="B380" s="18" t="str">
        <f aca="false">Stock_Seguridad!B380</f>
        <v>MARGARINA SUREÑA LIGHT POTE 12X450G</v>
      </c>
      <c r="C380" s="18" t="str">
        <f aca="false">Stock_Seguridad!C380</f>
        <v>MARGARINAS</v>
      </c>
      <c r="D380" s="18" t="str">
        <f aca="false">Stock_Seguridad!F380</f>
        <v>BX</v>
      </c>
      <c r="E380" s="19" t="str">
        <f aca="false">Stock_Seguridad!X380</f>
        <v>OK</v>
      </c>
      <c r="F380" s="20" t="n">
        <f aca="false">Stock_Seguridad!W380</f>
        <v>5.39289473684211</v>
      </c>
      <c r="G380" s="21" t="n">
        <f aca="false">Stock_Seguridad!T380</f>
        <v>12295.8</v>
      </c>
      <c r="H380" s="21" t="n">
        <f aca="false">Stock_Seguridad!R380</f>
        <v>3815.77277237086</v>
      </c>
      <c r="I380" s="21" t="n">
        <f aca="false">Stock_Seguridad!S380</f>
        <v>6095.77277237086</v>
      </c>
      <c r="J380" s="21" t="n">
        <f aca="false">Stock_Seguridad!U380</f>
        <v>0</v>
      </c>
      <c r="K380" s="22"/>
      <c r="L380" s="23" t="n">
        <v>2532.6</v>
      </c>
      <c r="M380" s="23" t="n">
        <v>0</v>
      </c>
      <c r="N380" s="23" t="n">
        <v>0</v>
      </c>
      <c r="O380" s="24" t="n">
        <v>0.133552920509442</v>
      </c>
      <c r="P380" s="24" t="n">
        <f aca="false">IF(ISNUMBER(Stock_Seguridad!N380),Stock_Seguridad!N380,"")</f>
        <v>0.211956521739131</v>
      </c>
      <c r="Q380" s="24" t="n">
        <f aca="false">IF(AND(ISNUMBER(O380),ISNUMBER(P380)),P380-O380,"")</f>
        <v>0.0784036012296882</v>
      </c>
      <c r="R380" s="23" t="n">
        <f aca="false">MAX(0,G380-N(L380))</f>
        <v>9763.2</v>
      </c>
      <c r="S380" s="23" t="n">
        <f aca="false">SUMIFS(Cadenas_vs_FCST!$D$17:$D$2437,Cadenas_vs_FCST!$A$17:$A$2437,A380)</f>
        <v>21832.2</v>
      </c>
      <c r="T380" s="23" t="n">
        <f aca="false">SUMIFS(Cadenas_vs_FCST!$E$17:$E$2437,Cadenas_vs_FCST!$A$17:$A$2437,A380)</f>
        <v>11465.5974050257</v>
      </c>
      <c r="U380" s="24" t="n">
        <f aca="false">IF(T380&gt;0,S380/T380-1,"")</f>
        <v>0.904148491244796</v>
      </c>
      <c r="V380" s="3" t="str">
        <f aca="false">IF(OR(E380="BAJO SS",E380="BAJO SS (XLIB CUBRE)"),"SÍ","")</f>
        <v/>
      </c>
      <c r="W380" s="3" t="str">
        <f aca="false">IF(AND(V380="",N(L380)&gt;=Parametros!$B$17,G380&gt;=H380,R380&lt;H380),"SÍ","")</f>
        <v/>
      </c>
      <c r="X380" s="3" t="str">
        <f aca="false">IF(OR(E380="SOBRE MAX VENDIBLE",N(N380)&gt;=Parametros!$B$17,N(M380)&gt;=Parametros!$B$17),"SÍ","")</f>
        <v/>
      </c>
      <c r="Y380" s="3" t="str">
        <f aca="false">IF(AND(ISNUMBER(U380),MAX(S380,T380)&gt;=Parametros!$B$15,ABS(N(U380))&gt;Parametros!$B$14),"SÍ","")</f>
        <v>SÍ</v>
      </c>
      <c r="Z380" s="3" t="n">
        <f aca="false">COUNTIF(V380:Y380,"SÍ")</f>
        <v>1</v>
      </c>
      <c r="AA380" s="3" t="n">
        <f aca="false">(3*(V380="SÍ")+2*(W380="SÍ")+2*(X380="SÍ")+(Y380="SÍ"))*IF(LEFT(D380,1)="A",3,IF(OR(LEFT(D380,1)="B",D380="SIN HIST"),2,1))</f>
        <v>2</v>
      </c>
      <c r="AB380" s="3" t="str">
        <f aca="false">IF(AA380&gt;=9,"1-ALTA",IF(AA380&gt;=4,"2-MEDIA",IF(AA380&gt;0,"3-BAJA","")))</f>
        <v>3-BAJA</v>
      </c>
      <c r="AC380" s="3" t="str">
        <f aca="false">IF(E380="BAJO SS","Stock + XLIB bajo el SS: riesgo real de quiebre, adelantar producción. ","")&amp;IF(E380="BAJO SS (XLIB CUBRE)","Disponible bajo el SS; depende de liberar "&amp;TEXT(J380,"#,##0")&amp;" kg"&amp;IF(ISNUMBER(K380)," el "&amp;TEXT(K380,"dd-mm"),"")&amp;". ","")&amp;IF(W380="SÍ","Stock parece sano pero "&amp;TEXT(L380,"#,##0")&amp;" kg no pasan filtro "&amp;Stock_Seguridad!O380&amp;": sin ellos queda bajo el SS para esa cadena. ","")&amp;IF(E380="SOBRE MAX VENDIBLE","Sobrestock vs vida útil: frenar producción/activar venta. ","")&amp;IF(N(N380)&gt;=Parametros!$B$17,TEXT(N380,"#,##0")&amp;" kg ya no los acepta ninguna cadena: venta intermedia/liquidación. ","")&amp;IF(N(M380)&gt;=Parametros!$B$17,TEXT(M380,"#,##0")&amp;" kg a punto de salir del filtro: despachar primero (FEFO). ","")&amp;IF(Y380="SÍ","Pedidos "&amp;IF(N(U380)&gt;0,"sobre","bajo")&amp;" FCST "&amp;TEXT(ABS(N(U380)),"0%")&amp;": revisar forecast con KAM.","")</f>
        <v>Pedidos sobre FCST 90%: revisar forecast con KAM.</v>
      </c>
    </row>
    <row r="381" customFormat="false" ht="15" hidden="false" customHeight="false" outlineLevel="0" collapsed="false">
      <c r="A381" s="18" t="n">
        <f aca="false">Stock_Seguridad!A381</f>
        <v>30002108</v>
      </c>
      <c r="B381" s="18" t="str">
        <f aca="false">Stock_Seguridad!B381</f>
        <v>BITES FRAMBUESAS 12X150GR</v>
      </c>
      <c r="C381" s="18" t="str">
        <f aca="false">Stock_Seguridad!C381</f>
        <v>FRUTAS Y HORTALIZAS CONGELADAS</v>
      </c>
      <c r="D381" s="18" t="str">
        <f aca="false">Stock_Seguridad!F381</f>
        <v>SIN HIST</v>
      </c>
      <c r="E381" s="19" t="str">
        <f aca="false">Stock_Seguridad!X381</f>
        <v>OK</v>
      </c>
      <c r="F381" s="20" t="n">
        <f aca="false">Stock_Seguridad!W381</f>
        <v>7.9394233741004</v>
      </c>
      <c r="G381" s="21" t="n">
        <f aca="false">Stock_Seguridad!T381</f>
        <v>17982</v>
      </c>
      <c r="H381" s="21" t="n">
        <f aca="false">Stock_Seguridad!R381</f>
        <v>1117.62869390472</v>
      </c>
      <c r="I381" s="21" t="n">
        <f aca="false">Stock_Seguridad!S381</f>
        <v>3382.52869390472</v>
      </c>
      <c r="J381" s="21" t="n">
        <f aca="false">Stock_Seguridad!U381</f>
        <v>0</v>
      </c>
      <c r="K381" s="22"/>
      <c r="L381" s="23" t="n">
        <v>0</v>
      </c>
      <c r="M381" s="23" t="n">
        <v>0</v>
      </c>
      <c r="N381" s="23" t="n">
        <v>0</v>
      </c>
      <c r="O381" s="24" t="n">
        <v>0.241665665665666</v>
      </c>
      <c r="P381" s="24" t="str">
        <f aca="false">IF(ISNUMBER(Stock_Seguridad!N381),Stock_Seguridad!N381,"")</f>
        <v/>
      </c>
      <c r="Q381" s="24" t="str">
        <f aca="false">IF(AND(ISNUMBER(O381),ISNUMBER(P381)),P381-O381,"")</f>
        <v/>
      </c>
      <c r="R381" s="23" t="n">
        <f aca="false">MAX(0,G381-N(L381))</f>
        <v>17982</v>
      </c>
      <c r="S381" s="23" t="n">
        <f aca="false">SUMIFS(Cadenas_vs_FCST!$D$17:$D$2437,Cadenas_vs_FCST!$A$17:$A$2437,A381)</f>
        <v>0</v>
      </c>
      <c r="T381" s="23" t="n">
        <f aca="false">SUMIFS(Cadenas_vs_FCST!$E$17:$E$2437,Cadenas_vs_FCST!$A$17:$A$2437,A381)</f>
        <v>0</v>
      </c>
      <c r="U381" s="24" t="str">
        <f aca="false">IF(T381&gt;0,S381/T381-1,"")</f>
        <v/>
      </c>
      <c r="V381" s="3" t="str">
        <f aca="false">IF(OR(E381="BAJO SS",E381="BAJO SS (XLIB CUBRE)"),"SÍ","")</f>
        <v/>
      </c>
      <c r="W381" s="3" t="str">
        <f aca="false">IF(AND(V381="",N(L381)&gt;=Parametros!$B$17,G381&gt;=H381,R381&lt;H381),"SÍ","")</f>
        <v/>
      </c>
      <c r="X381" s="3" t="str">
        <f aca="false">IF(OR(E381="SOBRE MAX VENDIBLE",N(N381)&gt;=Parametros!$B$17,N(M381)&gt;=Parametros!$B$17),"SÍ","")</f>
        <v/>
      </c>
      <c r="Y381" s="3" t="str">
        <f aca="false">IF(AND(ISNUMBER(U381),MAX(S381,T381)&gt;=Parametros!$B$15,ABS(N(U381))&gt;Parametros!$B$14),"SÍ","")</f>
        <v/>
      </c>
      <c r="Z381" s="3" t="n">
        <f aca="false">COUNTIF(V381:Y381,"SÍ")</f>
        <v>0</v>
      </c>
      <c r="AA381" s="3" t="n">
        <f aca="false">(3*(V381="SÍ")+2*(W381="SÍ")+2*(X381="SÍ")+(Y381="SÍ"))*IF(LEFT(D381,1)="A",3,IF(OR(LEFT(D381,1)="B",D381="SIN HIST"),2,1))</f>
        <v>0</v>
      </c>
      <c r="AB381" s="3" t="str">
        <f aca="false">IF(AA381&gt;=9,"1-ALTA",IF(AA381&gt;=4,"2-MEDIA",IF(AA381&gt;0,"3-BAJA","")))</f>
        <v/>
      </c>
      <c r="AC381" s="3" t="str">
        <f aca="false">IF(E381="BAJO SS","Stock + XLIB bajo el SS: riesgo real de quiebre, adelantar producción. ","")&amp;IF(E381="BAJO SS (XLIB CUBRE)","Disponible bajo el SS; depende de liberar "&amp;TEXT(J381,"#,##0")&amp;" kg"&amp;IF(ISNUMBER(K381)," el "&amp;TEXT(K381,"dd-mm"),"")&amp;". ","")&amp;IF(W381="SÍ","Stock parece sano pero "&amp;TEXT(L381,"#,##0")&amp;" kg no pasan filtro "&amp;Stock_Seguridad!O381&amp;": sin ellos queda bajo el SS para esa cadena. ","")&amp;IF(E381="SOBRE MAX VENDIBLE","Sobrestock vs vida útil: frenar producción/activar venta. ","")&amp;IF(N(N381)&gt;=Parametros!$B$17,TEXT(N381,"#,##0")&amp;" kg ya no los acepta ninguna cadena: venta intermedia/liquidación. ","")&amp;IF(N(M381)&gt;=Parametros!$B$17,TEXT(M381,"#,##0")&amp;" kg a punto de salir del filtro: despachar primero (FEFO). ","")&amp;IF(Y381="SÍ","Pedidos "&amp;IF(N(U381)&gt;0,"sobre","bajo")&amp;" FCST "&amp;TEXT(ABS(N(U381)),"0%")&amp;": revisar forecast con KAM.","")</f>
        <v/>
      </c>
    </row>
    <row r="382" customFormat="false" ht="15" hidden="false" customHeight="false" outlineLevel="0" collapsed="false">
      <c r="A382" s="18" t="n">
        <f aca="false">Stock_Seguridad!A382</f>
        <v>30000631</v>
      </c>
      <c r="B382" s="18" t="str">
        <f aca="false">Stock_Seguridad!B382</f>
        <v>MERMELADA REGIMEL BERRIES 24X200GR</v>
      </c>
      <c r="C382" s="18" t="str">
        <f aca="false">Stock_Seguridad!C382</f>
        <v>MERMELADAS</v>
      </c>
      <c r="D382" s="18" t="str">
        <f aca="false">Stock_Seguridad!F382</f>
        <v>CX</v>
      </c>
      <c r="E382" s="19" t="str">
        <f aca="false">Stock_Seguridad!X382</f>
        <v>OK</v>
      </c>
      <c r="F382" s="20" t="n">
        <f aca="false">Stock_Seguridad!W382</f>
        <v>4.25044722719141</v>
      </c>
      <c r="G382" s="21" t="n">
        <f aca="false">Stock_Seguridad!T382</f>
        <v>9504</v>
      </c>
      <c r="H382" s="21" t="n">
        <f aca="false">Stock_Seguridad!R382</f>
        <v>533.496766535467</v>
      </c>
      <c r="I382" s="21" t="n">
        <f aca="false">Stock_Seguridad!S382</f>
        <v>2769.49676653547</v>
      </c>
      <c r="J382" s="21" t="n">
        <f aca="false">Stock_Seguridad!U382</f>
        <v>0</v>
      </c>
      <c r="K382" s="22"/>
      <c r="L382" s="23" t="n">
        <v>0</v>
      </c>
      <c r="M382" s="23" t="n">
        <v>0</v>
      </c>
      <c r="N382" s="23" t="n">
        <v>0</v>
      </c>
      <c r="O382" s="24" t="n">
        <v>0.0536570561456753</v>
      </c>
      <c r="P382" s="24" t="n">
        <f aca="false">IF(ISNUMBER(Stock_Seguridad!N382),Stock_Seguridad!N382,"")</f>
        <v>0.32054794520548</v>
      </c>
      <c r="Q382" s="24" t="n">
        <f aca="false">IF(AND(ISNUMBER(O382),ISNUMBER(P382)),P382-O382,"")</f>
        <v>0.266890889059804</v>
      </c>
      <c r="R382" s="23" t="n">
        <f aca="false">MAX(0,G382-N(L382))</f>
        <v>9504</v>
      </c>
      <c r="S382" s="23" t="n">
        <f aca="false">SUMIFS(Cadenas_vs_FCST!$D$17:$D$2437,Cadenas_vs_FCST!$A$17:$A$2437,A382)</f>
        <v>8558.4</v>
      </c>
      <c r="T382" s="23" t="n">
        <f aca="false">SUMIFS(Cadenas_vs_FCST!$E$17:$E$2437,Cadenas_vs_FCST!$A$17:$A$2437,A382)</f>
        <v>8810.4</v>
      </c>
      <c r="U382" s="24" t="n">
        <f aca="false">IF(T382&gt;0,S382/T382-1,"")</f>
        <v>-0.028602560610188</v>
      </c>
      <c r="V382" s="3" t="str">
        <f aca="false">IF(OR(E382="BAJO SS",E382="BAJO SS (XLIB CUBRE)"),"SÍ","")</f>
        <v/>
      </c>
      <c r="W382" s="3" t="str">
        <f aca="false">IF(AND(V382="",N(L382)&gt;=Parametros!$B$17,G382&gt;=H382,R382&lt;H382),"SÍ","")</f>
        <v/>
      </c>
      <c r="X382" s="3" t="str">
        <f aca="false">IF(OR(E382="SOBRE MAX VENDIBLE",N(N382)&gt;=Parametros!$B$17,N(M382)&gt;=Parametros!$B$17),"SÍ","")</f>
        <v/>
      </c>
      <c r="Y382" s="3" t="str">
        <f aca="false">IF(AND(ISNUMBER(U382),MAX(S382,T382)&gt;=Parametros!$B$15,ABS(N(U382))&gt;Parametros!$B$14),"SÍ","")</f>
        <v/>
      </c>
      <c r="Z382" s="3" t="n">
        <f aca="false">COUNTIF(V382:Y382,"SÍ")</f>
        <v>0</v>
      </c>
      <c r="AA382" s="3" t="n">
        <f aca="false">(3*(V382="SÍ")+2*(W382="SÍ")+2*(X382="SÍ")+(Y382="SÍ"))*IF(LEFT(D382,1)="A",3,IF(OR(LEFT(D382,1)="B",D382="SIN HIST"),2,1))</f>
        <v>0</v>
      </c>
      <c r="AB382" s="3" t="str">
        <f aca="false">IF(AA382&gt;=9,"1-ALTA",IF(AA382&gt;=4,"2-MEDIA",IF(AA382&gt;0,"3-BAJA","")))</f>
        <v/>
      </c>
      <c r="AC382" s="3" t="str">
        <f aca="false">IF(E382="BAJO SS","Stock + XLIB bajo el SS: riesgo real de quiebre, adelantar producción. ","")&amp;IF(E382="BAJO SS (XLIB CUBRE)","Disponible bajo el SS; depende de liberar "&amp;TEXT(J382,"#,##0")&amp;" kg"&amp;IF(ISNUMBER(K382)," el "&amp;TEXT(K382,"dd-mm"),"")&amp;". ","")&amp;IF(W382="SÍ","Stock parece sano pero "&amp;TEXT(L382,"#,##0")&amp;" kg no pasan filtro "&amp;Stock_Seguridad!O382&amp;": sin ellos queda bajo el SS para esa cadena. ","")&amp;IF(E382="SOBRE MAX VENDIBLE","Sobrestock vs vida útil: frenar producción/activar venta. ","")&amp;IF(N(N382)&gt;=Parametros!$B$17,TEXT(N382,"#,##0")&amp;" kg ya no los acepta ninguna cadena: venta intermedia/liquidación. ","")&amp;IF(N(M382)&gt;=Parametros!$B$17,TEXT(M382,"#,##0")&amp;" kg a punto de salir del filtro: despachar primero (FEFO). ","")&amp;IF(Y382="SÍ","Pedidos "&amp;IF(N(U382)&gt;0,"sobre","bajo")&amp;" FCST "&amp;TEXT(ABS(N(U382)),"0%")&amp;": revisar forecast con KAM.","")</f>
        <v/>
      </c>
    </row>
    <row r="383" customFormat="false" ht="15" hidden="false" customHeight="false" outlineLevel="0" collapsed="false">
      <c r="A383" s="18" t="n">
        <f aca="false">Stock_Seguridad!A383</f>
        <v>30001076</v>
      </c>
      <c r="B383" s="18" t="str">
        <f aca="false">Stock_Seguridad!B383</f>
        <v>YOGURT GRIEGO OIKOS CHIRIMOYA 48X110GR</v>
      </c>
      <c r="C383" s="18" t="str">
        <f aca="false">Stock_Seguridad!C383</f>
        <v>YOGURT</v>
      </c>
      <c r="D383" s="18" t="str">
        <f aca="false">Stock_Seguridad!F383</f>
        <v>BX</v>
      </c>
      <c r="E383" s="19" t="str">
        <f aca="false">Stock_Seguridad!X383</f>
        <v>BAJO P.REORDEN</v>
      </c>
      <c r="F383" s="20" t="n">
        <f aca="false">Stock_Seguridad!W383</f>
        <v>1.20694300983518</v>
      </c>
      <c r="G383" s="21" t="n">
        <f aca="false">Stock_Seguridad!T383</f>
        <v>2687.5</v>
      </c>
      <c r="H383" s="21" t="n">
        <f aca="false">Stock_Seguridad!R383</f>
        <v>2388.86224169834</v>
      </c>
      <c r="I383" s="21" t="n">
        <f aca="false">Stock_Seguridad!S383</f>
        <v>4615.56224169834</v>
      </c>
      <c r="J383" s="21" t="n">
        <f aca="false">Stock_Seguridad!U383</f>
        <v>0</v>
      </c>
      <c r="K383" s="22"/>
      <c r="L383" s="23" t="n">
        <v>264</v>
      </c>
      <c r="M383" s="23" t="n">
        <v>0</v>
      </c>
      <c r="N383" s="23" t="n">
        <v>264</v>
      </c>
      <c r="O383" s="24" t="n">
        <v>0.0747912524850895</v>
      </c>
      <c r="P383" s="24" t="n">
        <f aca="false">IF(ISNUMBER(Stock_Seguridad!N383),Stock_Seguridad!N383,"")</f>
        <v>0.298245614035088</v>
      </c>
      <c r="Q383" s="24" t="n">
        <f aca="false">IF(AND(ISNUMBER(O383),ISNUMBER(P383)),P383-O383,"")</f>
        <v>0.223454361549998</v>
      </c>
      <c r="R383" s="23" t="n">
        <f aca="false">MAX(0,G383-N(L383))</f>
        <v>2423.5</v>
      </c>
      <c r="S383" s="23" t="n">
        <f aca="false">SUMIFS(Cadenas_vs_FCST!$D$17:$D$2437,Cadenas_vs_FCST!$A$17:$A$2437,A383)</f>
        <v>10655.04</v>
      </c>
      <c r="T383" s="23" t="n">
        <f aca="false">SUMIFS(Cadenas_vs_FCST!$E$17:$E$2437,Cadenas_vs_FCST!$A$17:$A$2437,A383)</f>
        <v>8219.09842054872</v>
      </c>
      <c r="U383" s="24" t="n">
        <f aca="false">IF(T383&gt;0,S383/T383-1,"")</f>
        <v>0.296375764689852</v>
      </c>
      <c r="V383" s="3" t="str">
        <f aca="false">IF(OR(E383="BAJO SS",E383="BAJO SS (XLIB CUBRE)"),"SÍ","")</f>
        <v/>
      </c>
      <c r="W383" s="3" t="str">
        <f aca="false">IF(AND(V383="",N(L383)&gt;=Parametros!$B$17,G383&gt;=H383,R383&lt;H383),"SÍ","")</f>
        <v/>
      </c>
      <c r="X383" s="3" t="str">
        <f aca="false">IF(OR(E383="SOBRE MAX VENDIBLE",N(N383)&gt;=Parametros!$B$17,N(M383)&gt;=Parametros!$B$17),"SÍ","")</f>
        <v/>
      </c>
      <c r="Y383" s="3" t="str">
        <f aca="false">IF(AND(ISNUMBER(U383),MAX(S383,T383)&gt;=Parametros!$B$15,ABS(N(U383))&gt;Parametros!$B$14),"SÍ","")</f>
        <v>SÍ</v>
      </c>
      <c r="Z383" s="3" t="n">
        <f aca="false">COUNTIF(V383:Y383,"SÍ")</f>
        <v>1</v>
      </c>
      <c r="AA383" s="3" t="n">
        <f aca="false">(3*(V383="SÍ")+2*(W383="SÍ")+2*(X383="SÍ")+(Y383="SÍ"))*IF(LEFT(D383,1)="A",3,IF(OR(LEFT(D383,1)="B",D383="SIN HIST"),2,1))</f>
        <v>2</v>
      </c>
      <c r="AB383" s="3" t="str">
        <f aca="false">IF(AA383&gt;=9,"1-ALTA",IF(AA383&gt;=4,"2-MEDIA",IF(AA383&gt;0,"3-BAJA","")))</f>
        <v>3-BAJA</v>
      </c>
      <c r="AC383" s="3" t="str">
        <f aca="false">IF(E383="BAJO SS","Stock + XLIB bajo el SS: riesgo real de quiebre, adelantar producción. ","")&amp;IF(E383="BAJO SS (XLIB CUBRE)","Disponible bajo el SS; depende de liberar "&amp;TEXT(J383,"#,##0")&amp;" kg"&amp;IF(ISNUMBER(K383)," el "&amp;TEXT(K383,"dd-mm"),"")&amp;". ","")&amp;IF(W383="SÍ","Stock parece sano pero "&amp;TEXT(L383,"#,##0")&amp;" kg no pasan filtro "&amp;Stock_Seguridad!O383&amp;": sin ellos queda bajo el SS para esa cadena. ","")&amp;IF(E383="SOBRE MAX VENDIBLE","Sobrestock vs vida útil: frenar producción/activar venta. ","")&amp;IF(N(N383)&gt;=Parametros!$B$17,TEXT(N383,"#,##0")&amp;" kg ya no los acepta ninguna cadena: venta intermedia/liquidación. ","")&amp;IF(N(M383)&gt;=Parametros!$B$17,TEXT(M383,"#,##0")&amp;" kg a punto de salir del filtro: despachar primero (FEFO). ","")&amp;IF(Y383="SÍ","Pedidos "&amp;IF(N(U383)&gt;0,"sobre","bajo")&amp;" FCST "&amp;TEXT(ABS(N(U383)),"0%")&amp;": revisar forecast con KAM.","")</f>
        <v>Pedidos sobre FCST 30%: revisar forecast con KAM.</v>
      </c>
    </row>
    <row r="384" customFormat="false" ht="15" hidden="false" customHeight="false" outlineLevel="0" collapsed="false">
      <c r="A384" s="18" t="n">
        <f aca="false">Stock_Seguridad!A384</f>
        <v>30000633</v>
      </c>
      <c r="B384" s="18" t="str">
        <f aca="false">Stock_Seguridad!B384</f>
        <v>MERMELADA REGIMEL DAMASCO 24X200GR</v>
      </c>
      <c r="C384" s="18" t="str">
        <f aca="false">Stock_Seguridad!C384</f>
        <v>MERMELADAS</v>
      </c>
      <c r="D384" s="18" t="str">
        <f aca="false">Stock_Seguridad!F384</f>
        <v>CX</v>
      </c>
      <c r="E384" s="19" t="str">
        <f aca="false">Stock_Seguridad!X384</f>
        <v>OK</v>
      </c>
      <c r="F384" s="20" t="n">
        <f aca="false">Stock_Seguridad!W384</f>
        <v>4.34281559574662</v>
      </c>
      <c r="G384" s="21" t="n">
        <f aca="false">Stock_Seguridad!T384</f>
        <v>9556.8</v>
      </c>
      <c r="H384" s="21" t="n">
        <f aca="false">Stock_Seguridad!R384</f>
        <v>657.627200417786</v>
      </c>
      <c r="I384" s="21" t="n">
        <f aca="false">Stock_Seguridad!S384</f>
        <v>2858.22720041779</v>
      </c>
      <c r="J384" s="21" t="n">
        <f aca="false">Stock_Seguridad!U384</f>
        <v>0</v>
      </c>
      <c r="K384" s="22"/>
      <c r="L384" s="23" t="n">
        <v>0</v>
      </c>
      <c r="M384" s="23" t="n">
        <v>0</v>
      </c>
      <c r="N384" s="23" t="n">
        <v>0</v>
      </c>
      <c r="O384" s="24" t="n">
        <v>0.0429462041226747</v>
      </c>
      <c r="P384" s="24" t="n">
        <f aca="false">IF(ISNUMBER(Stock_Seguridad!N384),Stock_Seguridad!N384,"")</f>
        <v>0.32054794520548</v>
      </c>
      <c r="Q384" s="24" t="n">
        <f aca="false">IF(AND(ISNUMBER(O384),ISNUMBER(P384)),P384-O384,"")</f>
        <v>0.277601741082805</v>
      </c>
      <c r="R384" s="23" t="n">
        <f aca="false">MAX(0,G384-N(L384))</f>
        <v>9556.8</v>
      </c>
      <c r="S384" s="23" t="n">
        <f aca="false">SUMIFS(Cadenas_vs_FCST!$D$17:$D$2437,Cadenas_vs_FCST!$A$17:$A$2437,A384)</f>
        <v>9211.2</v>
      </c>
      <c r="T384" s="23" t="n">
        <f aca="false">SUMIFS(Cadenas_vs_FCST!$E$17:$E$2437,Cadenas_vs_FCST!$A$17:$A$2437,A384)</f>
        <v>9120</v>
      </c>
      <c r="U384" s="24" t="n">
        <f aca="false">IF(T384&gt;0,S384/T384-1,"")</f>
        <v>0.01</v>
      </c>
      <c r="V384" s="3" t="str">
        <f aca="false">IF(OR(E384="BAJO SS",E384="BAJO SS (XLIB CUBRE)"),"SÍ","")</f>
        <v/>
      </c>
      <c r="W384" s="3" t="str">
        <f aca="false">IF(AND(V384="",N(L384)&gt;=Parametros!$B$17,G384&gt;=H384,R384&lt;H384),"SÍ","")</f>
        <v/>
      </c>
      <c r="X384" s="3" t="str">
        <f aca="false">IF(OR(E384="SOBRE MAX VENDIBLE",N(N384)&gt;=Parametros!$B$17,N(M384)&gt;=Parametros!$B$17),"SÍ","")</f>
        <v/>
      </c>
      <c r="Y384" s="3" t="str">
        <f aca="false">IF(AND(ISNUMBER(U384),MAX(S384,T384)&gt;=Parametros!$B$15,ABS(N(U384))&gt;Parametros!$B$14),"SÍ","")</f>
        <v/>
      </c>
      <c r="Z384" s="3" t="n">
        <f aca="false">COUNTIF(V384:Y384,"SÍ")</f>
        <v>0</v>
      </c>
      <c r="AA384" s="3" t="n">
        <f aca="false">(3*(V384="SÍ")+2*(W384="SÍ")+2*(X384="SÍ")+(Y384="SÍ"))*IF(LEFT(D384,1)="A",3,IF(OR(LEFT(D384,1)="B",D384="SIN HIST"),2,1))</f>
        <v>0</v>
      </c>
      <c r="AB384" s="3" t="str">
        <f aca="false">IF(AA384&gt;=9,"1-ALTA",IF(AA384&gt;=4,"2-MEDIA",IF(AA384&gt;0,"3-BAJA","")))</f>
        <v/>
      </c>
      <c r="AC384" s="3" t="str">
        <f aca="false">IF(E384="BAJO SS","Stock + XLIB bajo el SS: riesgo real de quiebre, adelantar producción. ","")&amp;IF(E384="BAJO SS (XLIB CUBRE)","Disponible bajo el SS; depende de liberar "&amp;TEXT(J384,"#,##0")&amp;" kg"&amp;IF(ISNUMBER(K384)," el "&amp;TEXT(K384,"dd-mm"),"")&amp;". ","")&amp;IF(W384="SÍ","Stock parece sano pero "&amp;TEXT(L384,"#,##0")&amp;" kg no pasan filtro "&amp;Stock_Seguridad!O384&amp;": sin ellos queda bajo el SS para esa cadena. ","")&amp;IF(E384="SOBRE MAX VENDIBLE","Sobrestock vs vida útil: frenar producción/activar venta. ","")&amp;IF(N(N384)&gt;=Parametros!$B$17,TEXT(N384,"#,##0")&amp;" kg ya no los acepta ninguna cadena: venta intermedia/liquidación. ","")&amp;IF(N(M384)&gt;=Parametros!$B$17,TEXT(M384,"#,##0")&amp;" kg a punto de salir del filtro: despachar primero (FEFO). ","")&amp;IF(Y384="SÍ","Pedidos "&amp;IF(N(U384)&gt;0,"sobre","bajo")&amp;" FCST "&amp;TEXT(ABS(N(U384)),"0%")&amp;": revisar forecast con KAM.","")</f>
        <v/>
      </c>
    </row>
    <row r="385" customFormat="false" ht="15" hidden="false" customHeight="false" outlineLevel="0" collapsed="false">
      <c r="A385" s="18" t="n">
        <f aca="false">Stock_Seguridad!A385</f>
        <v>30001918</v>
      </c>
      <c r="B385" s="18" t="str">
        <f aca="false">Stock_Seguridad!B385</f>
        <v>QUESO LPV LAM S/BORDE 20X210G</v>
      </c>
      <c r="C385" s="18" t="str">
        <f aca="false">Stock_Seguridad!C385</f>
        <v>QUESOS</v>
      </c>
      <c r="D385" s="18" t="str">
        <f aca="false">Stock_Seguridad!F385</f>
        <v>CY</v>
      </c>
      <c r="E385" s="19" t="str">
        <f aca="false">Stock_Seguridad!X385</f>
        <v>OK</v>
      </c>
      <c r="F385" s="20" t="n">
        <f aca="false">Stock_Seguridad!W385</f>
        <v>2.75481818181818</v>
      </c>
      <c r="G385" s="21" t="n">
        <f aca="false">Stock_Seguridad!T385</f>
        <v>6060.6</v>
      </c>
      <c r="H385" s="21" t="n">
        <f aca="false">Stock_Seguridad!R385</f>
        <v>3505.02608357101</v>
      </c>
      <c r="I385" s="21" t="n">
        <f aca="false">Stock_Seguridad!S385</f>
        <v>5705.02608357101</v>
      </c>
      <c r="J385" s="21" t="n">
        <f aca="false">Stock_Seguridad!U385</f>
        <v>0</v>
      </c>
      <c r="K385" s="22"/>
      <c r="L385" s="23" t="n">
        <v>256.2</v>
      </c>
      <c r="M385" s="23" t="n">
        <v>1570.8</v>
      </c>
      <c r="N385" s="23" t="n">
        <v>0</v>
      </c>
      <c r="O385" s="24" t="n">
        <v>0.133735273735274</v>
      </c>
      <c r="P385" s="24" t="n">
        <f aca="false">IF(ISNUMBER(Stock_Seguridad!N385),Stock_Seguridad!N385,"")</f>
        <v>0.217391304347826</v>
      </c>
      <c r="Q385" s="24" t="n">
        <f aca="false">IF(AND(ISNUMBER(O385),ISNUMBER(P385)),P385-O385,"")</f>
        <v>0.0836560306125524</v>
      </c>
      <c r="R385" s="23" t="n">
        <f aca="false">MAX(0,G385-N(L385))</f>
        <v>5804.4</v>
      </c>
      <c r="S385" s="23" t="n">
        <f aca="false">SUMIFS(Cadenas_vs_FCST!$D$17:$D$2437,Cadenas_vs_FCST!$A$17:$A$2437,A385)</f>
        <v>8736</v>
      </c>
      <c r="T385" s="23" t="n">
        <f aca="false">SUMIFS(Cadenas_vs_FCST!$E$17:$E$2437,Cadenas_vs_FCST!$A$17:$A$2437,A385)</f>
        <v>13578.586361998</v>
      </c>
      <c r="U385" s="24" t="n">
        <f aca="false">IF(T385&gt;0,S385/T385-1,"")</f>
        <v>-0.35663405842826</v>
      </c>
      <c r="V385" s="3" t="str">
        <f aca="false">IF(OR(E385="BAJO SS",E385="BAJO SS (XLIB CUBRE)"),"SÍ","")</f>
        <v/>
      </c>
      <c r="W385" s="3" t="str">
        <f aca="false">IF(AND(V385="",N(L385)&gt;=Parametros!$B$17,G385&gt;=H385,R385&lt;H385),"SÍ","")</f>
        <v/>
      </c>
      <c r="X385" s="3" t="str">
        <f aca="false">IF(OR(E385="SOBRE MAX VENDIBLE",N(N385)&gt;=Parametros!$B$17,N(M385)&gt;=Parametros!$B$17),"SÍ","")</f>
        <v>SÍ</v>
      </c>
      <c r="Y385" s="3" t="str">
        <f aca="false">IF(AND(ISNUMBER(U385),MAX(S385,T385)&gt;=Parametros!$B$15,ABS(N(U385))&gt;Parametros!$B$14),"SÍ","")</f>
        <v>SÍ</v>
      </c>
      <c r="Z385" s="3" t="n">
        <f aca="false">COUNTIF(V385:Y385,"SÍ")</f>
        <v>2</v>
      </c>
      <c r="AA385" s="3" t="n">
        <f aca="false">(3*(V385="SÍ")+2*(W385="SÍ")+2*(X385="SÍ")+(Y385="SÍ"))*IF(LEFT(D385,1)="A",3,IF(OR(LEFT(D385,1)="B",D385="SIN HIST"),2,1))</f>
        <v>3</v>
      </c>
      <c r="AB385" s="3" t="str">
        <f aca="false">IF(AA385&gt;=9,"1-ALTA",IF(AA385&gt;=4,"2-MEDIA",IF(AA385&gt;0,"3-BAJA","")))</f>
        <v>3-BAJA</v>
      </c>
      <c r="AC385" s="3" t="str">
        <f aca="false">IF(E385="BAJO SS","Stock + XLIB bajo el SS: riesgo real de quiebre, adelantar producción. ","")&amp;IF(E385="BAJO SS (XLIB CUBRE)","Disponible bajo el SS; depende de liberar "&amp;TEXT(J385,"#,##0")&amp;" kg"&amp;IF(ISNUMBER(K385)," el "&amp;TEXT(K385,"dd-mm"),"")&amp;". ","")&amp;IF(W385="SÍ","Stock parece sano pero "&amp;TEXT(L385,"#,##0")&amp;" kg no pasan filtro "&amp;Stock_Seguridad!O385&amp;": sin ellos queda bajo el SS para esa cadena. ","")&amp;IF(E385="SOBRE MAX VENDIBLE","Sobrestock vs vida útil: frenar producción/activar venta. ","")&amp;IF(N(N385)&gt;=Parametros!$B$17,TEXT(N385,"#,##0")&amp;" kg ya no los acepta ninguna cadena: venta intermedia/liquidación. ","")&amp;IF(N(M385)&gt;=Parametros!$B$17,TEXT(M385,"#,##0")&amp;" kg a punto de salir del filtro: despachar primero (FEFO). ","")&amp;IF(Y385="SÍ","Pedidos "&amp;IF(N(U385)&gt;0,"sobre","bajo")&amp;" FCST "&amp;TEXT(ABS(N(U385)),"0%")&amp;": revisar forecast con KAM.","")</f>
        <v>1,571 kg a punto de salir del filtro: despachar primero (FEFO). Pedidos bajo FCST 36%: revisar forecast con KAM.</v>
      </c>
    </row>
    <row r="386" customFormat="false" ht="15" hidden="false" customHeight="false" outlineLevel="0" collapsed="false">
      <c r="A386" s="18" t="n">
        <f aca="false">Stock_Seguridad!A386</f>
        <v>30002358</v>
      </c>
      <c r="B386" s="18" t="str">
        <f aca="false">Stock_Seguridad!B386</f>
        <v>LECHE BON MOMENT DAN MOCACCINO 30X200ML</v>
      </c>
      <c r="C386" s="18" t="str">
        <f aca="false">Stock_Seguridad!C386</f>
        <v>LECHES LIQUIDAS</v>
      </c>
      <c r="D386" s="18" t="str">
        <f aca="false">Stock_Seguridad!F386</f>
        <v>CX</v>
      </c>
      <c r="E386" s="19" t="str">
        <f aca="false">Stock_Seguridad!X386</f>
        <v>OK</v>
      </c>
      <c r="F386" s="20" t="n">
        <f aca="false">Stock_Seguridad!W386</f>
        <v>4.6892964686559</v>
      </c>
      <c r="G386" s="21" t="n">
        <f aca="false">Stock_Seguridad!T386</f>
        <v>10278</v>
      </c>
      <c r="H386" s="21" t="n">
        <f aca="false">Stock_Seguridad!R386</f>
        <v>773.539901259205</v>
      </c>
      <c r="I386" s="21" t="n">
        <f aca="false">Stock_Seguridad!S386</f>
        <v>2965.33990125921</v>
      </c>
      <c r="J386" s="21" t="n">
        <f aca="false">Stock_Seguridad!U386</f>
        <v>0</v>
      </c>
      <c r="K386" s="22"/>
      <c r="L386" s="23" t="n">
        <v>0</v>
      </c>
      <c r="M386" s="23" t="n">
        <v>0</v>
      </c>
      <c r="N386" s="23" t="n">
        <v>0</v>
      </c>
      <c r="O386" s="24" t="n">
        <v>0.109638061879743</v>
      </c>
      <c r="P386" s="24" t="str">
        <f aca="false">IF(ISNUMBER(Stock_Seguridad!N386),Stock_Seguridad!N386,"")</f>
        <v/>
      </c>
      <c r="Q386" s="24" t="str">
        <f aca="false">IF(AND(ISNUMBER(O386),ISNUMBER(P386)),P386-O386,"")</f>
        <v/>
      </c>
      <c r="R386" s="23" t="n">
        <f aca="false">MAX(0,G386-N(L386))</f>
        <v>10278</v>
      </c>
      <c r="S386" s="23" t="n">
        <f aca="false">SUMIFS(Cadenas_vs_FCST!$D$17:$D$2437,Cadenas_vs_FCST!$A$17:$A$2437,A386)</f>
        <v>7752</v>
      </c>
      <c r="T386" s="23" t="n">
        <f aca="false">SUMIFS(Cadenas_vs_FCST!$E$17:$E$2437,Cadenas_vs_FCST!$A$17:$A$2437,A386)</f>
        <v>8573.85964798046</v>
      </c>
      <c r="U386" s="24" t="n">
        <f aca="false">IF(T386&gt;0,S386/T386-1,"")</f>
        <v>-0.0958564382581235</v>
      </c>
      <c r="V386" s="3" t="str">
        <f aca="false">IF(OR(E386="BAJO SS",E386="BAJO SS (XLIB CUBRE)"),"SÍ","")</f>
        <v/>
      </c>
      <c r="W386" s="3" t="str">
        <f aca="false">IF(AND(V386="",N(L386)&gt;=Parametros!$B$17,G386&gt;=H386,R386&lt;H386),"SÍ","")</f>
        <v/>
      </c>
      <c r="X386" s="3" t="str">
        <f aca="false">IF(OR(E386="SOBRE MAX VENDIBLE",N(N386)&gt;=Parametros!$B$17,N(M386)&gt;=Parametros!$B$17),"SÍ","")</f>
        <v/>
      </c>
      <c r="Y386" s="3" t="str">
        <f aca="false">IF(AND(ISNUMBER(U386),MAX(S386,T386)&gt;=Parametros!$B$15,ABS(N(U386))&gt;Parametros!$B$14),"SÍ","")</f>
        <v/>
      </c>
      <c r="Z386" s="3" t="n">
        <f aca="false">COUNTIF(V386:Y386,"SÍ")</f>
        <v>0</v>
      </c>
      <c r="AA386" s="3" t="n">
        <f aca="false">(3*(V386="SÍ")+2*(W386="SÍ")+2*(X386="SÍ")+(Y386="SÍ"))*IF(LEFT(D386,1)="A",3,IF(OR(LEFT(D386,1)="B",D386="SIN HIST"),2,1))</f>
        <v>0</v>
      </c>
      <c r="AB386" s="3" t="str">
        <f aca="false">IF(AA386&gt;=9,"1-ALTA",IF(AA386&gt;=4,"2-MEDIA",IF(AA386&gt;0,"3-BAJA","")))</f>
        <v/>
      </c>
      <c r="AC386" s="3" t="str">
        <f aca="false">IF(E386="BAJO SS","Stock + XLIB bajo el SS: riesgo real de quiebre, adelantar producción. ","")&amp;IF(E386="BAJO SS (XLIB CUBRE)","Disponible bajo el SS; depende de liberar "&amp;TEXT(J386,"#,##0")&amp;" kg"&amp;IF(ISNUMBER(K386)," el "&amp;TEXT(K386,"dd-mm"),"")&amp;". ","")&amp;IF(W386="SÍ","Stock parece sano pero "&amp;TEXT(L386,"#,##0")&amp;" kg no pasan filtro "&amp;Stock_Seguridad!O386&amp;": sin ellos queda bajo el SS para esa cadena. ","")&amp;IF(E386="SOBRE MAX VENDIBLE","Sobrestock vs vida útil: frenar producción/activar venta. ","")&amp;IF(N(N386)&gt;=Parametros!$B$17,TEXT(N386,"#,##0")&amp;" kg ya no los acepta ninguna cadena: venta intermedia/liquidación. ","")&amp;IF(N(M386)&gt;=Parametros!$B$17,TEXT(M386,"#,##0")&amp;" kg a punto de salir del filtro: despachar primero (FEFO). ","")&amp;IF(Y386="SÍ","Pedidos "&amp;IF(N(U386)&gt;0,"sobre","bajo")&amp;" FCST "&amp;TEXT(ABS(N(U386)),"0%")&amp;": revisar forecast con KAM.","")</f>
        <v/>
      </c>
    </row>
    <row r="387" customFormat="false" ht="15" hidden="false" customHeight="false" outlineLevel="0" collapsed="false">
      <c r="A387" s="18" t="n">
        <f aca="false">Stock_Seguridad!A387</f>
        <v>30000171</v>
      </c>
      <c r="B387" s="18" t="str">
        <f aca="false">Stock_Seguridad!B387</f>
        <v>MERMELADA WATTS S/A MORA DOYPACK 12X350G</v>
      </c>
      <c r="C387" s="18" t="str">
        <f aca="false">Stock_Seguridad!C387</f>
        <v>MERMELADAS</v>
      </c>
      <c r="D387" s="18" t="str">
        <f aca="false">Stock_Seguridad!F387</f>
        <v>CX</v>
      </c>
      <c r="E387" s="19" t="str">
        <f aca="false">Stock_Seguridad!X387</f>
        <v>BAJO SS</v>
      </c>
      <c r="F387" s="20" t="n">
        <f aca="false">Stock_Seguridad!W387</f>
        <v>0.300762300762301</v>
      </c>
      <c r="G387" s="21" t="n">
        <f aca="false">Stock_Seguridad!T387</f>
        <v>651</v>
      </c>
      <c r="H387" s="21" t="n">
        <f aca="false">Stock_Seguridad!R387</f>
        <v>838.307800371416</v>
      </c>
      <c r="I387" s="21" t="n">
        <f aca="false">Stock_Seguridad!S387</f>
        <v>3002.80780037142</v>
      </c>
      <c r="J387" s="21" t="n">
        <f aca="false">Stock_Seguridad!U387</f>
        <v>0</v>
      </c>
      <c r="K387" s="22"/>
      <c r="L387" s="23" t="n">
        <v>184.8</v>
      </c>
      <c r="M387" s="23" t="n">
        <v>0</v>
      </c>
      <c r="N387" s="23" t="n">
        <v>184.8</v>
      </c>
      <c r="O387" s="24" t="n">
        <v>0.233933333333333</v>
      </c>
      <c r="P387" s="24" t="n">
        <f aca="false">IF(ISNUMBER(Stock_Seguridad!N387),Stock_Seguridad!N387,"")</f>
        <v>0.190217391304348</v>
      </c>
      <c r="Q387" s="24" t="n">
        <f aca="false">IF(AND(ISNUMBER(O387),ISNUMBER(P387)),P387-O387,"")</f>
        <v>-0.0437159420289855</v>
      </c>
      <c r="R387" s="23" t="n">
        <f aca="false">MAX(0,G387-N(L387))</f>
        <v>466.2</v>
      </c>
      <c r="S387" s="23" t="n">
        <f aca="false">SUMIFS(Cadenas_vs_FCST!$D$17:$D$2437,Cadenas_vs_FCST!$A$17:$A$2437,A387)</f>
        <v>8580.6</v>
      </c>
      <c r="T387" s="23" t="n">
        <f aca="false">SUMIFS(Cadenas_vs_FCST!$E$17:$E$2437,Cadenas_vs_FCST!$A$17:$A$2437,A387)</f>
        <v>6680.6</v>
      </c>
      <c r="U387" s="24" t="n">
        <f aca="false">IF(T387&gt;0,S387/T387-1,"")</f>
        <v>0.284405592312068</v>
      </c>
      <c r="V387" s="3" t="str">
        <f aca="false">IF(OR(E387="BAJO SS",E387="BAJO SS (XLIB CUBRE)"),"SÍ","")</f>
        <v>SÍ</v>
      </c>
      <c r="W387" s="3" t="str">
        <f aca="false">IF(AND(V387="",N(L387)&gt;=Parametros!$B$17,G387&gt;=H387,R387&lt;H387),"SÍ","")</f>
        <v/>
      </c>
      <c r="X387" s="3" t="str">
        <f aca="false">IF(OR(E387="SOBRE MAX VENDIBLE",N(N387)&gt;=Parametros!$B$17,N(M387)&gt;=Parametros!$B$17),"SÍ","")</f>
        <v/>
      </c>
      <c r="Y387" s="3" t="str">
        <f aca="false">IF(AND(ISNUMBER(U387),MAX(S387,T387)&gt;=Parametros!$B$15,ABS(N(U387))&gt;Parametros!$B$14),"SÍ","")</f>
        <v>SÍ</v>
      </c>
      <c r="Z387" s="3" t="n">
        <f aca="false">COUNTIF(V387:Y387,"SÍ")</f>
        <v>2</v>
      </c>
      <c r="AA387" s="3" t="n">
        <f aca="false">(3*(V387="SÍ")+2*(W387="SÍ")+2*(X387="SÍ")+(Y387="SÍ"))*IF(LEFT(D387,1)="A",3,IF(OR(LEFT(D387,1)="B",D387="SIN HIST"),2,1))</f>
        <v>4</v>
      </c>
      <c r="AB387" s="3" t="str">
        <f aca="false">IF(AA387&gt;=9,"1-ALTA",IF(AA387&gt;=4,"2-MEDIA",IF(AA387&gt;0,"3-BAJA","")))</f>
        <v>2-MEDIA</v>
      </c>
      <c r="AC387" s="3" t="str">
        <f aca="false">IF(E387="BAJO SS","Stock + XLIB bajo el SS: riesgo real de quiebre, adelantar producción. ","")&amp;IF(E387="BAJO SS (XLIB CUBRE)","Disponible bajo el SS; depende de liberar "&amp;TEXT(J387,"#,##0")&amp;" kg"&amp;IF(ISNUMBER(K387)," el "&amp;TEXT(K387,"dd-mm"),"")&amp;". ","")&amp;IF(W387="SÍ","Stock parece sano pero "&amp;TEXT(L387,"#,##0")&amp;" kg no pasan filtro "&amp;Stock_Seguridad!O387&amp;": sin ellos queda bajo el SS para esa cadena. ","")&amp;IF(E387="SOBRE MAX VENDIBLE","Sobrestock vs vida útil: frenar producción/activar venta. ","")&amp;IF(N(N387)&gt;=Parametros!$B$17,TEXT(N387,"#,##0")&amp;" kg ya no los acepta ninguna cadena: venta intermedia/liquidación. ","")&amp;IF(N(M387)&gt;=Parametros!$B$17,TEXT(M387,"#,##0")&amp;" kg a punto de salir del filtro: despachar primero (FEFO). ","")&amp;IF(Y387="SÍ","Pedidos "&amp;IF(N(U387)&gt;0,"sobre","bajo")&amp;" FCST "&amp;TEXT(ABS(N(U387)),"0%")&amp;": revisar forecast con KAM.","")</f>
        <v>Stock + XLIB bajo el SS: riesgo real de quiebre, adelantar producción. Pedidos sobre FCST 28%: revisar forecast con KAM.</v>
      </c>
    </row>
    <row r="388" customFormat="false" ht="15" hidden="false" customHeight="false" outlineLevel="0" collapsed="false">
      <c r="A388" s="18" t="n">
        <f aca="false">Stock_Seguridad!A388</f>
        <v>30000116</v>
      </c>
      <c r="B388" s="18" t="str">
        <f aca="false">Stock_Seguridad!B388</f>
        <v>MANTECA ASTRA 6X12X100GR</v>
      </c>
      <c r="C388" s="18" t="str">
        <f aca="false">Stock_Seguridad!C388</f>
        <v>MANTECAS</v>
      </c>
      <c r="D388" s="18" t="str">
        <f aca="false">Stock_Seguridad!F388</f>
        <v>BX</v>
      </c>
      <c r="E388" s="19" t="str">
        <f aca="false">Stock_Seguridad!X388</f>
        <v>SOBRE MAX VENDIBLE</v>
      </c>
      <c r="F388" s="20" t="n">
        <f aca="false">Stock_Seguridad!W388</f>
        <v>8.88123350465343</v>
      </c>
      <c r="G388" s="21" t="n">
        <f aca="false">Stock_Seguridad!T388</f>
        <v>19180.8</v>
      </c>
      <c r="H388" s="21" t="n">
        <f aca="false">Stock_Seguridad!R388</f>
        <v>2559.09334959896</v>
      </c>
      <c r="I388" s="21" t="n">
        <f aca="false">Stock_Seguridad!S388</f>
        <v>4718.79334959896</v>
      </c>
      <c r="J388" s="21" t="n">
        <f aca="false">Stock_Seguridad!U388</f>
        <v>0</v>
      </c>
      <c r="K388" s="22"/>
      <c r="L388" s="23" t="n">
        <v>6242.4</v>
      </c>
      <c r="M388" s="23" t="n">
        <v>0</v>
      </c>
      <c r="N388" s="23" t="n">
        <v>43.2</v>
      </c>
      <c r="O388" s="24" t="n">
        <v>0.124466966966967</v>
      </c>
      <c r="P388" s="24" t="n">
        <f aca="false">IF(ISNUMBER(Stock_Seguridad!N388),Stock_Seguridad!N388,"")</f>
        <v>0.217391304347826</v>
      </c>
      <c r="Q388" s="24" t="n">
        <f aca="false">IF(AND(ISNUMBER(O388),ISNUMBER(P388)),P388-O388,"")</f>
        <v>0.0929243373808591</v>
      </c>
      <c r="R388" s="23" t="n">
        <f aca="false">MAX(0,G388-N(L388))</f>
        <v>12938.4</v>
      </c>
      <c r="S388" s="23" t="n">
        <f aca="false">SUMIFS(Cadenas_vs_FCST!$D$17:$D$2437,Cadenas_vs_FCST!$A$17:$A$2437,A388)</f>
        <v>13831.2</v>
      </c>
      <c r="T388" s="23" t="n">
        <f aca="false">SUMIFS(Cadenas_vs_FCST!$E$17:$E$2437,Cadenas_vs_FCST!$A$17:$A$2437,A388)</f>
        <v>15527.0188445048</v>
      </c>
      <c r="U388" s="24" t="n">
        <f aca="false">IF(T388&gt;0,S388/T388-1,"")</f>
        <v>-0.109217285139382</v>
      </c>
      <c r="V388" s="3" t="str">
        <f aca="false">IF(OR(E388="BAJO SS",E388="BAJO SS (XLIB CUBRE)"),"SÍ","")</f>
        <v/>
      </c>
      <c r="W388" s="3" t="str">
        <f aca="false">IF(AND(V388="",N(L388)&gt;=Parametros!$B$17,G388&gt;=H388,R388&lt;H388),"SÍ","")</f>
        <v/>
      </c>
      <c r="X388" s="3" t="str">
        <f aca="false">IF(OR(E388="SOBRE MAX VENDIBLE",N(N388)&gt;=Parametros!$B$17,N(M388)&gt;=Parametros!$B$17),"SÍ","")</f>
        <v>SÍ</v>
      </c>
      <c r="Y388" s="3" t="str">
        <f aca="false">IF(AND(ISNUMBER(U388),MAX(S388,T388)&gt;=Parametros!$B$15,ABS(N(U388))&gt;Parametros!$B$14),"SÍ","")</f>
        <v/>
      </c>
      <c r="Z388" s="3" t="n">
        <f aca="false">COUNTIF(V388:Y388,"SÍ")</f>
        <v>1</v>
      </c>
      <c r="AA388" s="3" t="n">
        <f aca="false">(3*(V388="SÍ")+2*(W388="SÍ")+2*(X388="SÍ")+(Y388="SÍ"))*IF(LEFT(D388,1)="A",3,IF(OR(LEFT(D388,1)="B",D388="SIN HIST"),2,1))</f>
        <v>4</v>
      </c>
      <c r="AB388" s="3" t="str">
        <f aca="false">IF(AA388&gt;=9,"1-ALTA",IF(AA388&gt;=4,"2-MEDIA",IF(AA388&gt;0,"3-BAJA","")))</f>
        <v>2-MEDIA</v>
      </c>
      <c r="AC388" s="3" t="str">
        <f aca="false">IF(E388="BAJO SS","Stock + XLIB bajo el SS: riesgo real de quiebre, adelantar producción. ","")&amp;IF(E388="BAJO SS (XLIB CUBRE)","Disponible bajo el SS; depende de liberar "&amp;TEXT(J388,"#,##0")&amp;" kg"&amp;IF(ISNUMBER(K388)," el "&amp;TEXT(K388,"dd-mm"),"")&amp;". ","")&amp;IF(W388="SÍ","Stock parece sano pero "&amp;TEXT(L388,"#,##0")&amp;" kg no pasan filtro "&amp;Stock_Seguridad!O388&amp;": sin ellos queda bajo el SS para esa cadena. ","")&amp;IF(E388="SOBRE MAX VENDIBLE","Sobrestock vs vida útil: frenar producción/activar venta. ","")&amp;IF(N(N388)&gt;=Parametros!$B$17,TEXT(N388,"#,##0")&amp;" kg ya no los acepta ninguna cadena: venta intermedia/liquidación. ","")&amp;IF(N(M388)&gt;=Parametros!$B$17,TEXT(M388,"#,##0")&amp;" kg a punto de salir del filtro: despachar primero (FEFO). ","")&amp;IF(Y388="SÍ","Pedidos "&amp;IF(N(U388)&gt;0,"sobre","bajo")&amp;" FCST "&amp;TEXT(ABS(N(U388)),"0%")&amp;": revisar forecast con KAM.","")</f>
        <v>Sobrestock vs vida útil: frenar producción/activar venta. </v>
      </c>
    </row>
    <row r="389" customFormat="false" ht="15" hidden="false" customHeight="false" outlineLevel="0" collapsed="false">
      <c r="A389" s="18" t="n">
        <f aca="false">Stock_Seguridad!A389</f>
        <v>30001924</v>
      </c>
      <c r="B389" s="18" t="str">
        <f aca="false">Stock_Seguridad!B389</f>
        <v>JUGO 100% WATTS NRJA MIX LV 12X1LT</v>
      </c>
      <c r="C389" s="18" t="str">
        <f aca="false">Stock_Seguridad!C389</f>
        <v>JUGOS Y NECTARES</v>
      </c>
      <c r="D389" s="18" t="str">
        <f aca="false">Stock_Seguridad!F389</f>
        <v>CY</v>
      </c>
      <c r="E389" s="19" t="str">
        <f aca="false">Stock_Seguridad!X389</f>
        <v>OK</v>
      </c>
      <c r="F389" s="20" t="n">
        <f aca="false">Stock_Seguridad!W389</f>
        <v>3.65843410056492</v>
      </c>
      <c r="G389" s="21" t="n">
        <f aca="false">Stock_Seguridad!T389</f>
        <v>7836</v>
      </c>
      <c r="H389" s="21" t="n">
        <f aca="false">Stock_Seguridad!R389</f>
        <v>961.768631154355</v>
      </c>
      <c r="I389" s="21" t="n">
        <f aca="false">Stock_Seguridad!S389</f>
        <v>3103.66863115435</v>
      </c>
      <c r="J389" s="21" t="n">
        <f aca="false">Stock_Seguridad!U389</f>
        <v>0</v>
      </c>
      <c r="K389" s="22"/>
      <c r="L389" s="23" t="n">
        <v>7836</v>
      </c>
      <c r="M389" s="23" t="n">
        <v>0</v>
      </c>
      <c r="N389" s="23" t="n">
        <v>12</v>
      </c>
      <c r="O389" s="24" t="n">
        <v>0.273246554364472</v>
      </c>
      <c r="P389" s="24" t="n">
        <f aca="false">IF(ISNUMBER(Stock_Seguridad!N389),Stock_Seguridad!N389,"")</f>
        <v>0.190217391304348</v>
      </c>
      <c r="Q389" s="24" t="n">
        <f aca="false">IF(AND(ISNUMBER(O389),ISNUMBER(P389)),P389-O389,"")</f>
        <v>-0.0830291630601239</v>
      </c>
      <c r="R389" s="23" t="n">
        <f aca="false">MAX(0,G389-N(L389))</f>
        <v>0</v>
      </c>
      <c r="S389" s="23" t="n">
        <f aca="false">SUMIFS(Cadenas_vs_FCST!$D$17:$D$2437,Cadenas_vs_FCST!$A$17:$A$2437,A389)</f>
        <v>5556</v>
      </c>
      <c r="T389" s="23" t="n">
        <f aca="false">SUMIFS(Cadenas_vs_FCST!$E$17:$E$2437,Cadenas_vs_FCST!$A$17:$A$2437,A389)</f>
        <v>4955.48461821477</v>
      </c>
      <c r="U389" s="24" t="n">
        <f aca="false">IF(T389&gt;0,S389/T389-1,"")</f>
        <v>0.121181968677277</v>
      </c>
      <c r="V389" s="3" t="str">
        <f aca="false">IF(OR(E389="BAJO SS",E389="BAJO SS (XLIB CUBRE)"),"SÍ","")</f>
        <v/>
      </c>
      <c r="W389" s="3" t="str">
        <f aca="false">IF(AND(V389="",N(L389)&gt;=Parametros!$B$17,G389&gt;=H389,R389&lt;H389),"SÍ","")</f>
        <v>SÍ</v>
      </c>
      <c r="X389" s="3" t="str">
        <f aca="false">IF(OR(E389="SOBRE MAX VENDIBLE",N(N389)&gt;=Parametros!$B$17,N(M389)&gt;=Parametros!$B$17),"SÍ","")</f>
        <v/>
      </c>
      <c r="Y389" s="3" t="str">
        <f aca="false">IF(AND(ISNUMBER(U389),MAX(S389,T389)&gt;=Parametros!$B$15,ABS(N(U389))&gt;Parametros!$B$14),"SÍ","")</f>
        <v/>
      </c>
      <c r="Z389" s="3" t="n">
        <f aca="false">COUNTIF(V389:Y389,"SÍ")</f>
        <v>1</v>
      </c>
      <c r="AA389" s="3" t="n">
        <f aca="false">(3*(V389="SÍ")+2*(W389="SÍ")+2*(X389="SÍ")+(Y389="SÍ"))*IF(LEFT(D389,1)="A",3,IF(OR(LEFT(D389,1)="B",D389="SIN HIST"),2,1))</f>
        <v>2</v>
      </c>
      <c r="AB389" s="3" t="str">
        <f aca="false">IF(AA389&gt;=9,"1-ALTA",IF(AA389&gt;=4,"2-MEDIA",IF(AA389&gt;0,"3-BAJA","")))</f>
        <v>3-BAJA</v>
      </c>
      <c r="AC389" s="3" t="str">
        <f aca="false">IF(E389="BAJO SS","Stock + XLIB bajo el SS: riesgo real de quiebre, adelantar producción. ","")&amp;IF(E389="BAJO SS (XLIB CUBRE)","Disponible bajo el SS; depende de liberar "&amp;TEXT(J389,"#,##0")&amp;" kg"&amp;IF(ISNUMBER(K389)," el "&amp;TEXT(K389,"dd-mm"),"")&amp;". ","")&amp;IF(W389="SÍ","Stock parece sano pero "&amp;TEXT(L389,"#,##0")&amp;" kg no pasan filtro "&amp;Stock_Seguridad!O389&amp;": sin ellos queda bajo el SS para esa cadena. ","")&amp;IF(E389="SOBRE MAX VENDIBLE","Sobrestock vs vida útil: frenar producción/activar venta. ","")&amp;IF(N(N389)&gt;=Parametros!$B$17,TEXT(N389,"#,##0")&amp;" kg ya no los acepta ninguna cadena: venta intermedia/liquidación. ","")&amp;IF(N(M389)&gt;=Parametros!$B$17,TEXT(M389,"#,##0")&amp;" kg a punto de salir del filtro: despachar primero (FEFO). ","")&amp;IF(Y389="SÍ","Pedidos "&amp;IF(N(U389)&gt;0,"sobre","bajo")&amp;" FCST "&amp;TEXT(ABS(N(U389)),"0%")&amp;": revisar forecast con KAM.","")</f>
        <v>Stock parece sano pero 7,836 kg no pasan filtro CENCOSUD CENTRAL: sin ellos queda bajo el SS para esa cadena. </v>
      </c>
    </row>
    <row r="390" customFormat="false" ht="15" hidden="false" customHeight="false" outlineLevel="0" collapsed="false">
      <c r="A390" s="18" t="n">
        <f aca="false">Stock_Seguridad!A390</f>
        <v>30002228</v>
      </c>
      <c r="B390" s="18" t="str">
        <f aca="false">Stock_Seguridad!B390</f>
        <v>NECTAR WATTS DAMASCO 5X10X115ML</v>
      </c>
      <c r="C390" s="18" t="str">
        <f aca="false">Stock_Seguridad!C390</f>
        <v>JUGOS Y NECTARES</v>
      </c>
      <c r="D390" s="18" t="str">
        <f aca="false">Stock_Seguridad!F390</f>
        <v>BY</v>
      </c>
      <c r="E390" s="19" t="str">
        <f aca="false">Stock_Seguridad!X390</f>
        <v>BAJO SS (XLIB CUBRE)</v>
      </c>
      <c r="F390" s="20" t="n">
        <f aca="false">Stock_Seguridad!W390</f>
        <v>9.90241723100075</v>
      </c>
      <c r="G390" s="21" t="n">
        <f aca="false">Stock_Seguridad!T390</f>
        <v>172.5</v>
      </c>
      <c r="H390" s="21" t="n">
        <f aca="false">Stock_Seguridad!R390</f>
        <v>3577.51377426256</v>
      </c>
      <c r="I390" s="21" t="n">
        <f aca="false">Stock_Seguridad!S390</f>
        <v>5703.91377426256</v>
      </c>
      <c r="J390" s="21" t="n">
        <f aca="false">Stock_Seguridad!U390</f>
        <v>20884</v>
      </c>
      <c r="K390" s="22" t="n">
        <v>46319</v>
      </c>
      <c r="L390" s="23" t="n">
        <v>0</v>
      </c>
      <c r="M390" s="23" t="n">
        <v>172.5</v>
      </c>
      <c r="N390" s="23" t="n">
        <v>0</v>
      </c>
      <c r="O390" s="24" t="n">
        <v>0.00188421627525942</v>
      </c>
      <c r="P390" s="24" t="n">
        <f aca="false">IF(ISNUMBER(Stock_Seguridad!N390),Stock_Seguridad!N390,"")</f>
        <v>0.273972602739726</v>
      </c>
      <c r="Q390" s="24" t="n">
        <f aca="false">IF(AND(ISNUMBER(O390),ISNUMBER(P390)),P390-O390,"")</f>
        <v>0.272088386464467</v>
      </c>
      <c r="R390" s="23" t="n">
        <f aca="false">MAX(0,G390-N(L390))</f>
        <v>172.5</v>
      </c>
      <c r="S390" s="23" t="n">
        <f aca="false">SUMIFS(Cadenas_vs_FCST!$D$17:$D$2437,Cadenas_vs_FCST!$A$17:$A$2437,A390)</f>
        <v>20125</v>
      </c>
      <c r="T390" s="23" t="n">
        <f aca="false">SUMIFS(Cadenas_vs_FCST!$E$17:$E$2437,Cadenas_vs_FCST!$A$17:$A$2437,A390)</f>
        <v>13152.6145833333</v>
      </c>
      <c r="U390" s="24" t="n">
        <f aca="false">IF(T390&gt;0,S390/T390-1,"")</f>
        <v>0.530114022006081</v>
      </c>
      <c r="V390" s="3" t="str">
        <f aca="false">IF(OR(E390="BAJO SS",E390="BAJO SS (XLIB CUBRE)"),"SÍ","")</f>
        <v>SÍ</v>
      </c>
      <c r="W390" s="3" t="str">
        <f aca="false">IF(AND(V390="",N(L390)&gt;=Parametros!$B$17,G390&gt;=H390,R390&lt;H390),"SÍ","")</f>
        <v/>
      </c>
      <c r="X390" s="3" t="str">
        <f aca="false">IF(OR(E390="SOBRE MAX VENDIBLE",N(N390)&gt;=Parametros!$B$17,N(M390)&gt;=Parametros!$B$17),"SÍ","")</f>
        <v/>
      </c>
      <c r="Y390" s="3" t="str">
        <f aca="false">IF(AND(ISNUMBER(U390),MAX(S390,T390)&gt;=Parametros!$B$15,ABS(N(U390))&gt;Parametros!$B$14),"SÍ","")</f>
        <v>SÍ</v>
      </c>
      <c r="Z390" s="3" t="n">
        <f aca="false">COUNTIF(V390:Y390,"SÍ")</f>
        <v>2</v>
      </c>
      <c r="AA390" s="3" t="n">
        <f aca="false">(3*(V390="SÍ")+2*(W390="SÍ")+2*(X390="SÍ")+(Y390="SÍ"))*IF(LEFT(D390,1)="A",3,IF(OR(LEFT(D390,1)="B",D390="SIN HIST"),2,1))</f>
        <v>8</v>
      </c>
      <c r="AB390" s="3" t="str">
        <f aca="false">IF(AA390&gt;=9,"1-ALTA",IF(AA390&gt;=4,"2-MEDIA",IF(AA390&gt;0,"3-BAJA","")))</f>
        <v>2-MEDIA</v>
      </c>
      <c r="AC390" s="3" t="str">
        <f aca="false">IF(E390="BAJO SS","Stock + XLIB bajo el SS: riesgo real de quiebre, adelantar producción. ","")&amp;IF(E390="BAJO SS (XLIB CUBRE)","Disponible bajo el SS; depende de liberar "&amp;TEXT(J390,"#,##0")&amp;" kg"&amp;IF(ISNUMBER(K390)," el "&amp;TEXT(K390,"dd-mm"),"")&amp;". ","")&amp;IF(W390="SÍ","Stock parece sano pero "&amp;TEXT(L390,"#,##0")&amp;" kg no pasan filtro "&amp;Stock_Seguridad!O390&amp;": sin ellos queda bajo el SS para esa cadena. ","")&amp;IF(E390="SOBRE MAX VENDIBLE","Sobrestock vs vida útil: frenar producción/activar venta. ","")&amp;IF(N(N390)&gt;=Parametros!$B$17,TEXT(N390,"#,##0")&amp;" kg ya no los acepta ninguna cadena: venta intermedia/liquidación. ","")&amp;IF(N(M390)&gt;=Parametros!$B$17,TEXT(M390,"#,##0")&amp;" kg a punto de salir del filtro: despachar primero (FEFO). ","")&amp;IF(Y390="SÍ","Pedidos "&amp;IF(N(U390)&gt;0,"sobre","bajo")&amp;" FCST "&amp;TEXT(ABS(N(U390)),"0%")&amp;": revisar forecast con KAM.","")</f>
        <v>Disponible bajo el SS; depende de liberar 20,884 kg el 24-10. Pedidos sobre FCST 53%: revisar forecast con KAM.</v>
      </c>
    </row>
    <row r="391" customFormat="false" ht="15" hidden="false" customHeight="false" outlineLevel="0" collapsed="false">
      <c r="A391" s="18" t="n">
        <f aca="false">Stock_Seguridad!A391</f>
        <v>30000803</v>
      </c>
      <c r="B391" s="18" t="str">
        <f aca="false">Stock_Seguridad!B391</f>
        <v>FRAMBUESA CONVENCIONAL IQF 14X250GR</v>
      </c>
      <c r="C391" s="18" t="str">
        <f aca="false">Stock_Seguridad!C391</f>
        <v>FRUTAS Y HORTALIZAS CONGELADAS</v>
      </c>
      <c r="D391" s="18" t="str">
        <f aca="false">Stock_Seguridad!F391</f>
        <v>SIN HIST</v>
      </c>
      <c r="E391" s="19" t="str">
        <f aca="false">Stock_Seguridad!X391</f>
        <v>OK</v>
      </c>
      <c r="F391" s="20" t="n">
        <f aca="false">Stock_Seguridad!W391</f>
        <v>6.39779606507756</v>
      </c>
      <c r="G391" s="21" t="n">
        <f aca="false">Stock_Seguridad!T391</f>
        <v>13527.5</v>
      </c>
      <c r="H391" s="21" t="n">
        <f aca="false">Stock_Seguridad!R391</f>
        <v>1043.36355264786</v>
      </c>
      <c r="I391" s="21" t="n">
        <f aca="false">Stock_Seguridad!S391</f>
        <v>3157.76355264786</v>
      </c>
      <c r="J391" s="21" t="n">
        <f aca="false">Stock_Seguridad!U391</f>
        <v>0</v>
      </c>
      <c r="K391" s="22"/>
      <c r="L391" s="23" t="n">
        <v>0</v>
      </c>
      <c r="M391" s="23" t="n">
        <v>0</v>
      </c>
      <c r="N391" s="23" t="n">
        <v>0</v>
      </c>
      <c r="O391" s="24" t="n">
        <v>0.0700284605433376</v>
      </c>
      <c r="P391" s="24" t="str">
        <f aca="false">IF(ISNUMBER(Stock_Seguridad!N391),Stock_Seguridad!N391,"")</f>
        <v/>
      </c>
      <c r="Q391" s="24" t="str">
        <f aca="false">IF(AND(ISNUMBER(O391),ISNUMBER(P391)),P391-O391,"")</f>
        <v/>
      </c>
      <c r="R391" s="23" t="n">
        <f aca="false">MAX(0,G391-N(L391))</f>
        <v>13527.5</v>
      </c>
      <c r="S391" s="23" t="n">
        <f aca="false">SUMIFS(Cadenas_vs_FCST!$D$17:$D$2437,Cadenas_vs_FCST!$A$17:$A$2437,A391)</f>
        <v>0</v>
      </c>
      <c r="T391" s="23" t="n">
        <f aca="false">SUMIFS(Cadenas_vs_FCST!$E$17:$E$2437,Cadenas_vs_FCST!$A$17:$A$2437,A391)</f>
        <v>0</v>
      </c>
      <c r="U391" s="24" t="str">
        <f aca="false">IF(T391&gt;0,S391/T391-1,"")</f>
        <v/>
      </c>
      <c r="V391" s="3" t="str">
        <f aca="false">IF(OR(E391="BAJO SS",E391="BAJO SS (XLIB CUBRE)"),"SÍ","")</f>
        <v/>
      </c>
      <c r="W391" s="3" t="str">
        <f aca="false">IF(AND(V391="",N(L391)&gt;=Parametros!$B$17,G391&gt;=H391,R391&lt;H391),"SÍ","")</f>
        <v/>
      </c>
      <c r="X391" s="3" t="str">
        <f aca="false">IF(OR(E391="SOBRE MAX VENDIBLE",N(N391)&gt;=Parametros!$B$17,N(M391)&gt;=Parametros!$B$17),"SÍ","")</f>
        <v/>
      </c>
      <c r="Y391" s="3" t="str">
        <f aca="false">IF(AND(ISNUMBER(U391),MAX(S391,T391)&gt;=Parametros!$B$15,ABS(N(U391))&gt;Parametros!$B$14),"SÍ","")</f>
        <v/>
      </c>
      <c r="Z391" s="3" t="n">
        <f aca="false">COUNTIF(V391:Y391,"SÍ")</f>
        <v>0</v>
      </c>
      <c r="AA391" s="3" t="n">
        <f aca="false">(3*(V391="SÍ")+2*(W391="SÍ")+2*(X391="SÍ")+(Y391="SÍ"))*IF(LEFT(D391,1)="A",3,IF(OR(LEFT(D391,1)="B",D391="SIN HIST"),2,1))</f>
        <v>0</v>
      </c>
      <c r="AB391" s="3" t="str">
        <f aca="false">IF(AA391&gt;=9,"1-ALTA",IF(AA391&gt;=4,"2-MEDIA",IF(AA391&gt;0,"3-BAJA","")))</f>
        <v/>
      </c>
      <c r="AC391" s="3" t="str">
        <f aca="false">IF(E391="BAJO SS","Stock + XLIB bajo el SS: riesgo real de quiebre, adelantar producción. ","")&amp;IF(E391="BAJO SS (XLIB CUBRE)","Disponible bajo el SS; depende de liberar "&amp;TEXT(J391,"#,##0")&amp;" kg"&amp;IF(ISNUMBER(K391)," el "&amp;TEXT(K391,"dd-mm"),"")&amp;". ","")&amp;IF(W391="SÍ","Stock parece sano pero "&amp;TEXT(L391,"#,##0")&amp;" kg no pasan filtro "&amp;Stock_Seguridad!O391&amp;": sin ellos queda bajo el SS para esa cadena. ","")&amp;IF(E391="SOBRE MAX VENDIBLE","Sobrestock vs vida útil: frenar producción/activar venta. ","")&amp;IF(N(N391)&gt;=Parametros!$B$17,TEXT(N391,"#,##0")&amp;" kg ya no los acepta ninguna cadena: venta intermedia/liquidación. ","")&amp;IF(N(M391)&gt;=Parametros!$B$17,TEXT(M391,"#,##0")&amp;" kg a punto de salir del filtro: despachar primero (FEFO). ","")&amp;IF(Y391="SÍ","Pedidos "&amp;IF(N(U391)&gt;0,"sobre","bajo")&amp;" FCST "&amp;TEXT(ABS(N(U391)),"0%")&amp;": revisar forecast con KAM.","")</f>
        <v/>
      </c>
    </row>
    <row r="392" customFormat="false" ht="15" hidden="false" customHeight="false" outlineLevel="0" collapsed="false">
      <c r="A392" s="18" t="n">
        <f aca="false">Stock_Seguridad!A392</f>
        <v>30002167</v>
      </c>
      <c r="B392" s="18" t="str">
        <f aca="false">Stock_Seguridad!B392</f>
        <v>PAPAS PREFRITAS FINAS 7X7 FDM 15X700G</v>
      </c>
      <c r="C392" s="18" t="str">
        <f aca="false">Stock_Seguridad!C392</f>
        <v>PAPAS PREFRITAS</v>
      </c>
      <c r="D392" s="18" t="str">
        <f aca="false">Stock_Seguridad!F392</f>
        <v>SIN HIST</v>
      </c>
      <c r="E392" s="19" t="str">
        <f aca="false">Stock_Seguridad!X392</f>
        <v>OK</v>
      </c>
      <c r="F392" s="20" t="n">
        <f aca="false">Stock_Seguridad!W392</f>
        <v>6.13113279030119</v>
      </c>
      <c r="G392" s="21" t="n">
        <f aca="false">Stock_Seguridad!T392</f>
        <v>12946.5</v>
      </c>
      <c r="H392" s="21" t="n">
        <f aca="false">Stock_Seguridad!R392</f>
        <v>1041.98187560122</v>
      </c>
      <c r="I392" s="21" t="n">
        <f aca="false">Stock_Seguridad!S392</f>
        <v>3153.58187560122</v>
      </c>
      <c r="J392" s="21" t="n">
        <f aca="false">Stock_Seguridad!U392</f>
        <v>0</v>
      </c>
      <c r="K392" s="22"/>
      <c r="L392" s="23" t="n">
        <v>0</v>
      </c>
      <c r="M392" s="23" t="n">
        <v>0</v>
      </c>
      <c r="N392" s="23" t="n">
        <v>0</v>
      </c>
      <c r="O392" s="24" t="n">
        <v>0.27476821192053</v>
      </c>
      <c r="P392" s="24" t="str">
        <f aca="false">IF(ISNUMBER(Stock_Seguridad!N392),Stock_Seguridad!N392,"")</f>
        <v/>
      </c>
      <c r="Q392" s="24" t="str">
        <f aca="false">IF(AND(ISNUMBER(O392),ISNUMBER(P392)),P392-O392,"")</f>
        <v/>
      </c>
      <c r="R392" s="23" t="n">
        <f aca="false">MAX(0,G392-N(L392))</f>
        <v>12946.5</v>
      </c>
      <c r="S392" s="23" t="n">
        <f aca="false">SUMIFS(Cadenas_vs_FCST!$D$17:$D$2437,Cadenas_vs_FCST!$A$17:$A$2437,A392)</f>
        <v>0</v>
      </c>
      <c r="T392" s="23" t="n">
        <f aca="false">SUMIFS(Cadenas_vs_FCST!$E$17:$E$2437,Cadenas_vs_FCST!$A$17:$A$2437,A392)</f>
        <v>0</v>
      </c>
      <c r="U392" s="24" t="str">
        <f aca="false">IF(T392&gt;0,S392/T392-1,"")</f>
        <v/>
      </c>
      <c r="V392" s="3" t="str">
        <f aca="false">IF(OR(E392="BAJO SS",E392="BAJO SS (XLIB CUBRE)"),"SÍ","")</f>
        <v/>
      </c>
      <c r="W392" s="3" t="str">
        <f aca="false">IF(AND(V392="",N(L392)&gt;=Parametros!$B$17,G392&gt;=H392,R392&lt;H392),"SÍ","")</f>
        <v/>
      </c>
      <c r="X392" s="3" t="str">
        <f aca="false">IF(OR(E392="SOBRE MAX VENDIBLE",N(N392)&gt;=Parametros!$B$17,N(M392)&gt;=Parametros!$B$17),"SÍ","")</f>
        <v/>
      </c>
      <c r="Y392" s="3" t="str">
        <f aca="false">IF(AND(ISNUMBER(U392),MAX(S392,T392)&gt;=Parametros!$B$15,ABS(N(U392))&gt;Parametros!$B$14),"SÍ","")</f>
        <v/>
      </c>
      <c r="Z392" s="3" t="n">
        <f aca="false">COUNTIF(V392:Y392,"SÍ")</f>
        <v>0</v>
      </c>
      <c r="AA392" s="3" t="n">
        <f aca="false">(3*(V392="SÍ")+2*(W392="SÍ")+2*(X392="SÍ")+(Y392="SÍ"))*IF(LEFT(D392,1)="A",3,IF(OR(LEFT(D392,1)="B",D392="SIN HIST"),2,1))</f>
        <v>0</v>
      </c>
      <c r="AB392" s="3" t="str">
        <f aca="false">IF(AA392&gt;=9,"1-ALTA",IF(AA392&gt;=4,"2-MEDIA",IF(AA392&gt;0,"3-BAJA","")))</f>
        <v/>
      </c>
      <c r="AC392" s="3" t="str">
        <f aca="false">IF(E392="BAJO SS","Stock + XLIB bajo el SS: riesgo real de quiebre, adelantar producción. ","")&amp;IF(E392="BAJO SS (XLIB CUBRE)","Disponible bajo el SS; depende de liberar "&amp;TEXT(J392,"#,##0")&amp;" kg"&amp;IF(ISNUMBER(K392)," el "&amp;TEXT(K392,"dd-mm"),"")&amp;". ","")&amp;IF(W392="SÍ","Stock parece sano pero "&amp;TEXT(L392,"#,##0")&amp;" kg no pasan filtro "&amp;Stock_Seguridad!O392&amp;": sin ellos queda bajo el SS para esa cadena. ","")&amp;IF(E392="SOBRE MAX VENDIBLE","Sobrestock vs vida útil: frenar producción/activar venta. ","")&amp;IF(N(N392)&gt;=Parametros!$B$17,TEXT(N392,"#,##0")&amp;" kg ya no los acepta ninguna cadena: venta intermedia/liquidación. ","")&amp;IF(N(M392)&gt;=Parametros!$B$17,TEXT(M392,"#,##0")&amp;" kg a punto de salir del filtro: despachar primero (FEFO). ","")&amp;IF(Y392="SÍ","Pedidos "&amp;IF(N(U392)&gt;0,"sobre","bajo")&amp;" FCST "&amp;TEXT(ABS(N(U392)),"0%")&amp;": revisar forecast con KAM.","")</f>
        <v/>
      </c>
    </row>
    <row r="393" customFormat="false" ht="15" hidden="false" customHeight="false" outlineLevel="0" collapsed="false">
      <c r="A393" s="18" t="n">
        <f aca="false">Stock_Seguridad!A393</f>
        <v>30002293</v>
      </c>
      <c r="B393" s="18" t="str">
        <f aca="false">Stock_Seguridad!B393</f>
        <v>MERMELADA WATTS MANGO MARACUYA 24X225GR</v>
      </c>
      <c r="C393" s="18" t="str">
        <f aca="false">Stock_Seguridad!C393</f>
        <v>MERMELADAS</v>
      </c>
      <c r="D393" s="18" t="str">
        <f aca="false">Stock_Seguridad!F393</f>
        <v>BX</v>
      </c>
      <c r="E393" s="19" t="str">
        <f aca="false">Stock_Seguridad!X393</f>
        <v>BAJO SS (XLIB CUBRE)</v>
      </c>
      <c r="F393" s="20" t="n">
        <f aca="false">Stock_Seguridad!W393</f>
        <v>4.26821742226442</v>
      </c>
      <c r="G393" s="21" t="n">
        <f aca="false">Stock_Seguridad!T393</f>
        <v>2856.6</v>
      </c>
      <c r="H393" s="21" t="n">
        <f aca="false">Stock_Seguridad!R393</f>
        <v>3428.72575728655</v>
      </c>
      <c r="I393" s="21" t="n">
        <f aca="false">Stock_Seguridad!S393</f>
        <v>5535.22575728655</v>
      </c>
      <c r="J393" s="21" t="n">
        <f aca="false">Stock_Seguridad!U393</f>
        <v>6134.4</v>
      </c>
      <c r="K393" s="22" t="n">
        <v>46317</v>
      </c>
      <c r="L393" s="23" t="n">
        <v>0</v>
      </c>
      <c r="M393" s="23" t="n">
        <v>0</v>
      </c>
      <c r="N393" s="23" t="n">
        <v>0</v>
      </c>
      <c r="O393" s="24" t="n">
        <v>0.0182822822822823</v>
      </c>
      <c r="P393" s="24" t="str">
        <f aca="false">IF(ISNUMBER(Stock_Seguridad!N393),Stock_Seguridad!N393,"")</f>
        <v/>
      </c>
      <c r="Q393" s="24" t="str">
        <f aca="false">IF(AND(ISNUMBER(O393),ISNUMBER(P393)),P393-O393,"")</f>
        <v/>
      </c>
      <c r="R393" s="23" t="n">
        <f aca="false">MAX(0,G393-N(L393))</f>
        <v>2856.6</v>
      </c>
      <c r="S393" s="23" t="n">
        <f aca="false">SUMIFS(Cadenas_vs_FCST!$D$17:$D$2437,Cadenas_vs_FCST!$A$17:$A$2437,A393)</f>
        <v>13343.4</v>
      </c>
      <c r="T393" s="23" t="n">
        <f aca="false">SUMIFS(Cadenas_vs_FCST!$E$17:$E$2437,Cadenas_vs_FCST!$A$17:$A$2437,A393)</f>
        <v>9481.875</v>
      </c>
      <c r="U393" s="24" t="n">
        <f aca="false">IF(T393&gt;0,S393/T393-1,"")</f>
        <v>0.407253312240459</v>
      </c>
      <c r="V393" s="3" t="str">
        <f aca="false">IF(OR(E393="BAJO SS",E393="BAJO SS (XLIB CUBRE)"),"SÍ","")</f>
        <v>SÍ</v>
      </c>
      <c r="W393" s="3" t="str">
        <f aca="false">IF(AND(V393="",N(L393)&gt;=Parametros!$B$17,G393&gt;=H393,R393&lt;H393),"SÍ","")</f>
        <v/>
      </c>
      <c r="X393" s="3" t="str">
        <f aca="false">IF(OR(E393="SOBRE MAX VENDIBLE",N(N393)&gt;=Parametros!$B$17,N(M393)&gt;=Parametros!$B$17),"SÍ","")</f>
        <v/>
      </c>
      <c r="Y393" s="3" t="str">
        <f aca="false">IF(AND(ISNUMBER(U393),MAX(S393,T393)&gt;=Parametros!$B$15,ABS(N(U393))&gt;Parametros!$B$14),"SÍ","")</f>
        <v>SÍ</v>
      </c>
      <c r="Z393" s="3" t="n">
        <f aca="false">COUNTIF(V393:Y393,"SÍ")</f>
        <v>2</v>
      </c>
      <c r="AA393" s="3" t="n">
        <f aca="false">(3*(V393="SÍ")+2*(W393="SÍ")+2*(X393="SÍ")+(Y393="SÍ"))*IF(LEFT(D393,1)="A",3,IF(OR(LEFT(D393,1)="B",D393="SIN HIST"),2,1))</f>
        <v>8</v>
      </c>
      <c r="AB393" s="3" t="str">
        <f aca="false">IF(AA393&gt;=9,"1-ALTA",IF(AA393&gt;=4,"2-MEDIA",IF(AA393&gt;0,"3-BAJA","")))</f>
        <v>2-MEDIA</v>
      </c>
      <c r="AC393" s="3" t="str">
        <f aca="false">IF(E393="BAJO SS","Stock + XLIB bajo el SS: riesgo real de quiebre, adelantar producción. ","")&amp;IF(E393="BAJO SS (XLIB CUBRE)","Disponible bajo el SS; depende de liberar "&amp;TEXT(J393,"#,##0")&amp;" kg"&amp;IF(ISNUMBER(K393)," el "&amp;TEXT(K393,"dd-mm"),"")&amp;". ","")&amp;IF(W393="SÍ","Stock parece sano pero "&amp;TEXT(L393,"#,##0")&amp;" kg no pasan filtro "&amp;Stock_Seguridad!O393&amp;": sin ellos queda bajo el SS para esa cadena. ","")&amp;IF(E393="SOBRE MAX VENDIBLE","Sobrestock vs vida útil: frenar producción/activar venta. ","")&amp;IF(N(N393)&gt;=Parametros!$B$17,TEXT(N393,"#,##0")&amp;" kg ya no los acepta ninguna cadena: venta intermedia/liquidación. ","")&amp;IF(N(M393)&gt;=Parametros!$B$17,TEXT(M393,"#,##0")&amp;" kg a punto de salir del filtro: despachar primero (FEFO). ","")&amp;IF(Y393="SÍ","Pedidos "&amp;IF(N(U393)&gt;0,"sobre","bajo")&amp;" FCST "&amp;TEXT(ABS(N(U393)),"0%")&amp;": revisar forecast con KAM.","")</f>
        <v>Disponible bajo el SS; depende de liberar 6,134 kg el 22-10. Pedidos sobre FCST 41%: revisar forecast con KAM.</v>
      </c>
    </row>
    <row r="394" customFormat="false" ht="15" hidden="false" customHeight="false" outlineLevel="0" collapsed="false">
      <c r="A394" s="18" t="n">
        <f aca="false">Stock_Seguridad!A394</f>
        <v>30000073</v>
      </c>
      <c r="B394" s="18" t="str">
        <f aca="false">Stock_Seguridad!B394</f>
        <v>MARGARINA PAMPERITA 10X1KG</v>
      </c>
      <c r="C394" s="18" t="str">
        <f aca="false">Stock_Seguridad!C394</f>
        <v>MARGARINAS</v>
      </c>
      <c r="D394" s="18" t="str">
        <f aca="false">Stock_Seguridad!F394</f>
        <v>CX</v>
      </c>
      <c r="E394" s="19" t="str">
        <f aca="false">Stock_Seguridad!X394</f>
        <v>OK</v>
      </c>
      <c r="F394" s="20" t="n">
        <f aca="false">Stock_Seguridad!W394</f>
        <v>3.72857142857143</v>
      </c>
      <c r="G394" s="21" t="n">
        <f aca="false">Stock_Seguridad!T394</f>
        <v>7830</v>
      </c>
      <c r="H394" s="21" t="n">
        <f aca="false">Stock_Seguridad!R394</f>
        <v>494.228412880781</v>
      </c>
      <c r="I394" s="21" t="n">
        <f aca="false">Stock_Seguridad!S394</f>
        <v>2594.22841288078</v>
      </c>
      <c r="J394" s="21" t="n">
        <f aca="false">Stock_Seguridad!U394</f>
        <v>0</v>
      </c>
      <c r="K394" s="22"/>
      <c r="L394" s="23" t="n">
        <v>930</v>
      </c>
      <c r="M394" s="23" t="n">
        <v>3670</v>
      </c>
      <c r="N394" s="23" t="n">
        <v>0</v>
      </c>
      <c r="O394" s="24" t="n">
        <v>0.167820512820513</v>
      </c>
      <c r="P394" s="24" t="n">
        <f aca="false">IF(ISNUMBER(Stock_Seguridad!N394),Stock_Seguridad!N394,"")</f>
        <v>0.217391304347826</v>
      </c>
      <c r="Q394" s="24" t="n">
        <f aca="false">IF(AND(ISNUMBER(O394),ISNUMBER(P394)),P394-O394,"")</f>
        <v>0.0495707915273133</v>
      </c>
      <c r="R394" s="23" t="n">
        <f aca="false">MAX(0,G394-N(L394))</f>
        <v>6900</v>
      </c>
      <c r="S394" s="23" t="n">
        <f aca="false">SUMIFS(Cadenas_vs_FCST!$D$17:$D$2437,Cadenas_vs_FCST!$A$17:$A$2437,A394)</f>
        <v>8330</v>
      </c>
      <c r="T394" s="23" t="n">
        <f aca="false">SUMIFS(Cadenas_vs_FCST!$E$17:$E$2437,Cadenas_vs_FCST!$A$17:$A$2437,A394)</f>
        <v>8925.75065495737</v>
      </c>
      <c r="U394" s="24" t="n">
        <f aca="false">IF(T394&gt;0,S394/T394-1,"")</f>
        <v>-0.0667451599296564</v>
      </c>
      <c r="V394" s="3" t="str">
        <f aca="false">IF(OR(E394="BAJO SS",E394="BAJO SS (XLIB CUBRE)"),"SÍ","")</f>
        <v/>
      </c>
      <c r="W394" s="3" t="str">
        <f aca="false">IF(AND(V394="",N(L394)&gt;=Parametros!$B$17,G394&gt;=H394,R394&lt;H394),"SÍ","")</f>
        <v/>
      </c>
      <c r="X394" s="3" t="str">
        <f aca="false">IF(OR(E394="SOBRE MAX VENDIBLE",N(N394)&gt;=Parametros!$B$17,N(M394)&gt;=Parametros!$B$17),"SÍ","")</f>
        <v>SÍ</v>
      </c>
      <c r="Y394" s="3" t="str">
        <f aca="false">IF(AND(ISNUMBER(U394),MAX(S394,T394)&gt;=Parametros!$B$15,ABS(N(U394))&gt;Parametros!$B$14),"SÍ","")</f>
        <v/>
      </c>
      <c r="Z394" s="3" t="n">
        <f aca="false">COUNTIF(V394:Y394,"SÍ")</f>
        <v>1</v>
      </c>
      <c r="AA394" s="3" t="n">
        <f aca="false">(3*(V394="SÍ")+2*(W394="SÍ")+2*(X394="SÍ")+(Y394="SÍ"))*IF(LEFT(D394,1)="A",3,IF(OR(LEFT(D394,1)="B",D394="SIN HIST"),2,1))</f>
        <v>2</v>
      </c>
      <c r="AB394" s="3" t="str">
        <f aca="false">IF(AA394&gt;=9,"1-ALTA",IF(AA394&gt;=4,"2-MEDIA",IF(AA394&gt;0,"3-BAJA","")))</f>
        <v>3-BAJA</v>
      </c>
      <c r="AC394" s="3" t="str">
        <f aca="false">IF(E394="BAJO SS","Stock + XLIB bajo el SS: riesgo real de quiebre, adelantar producción. ","")&amp;IF(E394="BAJO SS (XLIB CUBRE)","Disponible bajo el SS; depende de liberar "&amp;TEXT(J394,"#,##0")&amp;" kg"&amp;IF(ISNUMBER(K394)," el "&amp;TEXT(K394,"dd-mm"),"")&amp;". ","")&amp;IF(W394="SÍ","Stock parece sano pero "&amp;TEXT(L394,"#,##0")&amp;" kg no pasan filtro "&amp;Stock_Seguridad!O394&amp;": sin ellos queda bajo el SS para esa cadena. ","")&amp;IF(E394="SOBRE MAX VENDIBLE","Sobrestock vs vida útil: frenar producción/activar venta. ","")&amp;IF(N(N394)&gt;=Parametros!$B$17,TEXT(N394,"#,##0")&amp;" kg ya no los acepta ninguna cadena: venta intermedia/liquidación. ","")&amp;IF(N(M394)&gt;=Parametros!$B$17,TEXT(M394,"#,##0")&amp;" kg a punto de salir del filtro: despachar primero (FEFO). ","")&amp;IF(Y394="SÍ","Pedidos "&amp;IF(N(U394)&gt;0,"sobre","bajo")&amp;" FCST "&amp;TEXT(ABS(N(U394)),"0%")&amp;": revisar forecast con KAM.","")</f>
        <v>3,670 kg a punto de salir del filtro: despachar primero (FEFO). </v>
      </c>
    </row>
    <row r="395" customFormat="false" ht="15" hidden="false" customHeight="false" outlineLevel="0" collapsed="false">
      <c r="A395" s="18" t="n">
        <f aca="false">Stock_Seguridad!A395</f>
        <v>30002185</v>
      </c>
      <c r="B395" s="18" t="str">
        <f aca="false">Stock_Seguridad!B395</f>
        <v>REMOJO TRES LECHES LONCOLECHE 12X1LT</v>
      </c>
      <c r="C395" s="18" t="str">
        <f aca="false">Stock_Seguridad!C395</f>
        <v>REMOJO</v>
      </c>
      <c r="D395" s="18" t="str">
        <f aca="false">Stock_Seguridad!F395</f>
        <v>SIN HIST</v>
      </c>
      <c r="E395" s="19" t="str">
        <f aca="false">Stock_Seguridad!X395</f>
        <v>OK</v>
      </c>
      <c r="F395" s="20" t="n">
        <f aca="false">Stock_Seguridad!W395</f>
        <v>5.72193024366937</v>
      </c>
      <c r="G395" s="21" t="n">
        <f aca="false">Stock_Seguridad!T395</f>
        <v>11976</v>
      </c>
      <c r="H395" s="21" t="n">
        <f aca="false">Stock_Seguridad!R395</f>
        <v>1032.80359236283</v>
      </c>
      <c r="I395" s="21" t="n">
        <f aca="false">Stock_Seguridad!S395</f>
        <v>3125.80359236283</v>
      </c>
      <c r="J395" s="21" t="n">
        <f aca="false">Stock_Seguridad!U395</f>
        <v>0</v>
      </c>
      <c r="K395" s="22"/>
      <c r="L395" s="23" t="n">
        <v>0</v>
      </c>
      <c r="M395" s="23" t="n">
        <v>0</v>
      </c>
      <c r="N395" s="23" t="n">
        <v>0</v>
      </c>
      <c r="O395" s="24" t="n">
        <v>0.22</v>
      </c>
      <c r="P395" s="24" t="str">
        <f aca="false">IF(ISNUMBER(Stock_Seguridad!N395),Stock_Seguridad!N395,"")</f>
        <v/>
      </c>
      <c r="Q395" s="24" t="str">
        <f aca="false">IF(AND(ISNUMBER(O395),ISNUMBER(P395)),P395-O395,"")</f>
        <v/>
      </c>
      <c r="R395" s="23" t="n">
        <f aca="false">MAX(0,G395-N(L395))</f>
        <v>11976</v>
      </c>
      <c r="S395" s="23" t="n">
        <f aca="false">SUMIFS(Cadenas_vs_FCST!$D$17:$D$2437,Cadenas_vs_FCST!$A$17:$A$2437,A395)</f>
        <v>0</v>
      </c>
      <c r="T395" s="23" t="n">
        <f aca="false">SUMIFS(Cadenas_vs_FCST!$E$17:$E$2437,Cadenas_vs_FCST!$A$17:$A$2437,A395)</f>
        <v>0</v>
      </c>
      <c r="U395" s="24" t="str">
        <f aca="false">IF(T395&gt;0,S395/T395-1,"")</f>
        <v/>
      </c>
      <c r="V395" s="3" t="str">
        <f aca="false">IF(OR(E395="BAJO SS",E395="BAJO SS (XLIB CUBRE)"),"SÍ","")</f>
        <v/>
      </c>
      <c r="W395" s="3" t="str">
        <f aca="false">IF(AND(V395="",N(L395)&gt;=Parametros!$B$17,G395&gt;=H395,R395&lt;H395),"SÍ","")</f>
        <v/>
      </c>
      <c r="X395" s="3" t="str">
        <f aca="false">IF(OR(E395="SOBRE MAX VENDIBLE",N(N395)&gt;=Parametros!$B$17,N(M395)&gt;=Parametros!$B$17),"SÍ","")</f>
        <v/>
      </c>
      <c r="Y395" s="3" t="str">
        <f aca="false">IF(AND(ISNUMBER(U395),MAX(S395,T395)&gt;=Parametros!$B$15,ABS(N(U395))&gt;Parametros!$B$14),"SÍ","")</f>
        <v/>
      </c>
      <c r="Z395" s="3" t="n">
        <f aca="false">COUNTIF(V395:Y395,"SÍ")</f>
        <v>0</v>
      </c>
      <c r="AA395" s="3" t="n">
        <f aca="false">(3*(V395="SÍ")+2*(W395="SÍ")+2*(X395="SÍ")+(Y395="SÍ"))*IF(LEFT(D395,1)="A",3,IF(OR(LEFT(D395,1)="B",D395="SIN HIST"),2,1))</f>
        <v>0</v>
      </c>
      <c r="AB395" s="3" t="str">
        <f aca="false">IF(AA395&gt;=9,"1-ALTA",IF(AA395&gt;=4,"2-MEDIA",IF(AA395&gt;0,"3-BAJA","")))</f>
        <v/>
      </c>
      <c r="AC395" s="3" t="str">
        <f aca="false">IF(E395="BAJO SS","Stock + XLIB bajo el SS: riesgo real de quiebre, adelantar producción. ","")&amp;IF(E395="BAJO SS (XLIB CUBRE)","Disponible bajo el SS; depende de liberar "&amp;TEXT(J395,"#,##0")&amp;" kg"&amp;IF(ISNUMBER(K395)," el "&amp;TEXT(K395,"dd-mm"),"")&amp;". ","")&amp;IF(W395="SÍ","Stock parece sano pero "&amp;TEXT(L395,"#,##0")&amp;" kg no pasan filtro "&amp;Stock_Seguridad!O395&amp;": sin ellos queda bajo el SS para esa cadena. ","")&amp;IF(E395="SOBRE MAX VENDIBLE","Sobrestock vs vida útil: frenar producción/activar venta. ","")&amp;IF(N(N395)&gt;=Parametros!$B$17,TEXT(N395,"#,##0")&amp;" kg ya no los acepta ninguna cadena: venta intermedia/liquidación. ","")&amp;IF(N(M395)&gt;=Parametros!$B$17,TEXT(M395,"#,##0")&amp;" kg a punto de salir del filtro: despachar primero (FEFO). ","")&amp;IF(Y395="SÍ","Pedidos "&amp;IF(N(U395)&gt;0,"sobre","bajo")&amp;" FCST "&amp;TEXT(ABS(N(U395)),"0%")&amp;": revisar forecast con KAM.","")</f>
        <v/>
      </c>
    </row>
    <row r="396" customFormat="false" ht="15" hidden="false" customHeight="false" outlineLevel="0" collapsed="false">
      <c r="A396" s="18" t="n">
        <f aca="false">Stock_Seguridad!A396</f>
        <v>30000830</v>
      </c>
      <c r="B396" s="18" t="str">
        <f aca="false">Stock_Seguridad!B396</f>
        <v>ESPINACA IQF 4X2KG</v>
      </c>
      <c r="C396" s="18" t="str">
        <f aca="false">Stock_Seguridad!C396</f>
        <v>FRUTAS Y HORTALIZAS CONGELADAS</v>
      </c>
      <c r="D396" s="18" t="str">
        <f aca="false">Stock_Seguridad!F396</f>
        <v>SIN HIST</v>
      </c>
      <c r="E396" s="19" t="str">
        <f aca="false">Stock_Seguridad!X396</f>
        <v>OK</v>
      </c>
      <c r="F396" s="20" t="n">
        <f aca="false">Stock_Seguridad!W396</f>
        <v>10.404204491161</v>
      </c>
      <c r="G396" s="21" t="n">
        <f aca="false">Stock_Seguridad!T396</f>
        <v>21776</v>
      </c>
      <c r="H396" s="21" t="n">
        <f aca="false">Stock_Seguridad!R396</f>
        <v>1032.80359236283</v>
      </c>
      <c r="I396" s="21" t="n">
        <f aca="false">Stock_Seguridad!S396</f>
        <v>3125.80359236283</v>
      </c>
      <c r="J396" s="21" t="n">
        <f aca="false">Stock_Seguridad!U396</f>
        <v>0</v>
      </c>
      <c r="K396" s="22"/>
      <c r="L396" s="23" t="n">
        <v>0</v>
      </c>
      <c r="M396" s="23" t="n">
        <v>0</v>
      </c>
      <c r="N396" s="23" t="n">
        <v>0</v>
      </c>
      <c r="O396" s="24" t="n">
        <v>0.219488243430152</v>
      </c>
      <c r="P396" s="24" t="str">
        <f aca="false">IF(ISNUMBER(Stock_Seguridad!N396),Stock_Seguridad!N396,"")</f>
        <v/>
      </c>
      <c r="Q396" s="24" t="str">
        <f aca="false">IF(AND(ISNUMBER(O396),ISNUMBER(P396)),P396-O396,"")</f>
        <v/>
      </c>
      <c r="R396" s="23" t="n">
        <f aca="false">MAX(0,G396-N(L396))</f>
        <v>21776</v>
      </c>
      <c r="S396" s="23" t="n">
        <f aca="false">SUMIFS(Cadenas_vs_FCST!$D$17:$D$2437,Cadenas_vs_FCST!$A$17:$A$2437,A396)</f>
        <v>0</v>
      </c>
      <c r="T396" s="23" t="n">
        <f aca="false">SUMIFS(Cadenas_vs_FCST!$E$17:$E$2437,Cadenas_vs_FCST!$A$17:$A$2437,A396)</f>
        <v>0</v>
      </c>
      <c r="U396" s="24" t="str">
        <f aca="false">IF(T396&gt;0,S396/T396-1,"")</f>
        <v/>
      </c>
      <c r="V396" s="3" t="str">
        <f aca="false">IF(OR(E396="BAJO SS",E396="BAJO SS (XLIB CUBRE)"),"SÍ","")</f>
        <v/>
      </c>
      <c r="W396" s="3" t="str">
        <f aca="false">IF(AND(V396="",N(L396)&gt;=Parametros!$B$17,G396&gt;=H396,R396&lt;H396),"SÍ","")</f>
        <v/>
      </c>
      <c r="X396" s="3" t="str">
        <f aca="false">IF(OR(E396="SOBRE MAX VENDIBLE",N(N396)&gt;=Parametros!$B$17,N(M396)&gt;=Parametros!$B$17),"SÍ","")</f>
        <v/>
      </c>
      <c r="Y396" s="3" t="str">
        <f aca="false">IF(AND(ISNUMBER(U396),MAX(S396,T396)&gt;=Parametros!$B$15,ABS(N(U396))&gt;Parametros!$B$14),"SÍ","")</f>
        <v/>
      </c>
      <c r="Z396" s="3" t="n">
        <f aca="false">COUNTIF(V396:Y396,"SÍ")</f>
        <v>0</v>
      </c>
      <c r="AA396" s="3" t="n">
        <f aca="false">(3*(V396="SÍ")+2*(W396="SÍ")+2*(X396="SÍ")+(Y396="SÍ"))*IF(LEFT(D396,1)="A",3,IF(OR(LEFT(D396,1)="B",D396="SIN HIST"),2,1))</f>
        <v>0</v>
      </c>
      <c r="AB396" s="3" t="str">
        <f aca="false">IF(AA396&gt;=9,"1-ALTA",IF(AA396&gt;=4,"2-MEDIA",IF(AA396&gt;0,"3-BAJA","")))</f>
        <v/>
      </c>
      <c r="AC396" s="3" t="str">
        <f aca="false">IF(E396="BAJO SS","Stock + XLIB bajo el SS: riesgo real de quiebre, adelantar producción. ","")&amp;IF(E396="BAJO SS (XLIB CUBRE)","Disponible bajo el SS; depende de liberar "&amp;TEXT(J396,"#,##0")&amp;" kg"&amp;IF(ISNUMBER(K396)," el "&amp;TEXT(K396,"dd-mm"),"")&amp;". ","")&amp;IF(W396="SÍ","Stock parece sano pero "&amp;TEXT(L396,"#,##0")&amp;" kg no pasan filtro "&amp;Stock_Seguridad!O396&amp;": sin ellos queda bajo el SS para esa cadena. ","")&amp;IF(E396="SOBRE MAX VENDIBLE","Sobrestock vs vida útil: frenar producción/activar venta. ","")&amp;IF(N(N396)&gt;=Parametros!$B$17,TEXT(N396,"#,##0")&amp;" kg ya no los acepta ninguna cadena: venta intermedia/liquidación. ","")&amp;IF(N(M396)&gt;=Parametros!$B$17,TEXT(M396,"#,##0")&amp;" kg a punto de salir del filtro: despachar primero (FEFO). ","")&amp;IF(Y396="SÍ","Pedidos "&amp;IF(N(U396)&gt;0,"sobre","bajo")&amp;" FCST "&amp;TEXT(ABS(N(U396)),"0%")&amp;": revisar forecast con KAM.","")</f>
        <v/>
      </c>
    </row>
    <row r="397" customFormat="false" ht="15" hidden="false" customHeight="false" outlineLevel="0" collapsed="false">
      <c r="A397" s="18" t="n">
        <f aca="false">Stock_Seguridad!A397</f>
        <v>30000723</v>
      </c>
      <c r="B397" s="18" t="str">
        <f aca="false">Stock_Seguridad!B397</f>
        <v>CHOCLO GRANOS NESTLE</v>
      </c>
      <c r="C397" s="18" t="str">
        <f aca="false">Stock_Seguridad!C397</f>
        <v>FRUTAS Y HORTALIZAS CONGELADAS</v>
      </c>
      <c r="D397" s="18" t="str">
        <f aca="false">Stock_Seguridad!F397</f>
        <v>SIN HIST</v>
      </c>
      <c r="E397" s="19" t="str">
        <f aca="false">Stock_Seguridad!X397</f>
        <v>OK</v>
      </c>
      <c r="F397" s="20" t="n">
        <f aca="false">Stock_Seguridad!W397</f>
        <v>5.16005733397038</v>
      </c>
      <c r="G397" s="21" t="n">
        <f aca="false">Stock_Seguridad!T397</f>
        <v>10800</v>
      </c>
      <c r="H397" s="21" t="n">
        <f aca="false">Stock_Seguridad!R397</f>
        <v>1032.80359236283</v>
      </c>
      <c r="I397" s="21" t="n">
        <f aca="false">Stock_Seguridad!S397</f>
        <v>3125.80359236283</v>
      </c>
      <c r="J397" s="21" t="n">
        <f aca="false">Stock_Seguridad!U397</f>
        <v>0</v>
      </c>
      <c r="K397" s="22"/>
      <c r="L397" s="23" t="n">
        <v>0</v>
      </c>
      <c r="M397" s="23" t="n">
        <v>0</v>
      </c>
      <c r="N397" s="23" t="n">
        <v>0</v>
      </c>
      <c r="O397" s="24" t="n">
        <v>0.0210222222222222</v>
      </c>
      <c r="P397" s="24" t="str">
        <f aca="false">IF(ISNUMBER(Stock_Seguridad!N397),Stock_Seguridad!N397,"")</f>
        <v/>
      </c>
      <c r="Q397" s="24" t="str">
        <f aca="false">IF(AND(ISNUMBER(O397),ISNUMBER(P397)),P397-O397,"")</f>
        <v/>
      </c>
      <c r="R397" s="23" t="n">
        <f aca="false">MAX(0,G397-N(L397))</f>
        <v>10800</v>
      </c>
      <c r="S397" s="23" t="n">
        <f aca="false">SUMIFS(Cadenas_vs_FCST!$D$17:$D$2437,Cadenas_vs_FCST!$A$17:$A$2437,A397)</f>
        <v>0</v>
      </c>
      <c r="T397" s="23" t="n">
        <f aca="false">SUMIFS(Cadenas_vs_FCST!$E$17:$E$2437,Cadenas_vs_FCST!$A$17:$A$2437,A397)</f>
        <v>0</v>
      </c>
      <c r="U397" s="24" t="str">
        <f aca="false">IF(T397&gt;0,S397/T397-1,"")</f>
        <v/>
      </c>
      <c r="V397" s="3" t="str">
        <f aca="false">IF(OR(E397="BAJO SS",E397="BAJO SS (XLIB CUBRE)"),"SÍ","")</f>
        <v/>
      </c>
      <c r="W397" s="3" t="str">
        <f aca="false">IF(AND(V397="",N(L397)&gt;=Parametros!$B$17,G397&gt;=H397,R397&lt;H397),"SÍ","")</f>
        <v/>
      </c>
      <c r="X397" s="3" t="str">
        <f aca="false">IF(OR(E397="SOBRE MAX VENDIBLE",N(N397)&gt;=Parametros!$B$17,N(M397)&gt;=Parametros!$B$17),"SÍ","")</f>
        <v/>
      </c>
      <c r="Y397" s="3" t="str">
        <f aca="false">IF(AND(ISNUMBER(U397),MAX(S397,T397)&gt;=Parametros!$B$15,ABS(N(U397))&gt;Parametros!$B$14),"SÍ","")</f>
        <v/>
      </c>
      <c r="Z397" s="3" t="n">
        <f aca="false">COUNTIF(V397:Y397,"SÍ")</f>
        <v>0</v>
      </c>
      <c r="AA397" s="3" t="n">
        <f aca="false">(3*(V397="SÍ")+2*(W397="SÍ")+2*(X397="SÍ")+(Y397="SÍ"))*IF(LEFT(D397,1)="A",3,IF(OR(LEFT(D397,1)="B",D397="SIN HIST"),2,1))</f>
        <v>0</v>
      </c>
      <c r="AB397" s="3" t="str">
        <f aca="false">IF(AA397&gt;=9,"1-ALTA",IF(AA397&gt;=4,"2-MEDIA",IF(AA397&gt;0,"3-BAJA","")))</f>
        <v/>
      </c>
      <c r="AC397" s="3" t="str">
        <f aca="false">IF(E397="BAJO SS","Stock + XLIB bajo el SS: riesgo real de quiebre, adelantar producción. ","")&amp;IF(E397="BAJO SS (XLIB CUBRE)","Disponible bajo el SS; depende de liberar "&amp;TEXT(J397,"#,##0")&amp;" kg"&amp;IF(ISNUMBER(K397)," el "&amp;TEXT(K397,"dd-mm"),"")&amp;". ","")&amp;IF(W397="SÍ","Stock parece sano pero "&amp;TEXT(L397,"#,##0")&amp;" kg no pasan filtro "&amp;Stock_Seguridad!O397&amp;": sin ellos queda bajo el SS para esa cadena. ","")&amp;IF(E397="SOBRE MAX VENDIBLE","Sobrestock vs vida útil: frenar producción/activar venta. ","")&amp;IF(N(N397)&gt;=Parametros!$B$17,TEXT(N397,"#,##0")&amp;" kg ya no los acepta ninguna cadena: venta intermedia/liquidación. ","")&amp;IF(N(M397)&gt;=Parametros!$B$17,TEXT(M397,"#,##0")&amp;" kg a punto de salir del filtro: despachar primero (FEFO). ","")&amp;IF(Y397="SÍ","Pedidos "&amp;IF(N(U397)&gt;0,"sobre","bajo")&amp;" FCST "&amp;TEXT(ABS(N(U397)),"0%")&amp;": revisar forecast con KAM.","")</f>
        <v/>
      </c>
    </row>
    <row r="398" customFormat="false" ht="15" hidden="false" customHeight="false" outlineLevel="0" collapsed="false">
      <c r="A398" s="18" t="n">
        <f aca="false">Stock_Seguridad!A398</f>
        <v>30002000</v>
      </c>
      <c r="B398" s="18" t="str">
        <f aca="false">Stock_Seguridad!B398</f>
        <v>PREPARADO HELADO FROSTY CALO VLLA 1X10L</v>
      </c>
      <c r="C398" s="18" t="str">
        <f aca="false">Stock_Seguridad!C398</f>
        <v>PREPARADOS DE HELADO</v>
      </c>
      <c r="D398" s="18" t="str">
        <f aca="false">Stock_Seguridad!F398</f>
        <v>SIN HIST</v>
      </c>
      <c r="E398" s="19" t="str">
        <f aca="false">Stock_Seguridad!X398</f>
        <v>OK</v>
      </c>
      <c r="F398" s="20" t="n">
        <f aca="false">Stock_Seguridad!W398</f>
        <v>5.74773053033923</v>
      </c>
      <c r="G398" s="21" t="n">
        <f aca="false">Stock_Seguridad!T398</f>
        <v>12030</v>
      </c>
      <c r="H398" s="21" t="n">
        <f aca="false">Stock_Seguridad!R398</f>
        <v>1032.80359236283</v>
      </c>
      <c r="I398" s="21" t="n">
        <f aca="false">Stock_Seguridad!S398</f>
        <v>3125.80359236283</v>
      </c>
      <c r="J398" s="21" t="n">
        <f aca="false">Stock_Seguridad!U398</f>
        <v>0</v>
      </c>
      <c r="K398" s="22"/>
      <c r="L398" s="23" t="n">
        <v>0</v>
      </c>
      <c r="M398" s="23" t="n">
        <v>0</v>
      </c>
      <c r="N398" s="23" t="n">
        <v>0</v>
      </c>
      <c r="O398" s="24" t="n">
        <v>0.58</v>
      </c>
      <c r="P398" s="24" t="str">
        <f aca="false">IF(ISNUMBER(Stock_Seguridad!N398),Stock_Seguridad!N398,"")</f>
        <v/>
      </c>
      <c r="Q398" s="24" t="str">
        <f aca="false">IF(AND(ISNUMBER(O398),ISNUMBER(P398)),P398-O398,"")</f>
        <v/>
      </c>
      <c r="R398" s="23" t="n">
        <f aca="false">MAX(0,G398-N(L398))</f>
        <v>12030</v>
      </c>
      <c r="S398" s="23" t="n">
        <f aca="false">SUMIFS(Cadenas_vs_FCST!$D$17:$D$2437,Cadenas_vs_FCST!$A$17:$A$2437,A398)</f>
        <v>0</v>
      </c>
      <c r="T398" s="23" t="n">
        <f aca="false">SUMIFS(Cadenas_vs_FCST!$E$17:$E$2437,Cadenas_vs_FCST!$A$17:$A$2437,A398)</f>
        <v>0</v>
      </c>
      <c r="U398" s="24" t="str">
        <f aca="false">IF(T398&gt;0,S398/T398-1,"")</f>
        <v/>
      </c>
      <c r="V398" s="3" t="str">
        <f aca="false">IF(OR(E398="BAJO SS",E398="BAJO SS (XLIB CUBRE)"),"SÍ","")</f>
        <v/>
      </c>
      <c r="W398" s="3" t="str">
        <f aca="false">IF(AND(V398="",N(L398)&gt;=Parametros!$B$17,G398&gt;=H398,R398&lt;H398),"SÍ","")</f>
        <v/>
      </c>
      <c r="X398" s="3" t="str">
        <f aca="false">IF(OR(E398="SOBRE MAX VENDIBLE",N(N398)&gt;=Parametros!$B$17,N(M398)&gt;=Parametros!$B$17),"SÍ","")</f>
        <v/>
      </c>
      <c r="Y398" s="3" t="str">
        <f aca="false">IF(AND(ISNUMBER(U398),MAX(S398,T398)&gt;=Parametros!$B$15,ABS(N(U398))&gt;Parametros!$B$14),"SÍ","")</f>
        <v/>
      </c>
      <c r="Z398" s="3" t="n">
        <f aca="false">COUNTIF(V398:Y398,"SÍ")</f>
        <v>0</v>
      </c>
      <c r="AA398" s="3" t="n">
        <f aca="false">(3*(V398="SÍ")+2*(W398="SÍ")+2*(X398="SÍ")+(Y398="SÍ"))*IF(LEFT(D398,1)="A",3,IF(OR(LEFT(D398,1)="B",D398="SIN HIST"),2,1))</f>
        <v>0</v>
      </c>
      <c r="AB398" s="3" t="str">
        <f aca="false">IF(AA398&gt;=9,"1-ALTA",IF(AA398&gt;=4,"2-MEDIA",IF(AA398&gt;0,"3-BAJA","")))</f>
        <v/>
      </c>
      <c r="AC398" s="3" t="str">
        <f aca="false">IF(E398="BAJO SS","Stock + XLIB bajo el SS: riesgo real de quiebre, adelantar producción. ","")&amp;IF(E398="BAJO SS (XLIB CUBRE)","Disponible bajo el SS; depende de liberar "&amp;TEXT(J398,"#,##0")&amp;" kg"&amp;IF(ISNUMBER(K398)," el "&amp;TEXT(K398,"dd-mm"),"")&amp;". ","")&amp;IF(W398="SÍ","Stock parece sano pero "&amp;TEXT(L398,"#,##0")&amp;" kg no pasan filtro "&amp;Stock_Seguridad!O398&amp;": sin ellos queda bajo el SS para esa cadena. ","")&amp;IF(E398="SOBRE MAX VENDIBLE","Sobrestock vs vida útil: frenar producción/activar venta. ","")&amp;IF(N(N398)&gt;=Parametros!$B$17,TEXT(N398,"#,##0")&amp;" kg ya no los acepta ninguna cadena: venta intermedia/liquidación. ","")&amp;IF(N(M398)&gt;=Parametros!$B$17,TEXT(M398,"#,##0")&amp;" kg a punto de salir del filtro: despachar primero (FEFO). ","")&amp;IF(Y398="SÍ","Pedidos "&amp;IF(N(U398)&gt;0,"sobre","bajo")&amp;" FCST "&amp;TEXT(ABS(N(U398)),"0%")&amp;": revisar forecast con KAM.","")</f>
        <v/>
      </c>
    </row>
    <row r="399" customFormat="false" ht="15" hidden="false" customHeight="false" outlineLevel="0" collapsed="false">
      <c r="A399" s="18" t="n">
        <f aca="false">Stock_Seguridad!A399</f>
        <v>30000880</v>
      </c>
      <c r="B399" s="18" t="str">
        <f aca="false">Stock_Seguridad!B399</f>
        <v>PULPA DE PIÑA S/AZUCAR 10X1KG</v>
      </c>
      <c r="C399" s="18" t="str">
        <f aca="false">Stock_Seguridad!C399</f>
        <v>FRUTAS Y HORTALIZAS CONGELADAS</v>
      </c>
      <c r="D399" s="18" t="str">
        <f aca="false">Stock_Seguridad!F399</f>
        <v>SIN HIST</v>
      </c>
      <c r="E399" s="19" t="str">
        <f aca="false">Stock_Seguridad!X399</f>
        <v>OK</v>
      </c>
      <c r="F399" s="20" t="n">
        <f aca="false">Stock_Seguridad!W399</f>
        <v>6.62685140946011</v>
      </c>
      <c r="G399" s="21" t="n">
        <f aca="false">Stock_Seguridad!T399</f>
        <v>13870</v>
      </c>
      <c r="H399" s="21" t="n">
        <f aca="false">Stock_Seguridad!R399</f>
        <v>1032.80359236283</v>
      </c>
      <c r="I399" s="21" t="n">
        <f aca="false">Stock_Seguridad!S399</f>
        <v>3125.80359236283</v>
      </c>
      <c r="J399" s="21" t="n">
        <f aca="false">Stock_Seguridad!U399</f>
        <v>0</v>
      </c>
      <c r="K399" s="22"/>
      <c r="L399" s="23" t="n">
        <v>0</v>
      </c>
      <c r="M399" s="23" t="n">
        <v>0</v>
      </c>
      <c r="N399" s="23" t="n">
        <v>0</v>
      </c>
      <c r="O399" s="24" t="n">
        <v>0.1356236481615</v>
      </c>
      <c r="P399" s="24" t="str">
        <f aca="false">IF(ISNUMBER(Stock_Seguridad!N399),Stock_Seguridad!N399,"")</f>
        <v/>
      </c>
      <c r="Q399" s="24" t="str">
        <f aca="false">IF(AND(ISNUMBER(O399),ISNUMBER(P399)),P399-O399,"")</f>
        <v/>
      </c>
      <c r="R399" s="23" t="n">
        <f aca="false">MAX(0,G399-N(L399))</f>
        <v>13870</v>
      </c>
      <c r="S399" s="23" t="n">
        <f aca="false">SUMIFS(Cadenas_vs_FCST!$D$17:$D$2437,Cadenas_vs_FCST!$A$17:$A$2437,A399)</f>
        <v>0</v>
      </c>
      <c r="T399" s="23" t="n">
        <f aca="false">SUMIFS(Cadenas_vs_FCST!$E$17:$E$2437,Cadenas_vs_FCST!$A$17:$A$2437,A399)</f>
        <v>0</v>
      </c>
      <c r="U399" s="24" t="str">
        <f aca="false">IF(T399&gt;0,S399/T399-1,"")</f>
        <v/>
      </c>
      <c r="V399" s="3" t="str">
        <f aca="false">IF(OR(E399="BAJO SS",E399="BAJO SS (XLIB CUBRE)"),"SÍ","")</f>
        <v/>
      </c>
      <c r="W399" s="3" t="str">
        <f aca="false">IF(AND(V399="",N(L399)&gt;=Parametros!$B$17,G399&gt;=H399,R399&lt;H399),"SÍ","")</f>
        <v/>
      </c>
      <c r="X399" s="3" t="str">
        <f aca="false">IF(OR(E399="SOBRE MAX VENDIBLE",N(N399)&gt;=Parametros!$B$17,N(M399)&gt;=Parametros!$B$17),"SÍ","")</f>
        <v/>
      </c>
      <c r="Y399" s="3" t="str">
        <f aca="false">IF(AND(ISNUMBER(U399),MAX(S399,T399)&gt;=Parametros!$B$15,ABS(N(U399))&gt;Parametros!$B$14),"SÍ","")</f>
        <v/>
      </c>
      <c r="Z399" s="3" t="n">
        <f aca="false">COUNTIF(V399:Y399,"SÍ")</f>
        <v>0</v>
      </c>
      <c r="AA399" s="3" t="n">
        <f aca="false">(3*(V399="SÍ")+2*(W399="SÍ")+2*(X399="SÍ")+(Y399="SÍ"))*IF(LEFT(D399,1)="A",3,IF(OR(LEFT(D399,1)="B",D399="SIN HIST"),2,1))</f>
        <v>0</v>
      </c>
      <c r="AB399" s="3" t="str">
        <f aca="false">IF(AA399&gt;=9,"1-ALTA",IF(AA399&gt;=4,"2-MEDIA",IF(AA399&gt;0,"3-BAJA","")))</f>
        <v/>
      </c>
      <c r="AC399" s="3" t="str">
        <f aca="false">IF(E399="BAJO SS","Stock + XLIB bajo el SS: riesgo real de quiebre, adelantar producción. ","")&amp;IF(E399="BAJO SS (XLIB CUBRE)","Disponible bajo el SS; depende de liberar "&amp;TEXT(J399,"#,##0")&amp;" kg"&amp;IF(ISNUMBER(K399)," el "&amp;TEXT(K399,"dd-mm"),"")&amp;". ","")&amp;IF(W399="SÍ","Stock parece sano pero "&amp;TEXT(L399,"#,##0")&amp;" kg no pasan filtro "&amp;Stock_Seguridad!O399&amp;": sin ellos queda bajo el SS para esa cadena. ","")&amp;IF(E399="SOBRE MAX VENDIBLE","Sobrestock vs vida útil: frenar producción/activar venta. ","")&amp;IF(N(N399)&gt;=Parametros!$B$17,TEXT(N399,"#,##0")&amp;" kg ya no los acepta ninguna cadena: venta intermedia/liquidación. ","")&amp;IF(N(M399)&gt;=Parametros!$B$17,TEXT(M399,"#,##0")&amp;" kg a punto de salir del filtro: despachar primero (FEFO). ","")&amp;IF(Y399="SÍ","Pedidos "&amp;IF(N(U399)&gt;0,"sobre","bajo")&amp;" FCST "&amp;TEXT(ABS(N(U399)),"0%")&amp;": revisar forecast con KAM.","")</f>
        <v/>
      </c>
    </row>
    <row r="400" customFormat="false" ht="15" hidden="false" customHeight="false" outlineLevel="0" collapsed="false">
      <c r="A400" s="18" t="n">
        <f aca="false">Stock_Seguridad!A400</f>
        <v>30001945</v>
      </c>
      <c r="B400" s="18" t="str">
        <f aca="false">Stock_Seguridad!B400</f>
        <v>NECTAR WATTS SELECCION PIÑA/COCO 6X1,6LT</v>
      </c>
      <c r="C400" s="18" t="str">
        <f aca="false">Stock_Seguridad!C400</f>
        <v>JUGOS Y NECTARES</v>
      </c>
      <c r="D400" s="18" t="str">
        <f aca="false">Stock_Seguridad!F400</f>
        <v>BX</v>
      </c>
      <c r="E400" s="19" t="str">
        <f aca="false">Stock_Seguridad!X400</f>
        <v>OK</v>
      </c>
      <c r="F400" s="20" t="n">
        <f aca="false">Stock_Seguridad!W400</f>
        <v>2.43909099775675</v>
      </c>
      <c r="G400" s="21" t="n">
        <f aca="false">Stock_Seguridad!T400</f>
        <v>5001.6</v>
      </c>
      <c r="H400" s="21" t="n">
        <f aca="false">Stock_Seguridad!R400</f>
        <v>1306.85833441514</v>
      </c>
      <c r="I400" s="21" t="n">
        <f aca="false">Stock_Seguridad!S400</f>
        <v>3357.45833441514</v>
      </c>
      <c r="J400" s="21" t="n">
        <f aca="false">Stock_Seguridad!U400</f>
        <v>0</v>
      </c>
      <c r="K400" s="22"/>
      <c r="L400" s="23" t="n">
        <v>220.8</v>
      </c>
      <c r="M400" s="23" t="n">
        <v>0</v>
      </c>
      <c r="N400" s="23" t="n">
        <v>115.2</v>
      </c>
      <c r="O400" s="24" t="n">
        <v>0.0834548944337812</v>
      </c>
      <c r="P400" s="24" t="n">
        <f aca="false">IF(ISNUMBER(Stock_Seguridad!N400),Stock_Seguridad!N400,"")</f>
        <v>0.222222222222222</v>
      </c>
      <c r="Q400" s="24" t="n">
        <f aca="false">IF(AND(ISNUMBER(O400),ISNUMBER(P400)),P400-O400,"")</f>
        <v>0.138767327788441</v>
      </c>
      <c r="R400" s="23" t="n">
        <f aca="false">MAX(0,G400-N(L400))</f>
        <v>4780.8</v>
      </c>
      <c r="S400" s="23" t="n">
        <f aca="false">SUMIFS(Cadenas_vs_FCST!$D$17:$D$2437,Cadenas_vs_FCST!$A$17:$A$2437,A400)</f>
        <v>10819.2</v>
      </c>
      <c r="T400" s="23" t="n">
        <f aca="false">SUMIFS(Cadenas_vs_FCST!$E$17:$E$2437,Cadenas_vs_FCST!$A$17:$A$2437,A400)</f>
        <v>8052.40836380226</v>
      </c>
      <c r="U400" s="24" t="n">
        <f aca="false">IF(T400&gt;0,S400/T400-1,"")</f>
        <v>0.343598028216654</v>
      </c>
      <c r="V400" s="3" t="str">
        <f aca="false">IF(OR(E400="BAJO SS",E400="BAJO SS (XLIB CUBRE)"),"SÍ","")</f>
        <v/>
      </c>
      <c r="W400" s="3" t="str">
        <f aca="false">IF(AND(V400="",N(L400)&gt;=Parametros!$B$17,G400&gt;=H400,R400&lt;H400),"SÍ","")</f>
        <v/>
      </c>
      <c r="X400" s="3" t="str">
        <f aca="false">IF(OR(E400="SOBRE MAX VENDIBLE",N(N400)&gt;=Parametros!$B$17,N(M400)&gt;=Parametros!$B$17),"SÍ","")</f>
        <v/>
      </c>
      <c r="Y400" s="3" t="str">
        <f aca="false">IF(AND(ISNUMBER(U400),MAX(S400,T400)&gt;=Parametros!$B$15,ABS(N(U400))&gt;Parametros!$B$14),"SÍ","")</f>
        <v>SÍ</v>
      </c>
      <c r="Z400" s="3" t="n">
        <f aca="false">COUNTIF(V400:Y400,"SÍ")</f>
        <v>1</v>
      </c>
      <c r="AA400" s="3" t="n">
        <f aca="false">(3*(V400="SÍ")+2*(W400="SÍ")+2*(X400="SÍ")+(Y400="SÍ"))*IF(LEFT(D400,1)="A",3,IF(OR(LEFT(D400,1)="B",D400="SIN HIST"),2,1))</f>
        <v>2</v>
      </c>
      <c r="AB400" s="3" t="str">
        <f aca="false">IF(AA400&gt;=9,"1-ALTA",IF(AA400&gt;=4,"2-MEDIA",IF(AA400&gt;0,"3-BAJA","")))</f>
        <v>3-BAJA</v>
      </c>
      <c r="AC400" s="3" t="str">
        <f aca="false">IF(E400="BAJO SS","Stock + XLIB bajo el SS: riesgo real de quiebre, adelantar producción. ","")&amp;IF(E400="BAJO SS (XLIB CUBRE)","Disponible bajo el SS; depende de liberar "&amp;TEXT(J400,"#,##0")&amp;" kg"&amp;IF(ISNUMBER(K400)," el "&amp;TEXT(K400,"dd-mm"),"")&amp;". ","")&amp;IF(W400="SÍ","Stock parece sano pero "&amp;TEXT(L400,"#,##0")&amp;" kg no pasan filtro "&amp;Stock_Seguridad!O400&amp;": sin ellos queda bajo el SS para esa cadena. ","")&amp;IF(E400="SOBRE MAX VENDIBLE","Sobrestock vs vida útil: frenar producción/activar venta. ","")&amp;IF(N(N400)&gt;=Parametros!$B$17,TEXT(N400,"#,##0")&amp;" kg ya no los acepta ninguna cadena: venta intermedia/liquidación. ","")&amp;IF(N(M400)&gt;=Parametros!$B$17,TEXT(M400,"#,##0")&amp;" kg a punto de salir del filtro: despachar primero (FEFO). ","")&amp;IF(Y400="SÍ","Pedidos "&amp;IF(N(U400)&gt;0,"sobre","bajo")&amp;" FCST "&amp;TEXT(ABS(N(U400)),"0%")&amp;": revisar forecast con KAM.","")</f>
        <v>Pedidos sobre FCST 34%: revisar forecast con KAM.</v>
      </c>
    </row>
    <row r="401" customFormat="false" ht="15" hidden="false" customHeight="false" outlineLevel="0" collapsed="false">
      <c r="A401" s="18" t="n">
        <f aca="false">Stock_Seguridad!A401</f>
        <v>30000006</v>
      </c>
      <c r="B401" s="18" t="str">
        <f aca="false">Stock_Seguridad!B401</f>
        <v>LECHE UHT MOMENTS MOCA 12X1LT</v>
      </c>
      <c r="C401" s="18" t="str">
        <f aca="false">Stock_Seguridad!C401</f>
        <v>LECHES LIQUIDAS</v>
      </c>
      <c r="D401" s="18" t="str">
        <f aca="false">Stock_Seguridad!F401</f>
        <v>BX</v>
      </c>
      <c r="E401" s="19" t="str">
        <f aca="false">Stock_Seguridad!X401</f>
        <v>SOBRE MAX VENDIBLE</v>
      </c>
      <c r="F401" s="20" t="n">
        <f aca="false">Stock_Seguridad!W401</f>
        <v>13.4465095858335</v>
      </c>
      <c r="G401" s="21" t="n">
        <f aca="false">Stock_Seguridad!T401</f>
        <v>27564</v>
      </c>
      <c r="H401" s="21" t="n">
        <f aca="false">Stock_Seguridad!R401</f>
        <v>3214.47827117753</v>
      </c>
      <c r="I401" s="21" t="n">
        <f aca="false">Stock_Seguridad!S401</f>
        <v>5264.37827117753</v>
      </c>
      <c r="J401" s="21" t="n">
        <f aca="false">Stock_Seguridad!U401</f>
        <v>0</v>
      </c>
      <c r="K401" s="22"/>
      <c r="L401" s="23" t="n">
        <v>3780</v>
      </c>
      <c r="M401" s="23" t="n">
        <v>9708</v>
      </c>
      <c r="N401" s="23" t="n">
        <v>132</v>
      </c>
      <c r="O401" s="24" t="n">
        <v>0.185061028770706</v>
      </c>
      <c r="P401" s="24" t="n">
        <f aca="false">IF(ISNUMBER(Stock_Seguridad!N401),Stock_Seguridad!N401,"")</f>
        <v>0.240641711229947</v>
      </c>
      <c r="Q401" s="24" t="n">
        <f aca="false">IF(AND(ISNUMBER(O401),ISNUMBER(P401)),P401-O401,"")</f>
        <v>0.0555806824592403</v>
      </c>
      <c r="R401" s="23" t="n">
        <f aca="false">MAX(0,G401-N(L401))</f>
        <v>23784</v>
      </c>
      <c r="S401" s="23" t="n">
        <f aca="false">SUMIFS(Cadenas_vs_FCST!$D$17:$D$2437,Cadenas_vs_FCST!$A$17:$A$2437,A401)</f>
        <v>15096</v>
      </c>
      <c r="T401" s="23" t="n">
        <f aca="false">SUMIFS(Cadenas_vs_FCST!$E$17:$E$2437,Cadenas_vs_FCST!$A$17:$A$2437,A401)</f>
        <v>10059.5729418196</v>
      </c>
      <c r="U401" s="24" t="n">
        <f aca="false">IF(T401&gt;0,S401/T401-1,"")</f>
        <v>0.500660126161318</v>
      </c>
      <c r="V401" s="3" t="str">
        <f aca="false">IF(OR(E401="BAJO SS",E401="BAJO SS (XLIB CUBRE)"),"SÍ","")</f>
        <v/>
      </c>
      <c r="W401" s="3" t="str">
        <f aca="false">IF(AND(V401="",N(L401)&gt;=Parametros!$B$17,G401&gt;=H401,R401&lt;H401),"SÍ","")</f>
        <v/>
      </c>
      <c r="X401" s="3" t="str">
        <f aca="false">IF(OR(E401="SOBRE MAX VENDIBLE",N(N401)&gt;=Parametros!$B$17,N(M401)&gt;=Parametros!$B$17),"SÍ","")</f>
        <v>SÍ</v>
      </c>
      <c r="Y401" s="3" t="str">
        <f aca="false">IF(AND(ISNUMBER(U401),MAX(S401,T401)&gt;=Parametros!$B$15,ABS(N(U401))&gt;Parametros!$B$14),"SÍ","")</f>
        <v>SÍ</v>
      </c>
      <c r="Z401" s="3" t="n">
        <f aca="false">COUNTIF(V401:Y401,"SÍ")</f>
        <v>2</v>
      </c>
      <c r="AA401" s="3" t="n">
        <f aca="false">(3*(V401="SÍ")+2*(W401="SÍ")+2*(X401="SÍ")+(Y401="SÍ"))*IF(LEFT(D401,1)="A",3,IF(OR(LEFT(D401,1)="B",D401="SIN HIST"),2,1))</f>
        <v>6</v>
      </c>
      <c r="AB401" s="3" t="str">
        <f aca="false">IF(AA401&gt;=9,"1-ALTA",IF(AA401&gt;=4,"2-MEDIA",IF(AA401&gt;0,"3-BAJA","")))</f>
        <v>2-MEDIA</v>
      </c>
      <c r="AC401" s="3" t="str">
        <f aca="false">IF(E401="BAJO SS","Stock + XLIB bajo el SS: riesgo real de quiebre, adelantar producción. ","")&amp;IF(E401="BAJO SS (XLIB CUBRE)","Disponible bajo el SS; depende de liberar "&amp;TEXT(J401,"#,##0")&amp;" kg"&amp;IF(ISNUMBER(K401)," el "&amp;TEXT(K401,"dd-mm"),"")&amp;". ","")&amp;IF(W401="SÍ","Stock parece sano pero "&amp;TEXT(L401,"#,##0")&amp;" kg no pasan filtro "&amp;Stock_Seguridad!O401&amp;": sin ellos queda bajo el SS para esa cadena. ","")&amp;IF(E401="SOBRE MAX VENDIBLE","Sobrestock vs vida útil: frenar producción/activar venta. ","")&amp;IF(N(N401)&gt;=Parametros!$B$17,TEXT(N401,"#,##0")&amp;" kg ya no los acepta ninguna cadena: venta intermedia/liquidación. ","")&amp;IF(N(M401)&gt;=Parametros!$B$17,TEXT(M401,"#,##0")&amp;" kg a punto de salir del filtro: despachar primero (FEFO). ","")&amp;IF(Y401="SÍ","Pedidos "&amp;IF(N(U401)&gt;0,"sobre","bajo")&amp;" FCST "&amp;TEXT(ABS(N(U401)),"0%")&amp;": revisar forecast con KAM.","")</f>
        <v>Sobrestock vs vida útil: frenar producción/activar venta. 9,708 kg a punto de salir del filtro: despachar primero (FEFO). Pedidos sobre FCST 50%: revisar forecast con KAM.</v>
      </c>
    </row>
    <row r="402" customFormat="false" ht="15" hidden="false" customHeight="false" outlineLevel="0" collapsed="false">
      <c r="A402" s="18" t="n">
        <f aca="false">Stock_Seguridad!A402</f>
        <v>30001698</v>
      </c>
      <c r="B402" s="18" t="str">
        <f aca="false">Stock_Seguridad!B402</f>
        <v>SALSA TOMATES WASIL SACHET 24X180 GRS</v>
      </c>
      <c r="C402" s="18" t="str">
        <f aca="false">Stock_Seguridad!C402</f>
        <v>SALSAS</v>
      </c>
      <c r="D402" s="18" t="str">
        <f aca="false">Stock_Seguridad!F402</f>
        <v>CY</v>
      </c>
      <c r="E402" s="19" t="str">
        <f aca="false">Stock_Seguridad!X402</f>
        <v>OK</v>
      </c>
      <c r="F402" s="20" t="n">
        <f aca="false">Stock_Seguridad!W402</f>
        <v>8.93050382277985</v>
      </c>
      <c r="G402" s="21" t="n">
        <f aca="false">Stock_Seguridad!T402</f>
        <v>18221.8</v>
      </c>
      <c r="H402" s="21" t="n">
        <f aca="false">Stock_Seguridad!R402</f>
        <v>1090.38935693204</v>
      </c>
      <c r="I402" s="21" t="n">
        <f aca="false">Stock_Seguridad!S402</f>
        <v>3130.78935693204</v>
      </c>
      <c r="J402" s="21" t="n">
        <f aca="false">Stock_Seguridad!U402</f>
        <v>0</v>
      </c>
      <c r="K402" s="22"/>
      <c r="L402" s="23" t="n">
        <v>0</v>
      </c>
      <c r="M402" s="23" t="n">
        <v>6670.08</v>
      </c>
      <c r="N402" s="23" t="n">
        <v>0</v>
      </c>
      <c r="O402" s="24" t="n">
        <v>0.078637550439117</v>
      </c>
      <c r="P402" s="24" t="n">
        <f aca="false">IF(ISNUMBER(Stock_Seguridad!N402),Stock_Seguridad!N402,"")</f>
        <v>0.194520547945206</v>
      </c>
      <c r="Q402" s="24" t="n">
        <f aca="false">IF(AND(ISNUMBER(O402),ISNUMBER(P402)),P402-O402,"")</f>
        <v>0.115882997506089</v>
      </c>
      <c r="R402" s="23" t="n">
        <f aca="false">MAX(0,G402-N(L402))</f>
        <v>18221.8</v>
      </c>
      <c r="S402" s="23" t="n">
        <f aca="false">SUMIFS(Cadenas_vs_FCST!$D$17:$D$2437,Cadenas_vs_FCST!$A$17:$A$2437,A402)</f>
        <v>4639.68</v>
      </c>
      <c r="T402" s="23" t="n">
        <f aca="false">SUMIFS(Cadenas_vs_FCST!$E$17:$E$2437,Cadenas_vs_FCST!$A$17:$A$2437,A402)</f>
        <v>7599.28</v>
      </c>
      <c r="U402" s="24" t="n">
        <f aca="false">IF(T402&gt;0,S402/T402-1,"")</f>
        <v>-0.389457948647767</v>
      </c>
      <c r="V402" s="3" t="str">
        <f aca="false">IF(OR(E402="BAJO SS",E402="BAJO SS (XLIB CUBRE)"),"SÍ","")</f>
        <v/>
      </c>
      <c r="W402" s="3" t="str">
        <f aca="false">IF(AND(V402="",N(L402)&gt;=Parametros!$B$17,G402&gt;=H402,R402&lt;H402),"SÍ","")</f>
        <v/>
      </c>
      <c r="X402" s="3" t="str">
        <f aca="false">IF(OR(E402="SOBRE MAX VENDIBLE",N(N402)&gt;=Parametros!$B$17,N(M402)&gt;=Parametros!$B$17),"SÍ","")</f>
        <v>SÍ</v>
      </c>
      <c r="Y402" s="3" t="str">
        <f aca="false">IF(AND(ISNUMBER(U402),MAX(S402,T402)&gt;=Parametros!$B$15,ABS(N(U402))&gt;Parametros!$B$14),"SÍ","")</f>
        <v>SÍ</v>
      </c>
      <c r="Z402" s="3" t="n">
        <f aca="false">COUNTIF(V402:Y402,"SÍ")</f>
        <v>2</v>
      </c>
      <c r="AA402" s="3" t="n">
        <f aca="false">(3*(V402="SÍ")+2*(W402="SÍ")+2*(X402="SÍ")+(Y402="SÍ"))*IF(LEFT(D402,1)="A",3,IF(OR(LEFT(D402,1)="B",D402="SIN HIST"),2,1))</f>
        <v>3</v>
      </c>
      <c r="AB402" s="3" t="str">
        <f aca="false">IF(AA402&gt;=9,"1-ALTA",IF(AA402&gt;=4,"2-MEDIA",IF(AA402&gt;0,"3-BAJA","")))</f>
        <v>3-BAJA</v>
      </c>
      <c r="AC402" s="3" t="str">
        <f aca="false">IF(E402="BAJO SS","Stock + XLIB bajo el SS: riesgo real de quiebre, adelantar producción. ","")&amp;IF(E402="BAJO SS (XLIB CUBRE)","Disponible bajo el SS; depende de liberar "&amp;TEXT(J402,"#,##0")&amp;" kg"&amp;IF(ISNUMBER(K402)," el "&amp;TEXT(K402,"dd-mm"),"")&amp;". ","")&amp;IF(W402="SÍ","Stock parece sano pero "&amp;TEXT(L402,"#,##0")&amp;" kg no pasan filtro "&amp;Stock_Seguridad!O402&amp;": sin ellos queda bajo el SS para esa cadena. ","")&amp;IF(E402="SOBRE MAX VENDIBLE","Sobrestock vs vida útil: frenar producción/activar venta. ","")&amp;IF(N(N402)&gt;=Parametros!$B$17,TEXT(N402,"#,##0")&amp;" kg ya no los acepta ninguna cadena: venta intermedia/liquidación. ","")&amp;IF(N(M402)&gt;=Parametros!$B$17,TEXT(M402,"#,##0")&amp;" kg a punto de salir del filtro: despachar primero (FEFO). ","")&amp;IF(Y402="SÍ","Pedidos "&amp;IF(N(U402)&gt;0,"sobre","bajo")&amp;" FCST "&amp;TEXT(ABS(N(U402)),"0%")&amp;": revisar forecast con KAM.","")</f>
        <v>6,670 kg a punto de salir del filtro: despachar primero (FEFO). Pedidos bajo FCST 39%: revisar forecast con KAM.</v>
      </c>
    </row>
    <row r="403" customFormat="false" ht="15" hidden="false" customHeight="false" outlineLevel="0" collapsed="false">
      <c r="A403" s="18" t="n">
        <f aca="false">Stock_Seguridad!A403</f>
        <v>30000172</v>
      </c>
      <c r="B403" s="18" t="str">
        <f aca="false">Stock_Seguridad!B403</f>
        <v>MERMELADA WATTS S/A BERRIES DOYP 12X350G</v>
      </c>
      <c r="C403" s="18" t="str">
        <f aca="false">Stock_Seguridad!C403</f>
        <v>MERMELADAS</v>
      </c>
      <c r="D403" s="18" t="str">
        <f aca="false">Stock_Seguridad!F403</f>
        <v>CX</v>
      </c>
      <c r="E403" s="19" t="str">
        <f aca="false">Stock_Seguridad!X403</f>
        <v>BAJO SS (XLIB CUBRE)</v>
      </c>
      <c r="F403" s="20" t="n">
        <f aca="false">Stock_Seguridad!W403</f>
        <v>2.04817740273758</v>
      </c>
      <c r="G403" s="21" t="n">
        <f aca="false">Stock_Seguridad!T403</f>
        <v>201.6</v>
      </c>
      <c r="H403" s="21" t="n">
        <f aca="false">Stock_Seguridad!R403</f>
        <v>1176.56600067351</v>
      </c>
      <c r="I403" s="21" t="n">
        <f aca="false">Stock_Seguridad!S403</f>
        <v>3214.86600067351</v>
      </c>
      <c r="J403" s="21" t="n">
        <f aca="false">Stock_Seguridad!U403</f>
        <v>3973.2</v>
      </c>
      <c r="K403" s="22" t="n">
        <v>46317</v>
      </c>
      <c r="L403" s="23" t="n">
        <v>58.8</v>
      </c>
      <c r="M403" s="23" t="n">
        <v>121.8</v>
      </c>
      <c r="N403" s="23" t="n">
        <v>58.8</v>
      </c>
      <c r="O403" s="24" t="n">
        <v>0.019989888776542</v>
      </c>
      <c r="P403" s="24" t="n">
        <f aca="false">IF(ISNUMBER(Stock_Seguridad!N403),Stock_Seguridad!N403,"")</f>
        <v>0.190217391304348</v>
      </c>
      <c r="Q403" s="24" t="n">
        <f aca="false">IF(AND(ISNUMBER(O403),ISNUMBER(P403)),P403-O403,"")</f>
        <v>0.170227502527806</v>
      </c>
      <c r="R403" s="23" t="n">
        <f aca="false">MAX(0,G403-N(L403))</f>
        <v>142.8</v>
      </c>
      <c r="S403" s="23" t="n">
        <f aca="false">SUMIFS(Cadenas_vs_FCST!$D$17:$D$2437,Cadenas_vs_FCST!$A$17:$A$2437,A403)</f>
        <v>9454.2</v>
      </c>
      <c r="T403" s="23" t="n">
        <f aca="false">SUMIFS(Cadenas_vs_FCST!$E$17:$E$2437,Cadenas_vs_FCST!$A$17:$A$2437,A403)</f>
        <v>6311.6</v>
      </c>
      <c r="U403" s="24" t="n">
        <f aca="false">IF(T403&gt;0,S403/T403-1,"")</f>
        <v>0.4979086127131</v>
      </c>
      <c r="V403" s="3" t="str">
        <f aca="false">IF(OR(E403="BAJO SS",E403="BAJO SS (XLIB CUBRE)"),"SÍ","")</f>
        <v>SÍ</v>
      </c>
      <c r="W403" s="3" t="str">
        <f aca="false">IF(AND(V403="",N(L403)&gt;=Parametros!$B$17,G403&gt;=H403,R403&lt;H403),"SÍ","")</f>
        <v/>
      </c>
      <c r="X403" s="3" t="str">
        <f aca="false">IF(OR(E403="SOBRE MAX VENDIBLE",N(N403)&gt;=Parametros!$B$17,N(M403)&gt;=Parametros!$B$17),"SÍ","")</f>
        <v/>
      </c>
      <c r="Y403" s="3" t="str">
        <f aca="false">IF(AND(ISNUMBER(U403),MAX(S403,T403)&gt;=Parametros!$B$15,ABS(N(U403))&gt;Parametros!$B$14),"SÍ","")</f>
        <v>SÍ</v>
      </c>
      <c r="Z403" s="3" t="n">
        <f aca="false">COUNTIF(V403:Y403,"SÍ")</f>
        <v>2</v>
      </c>
      <c r="AA403" s="3" t="n">
        <f aca="false">(3*(V403="SÍ")+2*(W403="SÍ")+2*(X403="SÍ")+(Y403="SÍ"))*IF(LEFT(D403,1)="A",3,IF(OR(LEFT(D403,1)="B",D403="SIN HIST"),2,1))</f>
        <v>4</v>
      </c>
      <c r="AB403" s="3" t="str">
        <f aca="false">IF(AA403&gt;=9,"1-ALTA",IF(AA403&gt;=4,"2-MEDIA",IF(AA403&gt;0,"3-BAJA","")))</f>
        <v>2-MEDIA</v>
      </c>
      <c r="AC403" s="3" t="str">
        <f aca="false">IF(E403="BAJO SS","Stock + XLIB bajo el SS: riesgo real de quiebre, adelantar producción. ","")&amp;IF(E403="BAJO SS (XLIB CUBRE)","Disponible bajo el SS; depende de liberar "&amp;TEXT(J403,"#,##0")&amp;" kg"&amp;IF(ISNUMBER(K403)," el "&amp;TEXT(K403,"dd-mm"),"")&amp;". ","")&amp;IF(W403="SÍ","Stock parece sano pero "&amp;TEXT(L403,"#,##0")&amp;" kg no pasan filtro "&amp;Stock_Seguridad!O403&amp;": sin ellos queda bajo el SS para esa cadena. ","")&amp;IF(E403="SOBRE MAX VENDIBLE","Sobrestock vs vida útil: frenar producción/activar venta. ","")&amp;IF(N(N403)&gt;=Parametros!$B$17,TEXT(N403,"#,##0")&amp;" kg ya no los acepta ninguna cadena: venta intermedia/liquidación. ","")&amp;IF(N(M403)&gt;=Parametros!$B$17,TEXT(M403,"#,##0")&amp;" kg a punto de salir del filtro: despachar primero (FEFO). ","")&amp;IF(Y403="SÍ","Pedidos "&amp;IF(N(U403)&gt;0,"sobre","bajo")&amp;" FCST "&amp;TEXT(ABS(N(U403)),"0%")&amp;": revisar forecast con KAM.","")</f>
        <v>Disponible bajo el SS; depende de liberar 3,973 kg el 22-10. Pedidos sobre FCST 50%: revisar forecast con KAM.</v>
      </c>
    </row>
    <row r="404" customFormat="false" ht="15" hidden="false" customHeight="false" outlineLevel="0" collapsed="false">
      <c r="A404" s="18" t="n">
        <f aca="false">Stock_Seguridad!A404</f>
        <v>30000777</v>
      </c>
      <c r="B404" s="18" t="str">
        <f aca="false">Stock_Seguridad!B404</f>
        <v>CHOCLO TROZO FM 6X2KG</v>
      </c>
      <c r="C404" s="18" t="str">
        <f aca="false">Stock_Seguridad!C404</f>
        <v>FRUTAS Y HORTALIZAS CONGELADAS</v>
      </c>
      <c r="D404" s="18" t="str">
        <f aca="false">Stock_Seguridad!F404</f>
        <v>SIN HIST</v>
      </c>
      <c r="E404" s="19" t="str">
        <f aca="false">Stock_Seguridad!X404</f>
        <v>OK</v>
      </c>
      <c r="F404" s="20" t="n">
        <f aca="false">Stock_Seguridad!W404</f>
        <v>4.29414077860794</v>
      </c>
      <c r="G404" s="21" t="n">
        <f aca="false">Stock_Seguridad!T404</f>
        <v>8736</v>
      </c>
      <c r="H404" s="21" t="n">
        <f aca="false">Stock_Seguridad!R404</f>
        <v>1003.88706560102</v>
      </c>
      <c r="I404" s="21" t="n">
        <f aca="false">Stock_Seguridad!S404</f>
        <v>3038.28706560102</v>
      </c>
      <c r="J404" s="21" t="n">
        <f aca="false">Stock_Seguridad!U404</f>
        <v>0</v>
      </c>
      <c r="K404" s="22"/>
      <c r="L404" s="23" t="n">
        <v>0</v>
      </c>
      <c r="M404" s="23" t="n">
        <v>0</v>
      </c>
      <c r="N404" s="23" t="n">
        <v>0</v>
      </c>
      <c r="O404" s="24" t="n">
        <v>0.02</v>
      </c>
      <c r="P404" s="24" t="str">
        <f aca="false">IF(ISNUMBER(Stock_Seguridad!N404),Stock_Seguridad!N404,"")</f>
        <v/>
      </c>
      <c r="Q404" s="24" t="str">
        <f aca="false">IF(AND(ISNUMBER(O404),ISNUMBER(P404)),P404-O404,"")</f>
        <v/>
      </c>
      <c r="R404" s="23" t="n">
        <f aca="false">MAX(0,G404-N(L404))</f>
        <v>8736</v>
      </c>
      <c r="S404" s="23" t="n">
        <f aca="false">SUMIFS(Cadenas_vs_FCST!$D$17:$D$2437,Cadenas_vs_FCST!$A$17:$A$2437,A404)</f>
        <v>0</v>
      </c>
      <c r="T404" s="23" t="n">
        <f aca="false">SUMIFS(Cadenas_vs_FCST!$E$17:$E$2437,Cadenas_vs_FCST!$A$17:$A$2437,A404)</f>
        <v>0</v>
      </c>
      <c r="U404" s="24" t="str">
        <f aca="false">IF(T404&gt;0,S404/T404-1,"")</f>
        <v/>
      </c>
      <c r="V404" s="3" t="str">
        <f aca="false">IF(OR(E404="BAJO SS",E404="BAJO SS (XLIB CUBRE)"),"SÍ","")</f>
        <v/>
      </c>
      <c r="W404" s="3" t="str">
        <f aca="false">IF(AND(V404="",N(L404)&gt;=Parametros!$B$17,G404&gt;=H404,R404&lt;H404),"SÍ","")</f>
        <v/>
      </c>
      <c r="X404" s="3" t="str">
        <f aca="false">IF(OR(E404="SOBRE MAX VENDIBLE",N(N404)&gt;=Parametros!$B$17,N(M404)&gt;=Parametros!$B$17),"SÍ","")</f>
        <v/>
      </c>
      <c r="Y404" s="3" t="str">
        <f aca="false">IF(AND(ISNUMBER(U404),MAX(S404,T404)&gt;=Parametros!$B$15,ABS(N(U404))&gt;Parametros!$B$14),"SÍ","")</f>
        <v/>
      </c>
      <c r="Z404" s="3" t="n">
        <f aca="false">COUNTIF(V404:Y404,"SÍ")</f>
        <v>0</v>
      </c>
      <c r="AA404" s="3" t="n">
        <f aca="false">(3*(V404="SÍ")+2*(W404="SÍ")+2*(X404="SÍ")+(Y404="SÍ"))*IF(LEFT(D404,1)="A",3,IF(OR(LEFT(D404,1)="B",D404="SIN HIST"),2,1))</f>
        <v>0</v>
      </c>
      <c r="AB404" s="3" t="str">
        <f aca="false">IF(AA404&gt;=9,"1-ALTA",IF(AA404&gt;=4,"2-MEDIA",IF(AA404&gt;0,"3-BAJA","")))</f>
        <v/>
      </c>
      <c r="AC404" s="3" t="str">
        <f aca="false">IF(E404="BAJO SS","Stock + XLIB bajo el SS: riesgo real de quiebre, adelantar producción. ","")&amp;IF(E404="BAJO SS (XLIB CUBRE)","Disponible bajo el SS; depende de liberar "&amp;TEXT(J404,"#,##0")&amp;" kg"&amp;IF(ISNUMBER(K404)," el "&amp;TEXT(K404,"dd-mm"),"")&amp;". ","")&amp;IF(W404="SÍ","Stock parece sano pero "&amp;TEXT(L404,"#,##0")&amp;" kg no pasan filtro "&amp;Stock_Seguridad!O404&amp;": sin ellos queda bajo el SS para esa cadena. ","")&amp;IF(E404="SOBRE MAX VENDIBLE","Sobrestock vs vida útil: frenar producción/activar venta. ","")&amp;IF(N(N404)&gt;=Parametros!$B$17,TEXT(N404,"#,##0")&amp;" kg ya no los acepta ninguna cadena: venta intermedia/liquidación. ","")&amp;IF(N(M404)&gt;=Parametros!$B$17,TEXT(M404,"#,##0")&amp;" kg a punto de salir del filtro: despachar primero (FEFO). ","")&amp;IF(Y404="SÍ","Pedidos "&amp;IF(N(U404)&gt;0,"sobre","bajo")&amp;" FCST "&amp;TEXT(ABS(N(U404)),"0%")&amp;": revisar forecast con KAM.","")</f>
        <v/>
      </c>
    </row>
    <row r="405" customFormat="false" ht="15" hidden="false" customHeight="false" outlineLevel="0" collapsed="false">
      <c r="A405" s="18" t="n">
        <f aca="false">Stock_Seguridad!A405</f>
        <v>30000490</v>
      </c>
      <c r="B405" s="18" t="str">
        <f aca="false">Stock_Seguridad!B405</f>
        <v>YOGURT LONCO S/LAC VLLA BOLSA 12X900GR</v>
      </c>
      <c r="C405" s="18" t="str">
        <f aca="false">Stock_Seguridad!C405</f>
        <v>YOGURT</v>
      </c>
      <c r="D405" s="18" t="str">
        <f aca="false">Stock_Seguridad!F405</f>
        <v>BX</v>
      </c>
      <c r="E405" s="19" t="str">
        <f aca="false">Stock_Seguridad!X405</f>
        <v>BAJO SS (XLIB CUBRE)</v>
      </c>
      <c r="F405" s="20" t="n">
        <f aca="false">Stock_Seguridad!W405</f>
        <v>1.77329376854599</v>
      </c>
      <c r="G405" s="21" t="n">
        <f aca="false">Stock_Seguridad!T405</f>
        <v>626.4</v>
      </c>
      <c r="H405" s="21" t="n">
        <f aca="false">Stock_Seguridad!R405</f>
        <v>1637.55072463481</v>
      </c>
      <c r="I405" s="21" t="n">
        <f aca="false">Stock_Seguridad!S405</f>
        <v>3659.55072463481</v>
      </c>
      <c r="J405" s="21" t="n">
        <f aca="false">Stock_Seguridad!U405</f>
        <v>2959.2</v>
      </c>
      <c r="K405" s="22" t="n">
        <v>46318</v>
      </c>
      <c r="L405" s="23" t="n">
        <v>313.2</v>
      </c>
      <c r="M405" s="23" t="n">
        <v>0</v>
      </c>
      <c r="N405" s="23" t="n">
        <v>183.6</v>
      </c>
      <c r="O405" s="24" t="n">
        <v>0.0466969696969697</v>
      </c>
      <c r="P405" s="24" t="n">
        <f aca="false">IF(ISNUMBER(Stock_Seguridad!N405),Stock_Seguridad!N405,"")</f>
        <v>0.295774647887324</v>
      </c>
      <c r="Q405" s="24" t="n">
        <f aca="false">IF(AND(ISNUMBER(O405),ISNUMBER(P405)),P405-O405,"")</f>
        <v>0.249077678190354</v>
      </c>
      <c r="R405" s="23" t="n">
        <f aca="false">MAX(0,G405-N(L405))</f>
        <v>313.2</v>
      </c>
      <c r="S405" s="23" t="n">
        <f aca="false">SUMIFS(Cadenas_vs_FCST!$D$17:$D$2437,Cadenas_vs_FCST!$A$17:$A$2437,A405)</f>
        <v>15714</v>
      </c>
      <c r="T405" s="23" t="n">
        <f aca="false">SUMIFS(Cadenas_vs_FCST!$E$17:$E$2437,Cadenas_vs_FCST!$A$17:$A$2437,A405)</f>
        <v>12156.6998082837</v>
      </c>
      <c r="U405" s="24" t="n">
        <f aca="false">IF(T405&gt;0,S405/T405-1,"")</f>
        <v>0.292620550627759</v>
      </c>
      <c r="V405" s="3" t="str">
        <f aca="false">IF(OR(E405="BAJO SS",E405="BAJO SS (XLIB CUBRE)"),"SÍ","")</f>
        <v>SÍ</v>
      </c>
      <c r="W405" s="3" t="str">
        <f aca="false">IF(AND(V405="",N(L405)&gt;=Parametros!$B$17,G405&gt;=H405,R405&lt;H405),"SÍ","")</f>
        <v/>
      </c>
      <c r="X405" s="3" t="str">
        <f aca="false">IF(OR(E405="SOBRE MAX VENDIBLE",N(N405)&gt;=Parametros!$B$17,N(M405)&gt;=Parametros!$B$17),"SÍ","")</f>
        <v/>
      </c>
      <c r="Y405" s="3" t="str">
        <f aca="false">IF(AND(ISNUMBER(U405),MAX(S405,T405)&gt;=Parametros!$B$15,ABS(N(U405))&gt;Parametros!$B$14),"SÍ","")</f>
        <v>SÍ</v>
      </c>
      <c r="Z405" s="3" t="n">
        <f aca="false">COUNTIF(V405:Y405,"SÍ")</f>
        <v>2</v>
      </c>
      <c r="AA405" s="3" t="n">
        <f aca="false">(3*(V405="SÍ")+2*(W405="SÍ")+2*(X405="SÍ")+(Y405="SÍ"))*IF(LEFT(D405,1)="A",3,IF(OR(LEFT(D405,1)="B",D405="SIN HIST"),2,1))</f>
        <v>8</v>
      </c>
      <c r="AB405" s="3" t="str">
        <f aca="false">IF(AA405&gt;=9,"1-ALTA",IF(AA405&gt;=4,"2-MEDIA",IF(AA405&gt;0,"3-BAJA","")))</f>
        <v>2-MEDIA</v>
      </c>
      <c r="AC405" s="3" t="str">
        <f aca="false">IF(E405="BAJO SS","Stock + XLIB bajo el SS: riesgo real de quiebre, adelantar producción. ","")&amp;IF(E405="BAJO SS (XLIB CUBRE)","Disponible bajo el SS; depende de liberar "&amp;TEXT(J405,"#,##0")&amp;" kg"&amp;IF(ISNUMBER(K405)," el "&amp;TEXT(K405,"dd-mm"),"")&amp;". ","")&amp;IF(W405="SÍ","Stock parece sano pero "&amp;TEXT(L405,"#,##0")&amp;" kg no pasan filtro "&amp;Stock_Seguridad!O405&amp;": sin ellos queda bajo el SS para esa cadena. ","")&amp;IF(E405="SOBRE MAX VENDIBLE","Sobrestock vs vida útil: frenar producción/activar venta. ","")&amp;IF(N(N405)&gt;=Parametros!$B$17,TEXT(N405,"#,##0")&amp;" kg ya no los acepta ninguna cadena: venta intermedia/liquidación. ","")&amp;IF(N(M405)&gt;=Parametros!$B$17,TEXT(M405,"#,##0")&amp;" kg a punto de salir del filtro: despachar primero (FEFO). ","")&amp;IF(Y405="SÍ","Pedidos "&amp;IF(N(U405)&gt;0,"sobre","bajo")&amp;" FCST "&amp;TEXT(ABS(N(U405)),"0%")&amp;": revisar forecast con KAM.","")</f>
        <v>Disponible bajo el SS; depende de liberar 2,959 kg el 23-10. Pedidos sobre FCST 29%: revisar forecast con KAM.</v>
      </c>
    </row>
    <row r="406" customFormat="false" ht="15" hidden="false" customHeight="false" outlineLevel="0" collapsed="false">
      <c r="A406" s="18" t="n">
        <f aca="false">Stock_Seguridad!A406</f>
        <v>30002273</v>
      </c>
      <c r="B406" s="18" t="str">
        <f aca="false">Stock_Seguridad!B406</f>
        <v>LECHE POLVO CALO CRECER 1+ 10X720GR</v>
      </c>
      <c r="C406" s="18" t="str">
        <f aca="false">Stock_Seguridad!C406</f>
        <v>LECHES EN POLVO</v>
      </c>
      <c r="D406" s="18" t="str">
        <f aca="false">Stock_Seguridad!F406</f>
        <v>CY</v>
      </c>
      <c r="E406" s="19" t="str">
        <f aca="false">Stock_Seguridad!X406</f>
        <v>OK</v>
      </c>
      <c r="F406" s="20" t="n">
        <f aca="false">Stock_Seguridad!W406</f>
        <v>4.12686418771128</v>
      </c>
      <c r="G406" s="21" t="n">
        <f aca="false">Stock_Seguridad!T406</f>
        <v>8301.6</v>
      </c>
      <c r="H406" s="21" t="n">
        <f aca="false">Stock_Seguridad!R406</f>
        <v>1567.0038933628</v>
      </c>
      <c r="I406" s="21" t="n">
        <f aca="false">Stock_Seguridad!S406</f>
        <v>3578.6038933628</v>
      </c>
      <c r="J406" s="21" t="n">
        <f aca="false">Stock_Seguridad!U406</f>
        <v>0</v>
      </c>
      <c r="K406" s="22"/>
      <c r="L406" s="23" t="n">
        <v>0</v>
      </c>
      <c r="M406" s="23" t="n">
        <v>0</v>
      </c>
      <c r="N406" s="23" t="n">
        <v>0</v>
      </c>
      <c r="O406" s="24" t="n">
        <v>0.0465654813529922</v>
      </c>
      <c r="P406" s="24" t="str">
        <f aca="false">IF(ISNUMBER(Stock_Seguridad!N406),Stock_Seguridad!N406,"")</f>
        <v/>
      </c>
      <c r="Q406" s="24" t="str">
        <f aca="false">IF(AND(ISNUMBER(O406),ISNUMBER(P406)),P406-O406,"")</f>
        <v/>
      </c>
      <c r="R406" s="23" t="n">
        <f aca="false">MAX(0,G406-N(L406))</f>
        <v>8301.6</v>
      </c>
      <c r="S406" s="23" t="n">
        <f aca="false">SUMIFS(Cadenas_vs_FCST!$D$17:$D$2437,Cadenas_vs_FCST!$A$17:$A$2437,A406)</f>
        <v>5940</v>
      </c>
      <c r="T406" s="23" t="n">
        <f aca="false">SUMIFS(Cadenas_vs_FCST!$E$17:$E$2437,Cadenas_vs_FCST!$A$17:$A$2437,A406)</f>
        <v>8090.93843496106</v>
      </c>
      <c r="U406" s="24" t="n">
        <f aca="false">IF(T406&gt;0,S406/T406-1,"")</f>
        <v>-0.265845359256081</v>
      </c>
      <c r="V406" s="3" t="str">
        <f aca="false">IF(OR(E406="BAJO SS",E406="BAJO SS (XLIB CUBRE)"),"SÍ","")</f>
        <v/>
      </c>
      <c r="W406" s="3" t="str">
        <f aca="false">IF(AND(V406="",N(L406)&gt;=Parametros!$B$17,G406&gt;=H406,R406&lt;H406),"SÍ","")</f>
        <v/>
      </c>
      <c r="X406" s="3" t="str">
        <f aca="false">IF(OR(E406="SOBRE MAX VENDIBLE",N(N406)&gt;=Parametros!$B$17,N(M406)&gt;=Parametros!$B$17),"SÍ","")</f>
        <v/>
      </c>
      <c r="Y406" s="3" t="str">
        <f aca="false">IF(AND(ISNUMBER(U406),MAX(S406,T406)&gt;=Parametros!$B$15,ABS(N(U406))&gt;Parametros!$B$14),"SÍ","")</f>
        <v>SÍ</v>
      </c>
      <c r="Z406" s="3" t="n">
        <f aca="false">COUNTIF(V406:Y406,"SÍ")</f>
        <v>1</v>
      </c>
      <c r="AA406" s="3" t="n">
        <f aca="false">(3*(V406="SÍ")+2*(W406="SÍ")+2*(X406="SÍ")+(Y406="SÍ"))*IF(LEFT(D406,1)="A",3,IF(OR(LEFT(D406,1)="B",D406="SIN HIST"),2,1))</f>
        <v>1</v>
      </c>
      <c r="AB406" s="3" t="str">
        <f aca="false">IF(AA406&gt;=9,"1-ALTA",IF(AA406&gt;=4,"2-MEDIA",IF(AA406&gt;0,"3-BAJA","")))</f>
        <v>3-BAJA</v>
      </c>
      <c r="AC406" s="3" t="str">
        <f aca="false">IF(E406="BAJO SS","Stock + XLIB bajo el SS: riesgo real de quiebre, adelantar producción. ","")&amp;IF(E406="BAJO SS (XLIB CUBRE)","Disponible bajo el SS; depende de liberar "&amp;TEXT(J406,"#,##0")&amp;" kg"&amp;IF(ISNUMBER(K406)," el "&amp;TEXT(K406,"dd-mm"),"")&amp;". ","")&amp;IF(W406="SÍ","Stock parece sano pero "&amp;TEXT(L406,"#,##0")&amp;" kg no pasan filtro "&amp;Stock_Seguridad!O406&amp;": sin ellos queda bajo el SS para esa cadena. ","")&amp;IF(E406="SOBRE MAX VENDIBLE","Sobrestock vs vida útil: frenar producción/activar venta. ","")&amp;IF(N(N406)&gt;=Parametros!$B$17,TEXT(N406,"#,##0")&amp;" kg ya no los acepta ninguna cadena: venta intermedia/liquidación. ","")&amp;IF(N(M406)&gt;=Parametros!$B$17,TEXT(M406,"#,##0")&amp;" kg a punto de salir del filtro: despachar primero (FEFO). ","")&amp;IF(Y406="SÍ","Pedidos "&amp;IF(N(U406)&gt;0,"sobre","bajo")&amp;" FCST "&amp;TEXT(ABS(N(U406)),"0%")&amp;": revisar forecast con KAM.","")</f>
        <v>Pedidos bajo FCST 27%: revisar forecast con KAM.</v>
      </c>
    </row>
    <row r="407" customFormat="false" ht="15" hidden="false" customHeight="false" outlineLevel="0" collapsed="false">
      <c r="A407" s="18" t="n">
        <f aca="false">Stock_Seguridad!A407</f>
        <v>30001816</v>
      </c>
      <c r="B407" s="18" t="str">
        <f aca="false">Stock_Seguridad!B407</f>
        <v>YOGURT CALAN PACK 6X8X90GR</v>
      </c>
      <c r="C407" s="18" t="str">
        <f aca="false">Stock_Seguridad!C407</f>
        <v>YOGURT</v>
      </c>
      <c r="D407" s="18" t="str">
        <f aca="false">Stock_Seguridad!F407</f>
        <v>BX</v>
      </c>
      <c r="E407" s="19" t="str">
        <f aca="false">Stock_Seguridad!X407</f>
        <v>BAJO SS</v>
      </c>
      <c r="F407" s="20" t="n">
        <f aca="false">Stock_Seguridad!W407</f>
        <v>0.94825</v>
      </c>
      <c r="G407" s="21" t="n">
        <f aca="false">Stock_Seguridad!T407</f>
        <v>1896.5</v>
      </c>
      <c r="H407" s="21" t="n">
        <f aca="false">Stock_Seguridad!R407</f>
        <v>2627.73219262181</v>
      </c>
      <c r="I407" s="21" t="n">
        <f aca="false">Stock_Seguridad!S407</f>
        <v>4627.73219262181</v>
      </c>
      <c r="J407" s="21" t="n">
        <f aca="false">Stock_Seguridad!U407</f>
        <v>0</v>
      </c>
      <c r="K407" s="22"/>
      <c r="L407" s="23" t="n">
        <v>0</v>
      </c>
      <c r="M407" s="23" t="n">
        <v>0</v>
      </c>
      <c r="N407" s="23" t="n">
        <v>0</v>
      </c>
      <c r="O407" s="24" t="n">
        <v>0.13</v>
      </c>
      <c r="P407" s="24" t="n">
        <f aca="false">IF(ISNUMBER(Stock_Seguridad!N407),Stock_Seguridad!N407,"")</f>
        <v>0.290322580645161</v>
      </c>
      <c r="Q407" s="24" t="n">
        <f aca="false">IF(AND(ISNUMBER(O407),ISNUMBER(P407)),P407-O407,"")</f>
        <v>0.160322580645161</v>
      </c>
      <c r="R407" s="23" t="n">
        <f aca="false">MAX(0,G407-N(L407))</f>
        <v>1896.5</v>
      </c>
      <c r="S407" s="23" t="n">
        <f aca="false">SUMIFS(Cadenas_vs_FCST!$D$17:$D$2437,Cadenas_vs_FCST!$A$17:$A$2437,A407)</f>
        <v>11357.28</v>
      </c>
      <c r="T407" s="23" t="n">
        <f aca="false">SUMIFS(Cadenas_vs_FCST!$E$17:$E$2437,Cadenas_vs_FCST!$A$17:$A$2437,A407)</f>
        <v>6071.03284118986</v>
      </c>
      <c r="U407" s="24" t="n">
        <f aca="false">IF(T407&gt;0,S407/T407-1,"")</f>
        <v>0.870732756203323</v>
      </c>
      <c r="V407" s="3" t="str">
        <f aca="false">IF(OR(E407="BAJO SS",E407="BAJO SS (XLIB CUBRE)"),"SÍ","")</f>
        <v>SÍ</v>
      </c>
      <c r="W407" s="3" t="str">
        <f aca="false">IF(AND(V407="",N(L407)&gt;=Parametros!$B$17,G407&gt;=H407,R407&lt;H407),"SÍ","")</f>
        <v/>
      </c>
      <c r="X407" s="3" t="str">
        <f aca="false">IF(OR(E407="SOBRE MAX VENDIBLE",N(N407)&gt;=Parametros!$B$17,N(M407)&gt;=Parametros!$B$17),"SÍ","")</f>
        <v/>
      </c>
      <c r="Y407" s="3" t="str">
        <f aca="false">IF(AND(ISNUMBER(U407),MAX(S407,T407)&gt;=Parametros!$B$15,ABS(N(U407))&gt;Parametros!$B$14),"SÍ","")</f>
        <v>SÍ</v>
      </c>
      <c r="Z407" s="3" t="n">
        <f aca="false">COUNTIF(V407:Y407,"SÍ")</f>
        <v>2</v>
      </c>
      <c r="AA407" s="3" t="n">
        <f aca="false">(3*(V407="SÍ")+2*(W407="SÍ")+2*(X407="SÍ")+(Y407="SÍ"))*IF(LEFT(D407,1)="A",3,IF(OR(LEFT(D407,1)="B",D407="SIN HIST"),2,1))</f>
        <v>8</v>
      </c>
      <c r="AB407" s="3" t="str">
        <f aca="false">IF(AA407&gt;=9,"1-ALTA",IF(AA407&gt;=4,"2-MEDIA",IF(AA407&gt;0,"3-BAJA","")))</f>
        <v>2-MEDIA</v>
      </c>
      <c r="AC407" s="3" t="str">
        <f aca="false">IF(E407="BAJO SS","Stock + XLIB bajo el SS: riesgo real de quiebre, adelantar producción. ","")&amp;IF(E407="BAJO SS (XLIB CUBRE)","Disponible bajo el SS; depende de liberar "&amp;TEXT(J407,"#,##0")&amp;" kg"&amp;IF(ISNUMBER(K407)," el "&amp;TEXT(K407,"dd-mm"),"")&amp;". ","")&amp;IF(W407="SÍ","Stock parece sano pero "&amp;TEXT(L407,"#,##0")&amp;" kg no pasan filtro "&amp;Stock_Seguridad!O407&amp;": sin ellos queda bajo el SS para esa cadena. ","")&amp;IF(E407="SOBRE MAX VENDIBLE","Sobrestock vs vida útil: frenar producción/activar venta. ","")&amp;IF(N(N407)&gt;=Parametros!$B$17,TEXT(N407,"#,##0")&amp;" kg ya no los acepta ninguna cadena: venta intermedia/liquidación. ","")&amp;IF(N(M407)&gt;=Parametros!$B$17,TEXT(M407,"#,##0")&amp;" kg a punto de salir del filtro: despachar primero (FEFO). ","")&amp;IF(Y407="SÍ","Pedidos "&amp;IF(N(U407)&gt;0,"sobre","bajo")&amp;" FCST "&amp;TEXT(ABS(N(U407)),"0%")&amp;": revisar forecast con KAM.","")</f>
        <v>Stock + XLIB bajo el SS: riesgo real de quiebre, adelantar producción. Pedidos sobre FCST 87%: revisar forecast con KAM.</v>
      </c>
    </row>
    <row r="408" customFormat="false" ht="15" hidden="false" customHeight="false" outlineLevel="0" collapsed="false">
      <c r="A408" s="18" t="n">
        <f aca="false">Stock_Seguridad!A408</f>
        <v>30000671</v>
      </c>
      <c r="B408" s="18" t="str">
        <f aca="false">Stock_Seguridad!B408</f>
        <v>LENTEJAS CON CHORIZO WSL 16X380GR</v>
      </c>
      <c r="C408" s="18" t="str">
        <f aca="false">Stock_Seguridad!C408</f>
        <v>CONSERVAS Y PLATOS LISTOS</v>
      </c>
      <c r="D408" s="18" t="str">
        <f aca="false">Stock_Seguridad!F408</f>
        <v>CX</v>
      </c>
      <c r="E408" s="19" t="str">
        <f aca="false">Stock_Seguridad!X408</f>
        <v>OK</v>
      </c>
      <c r="F408" s="20" t="n">
        <f aca="false">Stock_Seguridad!W408</f>
        <v>18.2644254892122</v>
      </c>
      <c r="G408" s="21" t="n">
        <f aca="false">Stock_Seguridad!T408</f>
        <v>36401</v>
      </c>
      <c r="H408" s="21" t="n">
        <f aca="false">Stock_Seguridad!R408</f>
        <v>525.002489253747</v>
      </c>
      <c r="I408" s="21" t="n">
        <f aca="false">Stock_Seguridad!S408</f>
        <v>2518.00248925375</v>
      </c>
      <c r="J408" s="21" t="n">
        <f aca="false">Stock_Seguridad!U408</f>
        <v>0</v>
      </c>
      <c r="K408" s="22"/>
      <c r="L408" s="23" t="n">
        <v>0</v>
      </c>
      <c r="M408" s="23" t="n">
        <v>0</v>
      </c>
      <c r="N408" s="23" t="n">
        <v>0</v>
      </c>
      <c r="O408" s="24" t="n">
        <v>0.0642792717554702</v>
      </c>
      <c r="P408" s="24" t="n">
        <f aca="false">IF(ISNUMBER(Stock_Seguridad!N408),Stock_Seguridad!N408,"")</f>
        <v>0.328767123287671</v>
      </c>
      <c r="Q408" s="24" t="n">
        <f aca="false">IF(AND(ISNUMBER(O408),ISNUMBER(P408)),P408-O408,"")</f>
        <v>0.264487851532201</v>
      </c>
      <c r="R408" s="23" t="n">
        <f aca="false">MAX(0,G408-N(L408))</f>
        <v>36401</v>
      </c>
      <c r="S408" s="23" t="n">
        <f aca="false">SUMIFS(Cadenas_vs_FCST!$D$17:$D$2437,Cadenas_vs_FCST!$A$17:$A$2437,A408)</f>
        <v>6207.68</v>
      </c>
      <c r="T408" s="23" t="n">
        <f aca="false">SUMIFS(Cadenas_vs_FCST!$E$17:$E$2437,Cadenas_vs_FCST!$A$17:$A$2437,A408)</f>
        <v>7473.2</v>
      </c>
      <c r="U408" s="24" t="n">
        <f aca="false">IF(T408&gt;0,S408/T408-1,"")</f>
        <v>-0.169341112241075</v>
      </c>
      <c r="V408" s="3" t="str">
        <f aca="false">IF(OR(E408="BAJO SS",E408="BAJO SS (XLIB CUBRE)"),"SÍ","")</f>
        <v/>
      </c>
      <c r="W408" s="3" t="str">
        <f aca="false">IF(AND(V408="",N(L408)&gt;=Parametros!$B$17,G408&gt;=H408,R408&lt;H408),"SÍ","")</f>
        <v/>
      </c>
      <c r="X408" s="3" t="str">
        <f aca="false">IF(OR(E408="SOBRE MAX VENDIBLE",N(N408)&gt;=Parametros!$B$17,N(M408)&gt;=Parametros!$B$17),"SÍ","")</f>
        <v/>
      </c>
      <c r="Y408" s="3" t="str">
        <f aca="false">IF(AND(ISNUMBER(U408),MAX(S408,T408)&gt;=Parametros!$B$15,ABS(N(U408))&gt;Parametros!$B$14),"SÍ","")</f>
        <v/>
      </c>
      <c r="Z408" s="3" t="n">
        <f aca="false">COUNTIF(V408:Y408,"SÍ")</f>
        <v>0</v>
      </c>
      <c r="AA408" s="3" t="n">
        <f aca="false">(3*(V408="SÍ")+2*(W408="SÍ")+2*(X408="SÍ")+(Y408="SÍ"))*IF(LEFT(D408,1)="A",3,IF(OR(LEFT(D408,1)="B",D408="SIN HIST"),2,1))</f>
        <v>0</v>
      </c>
      <c r="AB408" s="3" t="str">
        <f aca="false">IF(AA408&gt;=9,"1-ALTA",IF(AA408&gt;=4,"2-MEDIA",IF(AA408&gt;0,"3-BAJA","")))</f>
        <v/>
      </c>
      <c r="AC408" s="3" t="str">
        <f aca="false">IF(E408="BAJO SS","Stock + XLIB bajo el SS: riesgo real de quiebre, adelantar producción. ","")&amp;IF(E408="BAJO SS (XLIB CUBRE)","Disponible bajo el SS; depende de liberar "&amp;TEXT(J408,"#,##0")&amp;" kg"&amp;IF(ISNUMBER(K408)," el "&amp;TEXT(K408,"dd-mm"),"")&amp;". ","")&amp;IF(W408="SÍ","Stock parece sano pero "&amp;TEXT(L408,"#,##0")&amp;" kg no pasan filtro "&amp;Stock_Seguridad!O408&amp;": sin ellos queda bajo el SS para esa cadena. ","")&amp;IF(E408="SOBRE MAX VENDIBLE","Sobrestock vs vida útil: frenar producción/activar venta. ","")&amp;IF(N(N408)&gt;=Parametros!$B$17,TEXT(N408,"#,##0")&amp;" kg ya no los acepta ninguna cadena: venta intermedia/liquidación. ","")&amp;IF(N(M408)&gt;=Parametros!$B$17,TEXT(M408,"#,##0")&amp;" kg a punto de salir del filtro: despachar primero (FEFO). ","")&amp;IF(Y408="SÍ","Pedidos "&amp;IF(N(U408)&gt;0,"sobre","bajo")&amp;" FCST "&amp;TEXT(ABS(N(U408)),"0%")&amp;": revisar forecast con KAM.","")</f>
        <v/>
      </c>
    </row>
    <row r="409" customFormat="false" ht="15" hidden="false" customHeight="false" outlineLevel="0" collapsed="false">
      <c r="A409" s="18" t="n">
        <f aca="false">Stock_Seguridad!A409</f>
        <v>30001902</v>
      </c>
      <c r="B409" s="18" t="str">
        <f aca="false">Stock_Seguridad!B409</f>
        <v>YOGURT YOGU YOGU FRUTILLA BOT 6X900GR</v>
      </c>
      <c r="C409" s="18" t="str">
        <f aca="false">Stock_Seguridad!C409</f>
        <v>YOGURT</v>
      </c>
      <c r="D409" s="18" t="str">
        <f aca="false">Stock_Seguridad!F409</f>
        <v>CX</v>
      </c>
      <c r="E409" s="19" t="str">
        <f aca="false">Stock_Seguridad!X409</f>
        <v>OK</v>
      </c>
      <c r="F409" s="20" t="n">
        <f aca="false">Stock_Seguridad!W409</f>
        <v>1.58360160965795</v>
      </c>
      <c r="G409" s="21" t="n">
        <f aca="false">Stock_Seguridad!T409</f>
        <v>3148.2</v>
      </c>
      <c r="H409" s="21" t="n">
        <f aca="false">Stock_Seguridad!R409</f>
        <v>955.175696434437</v>
      </c>
      <c r="I409" s="21" t="n">
        <f aca="false">Stock_Seguridad!S409</f>
        <v>2943.17569643444</v>
      </c>
      <c r="J409" s="21" t="n">
        <f aca="false">Stock_Seguridad!U409</f>
        <v>0</v>
      </c>
      <c r="K409" s="22"/>
      <c r="L409" s="23" t="n">
        <v>27</v>
      </c>
      <c r="M409" s="23" t="n">
        <v>1090.8</v>
      </c>
      <c r="N409" s="23" t="n">
        <v>27</v>
      </c>
      <c r="O409" s="24" t="n">
        <v>0.13696397941681</v>
      </c>
      <c r="P409" s="24" t="n">
        <f aca="false">IF(ISNUMBER(Stock_Seguridad!N409),Stock_Seguridad!N409,"")</f>
        <v>0.23943661971831</v>
      </c>
      <c r="Q409" s="24" t="n">
        <f aca="false">IF(AND(ISNUMBER(O409),ISNUMBER(P409)),P409-O409,"")</f>
        <v>0.1024726403015</v>
      </c>
      <c r="R409" s="23" t="n">
        <f aca="false">MAX(0,G409-N(L409))</f>
        <v>3121.2</v>
      </c>
      <c r="S409" s="23" t="n">
        <f aca="false">SUMIFS(Cadenas_vs_FCST!$D$17:$D$2437,Cadenas_vs_FCST!$A$17:$A$2437,A409)</f>
        <v>5913</v>
      </c>
      <c r="T409" s="23" t="n">
        <f aca="false">SUMIFS(Cadenas_vs_FCST!$E$17:$E$2437,Cadenas_vs_FCST!$A$17:$A$2437,A409)</f>
        <v>4882.06475472579</v>
      </c>
      <c r="U409" s="24" t="n">
        <f aca="false">IF(T409&gt;0,S409/T409-1,"")</f>
        <v>0.211167876107393</v>
      </c>
      <c r="V409" s="3" t="str">
        <f aca="false">IF(OR(E409="BAJO SS",E409="BAJO SS (XLIB CUBRE)"),"SÍ","")</f>
        <v/>
      </c>
      <c r="W409" s="3" t="str">
        <f aca="false">IF(AND(V409="",N(L409)&gt;=Parametros!$B$17,G409&gt;=H409,R409&lt;H409),"SÍ","")</f>
        <v/>
      </c>
      <c r="X409" s="3" t="str">
        <f aca="false">IF(OR(E409="SOBRE MAX VENDIBLE",N(N409)&gt;=Parametros!$B$17,N(M409)&gt;=Parametros!$B$17),"SÍ","")</f>
        <v>SÍ</v>
      </c>
      <c r="Y409" s="3" t="str">
        <f aca="false">IF(AND(ISNUMBER(U409),MAX(S409,T409)&gt;=Parametros!$B$15,ABS(N(U409))&gt;Parametros!$B$14),"SÍ","")</f>
        <v>SÍ</v>
      </c>
      <c r="Z409" s="3" t="n">
        <f aca="false">COUNTIF(V409:Y409,"SÍ")</f>
        <v>2</v>
      </c>
      <c r="AA409" s="3" t="n">
        <f aca="false">(3*(V409="SÍ")+2*(W409="SÍ")+2*(X409="SÍ")+(Y409="SÍ"))*IF(LEFT(D409,1)="A",3,IF(OR(LEFT(D409,1)="B",D409="SIN HIST"),2,1))</f>
        <v>3</v>
      </c>
      <c r="AB409" s="3" t="str">
        <f aca="false">IF(AA409&gt;=9,"1-ALTA",IF(AA409&gt;=4,"2-MEDIA",IF(AA409&gt;0,"3-BAJA","")))</f>
        <v>3-BAJA</v>
      </c>
      <c r="AC409" s="3" t="str">
        <f aca="false">IF(E409="BAJO SS","Stock + XLIB bajo el SS: riesgo real de quiebre, adelantar producción. ","")&amp;IF(E409="BAJO SS (XLIB CUBRE)","Disponible bajo el SS; depende de liberar "&amp;TEXT(J409,"#,##0")&amp;" kg"&amp;IF(ISNUMBER(K409)," el "&amp;TEXT(K409,"dd-mm"),"")&amp;". ","")&amp;IF(W409="SÍ","Stock parece sano pero "&amp;TEXT(L409,"#,##0")&amp;" kg no pasan filtro "&amp;Stock_Seguridad!O409&amp;": sin ellos queda bajo el SS para esa cadena. ","")&amp;IF(E409="SOBRE MAX VENDIBLE","Sobrestock vs vida útil: frenar producción/activar venta. ","")&amp;IF(N(N409)&gt;=Parametros!$B$17,TEXT(N409,"#,##0")&amp;" kg ya no los acepta ninguna cadena: venta intermedia/liquidación. ","")&amp;IF(N(M409)&gt;=Parametros!$B$17,TEXT(M409,"#,##0")&amp;" kg a punto de salir del filtro: despachar primero (FEFO). ","")&amp;IF(Y409="SÍ","Pedidos "&amp;IF(N(U409)&gt;0,"sobre","bajo")&amp;" FCST "&amp;TEXT(ABS(N(U409)),"0%")&amp;": revisar forecast con KAM.","")</f>
        <v>1,091 kg a punto de salir del filtro: despachar primero (FEFO). Pedidos sobre FCST 21%: revisar forecast con KAM.</v>
      </c>
    </row>
    <row r="410" customFormat="false" ht="15" hidden="false" customHeight="false" outlineLevel="0" collapsed="false">
      <c r="A410" s="18" t="n">
        <f aca="false">Stock_Seguridad!A410</f>
        <v>30001851</v>
      </c>
      <c r="B410" s="18" t="str">
        <f aca="false">Stock_Seguridad!B410</f>
        <v>LECHE CULTIVADA LCO PROTEIN CHYA 6X900ML</v>
      </c>
      <c r="C410" s="18" t="str">
        <f aca="false">Stock_Seguridad!C410</f>
        <v>LECHES LIQUIDAS</v>
      </c>
      <c r="D410" s="18" t="str">
        <f aca="false">Stock_Seguridad!F410</f>
        <v>CX</v>
      </c>
      <c r="E410" s="19" t="str">
        <f aca="false">Stock_Seguridad!X410</f>
        <v>BAJO SS</v>
      </c>
      <c r="F410" s="20" t="n">
        <f aca="false">Stock_Seguridad!W410</f>
        <v>0</v>
      </c>
      <c r="G410" s="21" t="n">
        <f aca="false">Stock_Seguridad!T410</f>
        <v>0</v>
      </c>
      <c r="H410" s="21" t="n">
        <f aca="false">Stock_Seguridad!R410</f>
        <v>842.543133133877</v>
      </c>
      <c r="I410" s="21" t="n">
        <f aca="false">Stock_Seguridad!S410</f>
        <v>2825.24313313388</v>
      </c>
      <c r="J410" s="21" t="n">
        <f aca="false">Stock_Seguridad!U410</f>
        <v>0</v>
      </c>
      <c r="K410" s="22"/>
      <c r="L410" s="23"/>
      <c r="M410" s="23"/>
      <c r="N410" s="23"/>
      <c r="O410" s="24"/>
      <c r="P410" s="24" t="n">
        <f aca="false">IF(ISNUMBER(Stock_Seguridad!N410),Stock_Seguridad!N410,"")</f>
        <v>0.3</v>
      </c>
      <c r="Q410" s="24" t="str">
        <f aca="false">IF(AND(ISNUMBER(O410),ISNUMBER(P410)),P410-O410,"")</f>
        <v/>
      </c>
      <c r="R410" s="23" t="n">
        <f aca="false">MAX(0,G410-N(L410))</f>
        <v>0</v>
      </c>
      <c r="S410" s="23" t="n">
        <f aca="false">SUMIFS(Cadenas_vs_FCST!$D$17:$D$2437,Cadenas_vs_FCST!$A$17:$A$2437,A410)</f>
        <v>10044</v>
      </c>
      <c r="T410" s="23" t="n">
        <f aca="false">SUMIFS(Cadenas_vs_FCST!$E$17:$E$2437,Cadenas_vs_FCST!$A$17:$A$2437,A410)</f>
        <v>8551.30130622083</v>
      </c>
      <c r="U410" s="24" t="n">
        <f aca="false">IF(T410&gt;0,S410/T410-1,"")</f>
        <v>0.17455807488543</v>
      </c>
      <c r="V410" s="3" t="str">
        <f aca="false">IF(OR(E410="BAJO SS",E410="BAJO SS (XLIB CUBRE)"),"SÍ","")</f>
        <v>SÍ</v>
      </c>
      <c r="W410" s="3" t="str">
        <f aca="false">IF(AND(V410="",N(L410)&gt;=Parametros!$B$17,G410&gt;=H410,R410&lt;H410),"SÍ","")</f>
        <v/>
      </c>
      <c r="X410" s="3" t="str">
        <f aca="false">IF(OR(E410="SOBRE MAX VENDIBLE",N(N410)&gt;=Parametros!$B$17,N(M410)&gt;=Parametros!$B$17),"SÍ","")</f>
        <v/>
      </c>
      <c r="Y410" s="3" t="str">
        <f aca="false">IF(AND(ISNUMBER(U410),MAX(S410,T410)&gt;=Parametros!$B$15,ABS(N(U410))&gt;Parametros!$B$14),"SÍ","")</f>
        <v/>
      </c>
      <c r="Z410" s="3" t="n">
        <f aca="false">COUNTIF(V410:Y410,"SÍ")</f>
        <v>1</v>
      </c>
      <c r="AA410" s="3" t="n">
        <f aca="false">(3*(V410="SÍ")+2*(W410="SÍ")+2*(X410="SÍ")+(Y410="SÍ"))*IF(LEFT(D410,1)="A",3,IF(OR(LEFT(D410,1)="B",D410="SIN HIST"),2,1))</f>
        <v>3</v>
      </c>
      <c r="AB410" s="3" t="str">
        <f aca="false">IF(AA410&gt;=9,"1-ALTA",IF(AA410&gt;=4,"2-MEDIA",IF(AA410&gt;0,"3-BAJA","")))</f>
        <v>3-BAJA</v>
      </c>
      <c r="AC410" s="3" t="str">
        <f aca="false">IF(E410="BAJO SS","Stock + XLIB bajo el SS: riesgo real de quiebre, adelantar producción. ","")&amp;IF(E410="BAJO SS (XLIB CUBRE)","Disponible bajo el SS; depende de liberar "&amp;TEXT(J410,"#,##0")&amp;" kg"&amp;IF(ISNUMBER(K410)," el "&amp;TEXT(K410,"dd-mm"),"")&amp;". ","")&amp;IF(W410="SÍ","Stock parece sano pero "&amp;TEXT(L410,"#,##0")&amp;" kg no pasan filtro "&amp;Stock_Seguridad!O410&amp;": sin ellos queda bajo el SS para esa cadena. ","")&amp;IF(E410="SOBRE MAX VENDIBLE","Sobrestock vs vida útil: frenar producción/activar venta. ","")&amp;IF(N(N410)&gt;=Parametros!$B$17,TEXT(N410,"#,##0")&amp;" kg ya no los acepta ninguna cadena: venta intermedia/liquidación. ","")&amp;IF(N(M410)&gt;=Parametros!$B$17,TEXT(M410,"#,##0")&amp;" kg a punto de salir del filtro: despachar primero (FEFO). ","")&amp;IF(Y410="SÍ","Pedidos "&amp;IF(N(U410)&gt;0,"sobre","bajo")&amp;" FCST "&amp;TEXT(ABS(N(U410)),"0%")&amp;": revisar forecast con KAM.","")</f>
        <v>Stock + XLIB bajo el SS: riesgo real de quiebre, adelantar producción. </v>
      </c>
    </row>
    <row r="411" customFormat="false" ht="15" hidden="false" customHeight="false" outlineLevel="0" collapsed="false">
      <c r="A411" s="18" t="n">
        <f aca="false">Stock_Seguridad!A411</f>
        <v>30001889</v>
      </c>
      <c r="B411" s="18" t="str">
        <f aca="false">Stock_Seguridad!B411</f>
        <v>JALEA REG NARANJA 6X4X100GR</v>
      </c>
      <c r="C411" s="18" t="str">
        <f aca="false">Stock_Seguridad!C411</f>
        <v>POSTRES</v>
      </c>
      <c r="D411" s="18" t="str">
        <f aca="false">Stock_Seguridad!F411</f>
        <v>CX</v>
      </c>
      <c r="E411" s="19" t="str">
        <f aca="false">Stock_Seguridad!X411</f>
        <v>OK</v>
      </c>
      <c r="F411" s="20" t="n">
        <f aca="false">Stock_Seguridad!W411</f>
        <v>3.26457581456819</v>
      </c>
      <c r="G411" s="21" t="n">
        <f aca="false">Stock_Seguridad!T411</f>
        <v>4898.4</v>
      </c>
      <c r="H411" s="21" t="n">
        <f aca="false">Stock_Seguridad!R411</f>
        <v>1393.53408644692</v>
      </c>
      <c r="I411" s="21" t="n">
        <f aca="false">Stock_Seguridad!S411</f>
        <v>3360.83408644692</v>
      </c>
      <c r="J411" s="21" t="n">
        <f aca="false">Stock_Seguridad!U411</f>
        <v>1524</v>
      </c>
      <c r="K411" s="22" t="n">
        <v>46319</v>
      </c>
      <c r="L411" s="23" t="n">
        <v>50.4</v>
      </c>
      <c r="M411" s="23" t="n">
        <v>3343.2</v>
      </c>
      <c r="N411" s="23" t="n">
        <v>31.2</v>
      </c>
      <c r="O411" s="24" t="n">
        <v>0.135095613048369</v>
      </c>
      <c r="P411" s="24" t="n">
        <f aca="false">IF(ISNUMBER(Stock_Seguridad!N411),Stock_Seguridad!N411,"")</f>
        <v>0.227272727272727</v>
      </c>
      <c r="Q411" s="24" t="n">
        <f aca="false">IF(AND(ISNUMBER(O411),ISNUMBER(P411)),P411-O411,"")</f>
        <v>0.0921771142243583</v>
      </c>
      <c r="R411" s="23" t="n">
        <f aca="false">MAX(0,G411-N(L411))</f>
        <v>4848</v>
      </c>
      <c r="S411" s="23" t="n">
        <f aca="false">SUMIFS(Cadenas_vs_FCST!$D$17:$D$2437,Cadenas_vs_FCST!$A$17:$A$2437,A411)</f>
        <v>8155.2</v>
      </c>
      <c r="T411" s="23" t="n">
        <f aca="false">SUMIFS(Cadenas_vs_FCST!$E$17:$E$2437,Cadenas_vs_FCST!$A$17:$A$2437,A411)</f>
        <v>11881.4349828452</v>
      </c>
      <c r="U411" s="24" t="n">
        <f aca="false">IF(T411&gt;0,S411/T411-1,"")</f>
        <v>-0.313618261449503</v>
      </c>
      <c r="V411" s="3" t="str">
        <f aca="false">IF(OR(E411="BAJO SS",E411="BAJO SS (XLIB CUBRE)"),"SÍ","")</f>
        <v/>
      </c>
      <c r="W411" s="3" t="str">
        <f aca="false">IF(AND(V411="",N(L411)&gt;=Parametros!$B$17,G411&gt;=H411,R411&lt;H411),"SÍ","")</f>
        <v/>
      </c>
      <c r="X411" s="3" t="str">
        <f aca="false">IF(OR(E411="SOBRE MAX VENDIBLE",N(N411)&gt;=Parametros!$B$17,N(M411)&gt;=Parametros!$B$17),"SÍ","")</f>
        <v>SÍ</v>
      </c>
      <c r="Y411" s="3" t="str">
        <f aca="false">IF(AND(ISNUMBER(U411),MAX(S411,T411)&gt;=Parametros!$B$15,ABS(N(U411))&gt;Parametros!$B$14),"SÍ","")</f>
        <v>SÍ</v>
      </c>
      <c r="Z411" s="3" t="n">
        <f aca="false">COUNTIF(V411:Y411,"SÍ")</f>
        <v>2</v>
      </c>
      <c r="AA411" s="3" t="n">
        <f aca="false">(3*(V411="SÍ")+2*(W411="SÍ")+2*(X411="SÍ")+(Y411="SÍ"))*IF(LEFT(D411,1)="A",3,IF(OR(LEFT(D411,1)="B",D411="SIN HIST"),2,1))</f>
        <v>3</v>
      </c>
      <c r="AB411" s="3" t="str">
        <f aca="false">IF(AA411&gt;=9,"1-ALTA",IF(AA411&gt;=4,"2-MEDIA",IF(AA411&gt;0,"3-BAJA","")))</f>
        <v>3-BAJA</v>
      </c>
      <c r="AC411" s="3" t="str">
        <f aca="false">IF(E411="BAJO SS","Stock + XLIB bajo el SS: riesgo real de quiebre, adelantar producción. ","")&amp;IF(E411="BAJO SS (XLIB CUBRE)","Disponible bajo el SS; depende de liberar "&amp;TEXT(J411,"#,##0")&amp;" kg"&amp;IF(ISNUMBER(K411)," el "&amp;TEXT(K411,"dd-mm"),"")&amp;". ","")&amp;IF(W411="SÍ","Stock parece sano pero "&amp;TEXT(L411,"#,##0")&amp;" kg no pasan filtro "&amp;Stock_Seguridad!O411&amp;": sin ellos queda bajo el SS para esa cadena. ","")&amp;IF(E411="SOBRE MAX VENDIBLE","Sobrestock vs vida útil: frenar producción/activar venta. ","")&amp;IF(N(N411)&gt;=Parametros!$B$17,TEXT(N411,"#,##0")&amp;" kg ya no los acepta ninguna cadena: venta intermedia/liquidación. ","")&amp;IF(N(M411)&gt;=Parametros!$B$17,TEXT(M411,"#,##0")&amp;" kg a punto de salir del filtro: despachar primero (FEFO). ","")&amp;IF(Y411="SÍ","Pedidos "&amp;IF(N(U411)&gt;0,"sobre","bajo")&amp;" FCST "&amp;TEXT(ABS(N(U411)),"0%")&amp;": revisar forecast con KAM.","")</f>
        <v>3,343 kg a punto de salir del filtro: despachar primero (FEFO). Pedidos bajo FCST 31%: revisar forecast con KAM.</v>
      </c>
    </row>
    <row r="412" customFormat="false" ht="15" hidden="false" customHeight="false" outlineLevel="0" collapsed="false">
      <c r="A412" s="18" t="n">
        <f aca="false">Stock_Seguridad!A412</f>
        <v>30000807</v>
      </c>
      <c r="B412" s="18" t="str">
        <f aca="false">Stock_Seguridad!B412</f>
        <v>ENSALADA RUSA FM 8X1KG</v>
      </c>
      <c r="C412" s="18" t="str">
        <f aca="false">Stock_Seguridad!C412</f>
        <v>FRUTAS Y HORTALIZAS CONGELADAS</v>
      </c>
      <c r="D412" s="18" t="str">
        <f aca="false">Stock_Seguridad!F412</f>
        <v>SIN HIST</v>
      </c>
      <c r="E412" s="19" t="str">
        <f aca="false">Stock_Seguridad!X412</f>
        <v>OK</v>
      </c>
      <c r="F412" s="20" t="n">
        <f aca="false">Stock_Seguridad!W412</f>
        <v>7.60953739555737</v>
      </c>
      <c r="G412" s="21" t="n">
        <f aca="false">Stock_Seguridad!T412</f>
        <v>14936</v>
      </c>
      <c r="H412" s="21" t="n">
        <f aca="false">Stock_Seguridad!R412</f>
        <v>968.555609694104</v>
      </c>
      <c r="I412" s="21" t="n">
        <f aca="false">Stock_Seguridad!S412</f>
        <v>2931.3556096941</v>
      </c>
      <c r="J412" s="21" t="n">
        <f aca="false">Stock_Seguridad!U412</f>
        <v>0</v>
      </c>
      <c r="K412" s="22"/>
      <c r="L412" s="23" t="n">
        <v>0</v>
      </c>
      <c r="M412" s="23" t="n">
        <v>0</v>
      </c>
      <c r="N412" s="23" t="n">
        <v>0</v>
      </c>
      <c r="O412" s="24" t="n">
        <v>0.0825656132833423</v>
      </c>
      <c r="P412" s="24" t="str">
        <f aca="false">IF(ISNUMBER(Stock_Seguridad!N412),Stock_Seguridad!N412,"")</f>
        <v/>
      </c>
      <c r="Q412" s="24" t="str">
        <f aca="false">IF(AND(ISNUMBER(O412),ISNUMBER(P412)),P412-O412,"")</f>
        <v/>
      </c>
      <c r="R412" s="23" t="n">
        <f aca="false">MAX(0,G412-N(L412))</f>
        <v>14936</v>
      </c>
      <c r="S412" s="23" t="n">
        <f aca="false">SUMIFS(Cadenas_vs_FCST!$D$17:$D$2437,Cadenas_vs_FCST!$A$17:$A$2437,A412)</f>
        <v>0</v>
      </c>
      <c r="T412" s="23" t="n">
        <f aca="false">SUMIFS(Cadenas_vs_FCST!$E$17:$E$2437,Cadenas_vs_FCST!$A$17:$A$2437,A412)</f>
        <v>0</v>
      </c>
      <c r="U412" s="24" t="str">
        <f aca="false">IF(T412&gt;0,S412/T412-1,"")</f>
        <v/>
      </c>
      <c r="V412" s="3" t="str">
        <f aca="false">IF(OR(E412="BAJO SS",E412="BAJO SS (XLIB CUBRE)"),"SÍ","")</f>
        <v/>
      </c>
      <c r="W412" s="3" t="str">
        <f aca="false">IF(AND(V412="",N(L412)&gt;=Parametros!$B$17,G412&gt;=H412,R412&lt;H412),"SÍ","")</f>
        <v/>
      </c>
      <c r="X412" s="3" t="str">
        <f aca="false">IF(OR(E412="SOBRE MAX VENDIBLE",N(N412)&gt;=Parametros!$B$17,N(M412)&gt;=Parametros!$B$17),"SÍ","")</f>
        <v/>
      </c>
      <c r="Y412" s="3" t="str">
        <f aca="false">IF(AND(ISNUMBER(U412),MAX(S412,T412)&gt;=Parametros!$B$15,ABS(N(U412))&gt;Parametros!$B$14),"SÍ","")</f>
        <v/>
      </c>
      <c r="Z412" s="3" t="n">
        <f aca="false">COUNTIF(V412:Y412,"SÍ")</f>
        <v>0</v>
      </c>
      <c r="AA412" s="3" t="n">
        <f aca="false">(3*(V412="SÍ")+2*(W412="SÍ")+2*(X412="SÍ")+(Y412="SÍ"))*IF(LEFT(D412,1)="A",3,IF(OR(LEFT(D412,1)="B",D412="SIN HIST"),2,1))</f>
        <v>0</v>
      </c>
      <c r="AB412" s="3" t="str">
        <f aca="false">IF(AA412&gt;=9,"1-ALTA",IF(AA412&gt;=4,"2-MEDIA",IF(AA412&gt;0,"3-BAJA","")))</f>
        <v/>
      </c>
      <c r="AC412" s="3" t="str">
        <f aca="false">IF(E412="BAJO SS","Stock + XLIB bajo el SS: riesgo real de quiebre, adelantar producción. ","")&amp;IF(E412="BAJO SS (XLIB CUBRE)","Disponible bajo el SS; depende de liberar "&amp;TEXT(J412,"#,##0")&amp;" kg"&amp;IF(ISNUMBER(K412)," el "&amp;TEXT(K412,"dd-mm"),"")&amp;". ","")&amp;IF(W412="SÍ","Stock parece sano pero "&amp;TEXT(L412,"#,##0")&amp;" kg no pasan filtro "&amp;Stock_Seguridad!O412&amp;": sin ellos queda bajo el SS para esa cadena. ","")&amp;IF(E412="SOBRE MAX VENDIBLE","Sobrestock vs vida útil: frenar producción/activar venta. ","")&amp;IF(N(N412)&gt;=Parametros!$B$17,TEXT(N412,"#,##0")&amp;" kg ya no los acepta ninguna cadena: venta intermedia/liquidación. ","")&amp;IF(N(M412)&gt;=Parametros!$B$17,TEXT(M412,"#,##0")&amp;" kg a punto de salir del filtro: despachar primero (FEFO). ","")&amp;IF(Y412="SÍ","Pedidos "&amp;IF(N(U412)&gt;0,"sobre","bajo")&amp;" FCST "&amp;TEXT(ABS(N(U412)),"0%")&amp;": revisar forecast con KAM.","")</f>
        <v/>
      </c>
    </row>
    <row r="413" customFormat="false" ht="15" hidden="false" customHeight="false" outlineLevel="0" collapsed="false">
      <c r="A413" s="18" t="n">
        <f aca="false">Stock_Seguridad!A413</f>
        <v>30002094</v>
      </c>
      <c r="B413" s="18" t="str">
        <f aca="false">Stock_Seguridad!B413</f>
        <v>YOG OIKOS POSTRE CHEESCAKE BERRI 12X132G</v>
      </c>
      <c r="C413" s="18" t="str">
        <f aca="false">Stock_Seguridad!C413</f>
        <v>POSTRES</v>
      </c>
      <c r="D413" s="18" t="str">
        <f aca="false">Stock_Seguridad!F413</f>
        <v>BX</v>
      </c>
      <c r="E413" s="19" t="str">
        <f aca="false">Stock_Seguridad!X413</f>
        <v>BAJO P.REORDEN</v>
      </c>
      <c r="F413" s="20" t="n">
        <f aca="false">Stock_Seguridad!W413</f>
        <v>1.50100097530928</v>
      </c>
      <c r="G413" s="21" t="n">
        <f aca="false">Stock_Seguridad!T413</f>
        <v>2924.1</v>
      </c>
      <c r="H413" s="21" t="n">
        <f aca="false">Stock_Seguridad!R413</f>
        <v>1398.55983857057</v>
      </c>
      <c r="I413" s="21" t="n">
        <f aca="false">Stock_Seguridad!S413</f>
        <v>3346.65983857057</v>
      </c>
      <c r="J413" s="21" t="n">
        <f aca="false">Stock_Seguridad!U413</f>
        <v>0</v>
      </c>
      <c r="K413" s="22"/>
      <c r="L413" s="23" t="n">
        <v>104.544</v>
      </c>
      <c r="M413" s="23" t="n">
        <v>0</v>
      </c>
      <c r="N413" s="23" t="n">
        <v>0</v>
      </c>
      <c r="O413" s="24" t="n">
        <v>0.0985807150595883</v>
      </c>
      <c r="P413" s="24" t="n">
        <f aca="false">IF(ISNUMBER(Stock_Seguridad!N413),Stock_Seguridad!N413,"")</f>
        <v>0.228070175438597</v>
      </c>
      <c r="Q413" s="24" t="n">
        <f aca="false">IF(AND(ISNUMBER(O413),ISNUMBER(P413)),P413-O413,"")</f>
        <v>0.129489460379008</v>
      </c>
      <c r="R413" s="23" t="n">
        <f aca="false">MAX(0,G413-N(L413))</f>
        <v>2819.556</v>
      </c>
      <c r="S413" s="23" t="n">
        <f aca="false">SUMIFS(Cadenas_vs_FCST!$D$17:$D$2437,Cadenas_vs_FCST!$A$17:$A$2437,A413)</f>
        <v>11045.232</v>
      </c>
      <c r="T413" s="23" t="n">
        <f aca="false">SUMIFS(Cadenas_vs_FCST!$E$17:$E$2437,Cadenas_vs_FCST!$A$17:$A$2437,A413)</f>
        <v>11184.6682109974</v>
      </c>
      <c r="U413" s="24" t="n">
        <f aca="false">IF(T413&gt;0,S413/T413-1,"")</f>
        <v>-0.0124667275208281</v>
      </c>
      <c r="V413" s="3" t="str">
        <f aca="false">IF(OR(E413="BAJO SS",E413="BAJO SS (XLIB CUBRE)"),"SÍ","")</f>
        <v/>
      </c>
      <c r="W413" s="3" t="str">
        <f aca="false">IF(AND(V413="",N(L413)&gt;=Parametros!$B$17,G413&gt;=H413,R413&lt;H413),"SÍ","")</f>
        <v/>
      </c>
      <c r="X413" s="3" t="str">
        <f aca="false">IF(OR(E413="SOBRE MAX VENDIBLE",N(N413)&gt;=Parametros!$B$17,N(M413)&gt;=Parametros!$B$17),"SÍ","")</f>
        <v/>
      </c>
      <c r="Y413" s="3" t="str">
        <f aca="false">IF(AND(ISNUMBER(U413),MAX(S413,T413)&gt;=Parametros!$B$15,ABS(N(U413))&gt;Parametros!$B$14),"SÍ","")</f>
        <v/>
      </c>
      <c r="Z413" s="3" t="n">
        <f aca="false">COUNTIF(V413:Y413,"SÍ")</f>
        <v>0</v>
      </c>
      <c r="AA413" s="3" t="n">
        <f aca="false">(3*(V413="SÍ")+2*(W413="SÍ")+2*(X413="SÍ")+(Y413="SÍ"))*IF(LEFT(D413,1)="A",3,IF(OR(LEFT(D413,1)="B",D413="SIN HIST"),2,1))</f>
        <v>0</v>
      </c>
      <c r="AB413" s="3" t="str">
        <f aca="false">IF(AA413&gt;=9,"1-ALTA",IF(AA413&gt;=4,"2-MEDIA",IF(AA413&gt;0,"3-BAJA","")))</f>
        <v/>
      </c>
      <c r="AC413" s="3" t="str">
        <f aca="false">IF(E413="BAJO SS","Stock + XLIB bajo el SS: riesgo real de quiebre, adelantar producción. ","")&amp;IF(E413="BAJO SS (XLIB CUBRE)","Disponible bajo el SS; depende de liberar "&amp;TEXT(J413,"#,##0")&amp;" kg"&amp;IF(ISNUMBER(K413)," el "&amp;TEXT(K413,"dd-mm"),"")&amp;". ","")&amp;IF(W413="SÍ","Stock parece sano pero "&amp;TEXT(L413,"#,##0")&amp;" kg no pasan filtro "&amp;Stock_Seguridad!O413&amp;": sin ellos queda bajo el SS para esa cadena. ","")&amp;IF(E413="SOBRE MAX VENDIBLE","Sobrestock vs vida útil: frenar producción/activar venta. ","")&amp;IF(N(N413)&gt;=Parametros!$B$17,TEXT(N413,"#,##0")&amp;" kg ya no los acepta ninguna cadena: venta intermedia/liquidación. ","")&amp;IF(N(M413)&gt;=Parametros!$B$17,TEXT(M413,"#,##0")&amp;" kg a punto de salir del filtro: despachar primero (FEFO). ","")&amp;IF(Y413="SÍ","Pedidos "&amp;IF(N(U413)&gt;0,"sobre","bajo")&amp;" FCST "&amp;TEXT(ABS(N(U413)),"0%")&amp;": revisar forecast con KAM.","")</f>
        <v/>
      </c>
    </row>
    <row r="414" customFormat="false" ht="15" hidden="false" customHeight="false" outlineLevel="0" collapsed="false">
      <c r="A414" s="18" t="n">
        <f aca="false">Stock_Seguridad!A414</f>
        <v>30000793</v>
      </c>
      <c r="B414" s="18" t="str">
        <f aca="false">Stock_Seguridad!B414</f>
        <v>PULPA FRUTILLA S/AZUCAR IQF 10X1KG</v>
      </c>
      <c r="C414" s="18" t="str">
        <f aca="false">Stock_Seguridad!C414</f>
        <v>FRUTAS Y HORTALIZAS CONGELADAS</v>
      </c>
      <c r="D414" s="18" t="str">
        <f aca="false">Stock_Seguridad!F414</f>
        <v>SIN HIST</v>
      </c>
      <c r="E414" s="19" t="str">
        <f aca="false">Stock_Seguridad!X414</f>
        <v>OK</v>
      </c>
      <c r="F414" s="20" t="n">
        <f aca="false">Stock_Seguridad!W414</f>
        <v>9.1059860067375</v>
      </c>
      <c r="G414" s="21" t="n">
        <f aca="false">Stock_Seguridad!T414</f>
        <v>17570</v>
      </c>
      <c r="H414" s="21" t="n">
        <f aca="false">Stock_Seguridad!R414</f>
        <v>952.123521960859</v>
      </c>
      <c r="I414" s="21" t="n">
        <f aca="false">Stock_Seguridad!S414</f>
        <v>2881.62352196086</v>
      </c>
      <c r="J414" s="21" t="n">
        <f aca="false">Stock_Seguridad!U414</f>
        <v>0</v>
      </c>
      <c r="K414" s="22"/>
      <c r="L414" s="23" t="n">
        <v>0</v>
      </c>
      <c r="M414" s="23" t="n">
        <v>0</v>
      </c>
      <c r="N414" s="23" t="n">
        <v>0</v>
      </c>
      <c r="O414" s="24" t="n">
        <v>0.194382470119522</v>
      </c>
      <c r="P414" s="24" t="str">
        <f aca="false">IF(ISNUMBER(Stock_Seguridad!N414),Stock_Seguridad!N414,"")</f>
        <v/>
      </c>
      <c r="Q414" s="24" t="str">
        <f aca="false">IF(AND(ISNUMBER(O414),ISNUMBER(P414)),P414-O414,"")</f>
        <v/>
      </c>
      <c r="R414" s="23" t="n">
        <f aca="false">MAX(0,G414-N(L414))</f>
        <v>17570</v>
      </c>
      <c r="S414" s="23" t="n">
        <f aca="false">SUMIFS(Cadenas_vs_FCST!$D$17:$D$2437,Cadenas_vs_FCST!$A$17:$A$2437,A414)</f>
        <v>0</v>
      </c>
      <c r="T414" s="23" t="n">
        <f aca="false">SUMIFS(Cadenas_vs_FCST!$E$17:$E$2437,Cadenas_vs_FCST!$A$17:$A$2437,A414)</f>
        <v>0</v>
      </c>
      <c r="U414" s="24" t="str">
        <f aca="false">IF(T414&gt;0,S414/T414-1,"")</f>
        <v/>
      </c>
      <c r="V414" s="3" t="str">
        <f aca="false">IF(OR(E414="BAJO SS",E414="BAJO SS (XLIB CUBRE)"),"SÍ","")</f>
        <v/>
      </c>
      <c r="W414" s="3" t="str">
        <f aca="false">IF(AND(V414="",N(L414)&gt;=Parametros!$B$17,G414&gt;=H414,R414&lt;H414),"SÍ","")</f>
        <v/>
      </c>
      <c r="X414" s="3" t="str">
        <f aca="false">IF(OR(E414="SOBRE MAX VENDIBLE",N(N414)&gt;=Parametros!$B$17,N(M414)&gt;=Parametros!$B$17),"SÍ","")</f>
        <v/>
      </c>
      <c r="Y414" s="3" t="str">
        <f aca="false">IF(AND(ISNUMBER(U414),MAX(S414,T414)&gt;=Parametros!$B$15,ABS(N(U414))&gt;Parametros!$B$14),"SÍ","")</f>
        <v/>
      </c>
      <c r="Z414" s="3" t="n">
        <f aca="false">COUNTIF(V414:Y414,"SÍ")</f>
        <v>0</v>
      </c>
      <c r="AA414" s="3" t="n">
        <f aca="false">(3*(V414="SÍ")+2*(W414="SÍ")+2*(X414="SÍ")+(Y414="SÍ"))*IF(LEFT(D414,1)="A",3,IF(OR(LEFT(D414,1)="B",D414="SIN HIST"),2,1))</f>
        <v>0</v>
      </c>
      <c r="AB414" s="3" t="str">
        <f aca="false">IF(AA414&gt;=9,"1-ALTA",IF(AA414&gt;=4,"2-MEDIA",IF(AA414&gt;0,"3-BAJA","")))</f>
        <v/>
      </c>
      <c r="AC414" s="3" t="str">
        <f aca="false">IF(E414="BAJO SS","Stock + XLIB bajo el SS: riesgo real de quiebre, adelantar producción. ","")&amp;IF(E414="BAJO SS (XLIB CUBRE)","Disponible bajo el SS; depende de liberar "&amp;TEXT(J414,"#,##0")&amp;" kg"&amp;IF(ISNUMBER(K414)," el "&amp;TEXT(K414,"dd-mm"),"")&amp;". ","")&amp;IF(W414="SÍ","Stock parece sano pero "&amp;TEXT(L414,"#,##0")&amp;" kg no pasan filtro "&amp;Stock_Seguridad!O414&amp;": sin ellos queda bajo el SS para esa cadena. ","")&amp;IF(E414="SOBRE MAX VENDIBLE","Sobrestock vs vida útil: frenar producción/activar venta. ","")&amp;IF(N(N414)&gt;=Parametros!$B$17,TEXT(N414,"#,##0")&amp;" kg ya no los acepta ninguna cadena: venta intermedia/liquidación. ","")&amp;IF(N(M414)&gt;=Parametros!$B$17,TEXT(M414,"#,##0")&amp;" kg a punto de salir del filtro: despachar primero (FEFO). ","")&amp;IF(Y414="SÍ","Pedidos "&amp;IF(N(U414)&gt;0,"sobre","bajo")&amp;" FCST "&amp;TEXT(ABS(N(U414)),"0%")&amp;": revisar forecast con KAM.","")</f>
        <v/>
      </c>
    </row>
    <row r="415" customFormat="false" ht="15" hidden="false" customHeight="false" outlineLevel="0" collapsed="false">
      <c r="A415" s="18" t="n">
        <f aca="false">Stock_Seguridad!A415</f>
        <v>30002172</v>
      </c>
      <c r="B415" s="18" t="str">
        <f aca="false">Stock_Seguridad!B415</f>
        <v>FRUGO BERRIES 6X1,6LT</v>
      </c>
      <c r="C415" s="18" t="str">
        <f aca="false">Stock_Seguridad!C415</f>
        <v>JUGOS Y NECTARES</v>
      </c>
      <c r="D415" s="18" t="str">
        <f aca="false">Stock_Seguridad!F415</f>
        <v>CY</v>
      </c>
      <c r="E415" s="19" t="str">
        <f aca="false">Stock_Seguridad!X415</f>
        <v>BAJO SS</v>
      </c>
      <c r="F415" s="20" t="n">
        <f aca="false">Stock_Seguridad!W415</f>
        <v>0.886384976525822</v>
      </c>
      <c r="G415" s="21" t="n">
        <f aca="false">Stock_Seguridad!T415</f>
        <v>1699.2</v>
      </c>
      <c r="H415" s="21" t="n">
        <f aca="false">Stock_Seguridad!R415</f>
        <v>2154.89991299718</v>
      </c>
      <c r="I415" s="21" t="n">
        <f aca="false">Stock_Seguridad!S415</f>
        <v>4071.89991299718</v>
      </c>
      <c r="J415" s="21" t="n">
        <f aca="false">Stock_Seguridad!U415</f>
        <v>0</v>
      </c>
      <c r="K415" s="22"/>
      <c r="L415" s="23" t="n">
        <v>105.6</v>
      </c>
      <c r="M415" s="23" t="n">
        <v>0</v>
      </c>
      <c r="N415" s="23" t="n">
        <v>0</v>
      </c>
      <c r="O415" s="24" t="n">
        <v>0.124293785310735</v>
      </c>
      <c r="P415" s="24" t="n">
        <f aca="false">IF(ISNUMBER(Stock_Seguridad!N415),Stock_Seguridad!N415,"")</f>
        <v>0.235772357723577</v>
      </c>
      <c r="Q415" s="24" t="n">
        <f aca="false">IF(AND(ISNUMBER(O415),ISNUMBER(P415)),P415-O415,"")</f>
        <v>0.111478572412843</v>
      </c>
      <c r="R415" s="23" t="n">
        <f aca="false">MAX(0,G415-N(L415))</f>
        <v>1593.6</v>
      </c>
      <c r="S415" s="23" t="n">
        <f aca="false">SUMIFS(Cadenas_vs_FCST!$D$17:$D$2437,Cadenas_vs_FCST!$A$17:$A$2437,A415)</f>
        <v>8112</v>
      </c>
      <c r="T415" s="23" t="n">
        <f aca="false">SUMIFS(Cadenas_vs_FCST!$E$17:$E$2437,Cadenas_vs_FCST!$A$17:$A$2437,A415)</f>
        <v>5002.76519306735</v>
      </c>
      <c r="U415" s="24" t="n">
        <f aca="false">IF(T415&gt;0,S415/T415-1,"")</f>
        <v>0.621503246093043</v>
      </c>
      <c r="V415" s="3" t="str">
        <f aca="false">IF(OR(E415="BAJO SS",E415="BAJO SS (XLIB CUBRE)"),"SÍ","")</f>
        <v>SÍ</v>
      </c>
      <c r="W415" s="3" t="str">
        <f aca="false">IF(AND(V415="",N(L415)&gt;=Parametros!$B$17,G415&gt;=H415,R415&lt;H415),"SÍ","")</f>
        <v/>
      </c>
      <c r="X415" s="3" t="str">
        <f aca="false">IF(OR(E415="SOBRE MAX VENDIBLE",N(N415)&gt;=Parametros!$B$17,N(M415)&gt;=Parametros!$B$17),"SÍ","")</f>
        <v/>
      </c>
      <c r="Y415" s="3" t="str">
        <f aca="false">IF(AND(ISNUMBER(U415),MAX(S415,T415)&gt;=Parametros!$B$15,ABS(N(U415))&gt;Parametros!$B$14),"SÍ","")</f>
        <v>SÍ</v>
      </c>
      <c r="Z415" s="3" t="n">
        <f aca="false">COUNTIF(V415:Y415,"SÍ")</f>
        <v>2</v>
      </c>
      <c r="AA415" s="3" t="n">
        <f aca="false">(3*(V415="SÍ")+2*(W415="SÍ")+2*(X415="SÍ")+(Y415="SÍ"))*IF(LEFT(D415,1)="A",3,IF(OR(LEFT(D415,1)="B",D415="SIN HIST"),2,1))</f>
        <v>4</v>
      </c>
      <c r="AB415" s="3" t="str">
        <f aca="false">IF(AA415&gt;=9,"1-ALTA",IF(AA415&gt;=4,"2-MEDIA",IF(AA415&gt;0,"3-BAJA","")))</f>
        <v>2-MEDIA</v>
      </c>
      <c r="AC415" s="3" t="str">
        <f aca="false">IF(E415="BAJO SS","Stock + XLIB bajo el SS: riesgo real de quiebre, adelantar producción. ","")&amp;IF(E415="BAJO SS (XLIB CUBRE)","Disponible bajo el SS; depende de liberar "&amp;TEXT(J415,"#,##0")&amp;" kg"&amp;IF(ISNUMBER(K415)," el "&amp;TEXT(K415,"dd-mm"),"")&amp;". ","")&amp;IF(W415="SÍ","Stock parece sano pero "&amp;TEXT(L415,"#,##0")&amp;" kg no pasan filtro "&amp;Stock_Seguridad!O415&amp;": sin ellos queda bajo el SS para esa cadena. ","")&amp;IF(E415="SOBRE MAX VENDIBLE","Sobrestock vs vida útil: frenar producción/activar venta. ","")&amp;IF(N(N415)&gt;=Parametros!$B$17,TEXT(N415,"#,##0")&amp;" kg ya no los acepta ninguna cadena: venta intermedia/liquidación. ","")&amp;IF(N(M415)&gt;=Parametros!$B$17,TEXT(M415,"#,##0")&amp;" kg a punto de salir del filtro: despachar primero (FEFO). ","")&amp;IF(Y415="SÍ","Pedidos "&amp;IF(N(U415)&gt;0,"sobre","bajo")&amp;" FCST "&amp;TEXT(ABS(N(U415)),"0%")&amp;": revisar forecast con KAM.","")</f>
        <v>Stock + XLIB bajo el SS: riesgo real de quiebre, adelantar producción. Pedidos sobre FCST 62%: revisar forecast con KAM.</v>
      </c>
    </row>
    <row r="416" customFormat="false" ht="15" hidden="false" customHeight="false" outlineLevel="0" collapsed="false">
      <c r="A416" s="18" t="n">
        <f aca="false">Stock_Seguridad!A416</f>
        <v>30002064</v>
      </c>
      <c r="B416" s="18" t="str">
        <f aca="false">Stock_Seguridad!B416</f>
        <v>MANTEQUILLA LPV POTE 24X200G</v>
      </c>
      <c r="C416" s="18" t="str">
        <f aca="false">Stock_Seguridad!C416</f>
        <v>MANTEQUILLAS</v>
      </c>
      <c r="D416" s="18" t="str">
        <f aca="false">Stock_Seguridad!F416</f>
        <v>CX</v>
      </c>
      <c r="E416" s="19" t="str">
        <f aca="false">Stock_Seguridad!X416</f>
        <v>OK</v>
      </c>
      <c r="F416" s="20" t="n">
        <f aca="false">Stock_Seguridad!W416</f>
        <v>2.60463157894737</v>
      </c>
      <c r="G416" s="21" t="n">
        <f aca="false">Stock_Seguridad!T416</f>
        <v>4948.8</v>
      </c>
      <c r="H416" s="21" t="n">
        <f aca="false">Stock_Seguridad!R416</f>
        <v>1250.80154397946</v>
      </c>
      <c r="I416" s="21" t="n">
        <f aca="false">Stock_Seguridad!S416</f>
        <v>3150.80154397946</v>
      </c>
      <c r="J416" s="21" t="n">
        <f aca="false">Stock_Seguridad!U416</f>
        <v>0</v>
      </c>
      <c r="K416" s="22"/>
      <c r="L416" s="23" t="n">
        <v>4929.6</v>
      </c>
      <c r="M416" s="23" t="n">
        <v>0</v>
      </c>
      <c r="N416" s="23" t="n">
        <v>0</v>
      </c>
      <c r="O416" s="24" t="n">
        <v>0.239418040737148</v>
      </c>
      <c r="P416" s="24" t="n">
        <f aca="false">IF(ISNUMBER(Stock_Seguridad!N416),Stock_Seguridad!N416,"")</f>
        <v>0.211956521739131</v>
      </c>
      <c r="Q416" s="24" t="n">
        <f aca="false">IF(AND(ISNUMBER(O416),ISNUMBER(P416)),P416-O416,"")</f>
        <v>-0.0274615189980179</v>
      </c>
      <c r="R416" s="23" t="n">
        <f aca="false">MAX(0,G416-N(L416))</f>
        <v>19.1999999999998</v>
      </c>
      <c r="S416" s="23" t="n">
        <f aca="false">SUMIFS(Cadenas_vs_FCST!$D$17:$D$2437,Cadenas_vs_FCST!$A$17:$A$2437,A416)</f>
        <v>7070.4</v>
      </c>
      <c r="T416" s="23" t="n">
        <f aca="false">SUMIFS(Cadenas_vs_FCST!$E$17:$E$2437,Cadenas_vs_FCST!$A$17:$A$2437,A416)</f>
        <v>8957.40931973457</v>
      </c>
      <c r="U416" s="24" t="n">
        <f aca="false">IF(T416&gt;0,S416/T416-1,"")</f>
        <v>-0.210664629959155</v>
      </c>
      <c r="V416" s="3" t="str">
        <f aca="false">IF(OR(E416="BAJO SS",E416="BAJO SS (XLIB CUBRE)"),"SÍ","")</f>
        <v/>
      </c>
      <c r="W416" s="3" t="str">
        <f aca="false">IF(AND(V416="",N(L416)&gt;=Parametros!$B$17,G416&gt;=H416,R416&lt;H416),"SÍ","")</f>
        <v>SÍ</v>
      </c>
      <c r="X416" s="3" t="str">
        <f aca="false">IF(OR(E416="SOBRE MAX VENDIBLE",N(N416)&gt;=Parametros!$B$17,N(M416)&gt;=Parametros!$B$17),"SÍ","")</f>
        <v/>
      </c>
      <c r="Y416" s="3" t="str">
        <f aca="false">IF(AND(ISNUMBER(U416),MAX(S416,T416)&gt;=Parametros!$B$15,ABS(N(U416))&gt;Parametros!$B$14),"SÍ","")</f>
        <v>SÍ</v>
      </c>
      <c r="Z416" s="3" t="n">
        <f aca="false">COUNTIF(V416:Y416,"SÍ")</f>
        <v>2</v>
      </c>
      <c r="AA416" s="3" t="n">
        <f aca="false">(3*(V416="SÍ")+2*(W416="SÍ")+2*(X416="SÍ")+(Y416="SÍ"))*IF(LEFT(D416,1)="A",3,IF(OR(LEFT(D416,1)="B",D416="SIN HIST"),2,1))</f>
        <v>3</v>
      </c>
      <c r="AB416" s="3" t="str">
        <f aca="false">IF(AA416&gt;=9,"1-ALTA",IF(AA416&gt;=4,"2-MEDIA",IF(AA416&gt;0,"3-BAJA","")))</f>
        <v>3-BAJA</v>
      </c>
      <c r="AC416" s="3" t="str">
        <f aca="false">IF(E416="BAJO SS","Stock + XLIB bajo el SS: riesgo real de quiebre, adelantar producción. ","")&amp;IF(E416="BAJO SS (XLIB CUBRE)","Disponible bajo el SS; depende de liberar "&amp;TEXT(J416,"#,##0")&amp;" kg"&amp;IF(ISNUMBER(K416)," el "&amp;TEXT(K416,"dd-mm"),"")&amp;". ","")&amp;IF(W416="SÍ","Stock parece sano pero "&amp;TEXT(L416,"#,##0")&amp;" kg no pasan filtro "&amp;Stock_Seguridad!O416&amp;": sin ellos queda bajo el SS para esa cadena. ","")&amp;IF(E416="SOBRE MAX VENDIBLE","Sobrestock vs vida útil: frenar producción/activar venta. ","")&amp;IF(N(N416)&gt;=Parametros!$B$17,TEXT(N416,"#,##0")&amp;" kg ya no los acepta ninguna cadena: venta intermedia/liquidación. ","")&amp;IF(N(M416)&gt;=Parametros!$B$17,TEXT(M416,"#,##0")&amp;" kg a punto de salir del filtro: despachar primero (FEFO). ","")&amp;IF(Y416="SÍ","Pedidos "&amp;IF(N(U416)&gt;0,"sobre","bajo")&amp;" FCST "&amp;TEXT(ABS(N(U416)),"0%")&amp;": revisar forecast con KAM.","")</f>
        <v>Stock parece sano pero 4,930 kg no pasan filtro WALMART: sin ellos queda bajo el SS para esa cadena. Pedidos bajo FCST 21%: revisar forecast con KAM.</v>
      </c>
    </row>
    <row r="417" customFormat="false" ht="15" hidden="false" customHeight="false" outlineLevel="0" collapsed="false">
      <c r="A417" s="18" t="n">
        <f aca="false">Stock_Seguridad!A417</f>
        <v>30000105</v>
      </c>
      <c r="B417" s="18" t="str">
        <f aca="false">Stock_Seguridad!B417</f>
        <v>MARGARINA CONDESA BATERKRIM VEGET 20X1KG</v>
      </c>
      <c r="C417" s="18" t="str">
        <f aca="false">Stock_Seguridad!C417</f>
        <v>MARGARINAS</v>
      </c>
      <c r="D417" s="18" t="str">
        <f aca="false">Stock_Seguridad!F417</f>
        <v>SIN HIST</v>
      </c>
      <c r="E417" s="19" t="str">
        <f aca="false">Stock_Seguridad!X417</f>
        <v>OK</v>
      </c>
      <c r="F417" s="20" t="n">
        <f aca="false">Stock_Seguridad!W417</f>
        <v>2.78395257753784</v>
      </c>
      <c r="G417" s="21" t="n">
        <f aca="false">Stock_Seguridad!T417</f>
        <v>5260</v>
      </c>
      <c r="H417" s="21" t="n">
        <f aca="false">Stock_Seguridad!R417</f>
        <v>932.335932828633</v>
      </c>
      <c r="I417" s="21" t="n">
        <f aca="false">Stock_Seguridad!S417</f>
        <v>2821.73593282863</v>
      </c>
      <c r="J417" s="21" t="n">
        <f aca="false">Stock_Seguridad!U417</f>
        <v>0</v>
      </c>
      <c r="K417" s="22"/>
      <c r="L417" s="23" t="n">
        <v>620</v>
      </c>
      <c r="M417" s="23" t="n">
        <v>4640</v>
      </c>
      <c r="N417" s="23" t="n">
        <v>0</v>
      </c>
      <c r="O417" s="24" t="n">
        <v>0.229125475285171</v>
      </c>
      <c r="P417" s="24" t="n">
        <f aca="false">IF(ISNUMBER(Stock_Seguridad!N417),Stock_Seguridad!N417,"")</f>
        <v>0.220408163265306</v>
      </c>
      <c r="Q417" s="24" t="n">
        <f aca="false">IF(AND(ISNUMBER(O417),ISNUMBER(P417)),P417-O417,"")</f>
        <v>-0.008717312019865</v>
      </c>
      <c r="R417" s="23" t="n">
        <f aca="false">MAX(0,G417-N(L417))</f>
        <v>4640</v>
      </c>
      <c r="S417" s="23" t="n">
        <f aca="false">SUMIFS(Cadenas_vs_FCST!$D$17:$D$2437,Cadenas_vs_FCST!$A$17:$A$2437,A417)</f>
        <v>0</v>
      </c>
      <c r="T417" s="23" t="n">
        <f aca="false">SUMIFS(Cadenas_vs_FCST!$E$17:$E$2437,Cadenas_vs_FCST!$A$17:$A$2437,A417)</f>
        <v>0</v>
      </c>
      <c r="U417" s="24" t="str">
        <f aca="false">IF(T417&gt;0,S417/T417-1,"")</f>
        <v/>
      </c>
      <c r="V417" s="3" t="str">
        <f aca="false">IF(OR(E417="BAJO SS",E417="BAJO SS (XLIB CUBRE)"),"SÍ","")</f>
        <v/>
      </c>
      <c r="W417" s="3" t="str">
        <f aca="false">IF(AND(V417="",N(L417)&gt;=Parametros!$B$17,G417&gt;=H417,R417&lt;H417),"SÍ","")</f>
        <v/>
      </c>
      <c r="X417" s="3" t="str">
        <f aca="false">IF(OR(E417="SOBRE MAX VENDIBLE",N(N417)&gt;=Parametros!$B$17,N(M417)&gt;=Parametros!$B$17),"SÍ","")</f>
        <v>SÍ</v>
      </c>
      <c r="Y417" s="3" t="str">
        <f aca="false">IF(AND(ISNUMBER(U417),MAX(S417,T417)&gt;=Parametros!$B$15,ABS(N(U417))&gt;Parametros!$B$14),"SÍ","")</f>
        <v/>
      </c>
      <c r="Z417" s="3" t="n">
        <f aca="false">COUNTIF(V417:Y417,"SÍ")</f>
        <v>1</v>
      </c>
      <c r="AA417" s="3" t="n">
        <f aca="false">(3*(V417="SÍ")+2*(W417="SÍ")+2*(X417="SÍ")+(Y417="SÍ"))*IF(LEFT(D417,1)="A",3,IF(OR(LEFT(D417,1)="B",D417="SIN HIST"),2,1))</f>
        <v>4</v>
      </c>
      <c r="AB417" s="3" t="str">
        <f aca="false">IF(AA417&gt;=9,"1-ALTA",IF(AA417&gt;=4,"2-MEDIA",IF(AA417&gt;0,"3-BAJA","")))</f>
        <v>2-MEDIA</v>
      </c>
      <c r="AC417" s="3" t="str">
        <f aca="false">IF(E417="BAJO SS","Stock + XLIB bajo el SS: riesgo real de quiebre, adelantar producción. ","")&amp;IF(E417="BAJO SS (XLIB CUBRE)","Disponible bajo el SS; depende de liberar "&amp;TEXT(J417,"#,##0")&amp;" kg"&amp;IF(ISNUMBER(K417)," el "&amp;TEXT(K417,"dd-mm"),"")&amp;". ","")&amp;IF(W417="SÍ","Stock parece sano pero "&amp;TEXT(L417,"#,##0")&amp;" kg no pasan filtro "&amp;Stock_Seguridad!O417&amp;": sin ellos queda bajo el SS para esa cadena. ","")&amp;IF(E417="SOBRE MAX VENDIBLE","Sobrestock vs vida útil: frenar producción/activar venta. ","")&amp;IF(N(N417)&gt;=Parametros!$B$17,TEXT(N417,"#,##0")&amp;" kg ya no los acepta ninguna cadena: venta intermedia/liquidación. ","")&amp;IF(N(M417)&gt;=Parametros!$B$17,TEXT(M417,"#,##0")&amp;" kg a punto de salir del filtro: despachar primero (FEFO). ","")&amp;IF(Y417="SÍ","Pedidos "&amp;IF(N(U417)&gt;0,"sobre","bajo")&amp;" FCST "&amp;TEXT(ABS(N(U417)),"0%")&amp;": revisar forecast con KAM.","")</f>
        <v>4,640 kg a punto de salir del filtro: despachar primero (FEFO). </v>
      </c>
    </row>
    <row r="418" customFormat="false" ht="15" hidden="false" customHeight="false" outlineLevel="0" collapsed="false">
      <c r="A418" s="18" t="n">
        <f aca="false">Stock_Seguridad!A418</f>
        <v>30000086</v>
      </c>
      <c r="B418" s="18" t="str">
        <f aca="false">Stock_Seguridad!B418</f>
        <v>MANTEQUILLA S/COL LONCO POTE 24X250GR</v>
      </c>
      <c r="C418" s="18" t="str">
        <f aca="false">Stock_Seguridad!C418</f>
        <v>MANTEQUILLAS</v>
      </c>
      <c r="D418" s="18" t="str">
        <f aca="false">Stock_Seguridad!F418</f>
        <v>CY</v>
      </c>
      <c r="E418" s="19" t="str">
        <f aca="false">Stock_Seguridad!X418</f>
        <v>OK</v>
      </c>
      <c r="F418" s="20" t="n">
        <f aca="false">Stock_Seguridad!W418</f>
        <v>5.4816</v>
      </c>
      <c r="G418" s="21" t="n">
        <f aca="false">Stock_Seguridad!T418</f>
        <v>10278</v>
      </c>
      <c r="H418" s="21" t="n">
        <f aca="false">Stock_Seguridad!R418</f>
        <v>925.273080552413</v>
      </c>
      <c r="I418" s="21" t="n">
        <f aca="false">Stock_Seguridad!S418</f>
        <v>2800.27308055241</v>
      </c>
      <c r="J418" s="21" t="n">
        <f aca="false">Stock_Seguridad!U418</f>
        <v>0</v>
      </c>
      <c r="K418" s="22"/>
      <c r="L418" s="23" t="n">
        <v>228</v>
      </c>
      <c r="M418" s="23" t="n">
        <v>0</v>
      </c>
      <c r="N418" s="23" t="n">
        <v>228</v>
      </c>
      <c r="O418" s="24" t="n">
        <v>0.0965128504672897</v>
      </c>
      <c r="P418" s="24" t="n">
        <f aca="false">IF(ISNUMBER(Stock_Seguridad!N418),Stock_Seguridad!N418,"")</f>
        <v>0.244565217391304</v>
      </c>
      <c r="Q418" s="24" t="n">
        <f aca="false">IF(AND(ISNUMBER(O418),ISNUMBER(P418)),P418-O418,"")</f>
        <v>0.148052366924015</v>
      </c>
      <c r="R418" s="23" t="n">
        <f aca="false">MAX(0,G418-N(L418))</f>
        <v>10050</v>
      </c>
      <c r="S418" s="23" t="n">
        <f aca="false">SUMIFS(Cadenas_vs_FCST!$D$17:$D$2437,Cadenas_vs_FCST!$A$17:$A$2437,A418)</f>
        <v>9714</v>
      </c>
      <c r="T418" s="23" t="n">
        <f aca="false">SUMIFS(Cadenas_vs_FCST!$E$17:$E$2437,Cadenas_vs_FCST!$A$17:$A$2437,A418)</f>
        <v>8778.81935583556</v>
      </c>
      <c r="U418" s="24" t="n">
        <f aca="false">IF(T418&gt;0,S418/T418-1,"")</f>
        <v>0.106526926487307</v>
      </c>
      <c r="V418" s="3" t="str">
        <f aca="false">IF(OR(E418="BAJO SS",E418="BAJO SS (XLIB CUBRE)"),"SÍ","")</f>
        <v/>
      </c>
      <c r="W418" s="3" t="str">
        <f aca="false">IF(AND(V418="",N(L418)&gt;=Parametros!$B$17,G418&gt;=H418,R418&lt;H418),"SÍ","")</f>
        <v/>
      </c>
      <c r="X418" s="3" t="str">
        <f aca="false">IF(OR(E418="SOBRE MAX VENDIBLE",N(N418)&gt;=Parametros!$B$17,N(M418)&gt;=Parametros!$B$17),"SÍ","")</f>
        <v/>
      </c>
      <c r="Y418" s="3" t="str">
        <f aca="false">IF(AND(ISNUMBER(U418),MAX(S418,T418)&gt;=Parametros!$B$15,ABS(N(U418))&gt;Parametros!$B$14),"SÍ","")</f>
        <v/>
      </c>
      <c r="Z418" s="3" t="n">
        <f aca="false">COUNTIF(V418:Y418,"SÍ")</f>
        <v>0</v>
      </c>
      <c r="AA418" s="3" t="n">
        <f aca="false">(3*(V418="SÍ")+2*(W418="SÍ")+2*(X418="SÍ")+(Y418="SÍ"))*IF(LEFT(D418,1)="A",3,IF(OR(LEFT(D418,1)="B",D418="SIN HIST"),2,1))</f>
        <v>0</v>
      </c>
      <c r="AB418" s="3" t="str">
        <f aca="false">IF(AA418&gt;=9,"1-ALTA",IF(AA418&gt;=4,"2-MEDIA",IF(AA418&gt;0,"3-BAJA","")))</f>
        <v/>
      </c>
      <c r="AC418" s="3" t="str">
        <f aca="false">IF(E418="BAJO SS","Stock + XLIB bajo el SS: riesgo real de quiebre, adelantar producción. ","")&amp;IF(E418="BAJO SS (XLIB CUBRE)","Disponible bajo el SS; depende de liberar "&amp;TEXT(J418,"#,##0")&amp;" kg"&amp;IF(ISNUMBER(K418)," el "&amp;TEXT(K418,"dd-mm"),"")&amp;". ","")&amp;IF(W418="SÍ","Stock parece sano pero "&amp;TEXT(L418,"#,##0")&amp;" kg no pasan filtro "&amp;Stock_Seguridad!O418&amp;": sin ellos queda bajo el SS para esa cadena. ","")&amp;IF(E418="SOBRE MAX VENDIBLE","Sobrestock vs vida útil: frenar producción/activar venta. ","")&amp;IF(N(N418)&gt;=Parametros!$B$17,TEXT(N418,"#,##0")&amp;" kg ya no los acepta ninguna cadena: venta intermedia/liquidación. ","")&amp;IF(N(M418)&gt;=Parametros!$B$17,TEXT(M418,"#,##0")&amp;" kg a punto de salir del filtro: despachar primero (FEFO). ","")&amp;IF(Y418="SÍ","Pedidos "&amp;IF(N(U418)&gt;0,"sobre","bajo")&amp;" FCST "&amp;TEXT(ABS(N(U418)),"0%")&amp;": revisar forecast con KAM.","")</f>
        <v/>
      </c>
    </row>
    <row r="419" customFormat="false" ht="15" hidden="false" customHeight="false" outlineLevel="0" collapsed="false">
      <c r="A419" s="18" t="n">
        <f aca="false">Stock_Seguridad!A419</f>
        <v>30000173</v>
      </c>
      <c r="B419" s="18" t="str">
        <f aca="false">Stock_Seguridad!B419</f>
        <v>MERMELADA WATTS S/A DZNO DOYPACK 12X350G</v>
      </c>
      <c r="C419" s="18" t="str">
        <f aca="false">Stock_Seguridad!C419</f>
        <v>MERMELADAS</v>
      </c>
      <c r="D419" s="18" t="str">
        <f aca="false">Stock_Seguridad!F419</f>
        <v>CX</v>
      </c>
      <c r="E419" s="19" t="str">
        <f aca="false">Stock_Seguridad!X419</f>
        <v>BAJO P.REORDEN</v>
      </c>
      <c r="F419" s="20" t="n">
        <f aca="false">Stock_Seguridad!W419</f>
        <v>1.72845980948304</v>
      </c>
      <c r="G419" s="21" t="n">
        <f aca="false">Stock_Seguridad!T419</f>
        <v>3229.8</v>
      </c>
      <c r="H419" s="21" t="n">
        <f aca="false">Stock_Seguridad!R419</f>
        <v>1548.26362858242</v>
      </c>
      <c r="I419" s="21" t="n">
        <f aca="false">Stock_Seguridad!S419</f>
        <v>3416.86362858242</v>
      </c>
      <c r="J419" s="21" t="n">
        <f aca="false">Stock_Seguridad!U419</f>
        <v>0</v>
      </c>
      <c r="K419" s="22"/>
      <c r="L419" s="23" t="n">
        <v>96.6</v>
      </c>
      <c r="M419" s="23" t="n">
        <v>0</v>
      </c>
      <c r="N419" s="23" t="n">
        <v>88.2</v>
      </c>
      <c r="O419" s="24" t="n">
        <v>0.0542503259452412</v>
      </c>
      <c r="P419" s="24" t="n">
        <f aca="false">IF(ISNUMBER(Stock_Seguridad!N419),Stock_Seguridad!N419,"")</f>
        <v>0.190217391304348</v>
      </c>
      <c r="Q419" s="24" t="n">
        <f aca="false">IF(AND(ISNUMBER(O419),ISNUMBER(P419)),P419-O419,"")</f>
        <v>0.135967065359107</v>
      </c>
      <c r="R419" s="23" t="n">
        <f aca="false">MAX(0,G419-N(L419))</f>
        <v>3133.2</v>
      </c>
      <c r="S419" s="23" t="n">
        <f aca="false">SUMIFS(Cadenas_vs_FCST!$D$17:$D$2437,Cadenas_vs_FCST!$A$17:$A$2437,A419)</f>
        <v>10605</v>
      </c>
      <c r="T419" s="23" t="n">
        <f aca="false">SUMIFS(Cadenas_vs_FCST!$E$17:$E$2437,Cadenas_vs_FCST!$A$17:$A$2437,A419)</f>
        <v>5992.4</v>
      </c>
      <c r="U419" s="24" t="n">
        <f aca="false">IF(T419&gt;0,S419/T419-1,"")</f>
        <v>0.769741672785528</v>
      </c>
      <c r="V419" s="3" t="str">
        <f aca="false">IF(OR(E419="BAJO SS",E419="BAJO SS (XLIB CUBRE)"),"SÍ","")</f>
        <v/>
      </c>
      <c r="W419" s="3" t="str">
        <f aca="false">IF(AND(V419="",N(L419)&gt;=Parametros!$B$17,G419&gt;=H419,R419&lt;H419),"SÍ","")</f>
        <v/>
      </c>
      <c r="X419" s="3" t="str">
        <f aca="false">IF(OR(E419="SOBRE MAX VENDIBLE",N(N419)&gt;=Parametros!$B$17,N(M419)&gt;=Parametros!$B$17),"SÍ","")</f>
        <v/>
      </c>
      <c r="Y419" s="3" t="str">
        <f aca="false">IF(AND(ISNUMBER(U419),MAX(S419,T419)&gt;=Parametros!$B$15,ABS(N(U419))&gt;Parametros!$B$14),"SÍ","")</f>
        <v>SÍ</v>
      </c>
      <c r="Z419" s="3" t="n">
        <f aca="false">COUNTIF(V419:Y419,"SÍ")</f>
        <v>1</v>
      </c>
      <c r="AA419" s="3" t="n">
        <f aca="false">(3*(V419="SÍ")+2*(W419="SÍ")+2*(X419="SÍ")+(Y419="SÍ"))*IF(LEFT(D419,1)="A",3,IF(OR(LEFT(D419,1)="B",D419="SIN HIST"),2,1))</f>
        <v>1</v>
      </c>
      <c r="AB419" s="3" t="str">
        <f aca="false">IF(AA419&gt;=9,"1-ALTA",IF(AA419&gt;=4,"2-MEDIA",IF(AA419&gt;0,"3-BAJA","")))</f>
        <v>3-BAJA</v>
      </c>
      <c r="AC419" s="3" t="str">
        <f aca="false">IF(E419="BAJO SS","Stock + XLIB bajo el SS: riesgo real de quiebre, adelantar producción. ","")&amp;IF(E419="BAJO SS (XLIB CUBRE)","Disponible bajo el SS; depende de liberar "&amp;TEXT(J419,"#,##0")&amp;" kg"&amp;IF(ISNUMBER(K419)," el "&amp;TEXT(K419,"dd-mm"),"")&amp;". ","")&amp;IF(W419="SÍ","Stock parece sano pero "&amp;TEXT(L419,"#,##0")&amp;" kg no pasan filtro "&amp;Stock_Seguridad!O419&amp;": sin ellos queda bajo el SS para esa cadena. ","")&amp;IF(E419="SOBRE MAX VENDIBLE","Sobrestock vs vida útil: frenar producción/activar venta. ","")&amp;IF(N(N419)&gt;=Parametros!$B$17,TEXT(N419,"#,##0")&amp;" kg ya no los acepta ninguna cadena: venta intermedia/liquidación. ","")&amp;IF(N(M419)&gt;=Parametros!$B$17,TEXT(M419,"#,##0")&amp;" kg a punto de salir del filtro: despachar primero (FEFO). ","")&amp;IF(Y419="SÍ","Pedidos "&amp;IF(N(U419)&gt;0,"sobre","bajo")&amp;" FCST "&amp;TEXT(ABS(N(U419)),"0%")&amp;": revisar forecast con KAM.","")</f>
        <v>Pedidos sobre FCST 77%: revisar forecast con KAM.</v>
      </c>
    </row>
    <row r="420" customFormat="false" ht="15" hidden="false" customHeight="false" outlineLevel="0" collapsed="false">
      <c r="A420" s="18" t="n">
        <f aca="false">Stock_Seguridad!A420</f>
        <v>30000201</v>
      </c>
      <c r="B420" s="18" t="str">
        <f aca="false">Stock_Seguridad!B420</f>
        <v>JARABE DE REMOJO WATTS 4X5LT</v>
      </c>
      <c r="C420" s="18" t="str">
        <f aca="false">Stock_Seguridad!C420</f>
        <v>JARABE DE REMOJO</v>
      </c>
      <c r="D420" s="18" t="str">
        <f aca="false">Stock_Seguridad!F420</f>
        <v>SIN HIST</v>
      </c>
      <c r="E420" s="19" t="str">
        <f aca="false">Stock_Seguridad!X420</f>
        <v>OK</v>
      </c>
      <c r="F420" s="20" t="n">
        <f aca="false">Stock_Seguridad!W420</f>
        <v>3.28943832303144</v>
      </c>
      <c r="G420" s="21" t="n">
        <f aca="false">Stock_Seguridad!T420</f>
        <v>6120</v>
      </c>
      <c r="H420" s="21" t="n">
        <f aca="false">Stock_Seguridad!R420</f>
        <v>918.075051882964</v>
      </c>
      <c r="I420" s="21" t="n">
        <f aca="false">Stock_Seguridad!S420</f>
        <v>2778.57505188296</v>
      </c>
      <c r="J420" s="21" t="n">
        <f aca="false">Stock_Seguridad!U420</f>
        <v>0</v>
      </c>
      <c r="K420" s="22"/>
      <c r="L420" s="23" t="n">
        <v>6120</v>
      </c>
      <c r="M420" s="23" t="n">
        <v>0</v>
      </c>
      <c r="N420" s="23" t="n">
        <v>0</v>
      </c>
      <c r="O420" s="24" t="n">
        <v>0.283627450980392</v>
      </c>
      <c r="P420" s="24" t="n">
        <f aca="false">IF(ISNUMBER(Stock_Seguridad!N420),Stock_Seguridad!N420,"")</f>
        <v>0.236734693877551</v>
      </c>
      <c r="Q420" s="24" t="n">
        <f aca="false">IF(AND(ISNUMBER(O420),ISNUMBER(P420)),P420-O420,"")</f>
        <v>-0.0468927571028412</v>
      </c>
      <c r="R420" s="23" t="n">
        <f aca="false">MAX(0,G420-N(L420))</f>
        <v>0</v>
      </c>
      <c r="S420" s="23" t="n">
        <f aca="false">SUMIFS(Cadenas_vs_FCST!$D$17:$D$2437,Cadenas_vs_FCST!$A$17:$A$2437,A420)</f>
        <v>0</v>
      </c>
      <c r="T420" s="23" t="n">
        <f aca="false">SUMIFS(Cadenas_vs_FCST!$E$17:$E$2437,Cadenas_vs_FCST!$A$17:$A$2437,A420)</f>
        <v>0</v>
      </c>
      <c r="U420" s="24" t="str">
        <f aca="false">IF(T420&gt;0,S420/T420-1,"")</f>
        <v/>
      </c>
      <c r="V420" s="3" t="str">
        <f aca="false">IF(OR(E420="BAJO SS",E420="BAJO SS (XLIB CUBRE)"),"SÍ","")</f>
        <v/>
      </c>
      <c r="W420" s="3" t="str">
        <f aca="false">IF(AND(V420="",N(L420)&gt;=Parametros!$B$17,G420&gt;=H420,R420&lt;H420),"SÍ","")</f>
        <v>SÍ</v>
      </c>
      <c r="X420" s="3" t="str">
        <f aca="false">IF(OR(E420="SOBRE MAX VENDIBLE",N(N420)&gt;=Parametros!$B$17,N(M420)&gt;=Parametros!$B$17),"SÍ","")</f>
        <v/>
      </c>
      <c r="Y420" s="3" t="str">
        <f aca="false">IF(AND(ISNUMBER(U420),MAX(S420,T420)&gt;=Parametros!$B$15,ABS(N(U420))&gt;Parametros!$B$14),"SÍ","")</f>
        <v/>
      </c>
      <c r="Z420" s="3" t="n">
        <f aca="false">COUNTIF(V420:Y420,"SÍ")</f>
        <v>1</v>
      </c>
      <c r="AA420" s="3" t="n">
        <f aca="false">(3*(V420="SÍ")+2*(W420="SÍ")+2*(X420="SÍ")+(Y420="SÍ"))*IF(LEFT(D420,1)="A",3,IF(OR(LEFT(D420,1)="B",D420="SIN HIST"),2,1))</f>
        <v>4</v>
      </c>
      <c r="AB420" s="3" t="str">
        <f aca="false">IF(AA420&gt;=9,"1-ALTA",IF(AA420&gt;=4,"2-MEDIA",IF(AA420&gt;0,"3-BAJA","")))</f>
        <v>2-MEDIA</v>
      </c>
      <c r="AC420" s="3" t="str">
        <f aca="false">IF(E420="BAJO SS","Stock + XLIB bajo el SS: riesgo real de quiebre, adelantar producción. ","")&amp;IF(E420="BAJO SS (XLIB CUBRE)","Disponible bajo el SS; depende de liberar "&amp;TEXT(J420,"#,##0")&amp;" kg"&amp;IF(ISNUMBER(K420)," el "&amp;TEXT(K420,"dd-mm"),"")&amp;". ","")&amp;IF(W420="SÍ","Stock parece sano pero "&amp;TEXT(L420,"#,##0")&amp;" kg no pasan filtro "&amp;Stock_Seguridad!O420&amp;": sin ellos queda bajo el SS para esa cadena. ","")&amp;IF(E420="SOBRE MAX VENDIBLE","Sobrestock vs vida útil: frenar producción/activar venta. ","")&amp;IF(N(N420)&gt;=Parametros!$B$17,TEXT(N420,"#,##0")&amp;" kg ya no los acepta ninguna cadena: venta intermedia/liquidación. ","")&amp;IF(N(M420)&gt;=Parametros!$B$17,TEXT(M420,"#,##0")&amp;" kg a punto de salir del filtro: despachar primero (FEFO). ","")&amp;IF(Y420="SÍ","Pedidos "&amp;IF(N(U420)&gt;0,"sobre","bajo")&amp;" FCST "&amp;TEXT(ABS(N(U420)),"0%")&amp;": revisar forecast con KAM.","")</f>
        <v>Stock parece sano pero 6,120 kg no pasan filtro CENCOSUD CENTRAL: sin ellos queda bajo el SS para esa cadena. </v>
      </c>
    </row>
    <row r="421" customFormat="false" ht="15" hidden="false" customHeight="false" outlineLevel="0" collapsed="false">
      <c r="A421" s="18" t="n">
        <f aca="false">Stock_Seguridad!A421</f>
        <v>30001915</v>
      </c>
      <c r="B421" s="18" t="str">
        <f aca="false">Stock_Seguridad!B421</f>
        <v>PREPARADO HELADO NARANJA TETRA 12X1LT</v>
      </c>
      <c r="C421" s="18" t="str">
        <f aca="false">Stock_Seguridad!C421</f>
        <v>PREPARADOS DE HELADO</v>
      </c>
      <c r="D421" s="18" t="str">
        <f aca="false">Stock_Seguridad!F421</f>
        <v>SIN HIST</v>
      </c>
      <c r="E421" s="19" t="str">
        <f aca="false">Stock_Seguridad!X421</f>
        <v>OK</v>
      </c>
      <c r="F421" s="20" t="n">
        <f aca="false">Stock_Seguridad!W421</f>
        <v>6.57887664606289</v>
      </c>
      <c r="G421" s="21" t="n">
        <f aca="false">Stock_Seguridad!T421</f>
        <v>12240</v>
      </c>
      <c r="H421" s="21" t="n">
        <f aca="false">Stock_Seguridad!R421</f>
        <v>918.075051882964</v>
      </c>
      <c r="I421" s="21" t="n">
        <f aca="false">Stock_Seguridad!S421</f>
        <v>2778.57505188296</v>
      </c>
      <c r="J421" s="21" t="n">
        <f aca="false">Stock_Seguridad!U421</f>
        <v>0</v>
      </c>
      <c r="K421" s="22"/>
      <c r="L421" s="23" t="n">
        <v>924</v>
      </c>
      <c r="M421" s="23" t="n">
        <v>0</v>
      </c>
      <c r="N421" s="23" t="n">
        <v>0</v>
      </c>
      <c r="O421" s="24" t="n">
        <v>0.0666078431372549</v>
      </c>
      <c r="P421" s="24" t="n">
        <f aca="false">IF(ISNUMBER(Stock_Seguridad!N421),Stock_Seguridad!N421,"")</f>
        <v>0.26</v>
      </c>
      <c r="Q421" s="24" t="n">
        <f aca="false">IF(AND(ISNUMBER(O421),ISNUMBER(P421)),P421-O421,"")</f>
        <v>0.193392156862745</v>
      </c>
      <c r="R421" s="23" t="n">
        <f aca="false">MAX(0,G421-N(L421))</f>
        <v>11316</v>
      </c>
      <c r="S421" s="23" t="n">
        <f aca="false">SUMIFS(Cadenas_vs_FCST!$D$17:$D$2437,Cadenas_vs_FCST!$A$17:$A$2437,A421)</f>
        <v>0</v>
      </c>
      <c r="T421" s="23" t="n">
        <f aca="false">SUMIFS(Cadenas_vs_FCST!$E$17:$E$2437,Cadenas_vs_FCST!$A$17:$A$2437,A421)</f>
        <v>0</v>
      </c>
      <c r="U421" s="24" t="str">
        <f aca="false">IF(T421&gt;0,S421/T421-1,"")</f>
        <v/>
      </c>
      <c r="V421" s="3" t="str">
        <f aca="false">IF(OR(E421="BAJO SS",E421="BAJO SS (XLIB CUBRE)"),"SÍ","")</f>
        <v/>
      </c>
      <c r="W421" s="3" t="str">
        <f aca="false">IF(AND(V421="",N(L421)&gt;=Parametros!$B$17,G421&gt;=H421,R421&lt;H421),"SÍ","")</f>
        <v/>
      </c>
      <c r="X421" s="3" t="str">
        <f aca="false">IF(OR(E421="SOBRE MAX VENDIBLE",N(N421)&gt;=Parametros!$B$17,N(M421)&gt;=Parametros!$B$17),"SÍ","")</f>
        <v/>
      </c>
      <c r="Y421" s="3" t="str">
        <f aca="false">IF(AND(ISNUMBER(U421),MAX(S421,T421)&gt;=Parametros!$B$15,ABS(N(U421))&gt;Parametros!$B$14),"SÍ","")</f>
        <v/>
      </c>
      <c r="Z421" s="3" t="n">
        <f aca="false">COUNTIF(V421:Y421,"SÍ")</f>
        <v>0</v>
      </c>
      <c r="AA421" s="3" t="n">
        <f aca="false">(3*(V421="SÍ")+2*(W421="SÍ")+2*(X421="SÍ")+(Y421="SÍ"))*IF(LEFT(D421,1)="A",3,IF(OR(LEFT(D421,1)="B",D421="SIN HIST"),2,1))</f>
        <v>0</v>
      </c>
      <c r="AB421" s="3" t="str">
        <f aca="false">IF(AA421&gt;=9,"1-ALTA",IF(AA421&gt;=4,"2-MEDIA",IF(AA421&gt;0,"3-BAJA","")))</f>
        <v/>
      </c>
      <c r="AC421" s="3" t="str">
        <f aca="false">IF(E421="BAJO SS","Stock + XLIB bajo el SS: riesgo real de quiebre, adelantar producción. ","")&amp;IF(E421="BAJO SS (XLIB CUBRE)","Disponible bajo el SS; depende de liberar "&amp;TEXT(J421,"#,##0")&amp;" kg"&amp;IF(ISNUMBER(K421)," el "&amp;TEXT(K421,"dd-mm"),"")&amp;". ","")&amp;IF(W421="SÍ","Stock parece sano pero "&amp;TEXT(L421,"#,##0")&amp;" kg no pasan filtro "&amp;Stock_Seguridad!O421&amp;": sin ellos queda bajo el SS para esa cadena. ","")&amp;IF(E421="SOBRE MAX VENDIBLE","Sobrestock vs vida útil: frenar producción/activar venta. ","")&amp;IF(N(N421)&gt;=Parametros!$B$17,TEXT(N421,"#,##0")&amp;" kg ya no los acepta ninguna cadena: venta intermedia/liquidación. ","")&amp;IF(N(M421)&gt;=Parametros!$B$17,TEXT(M421,"#,##0")&amp;" kg a punto de salir del filtro: despachar primero (FEFO). ","")&amp;IF(Y421="SÍ","Pedidos "&amp;IF(N(U421)&gt;0,"sobre","bajo")&amp;" FCST "&amp;TEXT(ABS(N(U421)),"0%")&amp;": revisar forecast con KAM.","")</f>
        <v/>
      </c>
    </row>
    <row r="422" customFormat="false" ht="15" hidden="false" customHeight="false" outlineLevel="0" collapsed="false">
      <c r="A422" s="18" t="n">
        <f aca="false">Stock_Seguridad!A422</f>
        <v>30000603</v>
      </c>
      <c r="B422" s="18" t="str">
        <f aca="false">Stock_Seguridad!B422</f>
        <v>DURAZNO MITADES WASIL 06XA10</v>
      </c>
      <c r="C422" s="18" t="str">
        <f aca="false">Stock_Seguridad!C422</f>
        <v>CONSERVAS Y PLATOS LISTOS</v>
      </c>
      <c r="D422" s="18" t="str">
        <f aca="false">Stock_Seguridad!F422</f>
        <v>SIN HIST</v>
      </c>
      <c r="E422" s="19" t="str">
        <f aca="false">Stock_Seguridad!X422</f>
        <v>OK</v>
      </c>
      <c r="F422" s="20" t="n">
        <f aca="false">Stock_Seguridad!W422</f>
        <v>18.3724805159903</v>
      </c>
      <c r="G422" s="21" t="n">
        <f aca="false">Stock_Seguridad!T422</f>
        <v>34182</v>
      </c>
      <c r="H422" s="21" t="n">
        <f aca="false">Stock_Seguridad!R422</f>
        <v>918.075051882964</v>
      </c>
      <c r="I422" s="21" t="n">
        <f aca="false">Stock_Seguridad!S422</f>
        <v>2778.57505188296</v>
      </c>
      <c r="J422" s="21" t="n">
        <f aca="false">Stock_Seguridad!U422</f>
        <v>0</v>
      </c>
      <c r="K422" s="22"/>
      <c r="L422" s="23" t="n">
        <v>7920</v>
      </c>
      <c r="M422" s="23" t="n">
        <v>0</v>
      </c>
      <c r="N422" s="23" t="n">
        <v>0</v>
      </c>
      <c r="O422" s="24" t="n">
        <v>0.212102212855638</v>
      </c>
      <c r="P422" s="24" t="n">
        <f aca="false">IF(ISNUMBER(Stock_Seguridad!N422),Stock_Seguridad!N422,"")</f>
        <v>0.49041095890411</v>
      </c>
      <c r="Q422" s="24" t="n">
        <f aca="false">IF(AND(ISNUMBER(O422),ISNUMBER(P422)),P422-O422,"")</f>
        <v>0.278308746048472</v>
      </c>
      <c r="R422" s="23" t="n">
        <f aca="false">MAX(0,G422-N(L422))</f>
        <v>26262</v>
      </c>
      <c r="S422" s="23" t="n">
        <f aca="false">SUMIFS(Cadenas_vs_FCST!$D$17:$D$2437,Cadenas_vs_FCST!$A$17:$A$2437,A422)</f>
        <v>0</v>
      </c>
      <c r="T422" s="23" t="n">
        <f aca="false">SUMIFS(Cadenas_vs_FCST!$E$17:$E$2437,Cadenas_vs_FCST!$A$17:$A$2437,A422)</f>
        <v>0</v>
      </c>
      <c r="U422" s="24" t="str">
        <f aca="false">IF(T422&gt;0,S422/T422-1,"")</f>
        <v/>
      </c>
      <c r="V422" s="3" t="str">
        <f aca="false">IF(OR(E422="BAJO SS",E422="BAJO SS (XLIB CUBRE)"),"SÍ","")</f>
        <v/>
      </c>
      <c r="W422" s="3" t="str">
        <f aca="false">IF(AND(V422="",N(L422)&gt;=Parametros!$B$17,G422&gt;=H422,R422&lt;H422),"SÍ","")</f>
        <v/>
      </c>
      <c r="X422" s="3" t="str">
        <f aca="false">IF(OR(E422="SOBRE MAX VENDIBLE",N(N422)&gt;=Parametros!$B$17,N(M422)&gt;=Parametros!$B$17),"SÍ","")</f>
        <v/>
      </c>
      <c r="Y422" s="3" t="str">
        <f aca="false">IF(AND(ISNUMBER(U422),MAX(S422,T422)&gt;=Parametros!$B$15,ABS(N(U422))&gt;Parametros!$B$14),"SÍ","")</f>
        <v/>
      </c>
      <c r="Z422" s="3" t="n">
        <f aca="false">COUNTIF(V422:Y422,"SÍ")</f>
        <v>0</v>
      </c>
      <c r="AA422" s="3" t="n">
        <f aca="false">(3*(V422="SÍ")+2*(W422="SÍ")+2*(X422="SÍ")+(Y422="SÍ"))*IF(LEFT(D422,1)="A",3,IF(OR(LEFT(D422,1)="B",D422="SIN HIST"),2,1))</f>
        <v>0</v>
      </c>
      <c r="AB422" s="3" t="str">
        <f aca="false">IF(AA422&gt;=9,"1-ALTA",IF(AA422&gt;=4,"2-MEDIA",IF(AA422&gt;0,"3-BAJA","")))</f>
        <v/>
      </c>
      <c r="AC422" s="3" t="str">
        <f aca="false">IF(E422="BAJO SS","Stock + XLIB bajo el SS: riesgo real de quiebre, adelantar producción. ","")&amp;IF(E422="BAJO SS (XLIB CUBRE)","Disponible bajo el SS; depende de liberar "&amp;TEXT(J422,"#,##0")&amp;" kg"&amp;IF(ISNUMBER(K422)," el "&amp;TEXT(K422,"dd-mm"),"")&amp;". ","")&amp;IF(W422="SÍ","Stock parece sano pero "&amp;TEXT(L422,"#,##0")&amp;" kg no pasan filtro "&amp;Stock_Seguridad!O422&amp;": sin ellos queda bajo el SS para esa cadena. ","")&amp;IF(E422="SOBRE MAX VENDIBLE","Sobrestock vs vida útil: frenar producción/activar venta. ","")&amp;IF(N(N422)&gt;=Parametros!$B$17,TEXT(N422,"#,##0")&amp;" kg ya no los acepta ninguna cadena: venta intermedia/liquidación. ","")&amp;IF(N(M422)&gt;=Parametros!$B$17,TEXT(M422,"#,##0")&amp;" kg a punto de salir del filtro: despachar primero (FEFO). ","")&amp;IF(Y422="SÍ","Pedidos "&amp;IF(N(U422)&gt;0,"sobre","bajo")&amp;" FCST "&amp;TEXT(ABS(N(U422)),"0%")&amp;": revisar forecast con KAM.","")</f>
        <v/>
      </c>
    </row>
    <row r="423" customFormat="false" ht="15" hidden="false" customHeight="false" outlineLevel="0" collapsed="false">
      <c r="A423" s="18" t="n">
        <f aca="false">Stock_Seguridad!A423</f>
        <v>30001920</v>
      </c>
      <c r="B423" s="18" t="str">
        <f aca="false">Stock_Seguridad!B423</f>
        <v>LECHE CONDENSADA LONCOLECHE 4X5KG</v>
      </c>
      <c r="C423" s="18" t="str">
        <f aca="false">Stock_Seguridad!C423</f>
        <v>LECHE CONDENSADA</v>
      </c>
      <c r="D423" s="18" t="str">
        <f aca="false">Stock_Seguridad!F423</f>
        <v>SIN HIST</v>
      </c>
      <c r="E423" s="19" t="str">
        <f aca="false">Stock_Seguridad!X423</f>
        <v>OK</v>
      </c>
      <c r="F423" s="20" t="n">
        <f aca="false">Stock_Seguridad!W423</f>
        <v>7.7613544746036</v>
      </c>
      <c r="G423" s="21" t="n">
        <f aca="false">Stock_Seguridad!T423</f>
        <v>14440</v>
      </c>
      <c r="H423" s="21" t="n">
        <f aca="false">Stock_Seguridad!R423</f>
        <v>918.075051882964</v>
      </c>
      <c r="I423" s="21" t="n">
        <f aca="false">Stock_Seguridad!S423</f>
        <v>2778.57505188296</v>
      </c>
      <c r="J423" s="21" t="n">
        <f aca="false">Stock_Seguridad!U423</f>
        <v>0</v>
      </c>
      <c r="K423" s="22"/>
      <c r="L423" s="23" t="n">
        <v>2040</v>
      </c>
      <c r="M423" s="23" t="n">
        <v>0</v>
      </c>
      <c r="N423" s="23" t="n">
        <v>2040</v>
      </c>
      <c r="O423" s="24" t="n">
        <v>0.403905817174515</v>
      </c>
      <c r="P423" s="24" t="n">
        <f aca="false">IF(ISNUMBER(Stock_Seguridad!N423),Stock_Seguridad!N423,"")</f>
        <v>0.485714285714286</v>
      </c>
      <c r="Q423" s="24" t="n">
        <f aca="false">IF(AND(ISNUMBER(O423),ISNUMBER(P423)),P423-O423,"")</f>
        <v>0.0818084685397706</v>
      </c>
      <c r="R423" s="23" t="n">
        <f aca="false">MAX(0,G423-N(L423))</f>
        <v>12400</v>
      </c>
      <c r="S423" s="23" t="n">
        <f aca="false">SUMIFS(Cadenas_vs_FCST!$D$17:$D$2437,Cadenas_vs_FCST!$A$17:$A$2437,A423)</f>
        <v>0</v>
      </c>
      <c r="T423" s="23" t="n">
        <f aca="false">SUMIFS(Cadenas_vs_FCST!$E$17:$E$2437,Cadenas_vs_FCST!$A$17:$A$2437,A423)</f>
        <v>0</v>
      </c>
      <c r="U423" s="24" t="str">
        <f aca="false">IF(T423&gt;0,S423/T423-1,"")</f>
        <v/>
      </c>
      <c r="V423" s="3" t="str">
        <f aca="false">IF(OR(E423="BAJO SS",E423="BAJO SS (XLIB CUBRE)"),"SÍ","")</f>
        <v/>
      </c>
      <c r="W423" s="3" t="str">
        <f aca="false">IF(AND(V423="",N(L423)&gt;=Parametros!$B$17,G423&gt;=H423,R423&lt;H423),"SÍ","")</f>
        <v/>
      </c>
      <c r="X423" s="3" t="str">
        <f aca="false">IF(OR(E423="SOBRE MAX VENDIBLE",N(N423)&gt;=Parametros!$B$17,N(M423)&gt;=Parametros!$B$17),"SÍ","")</f>
        <v>SÍ</v>
      </c>
      <c r="Y423" s="3" t="str">
        <f aca="false">IF(AND(ISNUMBER(U423),MAX(S423,T423)&gt;=Parametros!$B$15,ABS(N(U423))&gt;Parametros!$B$14),"SÍ","")</f>
        <v/>
      </c>
      <c r="Z423" s="3" t="n">
        <f aca="false">COUNTIF(V423:Y423,"SÍ")</f>
        <v>1</v>
      </c>
      <c r="AA423" s="3" t="n">
        <f aca="false">(3*(V423="SÍ")+2*(W423="SÍ")+2*(X423="SÍ")+(Y423="SÍ"))*IF(LEFT(D423,1)="A",3,IF(OR(LEFT(D423,1)="B",D423="SIN HIST"),2,1))</f>
        <v>4</v>
      </c>
      <c r="AB423" s="3" t="str">
        <f aca="false">IF(AA423&gt;=9,"1-ALTA",IF(AA423&gt;=4,"2-MEDIA",IF(AA423&gt;0,"3-BAJA","")))</f>
        <v>2-MEDIA</v>
      </c>
      <c r="AC423" s="3" t="str">
        <f aca="false">IF(E423="BAJO SS","Stock + XLIB bajo el SS: riesgo real de quiebre, adelantar producción. ","")&amp;IF(E423="BAJO SS (XLIB CUBRE)","Disponible bajo el SS; depende de liberar "&amp;TEXT(J423,"#,##0")&amp;" kg"&amp;IF(ISNUMBER(K423)," el "&amp;TEXT(K423,"dd-mm"),"")&amp;". ","")&amp;IF(W423="SÍ","Stock parece sano pero "&amp;TEXT(L423,"#,##0")&amp;" kg no pasan filtro "&amp;Stock_Seguridad!O423&amp;": sin ellos queda bajo el SS para esa cadena. ","")&amp;IF(E423="SOBRE MAX VENDIBLE","Sobrestock vs vida útil: frenar producción/activar venta. ","")&amp;IF(N(N423)&gt;=Parametros!$B$17,TEXT(N423,"#,##0")&amp;" kg ya no los acepta ninguna cadena: venta intermedia/liquidación. ","")&amp;IF(N(M423)&gt;=Parametros!$B$17,TEXT(M423,"#,##0")&amp;" kg a punto de salir del filtro: despachar primero (FEFO). ","")&amp;IF(Y423="SÍ","Pedidos "&amp;IF(N(U423)&gt;0,"sobre","bajo")&amp;" FCST "&amp;TEXT(ABS(N(U423)),"0%")&amp;": revisar forecast con KAM.","")</f>
        <v>2,040 kg ya no los acepta ninguna cadena: venta intermedia/liquidación. </v>
      </c>
    </row>
    <row r="424" customFormat="false" ht="15" hidden="false" customHeight="false" outlineLevel="0" collapsed="false">
      <c r="A424" s="18" t="n">
        <f aca="false">Stock_Seguridad!A424</f>
        <v>30000747</v>
      </c>
      <c r="B424" s="18" t="str">
        <f aca="false">Stock_Seguridad!B424</f>
        <v>POROTO VERDE CA IQF 7X2KG</v>
      </c>
      <c r="C424" s="18" t="str">
        <f aca="false">Stock_Seguridad!C424</f>
        <v>FRUTAS Y HORTALIZAS CONGELADAS</v>
      </c>
      <c r="D424" s="18" t="str">
        <f aca="false">Stock_Seguridad!F424</f>
        <v>SIN HIST</v>
      </c>
      <c r="E424" s="19" t="str">
        <f aca="false">Stock_Seguridad!X424</f>
        <v>OK</v>
      </c>
      <c r="F424" s="20" t="n">
        <f aca="false">Stock_Seguridad!W424</f>
        <v>13.3490997043805</v>
      </c>
      <c r="G424" s="21" t="n">
        <f aca="false">Stock_Seguridad!T424</f>
        <v>24836</v>
      </c>
      <c r="H424" s="21" t="n">
        <f aca="false">Stock_Seguridad!R424</f>
        <v>918.075051882964</v>
      </c>
      <c r="I424" s="21" t="n">
        <f aca="false">Stock_Seguridad!S424</f>
        <v>2778.57505188296</v>
      </c>
      <c r="J424" s="21" t="n">
        <f aca="false">Stock_Seguridad!U424</f>
        <v>0</v>
      </c>
      <c r="K424" s="22"/>
      <c r="L424" s="23" t="n">
        <v>0</v>
      </c>
      <c r="M424" s="23" t="n">
        <v>0</v>
      </c>
      <c r="N424" s="23" t="n">
        <v>0</v>
      </c>
      <c r="O424" s="24" t="n">
        <v>0.139261555806088</v>
      </c>
      <c r="P424" s="24" t="str">
        <f aca="false">IF(ISNUMBER(Stock_Seguridad!N424),Stock_Seguridad!N424,"")</f>
        <v/>
      </c>
      <c r="Q424" s="24" t="str">
        <f aca="false">IF(AND(ISNUMBER(O424),ISNUMBER(P424)),P424-O424,"")</f>
        <v/>
      </c>
      <c r="R424" s="23" t="n">
        <f aca="false">MAX(0,G424-N(L424))</f>
        <v>24836</v>
      </c>
      <c r="S424" s="23" t="n">
        <f aca="false">SUMIFS(Cadenas_vs_FCST!$D$17:$D$2437,Cadenas_vs_FCST!$A$17:$A$2437,A424)</f>
        <v>0</v>
      </c>
      <c r="T424" s="23" t="n">
        <f aca="false">SUMIFS(Cadenas_vs_FCST!$E$17:$E$2437,Cadenas_vs_FCST!$A$17:$A$2437,A424)</f>
        <v>0</v>
      </c>
      <c r="U424" s="24" t="str">
        <f aca="false">IF(T424&gt;0,S424/T424-1,"")</f>
        <v/>
      </c>
      <c r="V424" s="3" t="str">
        <f aca="false">IF(OR(E424="BAJO SS",E424="BAJO SS (XLIB CUBRE)"),"SÍ","")</f>
        <v/>
      </c>
      <c r="W424" s="3" t="str">
        <f aca="false">IF(AND(V424="",N(L424)&gt;=Parametros!$B$17,G424&gt;=H424,R424&lt;H424),"SÍ","")</f>
        <v/>
      </c>
      <c r="X424" s="3" t="str">
        <f aca="false">IF(OR(E424="SOBRE MAX VENDIBLE",N(N424)&gt;=Parametros!$B$17,N(M424)&gt;=Parametros!$B$17),"SÍ","")</f>
        <v/>
      </c>
      <c r="Y424" s="3" t="str">
        <f aca="false">IF(AND(ISNUMBER(U424),MAX(S424,T424)&gt;=Parametros!$B$15,ABS(N(U424))&gt;Parametros!$B$14),"SÍ","")</f>
        <v/>
      </c>
      <c r="Z424" s="3" t="n">
        <f aca="false">COUNTIF(V424:Y424,"SÍ")</f>
        <v>0</v>
      </c>
      <c r="AA424" s="3" t="n">
        <f aca="false">(3*(V424="SÍ")+2*(W424="SÍ")+2*(X424="SÍ")+(Y424="SÍ"))*IF(LEFT(D424,1)="A",3,IF(OR(LEFT(D424,1)="B",D424="SIN HIST"),2,1))</f>
        <v>0</v>
      </c>
      <c r="AB424" s="3" t="str">
        <f aca="false">IF(AA424&gt;=9,"1-ALTA",IF(AA424&gt;=4,"2-MEDIA",IF(AA424&gt;0,"3-BAJA","")))</f>
        <v/>
      </c>
      <c r="AC424" s="3" t="str">
        <f aca="false">IF(E424="BAJO SS","Stock + XLIB bajo el SS: riesgo real de quiebre, adelantar producción. ","")&amp;IF(E424="BAJO SS (XLIB CUBRE)","Disponible bajo el SS; depende de liberar "&amp;TEXT(J424,"#,##0")&amp;" kg"&amp;IF(ISNUMBER(K424)," el "&amp;TEXT(K424,"dd-mm"),"")&amp;". ","")&amp;IF(W424="SÍ","Stock parece sano pero "&amp;TEXT(L424,"#,##0")&amp;" kg no pasan filtro "&amp;Stock_Seguridad!O424&amp;": sin ellos queda bajo el SS para esa cadena. ","")&amp;IF(E424="SOBRE MAX VENDIBLE","Sobrestock vs vida útil: frenar producción/activar venta. ","")&amp;IF(N(N424)&gt;=Parametros!$B$17,TEXT(N424,"#,##0")&amp;" kg ya no los acepta ninguna cadena: venta intermedia/liquidación. ","")&amp;IF(N(M424)&gt;=Parametros!$B$17,TEXT(M424,"#,##0")&amp;" kg a punto de salir del filtro: despachar primero (FEFO). ","")&amp;IF(Y424="SÍ","Pedidos "&amp;IF(N(U424)&gt;0,"sobre","bajo")&amp;" FCST "&amp;TEXT(ABS(N(U424)),"0%")&amp;": revisar forecast con KAM.","")</f>
        <v/>
      </c>
    </row>
    <row r="425" customFormat="false" ht="15" hidden="false" customHeight="false" outlineLevel="0" collapsed="false">
      <c r="A425" s="18" t="n">
        <f aca="false">Stock_Seguridad!A425</f>
        <v>30000315</v>
      </c>
      <c r="B425" s="18" t="str">
        <f aca="false">Stock_Seguridad!B425</f>
        <v>QUESO MOZARELLA CAJA 2X3,5KG</v>
      </c>
      <c r="C425" s="18" t="str">
        <f aca="false">Stock_Seguridad!C425</f>
        <v>QUESOS</v>
      </c>
      <c r="D425" s="18" t="str">
        <f aca="false">Stock_Seguridad!F425</f>
        <v>SIN HIST</v>
      </c>
      <c r="E425" s="19" t="str">
        <f aca="false">Stock_Seguridad!X425</f>
        <v>BAJO SS</v>
      </c>
      <c r="F425" s="20" t="n">
        <f aca="false">Stock_Seguridad!W425</f>
        <v>0.428916957807041</v>
      </c>
      <c r="G425" s="21" t="n">
        <f aca="false">Stock_Seguridad!T425</f>
        <v>798</v>
      </c>
      <c r="H425" s="21" t="n">
        <f aca="false">Stock_Seguridad!R425</f>
        <v>918.075051882964</v>
      </c>
      <c r="I425" s="21" t="n">
        <f aca="false">Stock_Seguridad!S425</f>
        <v>2778.57505188296</v>
      </c>
      <c r="J425" s="21" t="n">
        <f aca="false">Stock_Seguridad!U425</f>
        <v>0</v>
      </c>
      <c r="K425" s="22"/>
      <c r="L425" s="23" t="n">
        <v>0</v>
      </c>
      <c r="M425" s="23" t="n">
        <v>469</v>
      </c>
      <c r="N425" s="23" t="n">
        <v>0</v>
      </c>
      <c r="O425" s="24" t="n">
        <v>0.158859649122807</v>
      </c>
      <c r="P425" s="24" t="n">
        <f aca="false">IF(ISNUMBER(Stock_Seguridad!N425),Stock_Seguridad!N425,"")</f>
        <v>0.215686274509804</v>
      </c>
      <c r="Q425" s="24" t="n">
        <f aca="false">IF(AND(ISNUMBER(O425),ISNUMBER(P425)),P425-O425,"")</f>
        <v>0.0568266253869969</v>
      </c>
      <c r="R425" s="23" t="n">
        <f aca="false">MAX(0,G425-N(L425))</f>
        <v>798</v>
      </c>
      <c r="S425" s="23" t="n">
        <f aca="false">SUMIFS(Cadenas_vs_FCST!$D$17:$D$2437,Cadenas_vs_FCST!$A$17:$A$2437,A425)</f>
        <v>0</v>
      </c>
      <c r="T425" s="23" t="n">
        <f aca="false">SUMIFS(Cadenas_vs_FCST!$E$17:$E$2437,Cadenas_vs_FCST!$A$17:$A$2437,A425)</f>
        <v>0</v>
      </c>
      <c r="U425" s="24" t="str">
        <f aca="false">IF(T425&gt;0,S425/T425-1,"")</f>
        <v/>
      </c>
      <c r="V425" s="3" t="str">
        <f aca="false">IF(OR(E425="BAJO SS",E425="BAJO SS (XLIB CUBRE)"),"SÍ","")</f>
        <v>SÍ</v>
      </c>
      <c r="W425" s="3" t="str">
        <f aca="false">IF(AND(V425="",N(L425)&gt;=Parametros!$B$17,G425&gt;=H425,R425&lt;H425),"SÍ","")</f>
        <v/>
      </c>
      <c r="X425" s="3" t="str">
        <f aca="false">IF(OR(E425="SOBRE MAX VENDIBLE",N(N425)&gt;=Parametros!$B$17,N(M425)&gt;=Parametros!$B$17),"SÍ","")</f>
        <v/>
      </c>
      <c r="Y425" s="3" t="str">
        <f aca="false">IF(AND(ISNUMBER(U425),MAX(S425,T425)&gt;=Parametros!$B$15,ABS(N(U425))&gt;Parametros!$B$14),"SÍ","")</f>
        <v/>
      </c>
      <c r="Z425" s="3" t="n">
        <f aca="false">COUNTIF(V425:Y425,"SÍ")</f>
        <v>1</v>
      </c>
      <c r="AA425" s="3" t="n">
        <f aca="false">(3*(V425="SÍ")+2*(W425="SÍ")+2*(X425="SÍ")+(Y425="SÍ"))*IF(LEFT(D425,1)="A",3,IF(OR(LEFT(D425,1)="B",D425="SIN HIST"),2,1))</f>
        <v>6</v>
      </c>
      <c r="AB425" s="3" t="str">
        <f aca="false">IF(AA425&gt;=9,"1-ALTA",IF(AA425&gt;=4,"2-MEDIA",IF(AA425&gt;0,"3-BAJA","")))</f>
        <v>2-MEDIA</v>
      </c>
      <c r="AC425" s="3" t="str">
        <f aca="false">IF(E425="BAJO SS","Stock + XLIB bajo el SS: riesgo real de quiebre, adelantar producción. ","")&amp;IF(E425="BAJO SS (XLIB CUBRE)","Disponible bajo el SS; depende de liberar "&amp;TEXT(J425,"#,##0")&amp;" kg"&amp;IF(ISNUMBER(K425)," el "&amp;TEXT(K425,"dd-mm"),"")&amp;". ","")&amp;IF(W425="SÍ","Stock parece sano pero "&amp;TEXT(L425,"#,##0")&amp;" kg no pasan filtro "&amp;Stock_Seguridad!O425&amp;": sin ellos queda bajo el SS para esa cadena. ","")&amp;IF(E425="SOBRE MAX VENDIBLE","Sobrestock vs vida útil: frenar producción/activar venta. ","")&amp;IF(N(N425)&gt;=Parametros!$B$17,TEXT(N425,"#,##0")&amp;" kg ya no los acepta ninguna cadena: venta intermedia/liquidación. ","")&amp;IF(N(M425)&gt;=Parametros!$B$17,TEXT(M425,"#,##0")&amp;" kg a punto de salir del filtro: despachar primero (FEFO). ","")&amp;IF(Y425="SÍ","Pedidos "&amp;IF(N(U425)&gt;0,"sobre","bajo")&amp;" FCST "&amp;TEXT(ABS(N(U425)),"0%")&amp;": revisar forecast con KAM.","")</f>
        <v>Stock + XLIB bajo el SS: riesgo real de quiebre, adelantar producción. </v>
      </c>
    </row>
    <row r="426" customFormat="false" ht="15" hidden="false" customHeight="false" outlineLevel="0" collapsed="false">
      <c r="A426" s="18" t="n">
        <f aca="false">Stock_Seguridad!A426</f>
        <v>30000792</v>
      </c>
      <c r="B426" s="18" t="str">
        <f aca="false">Stock_Seguridad!B426</f>
        <v>FRUTILLA CONVENCIONAL IQF 6X2KG</v>
      </c>
      <c r="C426" s="18" t="str">
        <f aca="false">Stock_Seguridad!C426</f>
        <v>FRUTAS Y HORTALIZAS CONGELADAS</v>
      </c>
      <c r="D426" s="18" t="str">
        <f aca="false">Stock_Seguridad!F426</f>
        <v>SIN HIST</v>
      </c>
      <c r="E426" s="19" t="str">
        <f aca="false">Stock_Seguridad!X426</f>
        <v>OK</v>
      </c>
      <c r="F426" s="20" t="n">
        <f aca="false">Stock_Seguridad!W426</f>
        <v>5.30146541934786</v>
      </c>
      <c r="G426" s="21" t="n">
        <f aca="false">Stock_Seguridad!T426</f>
        <v>9804</v>
      </c>
      <c r="H426" s="21" t="n">
        <f aca="false">Stock_Seguridad!R426</f>
        <v>912.548343696407</v>
      </c>
      <c r="I426" s="21" t="n">
        <f aca="false">Stock_Seguridad!S426</f>
        <v>2761.84834369641</v>
      </c>
      <c r="J426" s="21" t="n">
        <f aca="false">Stock_Seguridad!U426</f>
        <v>0</v>
      </c>
      <c r="K426" s="22"/>
      <c r="L426" s="23" t="n">
        <v>0</v>
      </c>
      <c r="M426" s="23" t="n">
        <v>0</v>
      </c>
      <c r="N426" s="23" t="n">
        <v>0</v>
      </c>
      <c r="O426" s="24" t="n">
        <v>0.0572460220318238</v>
      </c>
      <c r="P426" s="24" t="str">
        <f aca="false">IF(ISNUMBER(Stock_Seguridad!N426),Stock_Seguridad!N426,"")</f>
        <v/>
      </c>
      <c r="Q426" s="24" t="str">
        <f aca="false">IF(AND(ISNUMBER(O426),ISNUMBER(P426)),P426-O426,"")</f>
        <v/>
      </c>
      <c r="R426" s="23" t="n">
        <f aca="false">MAX(0,G426-N(L426))</f>
        <v>9804</v>
      </c>
      <c r="S426" s="23" t="n">
        <f aca="false">SUMIFS(Cadenas_vs_FCST!$D$17:$D$2437,Cadenas_vs_FCST!$A$17:$A$2437,A426)</f>
        <v>0</v>
      </c>
      <c r="T426" s="23" t="n">
        <f aca="false">SUMIFS(Cadenas_vs_FCST!$E$17:$E$2437,Cadenas_vs_FCST!$A$17:$A$2437,A426)</f>
        <v>0</v>
      </c>
      <c r="U426" s="24" t="str">
        <f aca="false">IF(T426&gt;0,S426/T426-1,"")</f>
        <v/>
      </c>
      <c r="V426" s="3" t="str">
        <f aca="false">IF(OR(E426="BAJO SS",E426="BAJO SS (XLIB CUBRE)"),"SÍ","")</f>
        <v/>
      </c>
      <c r="W426" s="3" t="str">
        <f aca="false">IF(AND(V426="",N(L426)&gt;=Parametros!$B$17,G426&gt;=H426,R426&lt;H426),"SÍ","")</f>
        <v/>
      </c>
      <c r="X426" s="3" t="str">
        <f aca="false">IF(OR(E426="SOBRE MAX VENDIBLE",N(N426)&gt;=Parametros!$B$17,N(M426)&gt;=Parametros!$B$17),"SÍ","")</f>
        <v/>
      </c>
      <c r="Y426" s="3" t="str">
        <f aca="false">IF(AND(ISNUMBER(U426),MAX(S426,T426)&gt;=Parametros!$B$15,ABS(N(U426))&gt;Parametros!$B$14),"SÍ","")</f>
        <v/>
      </c>
      <c r="Z426" s="3" t="n">
        <f aca="false">COUNTIF(V426:Y426,"SÍ")</f>
        <v>0</v>
      </c>
      <c r="AA426" s="3" t="n">
        <f aca="false">(3*(V426="SÍ")+2*(W426="SÍ")+2*(X426="SÍ")+(Y426="SÍ"))*IF(LEFT(D426,1)="A",3,IF(OR(LEFT(D426,1)="B",D426="SIN HIST"),2,1))</f>
        <v>0</v>
      </c>
      <c r="AB426" s="3" t="str">
        <f aca="false">IF(AA426&gt;=9,"1-ALTA",IF(AA426&gt;=4,"2-MEDIA",IF(AA426&gt;0,"3-BAJA","")))</f>
        <v/>
      </c>
      <c r="AC426" s="3" t="str">
        <f aca="false">IF(E426="BAJO SS","Stock + XLIB bajo el SS: riesgo real de quiebre, adelantar producción. ","")&amp;IF(E426="BAJO SS (XLIB CUBRE)","Disponible bajo el SS; depende de liberar "&amp;TEXT(J426,"#,##0")&amp;" kg"&amp;IF(ISNUMBER(K426)," el "&amp;TEXT(K426,"dd-mm"),"")&amp;". ","")&amp;IF(W426="SÍ","Stock parece sano pero "&amp;TEXT(L426,"#,##0")&amp;" kg no pasan filtro "&amp;Stock_Seguridad!O426&amp;": sin ellos queda bajo el SS para esa cadena. ","")&amp;IF(E426="SOBRE MAX VENDIBLE","Sobrestock vs vida útil: frenar producción/activar venta. ","")&amp;IF(N(N426)&gt;=Parametros!$B$17,TEXT(N426,"#,##0")&amp;" kg ya no los acepta ninguna cadena: venta intermedia/liquidación. ","")&amp;IF(N(M426)&gt;=Parametros!$B$17,TEXT(M426,"#,##0")&amp;" kg a punto de salir del filtro: despachar primero (FEFO). ","")&amp;IF(Y426="SÍ","Pedidos "&amp;IF(N(U426)&gt;0,"sobre","bajo")&amp;" FCST "&amp;TEXT(ABS(N(U426)),"0%")&amp;": revisar forecast con KAM.","")</f>
        <v/>
      </c>
    </row>
    <row r="427" customFormat="false" ht="15" hidden="false" customHeight="false" outlineLevel="0" collapsed="false">
      <c r="A427" s="18" t="n">
        <f aca="false">Stock_Seguridad!A427</f>
        <v>30000641</v>
      </c>
      <c r="B427" s="18" t="str">
        <f aca="false">Stock_Seguridad!B427</f>
        <v>PAPAYAS TROCITOS WASIL 16X380GR</v>
      </c>
      <c r="C427" s="18" t="str">
        <f aca="false">Stock_Seguridad!C427</f>
        <v>CONSERVAS Y PLATOS LISTOS</v>
      </c>
      <c r="D427" s="18" t="str">
        <f aca="false">Stock_Seguridad!F427</f>
        <v>CY</v>
      </c>
      <c r="E427" s="19" t="str">
        <f aca="false">Stock_Seguridad!X427</f>
        <v>OK</v>
      </c>
      <c r="F427" s="20" t="n">
        <f aca="false">Stock_Seguridad!W427</f>
        <v>9.98788408011789</v>
      </c>
      <c r="G427" s="21" t="n">
        <f aca="false">Stock_Seguridad!T427</f>
        <v>18300.8</v>
      </c>
      <c r="H427" s="21" t="n">
        <f aca="false">Stock_Seguridad!R427</f>
        <v>1271.57239867954</v>
      </c>
      <c r="I427" s="21" t="n">
        <f aca="false">Stock_Seguridad!S427</f>
        <v>3103.87239867954</v>
      </c>
      <c r="J427" s="21" t="n">
        <f aca="false">Stock_Seguridad!U427</f>
        <v>0</v>
      </c>
      <c r="K427" s="22"/>
      <c r="L427" s="23" t="n">
        <v>0</v>
      </c>
      <c r="M427" s="23" t="n">
        <v>0</v>
      </c>
      <c r="N427" s="23" t="n">
        <v>0</v>
      </c>
      <c r="O427" s="24" t="n">
        <v>0.03859375</v>
      </c>
      <c r="P427" s="24" t="n">
        <f aca="false">IF(ISNUMBER(Stock_Seguridad!N427),Stock_Seguridad!N427,"")</f>
        <v>0.328767123287671</v>
      </c>
      <c r="Q427" s="24" t="n">
        <f aca="false">IF(AND(ISNUMBER(O427),ISNUMBER(P427)),P427-O427,"")</f>
        <v>0.290173373287671</v>
      </c>
      <c r="R427" s="23" t="n">
        <f aca="false">MAX(0,G427-N(L427))</f>
        <v>18300.8</v>
      </c>
      <c r="S427" s="23" t="n">
        <f aca="false">SUMIFS(Cadenas_vs_FCST!$D$17:$D$2437,Cadenas_vs_FCST!$A$17:$A$2437,A427)</f>
        <v>7551.36</v>
      </c>
      <c r="T427" s="23" t="n">
        <f aca="false">SUMIFS(Cadenas_vs_FCST!$E$17:$E$2437,Cadenas_vs_FCST!$A$17:$A$2437,A427)</f>
        <v>7664.8</v>
      </c>
      <c r="U427" s="24" t="n">
        <f aca="false">IF(T427&gt;0,S427/T427-1,"")</f>
        <v>-0.0148001252478865</v>
      </c>
      <c r="V427" s="3" t="str">
        <f aca="false">IF(OR(E427="BAJO SS",E427="BAJO SS (XLIB CUBRE)"),"SÍ","")</f>
        <v/>
      </c>
      <c r="W427" s="3" t="str">
        <f aca="false">IF(AND(V427="",N(L427)&gt;=Parametros!$B$17,G427&gt;=H427,R427&lt;H427),"SÍ","")</f>
        <v/>
      </c>
      <c r="X427" s="3" t="str">
        <f aca="false">IF(OR(E427="SOBRE MAX VENDIBLE",N(N427)&gt;=Parametros!$B$17,N(M427)&gt;=Parametros!$B$17),"SÍ","")</f>
        <v/>
      </c>
      <c r="Y427" s="3" t="str">
        <f aca="false">IF(AND(ISNUMBER(U427),MAX(S427,T427)&gt;=Parametros!$B$15,ABS(N(U427))&gt;Parametros!$B$14),"SÍ","")</f>
        <v/>
      </c>
      <c r="Z427" s="3" t="n">
        <f aca="false">COUNTIF(V427:Y427,"SÍ")</f>
        <v>0</v>
      </c>
      <c r="AA427" s="3" t="n">
        <f aca="false">(3*(V427="SÍ")+2*(W427="SÍ")+2*(X427="SÍ")+(Y427="SÍ"))*IF(LEFT(D427,1)="A",3,IF(OR(LEFT(D427,1)="B",D427="SIN HIST"),2,1))</f>
        <v>0</v>
      </c>
      <c r="AB427" s="3" t="str">
        <f aca="false">IF(AA427&gt;=9,"1-ALTA",IF(AA427&gt;=4,"2-MEDIA",IF(AA427&gt;0,"3-BAJA","")))</f>
        <v/>
      </c>
      <c r="AC427" s="3" t="str">
        <f aca="false">IF(E427="BAJO SS","Stock + XLIB bajo el SS: riesgo real de quiebre, adelantar producción. ","")&amp;IF(E427="BAJO SS (XLIB CUBRE)","Disponible bajo el SS; depende de liberar "&amp;TEXT(J427,"#,##0")&amp;" kg"&amp;IF(ISNUMBER(K427)," el "&amp;TEXT(K427,"dd-mm"),"")&amp;". ","")&amp;IF(W427="SÍ","Stock parece sano pero "&amp;TEXT(L427,"#,##0")&amp;" kg no pasan filtro "&amp;Stock_Seguridad!O427&amp;": sin ellos queda bajo el SS para esa cadena. ","")&amp;IF(E427="SOBRE MAX VENDIBLE","Sobrestock vs vida útil: frenar producción/activar venta. ","")&amp;IF(N(N427)&gt;=Parametros!$B$17,TEXT(N427,"#,##0")&amp;" kg ya no los acepta ninguna cadena: venta intermedia/liquidación. ","")&amp;IF(N(M427)&gt;=Parametros!$B$17,TEXT(M427,"#,##0")&amp;" kg a punto de salir del filtro: despachar primero (FEFO). ","")&amp;IF(Y427="SÍ","Pedidos "&amp;IF(N(U427)&gt;0,"sobre","bajo")&amp;" FCST "&amp;TEXT(ABS(N(U427)),"0%")&amp;": revisar forecast con KAM.","")</f>
        <v/>
      </c>
    </row>
    <row r="428" customFormat="false" ht="15" hidden="false" customHeight="false" outlineLevel="0" collapsed="false">
      <c r="A428" s="18" t="n">
        <f aca="false">Stock_Seguridad!A428</f>
        <v>30001886</v>
      </c>
      <c r="B428" s="18" t="str">
        <f aca="false">Stock_Seguridad!B428</f>
        <v>CASTANAS EN ALMIBAR WASIL 16X570GR</v>
      </c>
      <c r="C428" s="18" t="str">
        <f aca="false">Stock_Seguridad!C428</f>
        <v>CONSERVAS Y PLATOS LISTOS</v>
      </c>
      <c r="D428" s="18" t="str">
        <f aca="false">Stock_Seguridad!F428</f>
        <v>CY</v>
      </c>
      <c r="E428" s="19" t="str">
        <f aca="false">Stock_Seguridad!X428</f>
        <v>OK</v>
      </c>
      <c r="F428" s="20" t="n">
        <f aca="false">Stock_Seguridad!W428</f>
        <v>15.4993981177501</v>
      </c>
      <c r="G428" s="21" t="n">
        <f aca="false">Stock_Seguridad!T428</f>
        <v>27505.9</v>
      </c>
      <c r="H428" s="21" t="n">
        <f aca="false">Stock_Seguridad!R428</f>
        <v>1002.12827118832</v>
      </c>
      <c r="I428" s="21" t="n">
        <f aca="false">Stock_Seguridad!S428</f>
        <v>2829.72827118832</v>
      </c>
      <c r="J428" s="21" t="n">
        <f aca="false">Stock_Seguridad!U428</f>
        <v>820.8</v>
      </c>
      <c r="K428" s="22" t="n">
        <v>46284</v>
      </c>
      <c r="L428" s="23" t="n">
        <v>63.84</v>
      </c>
      <c r="M428" s="23" t="n">
        <v>36.48</v>
      </c>
      <c r="N428" s="23" t="n">
        <v>0</v>
      </c>
      <c r="O428" s="24" t="n">
        <v>0.0795235028976175</v>
      </c>
      <c r="P428" s="24" t="n">
        <f aca="false">IF(ISNUMBER(Stock_Seguridad!N428),Stock_Seguridad!N428,"")</f>
        <v>0.328767123287671</v>
      </c>
      <c r="Q428" s="24" t="n">
        <f aca="false">IF(AND(ISNUMBER(O428),ISNUMBER(P428)),P428-O428,"")</f>
        <v>0.249243620390054</v>
      </c>
      <c r="R428" s="23" t="n">
        <f aca="false">MAX(0,G428-N(L428))</f>
        <v>27442.06</v>
      </c>
      <c r="S428" s="23" t="n">
        <f aca="false">SUMIFS(Cadenas_vs_FCST!$D$17:$D$2437,Cadenas_vs_FCST!$A$17:$A$2437,A428)</f>
        <v>5399.04</v>
      </c>
      <c r="T428" s="23" t="n">
        <f aca="false">SUMIFS(Cadenas_vs_FCST!$E$17:$E$2437,Cadenas_vs_FCST!$A$17:$A$2437,A428)</f>
        <v>6995.92</v>
      </c>
      <c r="U428" s="24" t="n">
        <f aca="false">IF(T428&gt;0,S428/T428-1,"")</f>
        <v>-0.228258756532379</v>
      </c>
      <c r="V428" s="3" t="str">
        <f aca="false">IF(OR(E428="BAJO SS",E428="BAJO SS (XLIB CUBRE)"),"SÍ","")</f>
        <v/>
      </c>
      <c r="W428" s="3" t="str">
        <f aca="false">IF(AND(V428="",N(L428)&gt;=Parametros!$B$17,G428&gt;=H428,R428&lt;H428),"SÍ","")</f>
        <v/>
      </c>
      <c r="X428" s="3" t="str">
        <f aca="false">IF(OR(E428="SOBRE MAX VENDIBLE",N(N428)&gt;=Parametros!$B$17,N(M428)&gt;=Parametros!$B$17),"SÍ","")</f>
        <v/>
      </c>
      <c r="Y428" s="3" t="str">
        <f aca="false">IF(AND(ISNUMBER(U428),MAX(S428,T428)&gt;=Parametros!$B$15,ABS(N(U428))&gt;Parametros!$B$14),"SÍ","")</f>
        <v>SÍ</v>
      </c>
      <c r="Z428" s="3" t="n">
        <f aca="false">COUNTIF(V428:Y428,"SÍ")</f>
        <v>1</v>
      </c>
      <c r="AA428" s="3" t="n">
        <f aca="false">(3*(V428="SÍ")+2*(W428="SÍ")+2*(X428="SÍ")+(Y428="SÍ"))*IF(LEFT(D428,1)="A",3,IF(OR(LEFT(D428,1)="B",D428="SIN HIST"),2,1))</f>
        <v>1</v>
      </c>
      <c r="AB428" s="3" t="str">
        <f aca="false">IF(AA428&gt;=9,"1-ALTA",IF(AA428&gt;=4,"2-MEDIA",IF(AA428&gt;0,"3-BAJA","")))</f>
        <v>3-BAJA</v>
      </c>
      <c r="AC428" s="3" t="str">
        <f aca="false">IF(E428="BAJO SS","Stock + XLIB bajo el SS: riesgo real de quiebre, adelantar producción. ","")&amp;IF(E428="BAJO SS (XLIB CUBRE)","Disponible bajo el SS; depende de liberar "&amp;TEXT(J428,"#,##0")&amp;" kg"&amp;IF(ISNUMBER(K428)," el "&amp;TEXT(K428,"dd-mm"),"")&amp;". ","")&amp;IF(W428="SÍ","Stock parece sano pero "&amp;TEXT(L428,"#,##0")&amp;" kg no pasan filtro "&amp;Stock_Seguridad!O428&amp;": sin ellos queda bajo el SS para esa cadena. ","")&amp;IF(E428="SOBRE MAX VENDIBLE","Sobrestock vs vida útil: frenar producción/activar venta. ","")&amp;IF(N(N428)&gt;=Parametros!$B$17,TEXT(N428,"#,##0")&amp;" kg ya no los acepta ninguna cadena: venta intermedia/liquidación. ","")&amp;IF(N(M428)&gt;=Parametros!$B$17,TEXT(M428,"#,##0")&amp;" kg a punto de salir del filtro: despachar primero (FEFO). ","")&amp;IF(Y428="SÍ","Pedidos "&amp;IF(N(U428)&gt;0,"sobre","bajo")&amp;" FCST "&amp;TEXT(ABS(N(U428)),"0%")&amp;": revisar forecast con KAM.","")</f>
        <v>Pedidos bajo FCST 23%: revisar forecast con KAM.</v>
      </c>
    </row>
    <row r="429" customFormat="false" ht="15" hidden="false" customHeight="false" outlineLevel="0" collapsed="false">
      <c r="A429" s="18" t="n">
        <f aca="false">Stock_Seguridad!A429</f>
        <v>30000383</v>
      </c>
      <c r="B429" s="18" t="str">
        <f aca="false">Stock_Seguridad!B429</f>
        <v>CREMA S/LACT LONCOLECHE 12X1LT</v>
      </c>
      <c r="C429" s="18" t="str">
        <f aca="false">Stock_Seguridad!C429</f>
        <v>CREMA</v>
      </c>
      <c r="D429" s="18" t="str">
        <f aca="false">Stock_Seguridad!F429</f>
        <v>CX</v>
      </c>
      <c r="E429" s="19" t="str">
        <f aca="false">Stock_Seguridad!X429</f>
        <v>OK</v>
      </c>
      <c r="F429" s="20" t="n">
        <f aca="false">Stock_Seguridad!W429</f>
        <v>6.85620377978636</v>
      </c>
      <c r="G429" s="21" t="n">
        <f aca="false">Stock_Seguridad!T429</f>
        <v>12516</v>
      </c>
      <c r="H429" s="21" t="n">
        <f aca="false">Stock_Seguridad!R429</f>
        <v>1034.27848724815</v>
      </c>
      <c r="I429" s="21" t="n">
        <f aca="false">Stock_Seguridad!S429</f>
        <v>2859.77848724815</v>
      </c>
      <c r="J429" s="21" t="n">
        <f aca="false">Stock_Seguridad!U429</f>
        <v>0</v>
      </c>
      <c r="K429" s="22"/>
      <c r="L429" s="23" t="n">
        <v>12504</v>
      </c>
      <c r="M429" s="23" t="n">
        <v>0</v>
      </c>
      <c r="N429" s="23" t="n">
        <v>312</v>
      </c>
      <c r="O429" s="24" t="n">
        <v>0.364520153550864</v>
      </c>
      <c r="P429" s="24" t="n">
        <f aca="false">IF(ISNUMBER(Stock_Seguridad!N429),Stock_Seguridad!N429,"")</f>
        <v>0.259259259259259</v>
      </c>
      <c r="Q429" s="24" t="n">
        <f aca="false">IF(AND(ISNUMBER(O429),ISNUMBER(P429)),P429-O429,"")</f>
        <v>-0.105260894291604</v>
      </c>
      <c r="R429" s="23" t="n">
        <f aca="false">MAX(0,G429-N(L429))</f>
        <v>12</v>
      </c>
      <c r="S429" s="23" t="n">
        <f aca="false">SUMIFS(Cadenas_vs_FCST!$D$17:$D$2437,Cadenas_vs_FCST!$A$17:$A$2437,A429)</f>
        <v>5256</v>
      </c>
      <c r="T429" s="23" t="n">
        <f aca="false">SUMIFS(Cadenas_vs_FCST!$E$17:$E$2437,Cadenas_vs_FCST!$A$17:$A$2437,A429)</f>
        <v>6378.22511683974</v>
      </c>
      <c r="U429" s="24" t="n">
        <f aca="false">IF(T429&gt;0,S429/T429-1,"")</f>
        <v>-0.175946301091953</v>
      </c>
      <c r="V429" s="3" t="str">
        <f aca="false">IF(OR(E429="BAJO SS",E429="BAJO SS (XLIB CUBRE)"),"SÍ","")</f>
        <v/>
      </c>
      <c r="W429" s="3" t="str">
        <f aca="false">IF(AND(V429="",N(L429)&gt;=Parametros!$B$17,G429&gt;=H429,R429&lt;H429),"SÍ","")</f>
        <v>SÍ</v>
      </c>
      <c r="X429" s="3" t="str">
        <f aca="false">IF(OR(E429="SOBRE MAX VENDIBLE",N(N429)&gt;=Parametros!$B$17,N(M429)&gt;=Parametros!$B$17),"SÍ","")</f>
        <v/>
      </c>
      <c r="Y429" s="3" t="str">
        <f aca="false">IF(AND(ISNUMBER(U429),MAX(S429,T429)&gt;=Parametros!$B$15,ABS(N(U429))&gt;Parametros!$B$14),"SÍ","")</f>
        <v/>
      </c>
      <c r="Z429" s="3" t="n">
        <f aca="false">COUNTIF(V429:Y429,"SÍ")</f>
        <v>1</v>
      </c>
      <c r="AA429" s="3" t="n">
        <f aca="false">(3*(V429="SÍ")+2*(W429="SÍ")+2*(X429="SÍ")+(Y429="SÍ"))*IF(LEFT(D429,1)="A",3,IF(OR(LEFT(D429,1)="B",D429="SIN HIST"),2,1))</f>
        <v>2</v>
      </c>
      <c r="AB429" s="3" t="str">
        <f aca="false">IF(AA429&gt;=9,"1-ALTA",IF(AA429&gt;=4,"2-MEDIA",IF(AA429&gt;0,"3-BAJA","")))</f>
        <v>3-BAJA</v>
      </c>
      <c r="AC429" s="3" t="str">
        <f aca="false">IF(E429="BAJO SS","Stock + XLIB bajo el SS: riesgo real de quiebre, adelantar producción. ","")&amp;IF(E429="BAJO SS (XLIB CUBRE)","Disponible bajo el SS; depende de liberar "&amp;TEXT(J429,"#,##0")&amp;" kg"&amp;IF(ISNUMBER(K429)," el "&amp;TEXT(K429,"dd-mm"),"")&amp;". ","")&amp;IF(W429="SÍ","Stock parece sano pero "&amp;TEXT(L429,"#,##0")&amp;" kg no pasan filtro "&amp;Stock_Seguridad!O429&amp;": sin ellos queda bajo el SS para esa cadena. ","")&amp;IF(E429="SOBRE MAX VENDIBLE","Sobrestock vs vida útil: frenar producción/activar venta. ","")&amp;IF(N(N429)&gt;=Parametros!$B$17,TEXT(N429,"#,##0")&amp;" kg ya no los acepta ninguna cadena: venta intermedia/liquidación. ","")&amp;IF(N(M429)&gt;=Parametros!$B$17,TEXT(M429,"#,##0")&amp;" kg a punto de salir del filtro: despachar primero (FEFO). ","")&amp;IF(Y429="SÍ","Pedidos "&amp;IF(N(U429)&gt;0,"sobre","bajo")&amp;" FCST "&amp;TEXT(ABS(N(U429)),"0%")&amp;": revisar forecast con KAM.","")</f>
        <v>Stock parece sano pero 12,504 kg no pasan filtro CENCOSUD CENTRAL: sin ellos queda bajo el SS para esa cadena. </v>
      </c>
    </row>
    <row r="430" customFormat="false" ht="15" hidden="false" customHeight="false" outlineLevel="0" collapsed="false">
      <c r="A430" s="18" t="n">
        <f aca="false">Stock_Seguridad!A430</f>
        <v>30000169</v>
      </c>
      <c r="B430" s="18" t="str">
        <f aca="false">Stock_Seguridad!B430</f>
        <v>MERMELADA WATTS S/A FRUTILLA SACH24X200G</v>
      </c>
      <c r="C430" s="18" t="str">
        <f aca="false">Stock_Seguridad!C430</f>
        <v>MERMELADAS</v>
      </c>
      <c r="D430" s="18" t="str">
        <f aca="false">Stock_Seguridad!F430</f>
        <v>CX</v>
      </c>
      <c r="E430" s="19" t="str">
        <f aca="false">Stock_Seguridad!X430</f>
        <v>OK</v>
      </c>
      <c r="F430" s="20" t="n">
        <f aca="false">Stock_Seguridad!W430</f>
        <v>3.39732044805623</v>
      </c>
      <c r="G430" s="21" t="n">
        <f aca="false">Stock_Seguridad!T430</f>
        <v>6187.2</v>
      </c>
      <c r="H430" s="21" t="n">
        <f aca="false">Stock_Seguridad!R430</f>
        <v>614.602775406464</v>
      </c>
      <c r="I430" s="21" t="n">
        <f aca="false">Stock_Seguridad!S430</f>
        <v>2435.80277540646</v>
      </c>
      <c r="J430" s="21" t="n">
        <f aca="false">Stock_Seguridad!U430</f>
        <v>0</v>
      </c>
      <c r="K430" s="22"/>
      <c r="L430" s="23" t="n">
        <v>288</v>
      </c>
      <c r="M430" s="23" t="n">
        <v>638.4</v>
      </c>
      <c r="N430" s="23" t="n">
        <v>288</v>
      </c>
      <c r="O430" s="24" t="n">
        <v>0.125462315462316</v>
      </c>
      <c r="P430" s="24" t="n">
        <f aca="false">IF(ISNUMBER(Stock_Seguridad!N430),Stock_Seguridad!N430,"")</f>
        <v>0.28804347826087</v>
      </c>
      <c r="Q430" s="24" t="n">
        <f aca="false">IF(AND(ISNUMBER(O430),ISNUMBER(P430)),P430-O430,"")</f>
        <v>0.162581162798554</v>
      </c>
      <c r="R430" s="23" t="n">
        <f aca="false">MAX(0,G430-N(L430))</f>
        <v>5899.2</v>
      </c>
      <c r="S430" s="23" t="n">
        <f aca="false">SUMIFS(Cadenas_vs_FCST!$D$17:$D$2437,Cadenas_vs_FCST!$A$17:$A$2437,A430)</f>
        <v>6844.8</v>
      </c>
      <c r="T430" s="23" t="n">
        <f aca="false">SUMIFS(Cadenas_vs_FCST!$E$17:$E$2437,Cadenas_vs_FCST!$A$17:$A$2437,A430)</f>
        <v>6804.14095965466</v>
      </c>
      <c r="U430" s="24" t="n">
        <f aca="false">IF(T430&gt;0,S430/T430-1,"")</f>
        <v>0.0059756316905295</v>
      </c>
      <c r="V430" s="3" t="str">
        <f aca="false">IF(OR(E430="BAJO SS",E430="BAJO SS (XLIB CUBRE)"),"SÍ","")</f>
        <v/>
      </c>
      <c r="W430" s="3" t="str">
        <f aca="false">IF(AND(V430="",N(L430)&gt;=Parametros!$B$17,G430&gt;=H430,R430&lt;H430),"SÍ","")</f>
        <v/>
      </c>
      <c r="X430" s="3" t="str">
        <f aca="false">IF(OR(E430="SOBRE MAX VENDIBLE",N(N430)&gt;=Parametros!$B$17,N(M430)&gt;=Parametros!$B$17),"SÍ","")</f>
        <v>SÍ</v>
      </c>
      <c r="Y430" s="3" t="str">
        <f aca="false">IF(AND(ISNUMBER(U430),MAX(S430,T430)&gt;=Parametros!$B$15,ABS(N(U430))&gt;Parametros!$B$14),"SÍ","")</f>
        <v/>
      </c>
      <c r="Z430" s="3" t="n">
        <f aca="false">COUNTIF(V430:Y430,"SÍ")</f>
        <v>1</v>
      </c>
      <c r="AA430" s="3" t="n">
        <f aca="false">(3*(V430="SÍ")+2*(W430="SÍ")+2*(X430="SÍ")+(Y430="SÍ"))*IF(LEFT(D430,1)="A",3,IF(OR(LEFT(D430,1)="B",D430="SIN HIST"),2,1))</f>
        <v>2</v>
      </c>
      <c r="AB430" s="3" t="str">
        <f aca="false">IF(AA430&gt;=9,"1-ALTA",IF(AA430&gt;=4,"2-MEDIA",IF(AA430&gt;0,"3-BAJA","")))</f>
        <v>3-BAJA</v>
      </c>
      <c r="AC430" s="3" t="str">
        <f aca="false">IF(E430="BAJO SS","Stock + XLIB bajo el SS: riesgo real de quiebre, adelantar producción. ","")&amp;IF(E430="BAJO SS (XLIB CUBRE)","Disponible bajo el SS; depende de liberar "&amp;TEXT(J430,"#,##0")&amp;" kg"&amp;IF(ISNUMBER(K430)," el "&amp;TEXT(K430,"dd-mm"),"")&amp;". ","")&amp;IF(W430="SÍ","Stock parece sano pero "&amp;TEXT(L430,"#,##0")&amp;" kg no pasan filtro "&amp;Stock_Seguridad!O430&amp;": sin ellos queda bajo el SS para esa cadena. ","")&amp;IF(E430="SOBRE MAX VENDIBLE","Sobrestock vs vida útil: frenar producción/activar venta. ","")&amp;IF(N(N430)&gt;=Parametros!$B$17,TEXT(N430,"#,##0")&amp;" kg ya no los acepta ninguna cadena: venta intermedia/liquidación. ","")&amp;IF(N(M430)&gt;=Parametros!$B$17,TEXT(M430,"#,##0")&amp;" kg a punto de salir del filtro: despachar primero (FEFO). ","")&amp;IF(Y430="SÍ","Pedidos "&amp;IF(N(U430)&gt;0,"sobre","bajo")&amp;" FCST "&amp;TEXT(ABS(N(U430)),"0%")&amp;": revisar forecast con KAM.","")</f>
        <v>638 kg a punto de salir del filtro: despachar primero (FEFO). </v>
      </c>
    </row>
    <row r="431" customFormat="false" ht="15" hidden="false" customHeight="false" outlineLevel="0" collapsed="false">
      <c r="A431" s="18" t="n">
        <f aca="false">Stock_Seguridad!A431</f>
        <v>30001474</v>
      </c>
      <c r="B431" s="18" t="str">
        <f aca="false">Stock_Seguridad!B431</f>
        <v>LECHE CULTIVAD LCO PROTEIN BERRIE6X900ML</v>
      </c>
      <c r="C431" s="18" t="str">
        <f aca="false">Stock_Seguridad!C431</f>
        <v>LECHES LIQUIDAS</v>
      </c>
      <c r="D431" s="18" t="str">
        <f aca="false">Stock_Seguridad!F431</f>
        <v>CX</v>
      </c>
      <c r="E431" s="19" t="str">
        <f aca="false">Stock_Seguridad!X431</f>
        <v>BAJO SS</v>
      </c>
      <c r="F431" s="20" t="n">
        <f aca="false">Stock_Seguridad!W431</f>
        <v>0.252364196173301</v>
      </c>
      <c r="G431" s="21" t="n">
        <f aca="false">Stock_Seguridad!T431</f>
        <v>459</v>
      </c>
      <c r="H431" s="21" t="n">
        <f aca="false">Stock_Seguridad!R431</f>
        <v>1434.37681491051</v>
      </c>
      <c r="I431" s="21" t="n">
        <f aca="false">Stock_Seguridad!S431</f>
        <v>3253.17681491051</v>
      </c>
      <c r="J431" s="21" t="n">
        <f aca="false">Stock_Seguridad!U431</f>
        <v>0</v>
      </c>
      <c r="K431" s="22"/>
      <c r="L431" s="23" t="n">
        <v>459</v>
      </c>
      <c r="M431" s="23" t="n">
        <v>0</v>
      </c>
      <c r="N431" s="23" t="n">
        <v>459</v>
      </c>
      <c r="O431" s="24" t="n">
        <v>0.58</v>
      </c>
      <c r="P431" s="24" t="n">
        <f aca="false">IF(ISNUMBER(Stock_Seguridad!N431),Stock_Seguridad!N431,"")</f>
        <v>0.3</v>
      </c>
      <c r="Q431" s="24" t="n">
        <f aca="false">IF(AND(ISNUMBER(O431),ISNUMBER(P431)),P431-O431,"")</f>
        <v>-0.28</v>
      </c>
      <c r="R431" s="23" t="n">
        <f aca="false">MAX(0,G431-N(L431))</f>
        <v>0</v>
      </c>
      <c r="S431" s="23" t="n">
        <f aca="false">SUMIFS(Cadenas_vs_FCST!$D$17:$D$2437,Cadenas_vs_FCST!$A$17:$A$2437,A431)</f>
        <v>8445.6</v>
      </c>
      <c r="T431" s="23" t="n">
        <f aca="false">SUMIFS(Cadenas_vs_FCST!$E$17:$E$2437,Cadenas_vs_FCST!$A$17:$A$2437,A431)</f>
        <v>11157.1840760461</v>
      </c>
      <c r="U431" s="24" t="n">
        <f aca="false">IF(T431&gt;0,S431/T431-1,"")</f>
        <v>-0.243034806772411</v>
      </c>
      <c r="V431" s="3" t="str">
        <f aca="false">IF(OR(E431="BAJO SS",E431="BAJO SS (XLIB CUBRE)"),"SÍ","")</f>
        <v>SÍ</v>
      </c>
      <c r="W431" s="3" t="str">
        <f aca="false">IF(AND(V431="",N(L431)&gt;=Parametros!$B$17,G431&gt;=H431,R431&lt;H431),"SÍ","")</f>
        <v/>
      </c>
      <c r="X431" s="3" t="str">
        <f aca="false">IF(OR(E431="SOBRE MAX VENDIBLE",N(N431)&gt;=Parametros!$B$17,N(M431)&gt;=Parametros!$B$17),"SÍ","")</f>
        <v/>
      </c>
      <c r="Y431" s="3" t="str">
        <f aca="false">IF(AND(ISNUMBER(U431),MAX(S431,T431)&gt;=Parametros!$B$15,ABS(N(U431))&gt;Parametros!$B$14),"SÍ","")</f>
        <v>SÍ</v>
      </c>
      <c r="Z431" s="3" t="n">
        <f aca="false">COUNTIF(V431:Y431,"SÍ")</f>
        <v>2</v>
      </c>
      <c r="AA431" s="3" t="n">
        <f aca="false">(3*(V431="SÍ")+2*(W431="SÍ")+2*(X431="SÍ")+(Y431="SÍ"))*IF(LEFT(D431,1)="A",3,IF(OR(LEFT(D431,1)="B",D431="SIN HIST"),2,1))</f>
        <v>4</v>
      </c>
      <c r="AB431" s="3" t="str">
        <f aca="false">IF(AA431&gt;=9,"1-ALTA",IF(AA431&gt;=4,"2-MEDIA",IF(AA431&gt;0,"3-BAJA","")))</f>
        <v>2-MEDIA</v>
      </c>
      <c r="AC431" s="3" t="str">
        <f aca="false">IF(E431="BAJO SS","Stock + XLIB bajo el SS: riesgo real de quiebre, adelantar producción. ","")&amp;IF(E431="BAJO SS (XLIB CUBRE)","Disponible bajo el SS; depende de liberar "&amp;TEXT(J431,"#,##0")&amp;" kg"&amp;IF(ISNUMBER(K431)," el "&amp;TEXT(K431,"dd-mm"),"")&amp;". ","")&amp;IF(W431="SÍ","Stock parece sano pero "&amp;TEXT(L431,"#,##0")&amp;" kg no pasan filtro "&amp;Stock_Seguridad!O431&amp;": sin ellos queda bajo el SS para esa cadena. ","")&amp;IF(E431="SOBRE MAX VENDIBLE","Sobrestock vs vida útil: frenar producción/activar venta. ","")&amp;IF(N(N431)&gt;=Parametros!$B$17,TEXT(N431,"#,##0")&amp;" kg ya no los acepta ninguna cadena: venta intermedia/liquidación. ","")&amp;IF(N(M431)&gt;=Parametros!$B$17,TEXT(M431,"#,##0")&amp;" kg a punto de salir del filtro: despachar primero (FEFO). ","")&amp;IF(Y431="SÍ","Pedidos "&amp;IF(N(U431)&gt;0,"sobre","bajo")&amp;" FCST "&amp;TEXT(ABS(N(U431)),"0%")&amp;": revisar forecast con KAM.","")</f>
        <v>Stock + XLIB bajo el SS: riesgo real de quiebre, adelantar producción. Pedidos bajo FCST 24%: revisar forecast con KAM.</v>
      </c>
    </row>
    <row r="432" customFormat="false" ht="15" hidden="false" customHeight="false" outlineLevel="0" collapsed="false">
      <c r="A432" s="18" t="n">
        <f aca="false">Stock_Seguridad!A432</f>
        <v>30002302</v>
      </c>
      <c r="B432" s="18" t="str">
        <f aca="false">Stock_Seguridad!B432</f>
        <v>SALSA WASIL POMODORO 24X200GR</v>
      </c>
      <c r="C432" s="18" t="str">
        <f aca="false">Stock_Seguridad!C432</f>
        <v>SALSAS</v>
      </c>
      <c r="D432" s="18" t="str">
        <f aca="false">Stock_Seguridad!F432</f>
        <v>CZ</v>
      </c>
      <c r="E432" s="19" t="str">
        <f aca="false">Stock_Seguridad!X432</f>
        <v>OK</v>
      </c>
      <c r="F432" s="20" t="n">
        <f aca="false">Stock_Seguridad!W432</f>
        <v>10.3070896551724</v>
      </c>
      <c r="G432" s="21" t="n">
        <f aca="false">Stock_Seguridad!T432</f>
        <v>18681.6</v>
      </c>
      <c r="H432" s="21" t="n">
        <f aca="false">Stock_Seguridad!R432</f>
        <v>1441.6042868314</v>
      </c>
      <c r="I432" s="21" t="n">
        <f aca="false">Stock_Seguridad!S432</f>
        <v>3254.1042868314</v>
      </c>
      <c r="J432" s="21" t="n">
        <f aca="false">Stock_Seguridad!U432</f>
        <v>0</v>
      </c>
      <c r="K432" s="22"/>
      <c r="L432" s="23" t="n">
        <v>0</v>
      </c>
      <c r="M432" s="23" t="n">
        <v>0</v>
      </c>
      <c r="N432" s="23" t="n">
        <v>0</v>
      </c>
      <c r="O432" s="24" t="n">
        <v>0.06</v>
      </c>
      <c r="P432" s="24" t="str">
        <f aca="false">IF(ISNUMBER(Stock_Seguridad!N432),Stock_Seguridad!N432,"")</f>
        <v/>
      </c>
      <c r="Q432" s="24" t="str">
        <f aca="false">IF(AND(ISNUMBER(O432),ISNUMBER(P432)),P432-O432,"")</f>
        <v/>
      </c>
      <c r="R432" s="23" t="n">
        <f aca="false">MAX(0,G432-N(L432))</f>
        <v>18681.6</v>
      </c>
      <c r="S432" s="23" t="n">
        <f aca="false">SUMIFS(Cadenas_vs_FCST!$D$17:$D$2437,Cadenas_vs_FCST!$A$17:$A$2437,A432)</f>
        <v>331.2</v>
      </c>
      <c r="T432" s="23" t="n">
        <f aca="false">SUMIFS(Cadenas_vs_FCST!$E$17:$E$2437,Cadenas_vs_FCST!$A$17:$A$2437,A432)</f>
        <v>3800</v>
      </c>
      <c r="U432" s="24" t="n">
        <f aca="false">IF(T432&gt;0,S432/T432-1,"")</f>
        <v>-0.912842105263158</v>
      </c>
      <c r="V432" s="3" t="str">
        <f aca="false">IF(OR(E432="BAJO SS",E432="BAJO SS (XLIB CUBRE)"),"SÍ","")</f>
        <v/>
      </c>
      <c r="W432" s="3" t="str">
        <f aca="false">IF(AND(V432="",N(L432)&gt;=Parametros!$B$17,G432&gt;=H432,R432&lt;H432),"SÍ","")</f>
        <v/>
      </c>
      <c r="X432" s="3" t="str">
        <f aca="false">IF(OR(E432="SOBRE MAX VENDIBLE",N(N432)&gt;=Parametros!$B$17,N(M432)&gt;=Parametros!$B$17),"SÍ","")</f>
        <v/>
      </c>
      <c r="Y432" s="3" t="str">
        <f aca="false">IF(AND(ISNUMBER(U432),MAX(S432,T432)&gt;=Parametros!$B$15,ABS(N(U432))&gt;Parametros!$B$14),"SÍ","")</f>
        <v>SÍ</v>
      </c>
      <c r="Z432" s="3" t="n">
        <f aca="false">COUNTIF(V432:Y432,"SÍ")</f>
        <v>1</v>
      </c>
      <c r="AA432" s="3" t="n">
        <f aca="false">(3*(V432="SÍ")+2*(W432="SÍ")+2*(X432="SÍ")+(Y432="SÍ"))*IF(LEFT(D432,1)="A",3,IF(OR(LEFT(D432,1)="B",D432="SIN HIST"),2,1))</f>
        <v>1</v>
      </c>
      <c r="AB432" s="3" t="str">
        <f aca="false">IF(AA432&gt;=9,"1-ALTA",IF(AA432&gt;=4,"2-MEDIA",IF(AA432&gt;0,"3-BAJA","")))</f>
        <v>3-BAJA</v>
      </c>
      <c r="AC432" s="3" t="str">
        <f aca="false">IF(E432="BAJO SS","Stock + XLIB bajo el SS: riesgo real de quiebre, adelantar producción. ","")&amp;IF(E432="BAJO SS (XLIB CUBRE)","Disponible bajo el SS; depende de liberar "&amp;TEXT(J432,"#,##0")&amp;" kg"&amp;IF(ISNUMBER(K432)," el "&amp;TEXT(K432,"dd-mm"),"")&amp;". ","")&amp;IF(W432="SÍ","Stock parece sano pero "&amp;TEXT(L432,"#,##0")&amp;" kg no pasan filtro "&amp;Stock_Seguridad!O432&amp;": sin ellos queda bajo el SS para esa cadena. ","")&amp;IF(E432="SOBRE MAX VENDIBLE","Sobrestock vs vida útil: frenar producción/activar venta. ","")&amp;IF(N(N432)&gt;=Parametros!$B$17,TEXT(N432,"#,##0")&amp;" kg ya no los acepta ninguna cadena: venta intermedia/liquidación. ","")&amp;IF(N(M432)&gt;=Parametros!$B$17,TEXT(M432,"#,##0")&amp;" kg a punto de salir del filtro: despachar primero (FEFO). ","")&amp;IF(Y432="SÍ","Pedidos "&amp;IF(N(U432)&gt;0,"sobre","bajo")&amp;" FCST "&amp;TEXT(ABS(N(U432)),"0%")&amp;": revisar forecast con KAM.","")</f>
        <v>Pedidos bajo FCST 91%: revisar forecast con KAM.</v>
      </c>
    </row>
    <row r="433" customFormat="false" ht="15" hidden="false" customHeight="false" outlineLevel="0" collapsed="false">
      <c r="A433" s="18" t="n">
        <f aca="false">Stock_Seguridad!A433</f>
        <v>30002262</v>
      </c>
      <c r="B433" s="18" t="str">
        <f aca="false">Stock_Seguridad!B433</f>
        <v>NECTAR C/PROBIOTICOS WATTS MZN 5X6X115ML</v>
      </c>
      <c r="C433" s="18" t="str">
        <f aca="false">Stock_Seguridad!C433</f>
        <v>JUGOS Y NECTARES</v>
      </c>
      <c r="D433" s="18" t="str">
        <f aca="false">Stock_Seguridad!F433</f>
        <v>CY</v>
      </c>
      <c r="E433" s="19" t="str">
        <f aca="false">Stock_Seguridad!X433</f>
        <v>OK</v>
      </c>
      <c r="F433" s="20" t="n">
        <f aca="false">Stock_Seguridad!W433</f>
        <v>3.65366483331463</v>
      </c>
      <c r="G433" s="21" t="n">
        <f aca="false">Stock_Seguridad!T433</f>
        <v>6510.1</v>
      </c>
      <c r="H433" s="21" t="n">
        <f aca="false">Stock_Seguridad!R433</f>
        <v>2591.03320693947</v>
      </c>
      <c r="I433" s="21" t="n">
        <f aca="false">Stock_Seguridad!S433</f>
        <v>4372.83320693947</v>
      </c>
      <c r="J433" s="21" t="n">
        <f aca="false">Stock_Seguridad!U433</f>
        <v>0</v>
      </c>
      <c r="K433" s="22"/>
      <c r="L433" s="23" t="n">
        <v>3494.85</v>
      </c>
      <c r="M433" s="23" t="n">
        <v>0</v>
      </c>
      <c r="N433" s="23" t="n">
        <v>0</v>
      </c>
      <c r="O433" s="24" t="n">
        <v>0.216417594064653</v>
      </c>
      <c r="P433" s="24" t="n">
        <f aca="false">IF(ISNUMBER(Stock_Seguridad!N433),Stock_Seguridad!N433,"")</f>
        <v>0.196078431372549</v>
      </c>
      <c r="Q433" s="24" t="n">
        <f aca="false">IF(AND(ISNUMBER(O433),ISNUMBER(P433)),P433-O433,"")</f>
        <v>-0.0203391626921039</v>
      </c>
      <c r="R433" s="23" t="n">
        <f aca="false">MAX(0,G433-N(L433))</f>
        <v>3015.25</v>
      </c>
      <c r="S433" s="23" t="n">
        <f aca="false">SUMIFS(Cadenas_vs_FCST!$D$17:$D$2437,Cadenas_vs_FCST!$A$17:$A$2437,A433)</f>
        <v>8825.1</v>
      </c>
      <c r="T433" s="23" t="n">
        <f aca="false">SUMIFS(Cadenas_vs_FCST!$E$17:$E$2437,Cadenas_vs_FCST!$A$17:$A$2437,A433)</f>
        <v>6112.61045519058</v>
      </c>
      <c r="U433" s="24" t="n">
        <f aca="false">IF(T433&gt;0,S433/T433-1,"")</f>
        <v>0.443753051939714</v>
      </c>
      <c r="V433" s="3" t="str">
        <f aca="false">IF(OR(E433="BAJO SS",E433="BAJO SS (XLIB CUBRE)"),"SÍ","")</f>
        <v/>
      </c>
      <c r="W433" s="3" t="str">
        <f aca="false">IF(AND(V433="",N(L433)&gt;=Parametros!$B$17,G433&gt;=H433,R433&lt;H433),"SÍ","")</f>
        <v/>
      </c>
      <c r="X433" s="3" t="str">
        <f aca="false">IF(OR(E433="SOBRE MAX VENDIBLE",N(N433)&gt;=Parametros!$B$17,N(M433)&gt;=Parametros!$B$17),"SÍ","")</f>
        <v/>
      </c>
      <c r="Y433" s="3" t="str">
        <f aca="false">IF(AND(ISNUMBER(U433),MAX(S433,T433)&gt;=Parametros!$B$15,ABS(N(U433))&gt;Parametros!$B$14),"SÍ","")</f>
        <v>SÍ</v>
      </c>
      <c r="Z433" s="3" t="n">
        <f aca="false">COUNTIF(V433:Y433,"SÍ")</f>
        <v>1</v>
      </c>
      <c r="AA433" s="3" t="n">
        <f aca="false">(3*(V433="SÍ")+2*(W433="SÍ")+2*(X433="SÍ")+(Y433="SÍ"))*IF(LEFT(D433,1)="A",3,IF(OR(LEFT(D433,1)="B",D433="SIN HIST"),2,1))</f>
        <v>1</v>
      </c>
      <c r="AB433" s="3" t="str">
        <f aca="false">IF(AA433&gt;=9,"1-ALTA",IF(AA433&gt;=4,"2-MEDIA",IF(AA433&gt;0,"3-BAJA","")))</f>
        <v>3-BAJA</v>
      </c>
      <c r="AC433" s="3" t="str">
        <f aca="false">IF(E433="BAJO SS","Stock + XLIB bajo el SS: riesgo real de quiebre, adelantar producción. ","")&amp;IF(E433="BAJO SS (XLIB CUBRE)","Disponible bajo el SS; depende de liberar "&amp;TEXT(J433,"#,##0")&amp;" kg"&amp;IF(ISNUMBER(K433)," el "&amp;TEXT(K433,"dd-mm"),"")&amp;". ","")&amp;IF(W433="SÍ","Stock parece sano pero "&amp;TEXT(L433,"#,##0")&amp;" kg no pasan filtro "&amp;Stock_Seguridad!O433&amp;": sin ellos queda bajo el SS para esa cadena. ","")&amp;IF(E433="SOBRE MAX VENDIBLE","Sobrestock vs vida útil: frenar producción/activar venta. ","")&amp;IF(N(N433)&gt;=Parametros!$B$17,TEXT(N433,"#,##0")&amp;" kg ya no los acepta ninguna cadena: venta intermedia/liquidación. ","")&amp;IF(N(M433)&gt;=Parametros!$B$17,TEXT(M433,"#,##0")&amp;" kg a punto de salir del filtro: despachar primero (FEFO). ","")&amp;IF(Y433="SÍ","Pedidos "&amp;IF(N(U433)&gt;0,"sobre","bajo")&amp;" FCST "&amp;TEXT(ABS(N(U433)),"0%")&amp;": revisar forecast con KAM.","")</f>
        <v>Pedidos sobre FCST 44%: revisar forecast con KAM.</v>
      </c>
    </row>
    <row r="434" customFormat="false" ht="15" hidden="false" customHeight="false" outlineLevel="0" collapsed="false">
      <c r="A434" s="18" t="n">
        <f aca="false">Stock_Seguridad!A434</f>
        <v>30002276</v>
      </c>
      <c r="B434" s="18" t="str">
        <f aca="false">Stock_Seguridad!B434</f>
        <v>LECHE POLVO CALO CRECER 4+ 10X720GR</v>
      </c>
      <c r="C434" s="18" t="str">
        <f aca="false">Stock_Seguridad!C434</f>
        <v>LECHES EN POLVO</v>
      </c>
      <c r="D434" s="18" t="str">
        <f aca="false">Stock_Seguridad!F434</f>
        <v>CY</v>
      </c>
      <c r="E434" s="19" t="str">
        <f aca="false">Stock_Seguridad!X434</f>
        <v>OK</v>
      </c>
      <c r="F434" s="20" t="n">
        <f aca="false">Stock_Seguridad!W434</f>
        <v>4.18817416840797</v>
      </c>
      <c r="G434" s="21" t="n">
        <f aca="false">Stock_Seguridad!T434</f>
        <v>7416</v>
      </c>
      <c r="H434" s="21" t="n">
        <f aca="false">Stock_Seguridad!R434</f>
        <v>1657.42585470101</v>
      </c>
      <c r="I434" s="21" t="n">
        <f aca="false">Stock_Seguridad!S434</f>
        <v>3428.12585470101</v>
      </c>
      <c r="J434" s="21" t="n">
        <f aca="false">Stock_Seguridad!U434</f>
        <v>0</v>
      </c>
      <c r="K434" s="22"/>
      <c r="L434" s="23" t="n">
        <v>0</v>
      </c>
      <c r="M434" s="23" t="n">
        <v>0</v>
      </c>
      <c r="N434" s="23" t="n">
        <v>0</v>
      </c>
      <c r="O434" s="24" t="n">
        <v>0.102553398058252</v>
      </c>
      <c r="P434" s="24" t="str">
        <f aca="false">IF(ISNUMBER(Stock_Seguridad!N434),Stock_Seguridad!N434,"")</f>
        <v/>
      </c>
      <c r="Q434" s="24" t="str">
        <f aca="false">IF(AND(ISNUMBER(O434),ISNUMBER(P434)),P434-O434,"")</f>
        <v/>
      </c>
      <c r="R434" s="23" t="n">
        <f aca="false">MAX(0,G434-N(L434))</f>
        <v>7416</v>
      </c>
      <c r="S434" s="23" t="n">
        <f aca="false">SUMIFS(Cadenas_vs_FCST!$D$17:$D$2437,Cadenas_vs_FCST!$A$17:$A$2437,A434)</f>
        <v>6508.8</v>
      </c>
      <c r="T434" s="23" t="n">
        <f aca="false">SUMIFS(Cadenas_vs_FCST!$E$17:$E$2437,Cadenas_vs_FCST!$A$17:$A$2437,A434)</f>
        <v>7482.12154810618</v>
      </c>
      <c r="U434" s="24" t="n">
        <f aca="false">IF(T434&gt;0,S434/T434-1,"")</f>
        <v>-0.130086305314372</v>
      </c>
      <c r="V434" s="3" t="str">
        <f aca="false">IF(OR(E434="BAJO SS",E434="BAJO SS (XLIB CUBRE)"),"SÍ","")</f>
        <v/>
      </c>
      <c r="W434" s="3" t="str">
        <f aca="false">IF(AND(V434="",N(L434)&gt;=Parametros!$B$17,G434&gt;=H434,R434&lt;H434),"SÍ","")</f>
        <v/>
      </c>
      <c r="X434" s="3" t="str">
        <f aca="false">IF(OR(E434="SOBRE MAX VENDIBLE",N(N434)&gt;=Parametros!$B$17,N(M434)&gt;=Parametros!$B$17),"SÍ","")</f>
        <v/>
      </c>
      <c r="Y434" s="3" t="str">
        <f aca="false">IF(AND(ISNUMBER(U434),MAX(S434,T434)&gt;=Parametros!$B$15,ABS(N(U434))&gt;Parametros!$B$14),"SÍ","")</f>
        <v/>
      </c>
      <c r="Z434" s="3" t="n">
        <f aca="false">COUNTIF(V434:Y434,"SÍ")</f>
        <v>0</v>
      </c>
      <c r="AA434" s="3" t="n">
        <f aca="false">(3*(V434="SÍ")+2*(W434="SÍ")+2*(X434="SÍ")+(Y434="SÍ"))*IF(LEFT(D434,1)="A",3,IF(OR(LEFT(D434,1)="B",D434="SIN HIST"),2,1))</f>
        <v>0</v>
      </c>
      <c r="AB434" s="3" t="str">
        <f aca="false">IF(AA434&gt;=9,"1-ALTA",IF(AA434&gt;=4,"2-MEDIA",IF(AA434&gt;0,"3-BAJA","")))</f>
        <v/>
      </c>
      <c r="AC434" s="3" t="str">
        <f aca="false">IF(E434="BAJO SS","Stock + XLIB bajo el SS: riesgo real de quiebre, adelantar producción. ","")&amp;IF(E434="BAJO SS (XLIB CUBRE)","Disponible bajo el SS; depende de liberar "&amp;TEXT(J434,"#,##0")&amp;" kg"&amp;IF(ISNUMBER(K434)," el "&amp;TEXT(K434,"dd-mm"),"")&amp;". ","")&amp;IF(W434="SÍ","Stock parece sano pero "&amp;TEXT(L434,"#,##0")&amp;" kg no pasan filtro "&amp;Stock_Seguridad!O434&amp;": sin ellos queda bajo el SS para esa cadena. ","")&amp;IF(E434="SOBRE MAX VENDIBLE","Sobrestock vs vida útil: frenar producción/activar venta. ","")&amp;IF(N(N434)&gt;=Parametros!$B$17,TEXT(N434,"#,##0")&amp;" kg ya no los acepta ninguna cadena: venta intermedia/liquidación. ","")&amp;IF(N(M434)&gt;=Parametros!$B$17,TEXT(M434,"#,##0")&amp;" kg a punto de salir del filtro: despachar primero (FEFO). ","")&amp;IF(Y434="SÍ","Pedidos "&amp;IF(N(U434)&gt;0,"sobre","bajo")&amp;" FCST "&amp;TEXT(ABS(N(U434)),"0%")&amp;": revisar forecast con KAM.","")</f>
        <v/>
      </c>
    </row>
    <row r="435" customFormat="false" ht="15" hidden="false" customHeight="false" outlineLevel="0" collapsed="false">
      <c r="A435" s="18" t="n">
        <f aca="false">Stock_Seguridad!A435</f>
        <v>30001983</v>
      </c>
      <c r="B435" s="18" t="str">
        <f aca="false">Stock_Seguridad!B435</f>
        <v>YOGURT OIKOS MIEL GRANOLA 12X142G</v>
      </c>
      <c r="C435" s="18" t="str">
        <f aca="false">Stock_Seguridad!C435</f>
        <v>YOGURT</v>
      </c>
      <c r="D435" s="18" t="str">
        <f aca="false">Stock_Seguridad!F435</f>
        <v>BX</v>
      </c>
      <c r="E435" s="19" t="str">
        <f aca="false">Stock_Seguridad!X435</f>
        <v>SOBRE MAX VENDIBLE</v>
      </c>
      <c r="F435" s="20" t="n">
        <f aca="false">Stock_Seguridad!W435</f>
        <v>2.94461503468668</v>
      </c>
      <c r="G435" s="21" t="n">
        <f aca="false">Stock_Seguridad!T435</f>
        <v>3215.4</v>
      </c>
      <c r="H435" s="21" t="n">
        <f aca="false">Stock_Seguridad!R435</f>
        <v>1401.88691649896</v>
      </c>
      <c r="I435" s="21" t="n">
        <f aca="false">Stock_Seguridad!S435</f>
        <v>3160.48691649896</v>
      </c>
      <c r="J435" s="21" t="n">
        <f aca="false">Stock_Seguridad!U435</f>
        <v>1963</v>
      </c>
      <c r="K435" s="22" t="n">
        <v>46316</v>
      </c>
      <c r="L435" s="23" t="n">
        <v>811.104</v>
      </c>
      <c r="M435" s="23" t="n">
        <v>0</v>
      </c>
      <c r="N435" s="23" t="n">
        <v>0</v>
      </c>
      <c r="O435" s="24" t="n">
        <v>0.101039815728858</v>
      </c>
      <c r="P435" s="24" t="n">
        <f aca="false">IF(ISNUMBER(Stock_Seguridad!N435),Stock_Seguridad!N435,"")</f>
        <v>0.228070175438597</v>
      </c>
      <c r="Q435" s="24" t="n">
        <f aca="false">IF(AND(ISNUMBER(O435),ISNUMBER(P435)),P435-O435,"")</f>
        <v>0.127030359709738</v>
      </c>
      <c r="R435" s="23" t="n">
        <f aca="false">MAX(0,G435-N(L435))</f>
        <v>2404.296</v>
      </c>
      <c r="S435" s="23" t="n">
        <f aca="false">SUMIFS(Cadenas_vs_FCST!$D$17:$D$2437,Cadenas_vs_FCST!$A$17:$A$2437,A435)</f>
        <v>10834.032</v>
      </c>
      <c r="T435" s="23" t="n">
        <f aca="false">SUMIFS(Cadenas_vs_FCST!$E$17:$E$2437,Cadenas_vs_FCST!$A$17:$A$2437,A435)</f>
        <v>7584.68474829815</v>
      </c>
      <c r="U435" s="24" t="n">
        <f aca="false">IF(T435&gt;0,S435/T435-1,"")</f>
        <v>0.428409005717863</v>
      </c>
      <c r="V435" s="3" t="str">
        <f aca="false">IF(OR(E435="BAJO SS",E435="BAJO SS (XLIB CUBRE)"),"SÍ","")</f>
        <v/>
      </c>
      <c r="W435" s="3" t="str">
        <f aca="false">IF(AND(V435="",N(L435)&gt;=Parametros!$B$17,G435&gt;=H435,R435&lt;H435),"SÍ","")</f>
        <v/>
      </c>
      <c r="X435" s="3" t="str">
        <f aca="false">IF(OR(E435="SOBRE MAX VENDIBLE",N(N435)&gt;=Parametros!$B$17,N(M435)&gt;=Parametros!$B$17),"SÍ","")</f>
        <v>SÍ</v>
      </c>
      <c r="Y435" s="3" t="str">
        <f aca="false">IF(AND(ISNUMBER(U435),MAX(S435,T435)&gt;=Parametros!$B$15,ABS(N(U435))&gt;Parametros!$B$14),"SÍ","")</f>
        <v>SÍ</v>
      </c>
      <c r="Z435" s="3" t="n">
        <f aca="false">COUNTIF(V435:Y435,"SÍ")</f>
        <v>2</v>
      </c>
      <c r="AA435" s="3" t="n">
        <f aca="false">(3*(V435="SÍ")+2*(W435="SÍ")+2*(X435="SÍ")+(Y435="SÍ"))*IF(LEFT(D435,1)="A",3,IF(OR(LEFT(D435,1)="B",D435="SIN HIST"),2,1))</f>
        <v>6</v>
      </c>
      <c r="AB435" s="3" t="str">
        <f aca="false">IF(AA435&gt;=9,"1-ALTA",IF(AA435&gt;=4,"2-MEDIA",IF(AA435&gt;0,"3-BAJA","")))</f>
        <v>2-MEDIA</v>
      </c>
      <c r="AC435" s="3" t="str">
        <f aca="false">IF(E435="BAJO SS","Stock + XLIB bajo el SS: riesgo real de quiebre, adelantar producción. ","")&amp;IF(E435="BAJO SS (XLIB CUBRE)","Disponible bajo el SS; depende de liberar "&amp;TEXT(J435,"#,##0")&amp;" kg"&amp;IF(ISNUMBER(K435)," el "&amp;TEXT(K435,"dd-mm"),"")&amp;". ","")&amp;IF(W435="SÍ","Stock parece sano pero "&amp;TEXT(L435,"#,##0")&amp;" kg no pasan filtro "&amp;Stock_Seguridad!O435&amp;": sin ellos queda bajo el SS para esa cadena. ","")&amp;IF(E435="SOBRE MAX VENDIBLE","Sobrestock vs vida útil: frenar producción/activar venta. ","")&amp;IF(N(N435)&gt;=Parametros!$B$17,TEXT(N435,"#,##0")&amp;" kg ya no los acepta ninguna cadena: venta intermedia/liquidación. ","")&amp;IF(N(M435)&gt;=Parametros!$B$17,TEXT(M435,"#,##0")&amp;" kg a punto de salir del filtro: despachar primero (FEFO). ","")&amp;IF(Y435="SÍ","Pedidos "&amp;IF(N(U435)&gt;0,"sobre","bajo")&amp;" FCST "&amp;TEXT(ABS(N(U435)),"0%")&amp;": revisar forecast con KAM.","")</f>
        <v>Sobrestock vs vida útil: frenar producción/activar venta. Pedidos sobre FCST 43%: revisar forecast con KAM.</v>
      </c>
    </row>
    <row r="436" customFormat="false" ht="15" hidden="false" customHeight="false" outlineLevel="0" collapsed="false">
      <c r="A436" s="18" t="n">
        <f aca="false">Stock_Seguridad!A436</f>
        <v>30002261</v>
      </c>
      <c r="B436" s="18" t="str">
        <f aca="false">Stock_Seguridad!B436</f>
        <v>NECTAR C/PROBIOTICO WATTS DZNO 5X6X115ML</v>
      </c>
      <c r="C436" s="18" t="str">
        <f aca="false">Stock_Seguridad!C436</f>
        <v>JUGOS Y NECTARES</v>
      </c>
      <c r="D436" s="18" t="str">
        <f aca="false">Stock_Seguridad!F436</f>
        <v>CZ</v>
      </c>
      <c r="E436" s="19" t="str">
        <f aca="false">Stock_Seguridad!X436</f>
        <v>BAJO P.REORDEN</v>
      </c>
      <c r="F436" s="20" t="n">
        <f aca="false">Stock_Seguridad!W436</f>
        <v>1.9082884328786</v>
      </c>
      <c r="G436" s="21" t="n">
        <f aca="false">Stock_Seguridad!T436</f>
        <v>3329.2</v>
      </c>
      <c r="H436" s="21" t="n">
        <f aca="false">Stock_Seguridad!R436</f>
        <v>2468.538680992</v>
      </c>
      <c r="I436" s="21" t="n">
        <f aca="false">Stock_Seguridad!S436</f>
        <v>4213.138680992</v>
      </c>
      <c r="J436" s="21" t="n">
        <f aca="false">Stock_Seguridad!U436</f>
        <v>0</v>
      </c>
      <c r="K436" s="22"/>
      <c r="L436" s="23" t="n">
        <v>1152.3</v>
      </c>
      <c r="M436" s="23" t="n">
        <v>0</v>
      </c>
      <c r="N436" s="23" t="n">
        <v>3.45</v>
      </c>
      <c r="O436" s="24" t="n">
        <v>0.160549222797928</v>
      </c>
      <c r="P436" s="24" t="n">
        <f aca="false">IF(ISNUMBER(Stock_Seguridad!N436),Stock_Seguridad!N436,"")</f>
        <v>0.196078431372549</v>
      </c>
      <c r="Q436" s="24" t="n">
        <f aca="false">IF(AND(ISNUMBER(O436),ISNUMBER(P436)),P436-O436,"")</f>
        <v>0.0355292085746215</v>
      </c>
      <c r="R436" s="23" t="n">
        <f aca="false">MAX(0,G436-N(L436))</f>
        <v>2176.9</v>
      </c>
      <c r="S436" s="23" t="n">
        <f aca="false">SUMIFS(Cadenas_vs_FCST!$D$17:$D$2437,Cadenas_vs_FCST!$A$17:$A$2437,A436)</f>
        <v>7207.05</v>
      </c>
      <c r="T436" s="23" t="n">
        <f aca="false">SUMIFS(Cadenas_vs_FCST!$E$17:$E$2437,Cadenas_vs_FCST!$A$17:$A$2437,A436)</f>
        <v>6153.0079576138</v>
      </c>
      <c r="U436" s="24" t="n">
        <f aca="false">IF(T436&gt;0,S436/T436-1,"")</f>
        <v>0.171305164831115</v>
      </c>
      <c r="V436" s="3" t="str">
        <f aca="false">IF(OR(E436="BAJO SS",E436="BAJO SS (XLIB CUBRE)"),"SÍ","")</f>
        <v/>
      </c>
      <c r="W436" s="3" t="str">
        <f aca="false">IF(AND(V436="",N(L436)&gt;=Parametros!$B$17,G436&gt;=H436,R436&lt;H436),"SÍ","")</f>
        <v>SÍ</v>
      </c>
      <c r="X436" s="3" t="str">
        <f aca="false">IF(OR(E436="SOBRE MAX VENDIBLE",N(N436)&gt;=Parametros!$B$17,N(M436)&gt;=Parametros!$B$17),"SÍ","")</f>
        <v/>
      </c>
      <c r="Y436" s="3" t="str">
        <f aca="false">IF(AND(ISNUMBER(U436),MAX(S436,T436)&gt;=Parametros!$B$15,ABS(N(U436))&gt;Parametros!$B$14),"SÍ","")</f>
        <v/>
      </c>
      <c r="Z436" s="3" t="n">
        <f aca="false">COUNTIF(V436:Y436,"SÍ")</f>
        <v>1</v>
      </c>
      <c r="AA436" s="3" t="n">
        <f aca="false">(3*(V436="SÍ")+2*(W436="SÍ")+2*(X436="SÍ")+(Y436="SÍ"))*IF(LEFT(D436,1)="A",3,IF(OR(LEFT(D436,1)="B",D436="SIN HIST"),2,1))</f>
        <v>2</v>
      </c>
      <c r="AB436" s="3" t="str">
        <f aca="false">IF(AA436&gt;=9,"1-ALTA",IF(AA436&gt;=4,"2-MEDIA",IF(AA436&gt;0,"3-BAJA","")))</f>
        <v>3-BAJA</v>
      </c>
      <c r="AC436" s="3" t="str">
        <f aca="false">IF(E436="BAJO SS","Stock + XLIB bajo el SS: riesgo real de quiebre, adelantar producción. ","")&amp;IF(E436="BAJO SS (XLIB CUBRE)","Disponible bajo el SS; depende de liberar "&amp;TEXT(J436,"#,##0")&amp;" kg"&amp;IF(ISNUMBER(K436)," el "&amp;TEXT(K436,"dd-mm"),"")&amp;". ","")&amp;IF(W436="SÍ","Stock parece sano pero "&amp;TEXT(L436,"#,##0")&amp;" kg no pasan filtro "&amp;Stock_Seguridad!O436&amp;": sin ellos queda bajo el SS para esa cadena. ","")&amp;IF(E436="SOBRE MAX VENDIBLE","Sobrestock vs vida útil: frenar producción/activar venta. ","")&amp;IF(N(N436)&gt;=Parametros!$B$17,TEXT(N436,"#,##0")&amp;" kg ya no los acepta ninguna cadena: venta intermedia/liquidación. ","")&amp;IF(N(M436)&gt;=Parametros!$B$17,TEXT(M436,"#,##0")&amp;" kg a punto de salir del filtro: despachar primero (FEFO). ","")&amp;IF(Y436="SÍ","Pedidos "&amp;IF(N(U436)&gt;0,"sobre","bajo")&amp;" FCST "&amp;TEXT(ABS(N(U436)),"0%")&amp;": revisar forecast con KAM.","")</f>
        <v>Stock parece sano pero 1,152 kg no pasan filtro WALMART: sin ellos queda bajo el SS para esa cadena. </v>
      </c>
    </row>
    <row r="437" customFormat="false" ht="15" hidden="false" customHeight="false" outlineLevel="0" collapsed="false">
      <c r="A437" s="18" t="n">
        <f aca="false">Stock_Seguridad!A437</f>
        <v>30001885</v>
      </c>
      <c r="B437" s="18" t="str">
        <f aca="false">Stock_Seguridad!B437</f>
        <v>MERMELADA WATTS S/A MANGO SACHET 24X200G</v>
      </c>
      <c r="C437" s="18" t="str">
        <f aca="false">Stock_Seguridad!C437</f>
        <v>MERMELADAS</v>
      </c>
      <c r="D437" s="18" t="str">
        <f aca="false">Stock_Seguridad!F437</f>
        <v>CX</v>
      </c>
      <c r="E437" s="19" t="str">
        <f aca="false">Stock_Seguridad!X437</f>
        <v>OK</v>
      </c>
      <c r="F437" s="20" t="n">
        <f aca="false">Stock_Seguridad!W437</f>
        <v>4.39743367435408</v>
      </c>
      <c r="G437" s="21" t="n">
        <f aca="false">Stock_Seguridad!T437</f>
        <v>7608</v>
      </c>
      <c r="H437" s="21" t="n">
        <f aca="false">Stock_Seguridad!R437</f>
        <v>561.334589587845</v>
      </c>
      <c r="I437" s="21" t="n">
        <f aca="false">Stock_Seguridad!S437</f>
        <v>2291.43458958784</v>
      </c>
      <c r="J437" s="21" t="n">
        <f aca="false">Stock_Seguridad!U437</f>
        <v>0</v>
      </c>
      <c r="K437" s="22"/>
      <c r="L437" s="23" t="n">
        <v>1022.4</v>
      </c>
      <c r="M437" s="23" t="n">
        <v>0</v>
      </c>
      <c r="N437" s="23" t="n">
        <v>427.2</v>
      </c>
      <c r="O437" s="24" t="n">
        <v>0.109394321766562</v>
      </c>
      <c r="P437" s="24" t="n">
        <f aca="false">IF(ISNUMBER(Stock_Seguridad!N437),Stock_Seguridad!N437,"")</f>
        <v>0.190217391304348</v>
      </c>
      <c r="Q437" s="24" t="n">
        <f aca="false">IF(AND(ISNUMBER(O437),ISNUMBER(P437)),P437-O437,"")</f>
        <v>0.0808230695377863</v>
      </c>
      <c r="R437" s="23" t="n">
        <f aca="false">MAX(0,G437-N(L437))</f>
        <v>6585.6</v>
      </c>
      <c r="S437" s="23" t="n">
        <f aca="false">SUMIFS(Cadenas_vs_FCST!$D$17:$D$2437,Cadenas_vs_FCST!$A$17:$A$2437,A437)</f>
        <v>4982.4</v>
      </c>
      <c r="T437" s="23" t="n">
        <f aca="false">SUMIFS(Cadenas_vs_FCST!$E$17:$E$2437,Cadenas_vs_FCST!$A$17:$A$2437,A437)</f>
        <v>6163.89672920472</v>
      </c>
      <c r="U437" s="24" t="n">
        <f aca="false">IF(T437&gt;0,S437/T437-1,"")</f>
        <v>-0.191680162908433</v>
      </c>
      <c r="V437" s="3" t="str">
        <f aca="false">IF(OR(E437="BAJO SS",E437="BAJO SS (XLIB CUBRE)"),"SÍ","")</f>
        <v/>
      </c>
      <c r="W437" s="3" t="str">
        <f aca="false">IF(AND(V437="",N(L437)&gt;=Parametros!$B$17,G437&gt;=H437,R437&lt;H437),"SÍ","")</f>
        <v/>
      </c>
      <c r="X437" s="3" t="str">
        <f aca="false">IF(OR(E437="SOBRE MAX VENDIBLE",N(N437)&gt;=Parametros!$B$17,N(M437)&gt;=Parametros!$B$17),"SÍ","")</f>
        <v/>
      </c>
      <c r="Y437" s="3" t="str">
        <f aca="false">IF(AND(ISNUMBER(U437),MAX(S437,T437)&gt;=Parametros!$B$15,ABS(N(U437))&gt;Parametros!$B$14),"SÍ","")</f>
        <v/>
      </c>
      <c r="Z437" s="3" t="n">
        <f aca="false">COUNTIF(V437:Y437,"SÍ")</f>
        <v>0</v>
      </c>
      <c r="AA437" s="3" t="n">
        <f aca="false">(3*(V437="SÍ")+2*(W437="SÍ")+2*(X437="SÍ")+(Y437="SÍ"))*IF(LEFT(D437,1)="A",3,IF(OR(LEFT(D437,1)="B",D437="SIN HIST"),2,1))</f>
        <v>0</v>
      </c>
      <c r="AB437" s="3" t="str">
        <f aca="false">IF(AA437&gt;=9,"1-ALTA",IF(AA437&gt;=4,"2-MEDIA",IF(AA437&gt;0,"3-BAJA","")))</f>
        <v/>
      </c>
      <c r="AC437" s="3" t="str">
        <f aca="false">IF(E437="BAJO SS","Stock + XLIB bajo el SS: riesgo real de quiebre, adelantar producción. ","")&amp;IF(E437="BAJO SS (XLIB CUBRE)","Disponible bajo el SS; depende de liberar "&amp;TEXT(J437,"#,##0")&amp;" kg"&amp;IF(ISNUMBER(K437)," el "&amp;TEXT(K437,"dd-mm"),"")&amp;". ","")&amp;IF(W437="SÍ","Stock parece sano pero "&amp;TEXT(L437,"#,##0")&amp;" kg no pasan filtro "&amp;Stock_Seguridad!O437&amp;": sin ellos queda bajo el SS para esa cadena. ","")&amp;IF(E437="SOBRE MAX VENDIBLE","Sobrestock vs vida útil: frenar producción/activar venta. ","")&amp;IF(N(N437)&gt;=Parametros!$B$17,TEXT(N437,"#,##0")&amp;" kg ya no los acepta ninguna cadena: venta intermedia/liquidación. ","")&amp;IF(N(M437)&gt;=Parametros!$B$17,TEXT(M437,"#,##0")&amp;" kg a punto de salir del filtro: despachar primero (FEFO). ","")&amp;IF(Y437="SÍ","Pedidos "&amp;IF(N(U437)&gt;0,"sobre","bajo")&amp;" FCST "&amp;TEXT(ABS(N(U437)),"0%")&amp;": revisar forecast con KAM.","")</f>
        <v/>
      </c>
    </row>
    <row r="438" customFormat="false" ht="15" hidden="false" customHeight="false" outlineLevel="0" collapsed="false">
      <c r="A438" s="18" t="n">
        <f aca="false">Stock_Seguridad!A438</f>
        <v>30002274</v>
      </c>
      <c r="B438" s="18" t="str">
        <f aca="false">Stock_Seguridad!B438</f>
        <v>LECHE POLVO CALO CRECER+1 BOLSA 6X1,35KG</v>
      </c>
      <c r="C438" s="18" t="str">
        <f aca="false">Stock_Seguridad!C438</f>
        <v>LECHES EN POLVO</v>
      </c>
      <c r="D438" s="18" t="str">
        <f aca="false">Stock_Seguridad!F438</f>
        <v>CX</v>
      </c>
      <c r="E438" s="19" t="str">
        <f aca="false">Stock_Seguridad!X438</f>
        <v>OK</v>
      </c>
      <c r="F438" s="20" t="n">
        <f aca="false">Stock_Seguridad!W438</f>
        <v>4.45478831523317</v>
      </c>
      <c r="G438" s="21" t="n">
        <f aca="false">Stock_Seguridad!T438</f>
        <v>7670.7</v>
      </c>
      <c r="H438" s="21" t="n">
        <f aca="false">Stock_Seguridad!R438</f>
        <v>737.871801001257</v>
      </c>
      <c r="I438" s="21" t="n">
        <f aca="false">Stock_Seguridad!S438</f>
        <v>2459.77180100126</v>
      </c>
      <c r="J438" s="21" t="n">
        <f aca="false">Stock_Seguridad!U438</f>
        <v>0</v>
      </c>
      <c r="K438" s="22"/>
      <c r="L438" s="23" t="n">
        <v>0</v>
      </c>
      <c r="M438" s="23" t="n">
        <v>0</v>
      </c>
      <c r="N438" s="23" t="n">
        <v>0</v>
      </c>
      <c r="O438" s="24" t="n">
        <v>0.105142555438226</v>
      </c>
      <c r="P438" s="24" t="str">
        <f aca="false">IF(ISNUMBER(Stock_Seguridad!N438),Stock_Seguridad!N438,"")</f>
        <v/>
      </c>
      <c r="Q438" s="24" t="str">
        <f aca="false">IF(AND(ISNUMBER(O438),ISNUMBER(P438)),P438-O438,"")</f>
        <v/>
      </c>
      <c r="R438" s="23" t="n">
        <f aca="false">MAX(0,G438-N(L438))</f>
        <v>7670.7</v>
      </c>
      <c r="S438" s="23" t="n">
        <f aca="false">SUMIFS(Cadenas_vs_FCST!$D$17:$D$2437,Cadenas_vs_FCST!$A$17:$A$2437,A438)</f>
        <v>4284.9</v>
      </c>
      <c r="T438" s="23" t="n">
        <f aca="false">SUMIFS(Cadenas_vs_FCST!$E$17:$E$2437,Cadenas_vs_FCST!$A$17:$A$2437,A438)</f>
        <v>5969.723619927</v>
      </c>
      <c r="U438" s="24" t="n">
        <f aca="false">IF(T438&gt;0,S438/T438-1,"")</f>
        <v>-0.282228077410994</v>
      </c>
      <c r="V438" s="3" t="str">
        <f aca="false">IF(OR(E438="BAJO SS",E438="BAJO SS (XLIB CUBRE)"),"SÍ","")</f>
        <v/>
      </c>
      <c r="W438" s="3" t="str">
        <f aca="false">IF(AND(V438="",N(L438)&gt;=Parametros!$B$17,G438&gt;=H438,R438&lt;H438),"SÍ","")</f>
        <v/>
      </c>
      <c r="X438" s="3" t="str">
        <f aca="false">IF(OR(E438="SOBRE MAX VENDIBLE",N(N438)&gt;=Parametros!$B$17,N(M438)&gt;=Parametros!$B$17),"SÍ","")</f>
        <v/>
      </c>
      <c r="Y438" s="3" t="str">
        <f aca="false">IF(AND(ISNUMBER(U438),MAX(S438,T438)&gt;=Parametros!$B$15,ABS(N(U438))&gt;Parametros!$B$14),"SÍ","")</f>
        <v>SÍ</v>
      </c>
      <c r="Z438" s="3" t="n">
        <f aca="false">COUNTIF(V438:Y438,"SÍ")</f>
        <v>1</v>
      </c>
      <c r="AA438" s="3" t="n">
        <f aca="false">(3*(V438="SÍ")+2*(W438="SÍ")+2*(X438="SÍ")+(Y438="SÍ"))*IF(LEFT(D438,1)="A",3,IF(OR(LEFT(D438,1)="B",D438="SIN HIST"),2,1))</f>
        <v>1</v>
      </c>
      <c r="AB438" s="3" t="str">
        <f aca="false">IF(AA438&gt;=9,"1-ALTA",IF(AA438&gt;=4,"2-MEDIA",IF(AA438&gt;0,"3-BAJA","")))</f>
        <v>3-BAJA</v>
      </c>
      <c r="AC438" s="3" t="str">
        <f aca="false">IF(E438="BAJO SS","Stock + XLIB bajo el SS: riesgo real de quiebre, adelantar producción. ","")&amp;IF(E438="BAJO SS (XLIB CUBRE)","Disponible bajo el SS; depende de liberar "&amp;TEXT(J438,"#,##0")&amp;" kg"&amp;IF(ISNUMBER(K438)," el "&amp;TEXT(K438,"dd-mm"),"")&amp;". ","")&amp;IF(W438="SÍ","Stock parece sano pero "&amp;TEXT(L438,"#,##0")&amp;" kg no pasan filtro "&amp;Stock_Seguridad!O438&amp;": sin ellos queda bajo el SS para esa cadena. ","")&amp;IF(E438="SOBRE MAX VENDIBLE","Sobrestock vs vida útil: frenar producción/activar venta. ","")&amp;IF(N(N438)&gt;=Parametros!$B$17,TEXT(N438,"#,##0")&amp;" kg ya no los acepta ninguna cadena: venta intermedia/liquidación. ","")&amp;IF(N(M438)&gt;=Parametros!$B$17,TEXT(M438,"#,##0")&amp;" kg a punto de salir del filtro: despachar primero (FEFO). ","")&amp;IF(Y438="SÍ","Pedidos "&amp;IF(N(U438)&gt;0,"sobre","bajo")&amp;" FCST "&amp;TEXT(ABS(N(U438)),"0%")&amp;": revisar forecast con KAM.","")</f>
        <v>Pedidos bajo FCST 28%: revisar forecast con KAM.</v>
      </c>
    </row>
    <row r="439" customFormat="false" ht="15" hidden="false" customHeight="false" outlineLevel="0" collapsed="false">
      <c r="A439" s="18" t="n">
        <f aca="false">Stock_Seguridad!A439</f>
        <v>30000749</v>
      </c>
      <c r="B439" s="18" t="str">
        <f aca="false">Stock_Seguridad!B439</f>
        <v>POROTO VERDE C/F 22X150GR</v>
      </c>
      <c r="C439" s="18" t="str">
        <f aca="false">Stock_Seguridad!C439</f>
        <v>FRUTAS Y HORTALIZAS CONGELADAS</v>
      </c>
      <c r="D439" s="18" t="str">
        <f aca="false">Stock_Seguridad!F439</f>
        <v>SIN HIST</v>
      </c>
      <c r="E439" s="19" t="str">
        <f aca="false">Stock_Seguridad!X439</f>
        <v>OK</v>
      </c>
      <c r="F439" s="20" t="n">
        <f aca="false">Stock_Seguridad!W439</f>
        <v>4.22943949711891</v>
      </c>
      <c r="G439" s="21" t="n">
        <f aca="false">Stock_Seguridad!T439</f>
        <v>7266.6</v>
      </c>
      <c r="H439" s="21" t="n">
        <f aca="false">Stock_Seguridad!R439</f>
        <v>847.806904939597</v>
      </c>
      <c r="I439" s="21" t="n">
        <f aca="false">Stock_Seguridad!S439</f>
        <v>2565.9069049396</v>
      </c>
      <c r="J439" s="21" t="n">
        <f aca="false">Stock_Seguridad!U439</f>
        <v>0</v>
      </c>
      <c r="K439" s="22"/>
      <c r="L439" s="23" t="n">
        <v>0</v>
      </c>
      <c r="M439" s="23" t="n">
        <v>0</v>
      </c>
      <c r="N439" s="23" t="n">
        <v>0</v>
      </c>
      <c r="O439" s="24" t="n">
        <v>0.021630336058129</v>
      </c>
      <c r="P439" s="24" t="str">
        <f aca="false">IF(ISNUMBER(Stock_Seguridad!N439),Stock_Seguridad!N439,"")</f>
        <v/>
      </c>
      <c r="Q439" s="24" t="str">
        <f aca="false">IF(AND(ISNUMBER(O439),ISNUMBER(P439)),P439-O439,"")</f>
        <v/>
      </c>
      <c r="R439" s="23" t="n">
        <f aca="false">MAX(0,G439-N(L439))</f>
        <v>7266.6</v>
      </c>
      <c r="S439" s="23" t="n">
        <f aca="false">SUMIFS(Cadenas_vs_FCST!$D$17:$D$2437,Cadenas_vs_FCST!$A$17:$A$2437,A439)</f>
        <v>0</v>
      </c>
      <c r="T439" s="23" t="n">
        <f aca="false">SUMIFS(Cadenas_vs_FCST!$E$17:$E$2437,Cadenas_vs_FCST!$A$17:$A$2437,A439)</f>
        <v>0</v>
      </c>
      <c r="U439" s="24" t="str">
        <f aca="false">IF(T439&gt;0,S439/T439-1,"")</f>
        <v/>
      </c>
      <c r="V439" s="3" t="str">
        <f aca="false">IF(OR(E439="BAJO SS",E439="BAJO SS (XLIB CUBRE)"),"SÍ","")</f>
        <v/>
      </c>
      <c r="W439" s="3" t="str">
        <f aca="false">IF(AND(V439="",N(L439)&gt;=Parametros!$B$17,G439&gt;=H439,R439&lt;H439),"SÍ","")</f>
        <v/>
      </c>
      <c r="X439" s="3" t="str">
        <f aca="false">IF(OR(E439="SOBRE MAX VENDIBLE",N(N439)&gt;=Parametros!$B$17,N(M439)&gt;=Parametros!$B$17),"SÍ","")</f>
        <v/>
      </c>
      <c r="Y439" s="3" t="str">
        <f aca="false">IF(AND(ISNUMBER(U439),MAX(S439,T439)&gt;=Parametros!$B$15,ABS(N(U439))&gt;Parametros!$B$14),"SÍ","")</f>
        <v/>
      </c>
      <c r="Z439" s="3" t="n">
        <f aca="false">COUNTIF(V439:Y439,"SÍ")</f>
        <v>0</v>
      </c>
      <c r="AA439" s="3" t="n">
        <f aca="false">(3*(V439="SÍ")+2*(W439="SÍ")+2*(X439="SÍ")+(Y439="SÍ"))*IF(LEFT(D439,1)="A",3,IF(OR(LEFT(D439,1)="B",D439="SIN HIST"),2,1))</f>
        <v>0</v>
      </c>
      <c r="AB439" s="3" t="str">
        <f aca="false">IF(AA439&gt;=9,"1-ALTA",IF(AA439&gt;=4,"2-MEDIA",IF(AA439&gt;0,"3-BAJA","")))</f>
        <v/>
      </c>
      <c r="AC439" s="3" t="str">
        <f aca="false">IF(E439="BAJO SS","Stock + XLIB bajo el SS: riesgo real de quiebre, adelantar producción. ","")&amp;IF(E439="BAJO SS (XLIB CUBRE)","Disponible bajo el SS; depende de liberar "&amp;TEXT(J439,"#,##0")&amp;" kg"&amp;IF(ISNUMBER(K439)," el "&amp;TEXT(K439,"dd-mm"),"")&amp;". ","")&amp;IF(W439="SÍ","Stock parece sano pero "&amp;TEXT(L439,"#,##0")&amp;" kg no pasan filtro "&amp;Stock_Seguridad!O439&amp;": sin ellos queda bajo el SS para esa cadena. ","")&amp;IF(E439="SOBRE MAX VENDIBLE","Sobrestock vs vida útil: frenar producción/activar venta. ","")&amp;IF(N(N439)&gt;=Parametros!$B$17,TEXT(N439,"#,##0")&amp;" kg ya no los acepta ninguna cadena: venta intermedia/liquidación. ","")&amp;IF(N(M439)&gt;=Parametros!$B$17,TEXT(M439,"#,##0")&amp;" kg a punto de salir del filtro: despachar primero (FEFO). ","")&amp;IF(Y439="SÍ","Pedidos "&amp;IF(N(U439)&gt;0,"sobre","bajo")&amp;" FCST "&amp;TEXT(ABS(N(U439)),"0%")&amp;": revisar forecast con KAM.","")</f>
        <v/>
      </c>
    </row>
    <row r="440" customFormat="false" ht="15" hidden="false" customHeight="false" outlineLevel="0" collapsed="false">
      <c r="A440" s="18" t="n">
        <f aca="false">Stock_Seguridad!A440</f>
        <v>30000782</v>
      </c>
      <c r="B440" s="18" t="str">
        <f aca="false">Stock_Seguridad!B440</f>
        <v>ZANAHORIA EN CUBOS FM 6X2KG</v>
      </c>
      <c r="C440" s="18" t="str">
        <f aca="false">Stock_Seguridad!C440</f>
        <v>FRUTAS Y HORTALIZAS CONGELADAS</v>
      </c>
      <c r="D440" s="18" t="str">
        <f aca="false">Stock_Seguridad!F440</f>
        <v>SIN HIST</v>
      </c>
      <c r="E440" s="19" t="str">
        <f aca="false">Stock_Seguridad!X440</f>
        <v>OK</v>
      </c>
      <c r="F440" s="20" t="n">
        <f aca="false">Stock_Seguridad!W440</f>
        <v>3.13633977014177</v>
      </c>
      <c r="G440" s="21" t="n">
        <f aca="false">Stock_Seguridad!T440</f>
        <v>5376</v>
      </c>
      <c r="H440" s="21" t="n">
        <f aca="false">Stock_Seguridad!R440</f>
        <v>845.833080587255</v>
      </c>
      <c r="I440" s="21" t="n">
        <f aca="false">Stock_Seguridad!S440</f>
        <v>2559.93308058726</v>
      </c>
      <c r="J440" s="21" t="n">
        <f aca="false">Stock_Seguridad!U440</f>
        <v>0</v>
      </c>
      <c r="K440" s="22"/>
      <c r="L440" s="23" t="n">
        <v>0</v>
      </c>
      <c r="M440" s="23" t="n">
        <v>0</v>
      </c>
      <c r="N440" s="23" t="n">
        <v>0</v>
      </c>
      <c r="O440" s="24" t="n">
        <v>0.24</v>
      </c>
      <c r="P440" s="24" t="str">
        <f aca="false">IF(ISNUMBER(Stock_Seguridad!N440),Stock_Seguridad!N440,"")</f>
        <v/>
      </c>
      <c r="Q440" s="24" t="str">
        <f aca="false">IF(AND(ISNUMBER(O440),ISNUMBER(P440)),P440-O440,"")</f>
        <v/>
      </c>
      <c r="R440" s="23" t="n">
        <f aca="false">MAX(0,G440-N(L440))</f>
        <v>5376</v>
      </c>
      <c r="S440" s="23" t="n">
        <f aca="false">SUMIFS(Cadenas_vs_FCST!$D$17:$D$2437,Cadenas_vs_FCST!$A$17:$A$2437,A440)</f>
        <v>0</v>
      </c>
      <c r="T440" s="23" t="n">
        <f aca="false">SUMIFS(Cadenas_vs_FCST!$E$17:$E$2437,Cadenas_vs_FCST!$A$17:$A$2437,A440)</f>
        <v>0</v>
      </c>
      <c r="U440" s="24" t="str">
        <f aca="false">IF(T440&gt;0,S440/T440-1,"")</f>
        <v/>
      </c>
      <c r="V440" s="3" t="str">
        <f aca="false">IF(OR(E440="BAJO SS",E440="BAJO SS (XLIB CUBRE)"),"SÍ","")</f>
        <v/>
      </c>
      <c r="W440" s="3" t="str">
        <f aca="false">IF(AND(V440="",N(L440)&gt;=Parametros!$B$17,G440&gt;=H440,R440&lt;H440),"SÍ","")</f>
        <v/>
      </c>
      <c r="X440" s="3" t="str">
        <f aca="false">IF(OR(E440="SOBRE MAX VENDIBLE",N(N440)&gt;=Parametros!$B$17,N(M440)&gt;=Parametros!$B$17),"SÍ","")</f>
        <v/>
      </c>
      <c r="Y440" s="3" t="str">
        <f aca="false">IF(AND(ISNUMBER(U440),MAX(S440,T440)&gt;=Parametros!$B$15,ABS(N(U440))&gt;Parametros!$B$14),"SÍ","")</f>
        <v/>
      </c>
      <c r="Z440" s="3" t="n">
        <f aca="false">COUNTIF(V440:Y440,"SÍ")</f>
        <v>0</v>
      </c>
      <c r="AA440" s="3" t="n">
        <f aca="false">(3*(V440="SÍ")+2*(W440="SÍ")+2*(X440="SÍ")+(Y440="SÍ"))*IF(LEFT(D440,1)="A",3,IF(OR(LEFT(D440,1)="B",D440="SIN HIST"),2,1))</f>
        <v>0</v>
      </c>
      <c r="AB440" s="3" t="str">
        <f aca="false">IF(AA440&gt;=9,"1-ALTA",IF(AA440&gt;=4,"2-MEDIA",IF(AA440&gt;0,"3-BAJA","")))</f>
        <v/>
      </c>
      <c r="AC440" s="3" t="str">
        <f aca="false">IF(E440="BAJO SS","Stock + XLIB bajo el SS: riesgo real de quiebre, adelantar producción. ","")&amp;IF(E440="BAJO SS (XLIB CUBRE)","Disponible bajo el SS; depende de liberar "&amp;TEXT(J440,"#,##0")&amp;" kg"&amp;IF(ISNUMBER(K440)," el "&amp;TEXT(K440,"dd-mm"),"")&amp;". ","")&amp;IF(W440="SÍ","Stock parece sano pero "&amp;TEXT(L440,"#,##0")&amp;" kg no pasan filtro "&amp;Stock_Seguridad!O440&amp;": sin ellos queda bajo el SS para esa cadena. ","")&amp;IF(E440="SOBRE MAX VENDIBLE","Sobrestock vs vida útil: frenar producción/activar venta. ","")&amp;IF(N(N440)&gt;=Parametros!$B$17,TEXT(N440,"#,##0")&amp;" kg ya no los acepta ninguna cadena: venta intermedia/liquidación. ","")&amp;IF(N(M440)&gt;=Parametros!$B$17,TEXT(M440,"#,##0")&amp;" kg a punto de salir del filtro: despachar primero (FEFO). ","")&amp;IF(Y440="SÍ","Pedidos "&amp;IF(N(U440)&gt;0,"sobre","bajo")&amp;" FCST "&amp;TEXT(ABS(N(U440)),"0%")&amp;": revisar forecast con KAM.","")</f>
        <v/>
      </c>
    </row>
    <row r="441" customFormat="false" ht="15" hidden="false" customHeight="false" outlineLevel="0" collapsed="false">
      <c r="A441" s="18" t="n">
        <f aca="false">Stock_Seguridad!A441</f>
        <v>30000500</v>
      </c>
      <c r="B441" s="18" t="str">
        <f aca="false">Stock_Seguridad!B441</f>
        <v>LECHE CULTIVADA LONCO CHMY LIGHT 6X900ML</v>
      </c>
      <c r="C441" s="18" t="str">
        <f aca="false">Stock_Seguridad!C441</f>
        <v>LECHES LIQUIDAS</v>
      </c>
      <c r="D441" s="18" t="str">
        <f aca="false">Stock_Seguridad!F441</f>
        <v>CX</v>
      </c>
      <c r="E441" s="19" t="str">
        <f aca="false">Stock_Seguridad!X441</f>
        <v>BAJO SS</v>
      </c>
      <c r="F441" s="20" t="n">
        <f aca="false">Stock_Seguridad!W441</f>
        <v>0.182529798968155</v>
      </c>
      <c r="G441" s="21" t="n">
        <f aca="false">Stock_Seguridad!T441</f>
        <v>307.8</v>
      </c>
      <c r="H441" s="21" t="n">
        <f aca="false">Stock_Seguridad!R441</f>
        <v>739.391404187863</v>
      </c>
      <c r="I441" s="21" t="n">
        <f aca="false">Stock_Seguridad!S441</f>
        <v>2425.69140418786</v>
      </c>
      <c r="J441" s="21" t="n">
        <f aca="false">Stock_Seguridad!U441</f>
        <v>0</v>
      </c>
      <c r="K441" s="22"/>
      <c r="L441" s="23" t="n">
        <v>0</v>
      </c>
      <c r="M441" s="23" t="n">
        <v>291.6</v>
      </c>
      <c r="N441" s="23" t="n">
        <v>0</v>
      </c>
      <c r="O441" s="24" t="n">
        <v>0.21</v>
      </c>
      <c r="P441" s="24" t="n">
        <f aca="false">IF(ISNUMBER(Stock_Seguridad!N441),Stock_Seguridad!N441,"")</f>
        <v>0.23943661971831</v>
      </c>
      <c r="Q441" s="24" t="n">
        <f aca="false">IF(AND(ISNUMBER(O441),ISNUMBER(P441)),P441-O441,"")</f>
        <v>0.0294366197183099</v>
      </c>
      <c r="R441" s="23" t="n">
        <f aca="false">MAX(0,G441-N(L441))</f>
        <v>307.8</v>
      </c>
      <c r="S441" s="23" t="n">
        <f aca="false">SUMIFS(Cadenas_vs_FCST!$D$17:$D$2437,Cadenas_vs_FCST!$A$17:$A$2437,A441)</f>
        <v>7290</v>
      </c>
      <c r="T441" s="23" t="n">
        <f aca="false">SUMIFS(Cadenas_vs_FCST!$E$17:$E$2437,Cadenas_vs_FCST!$A$17:$A$2437,A441)</f>
        <v>6237.00747508232</v>
      </c>
      <c r="U441" s="24" t="n">
        <f aca="false">IF(T441&gt;0,S441/T441-1,"")</f>
        <v>0.168829767981605</v>
      </c>
      <c r="V441" s="3" t="str">
        <f aca="false">IF(OR(E441="BAJO SS",E441="BAJO SS (XLIB CUBRE)"),"SÍ","")</f>
        <v>SÍ</v>
      </c>
      <c r="W441" s="3" t="str">
        <f aca="false">IF(AND(V441="",N(L441)&gt;=Parametros!$B$17,G441&gt;=H441,R441&lt;H441),"SÍ","")</f>
        <v/>
      </c>
      <c r="X441" s="3" t="str">
        <f aca="false">IF(OR(E441="SOBRE MAX VENDIBLE",N(N441)&gt;=Parametros!$B$17,N(M441)&gt;=Parametros!$B$17),"SÍ","")</f>
        <v/>
      </c>
      <c r="Y441" s="3" t="str">
        <f aca="false">IF(AND(ISNUMBER(U441),MAX(S441,T441)&gt;=Parametros!$B$15,ABS(N(U441))&gt;Parametros!$B$14),"SÍ","")</f>
        <v/>
      </c>
      <c r="Z441" s="3" t="n">
        <f aca="false">COUNTIF(V441:Y441,"SÍ")</f>
        <v>1</v>
      </c>
      <c r="AA441" s="3" t="n">
        <f aca="false">(3*(V441="SÍ")+2*(W441="SÍ")+2*(X441="SÍ")+(Y441="SÍ"))*IF(LEFT(D441,1)="A",3,IF(OR(LEFT(D441,1)="B",D441="SIN HIST"),2,1))</f>
        <v>3</v>
      </c>
      <c r="AB441" s="3" t="str">
        <f aca="false">IF(AA441&gt;=9,"1-ALTA",IF(AA441&gt;=4,"2-MEDIA",IF(AA441&gt;0,"3-BAJA","")))</f>
        <v>3-BAJA</v>
      </c>
      <c r="AC441" s="3" t="str">
        <f aca="false">IF(E441="BAJO SS","Stock + XLIB bajo el SS: riesgo real de quiebre, adelantar producción. ","")&amp;IF(E441="BAJO SS (XLIB CUBRE)","Disponible bajo el SS; depende de liberar "&amp;TEXT(J441,"#,##0")&amp;" kg"&amp;IF(ISNUMBER(K441)," el "&amp;TEXT(K441,"dd-mm"),"")&amp;". ","")&amp;IF(W441="SÍ","Stock parece sano pero "&amp;TEXT(L441,"#,##0")&amp;" kg no pasan filtro "&amp;Stock_Seguridad!O441&amp;": sin ellos queda bajo el SS para esa cadena. ","")&amp;IF(E441="SOBRE MAX VENDIBLE","Sobrestock vs vida útil: frenar producción/activar venta. ","")&amp;IF(N(N441)&gt;=Parametros!$B$17,TEXT(N441,"#,##0")&amp;" kg ya no los acepta ninguna cadena: venta intermedia/liquidación. ","")&amp;IF(N(M441)&gt;=Parametros!$B$17,TEXT(M441,"#,##0")&amp;" kg a punto de salir del filtro: despachar primero (FEFO). ","")&amp;IF(Y441="SÍ","Pedidos "&amp;IF(N(U441)&gt;0,"sobre","bajo")&amp;" FCST "&amp;TEXT(ABS(N(U441)),"0%")&amp;": revisar forecast con KAM.","")</f>
        <v>Stock + XLIB bajo el SS: riesgo real de quiebre, adelantar producción. </v>
      </c>
    </row>
    <row r="442" customFormat="false" ht="15" hidden="false" customHeight="false" outlineLevel="0" collapsed="false">
      <c r="A442" s="18" t="n">
        <f aca="false">Stock_Seguridad!A442</f>
        <v>30001588</v>
      </c>
      <c r="B442" s="18" t="str">
        <f aca="false">Stock_Seguridad!B442</f>
        <v>MANTECA CRUCINA PANADERA CERDO 10X1KG</v>
      </c>
      <c r="C442" s="18" t="str">
        <f aca="false">Stock_Seguridad!C442</f>
        <v>MANTECAS</v>
      </c>
      <c r="D442" s="18" t="str">
        <f aca="false">Stock_Seguridad!F442</f>
        <v>SIN HIST</v>
      </c>
      <c r="E442" s="19" t="str">
        <f aca="false">Stock_Seguridad!X442</f>
        <v>SOBRE MAX VENDIBLE</v>
      </c>
      <c r="F442" s="20" t="n">
        <f aca="false">Stock_Seguridad!W442</f>
        <v>9.60586727088426</v>
      </c>
      <c r="G442" s="21" t="n">
        <f aca="false">Stock_Seguridad!T442</f>
        <v>15350</v>
      </c>
      <c r="H442" s="21" t="n">
        <f aca="false">Stock_Seguridad!R442</f>
        <v>827.575205328094</v>
      </c>
      <c r="I442" s="21" t="n">
        <f aca="false">Stock_Seguridad!S442</f>
        <v>2504.67520532809</v>
      </c>
      <c r="J442" s="21" t="n">
        <f aca="false">Stock_Seguridad!U442</f>
        <v>760</v>
      </c>
      <c r="K442" s="22" t="n">
        <v>46317</v>
      </c>
      <c r="L442" s="23" t="n">
        <v>2790</v>
      </c>
      <c r="M442" s="23" t="n">
        <v>0</v>
      </c>
      <c r="N442" s="23" t="n">
        <v>0</v>
      </c>
      <c r="O442" s="24" t="n">
        <v>0.070552451893234</v>
      </c>
      <c r="P442" s="24" t="n">
        <f aca="false">IF(ISNUMBER(Stock_Seguridad!N442),Stock_Seguridad!N442,"")</f>
        <v>0.211956521739131</v>
      </c>
      <c r="Q442" s="24" t="n">
        <f aca="false">IF(AND(ISNUMBER(O442),ISNUMBER(P442)),P442-O442,"")</f>
        <v>0.141404069845896</v>
      </c>
      <c r="R442" s="23" t="n">
        <f aca="false">MAX(0,G442-N(L442))</f>
        <v>12560</v>
      </c>
      <c r="S442" s="23" t="n">
        <f aca="false">SUMIFS(Cadenas_vs_FCST!$D$17:$D$2437,Cadenas_vs_FCST!$A$17:$A$2437,A442)</f>
        <v>0</v>
      </c>
      <c r="T442" s="23" t="n">
        <f aca="false">SUMIFS(Cadenas_vs_FCST!$E$17:$E$2437,Cadenas_vs_FCST!$A$17:$A$2437,A442)</f>
        <v>0</v>
      </c>
      <c r="U442" s="24" t="str">
        <f aca="false">IF(T442&gt;0,S442/T442-1,"")</f>
        <v/>
      </c>
      <c r="V442" s="3" t="str">
        <f aca="false">IF(OR(E442="BAJO SS",E442="BAJO SS (XLIB CUBRE)"),"SÍ","")</f>
        <v/>
      </c>
      <c r="W442" s="3" t="str">
        <f aca="false">IF(AND(V442="",N(L442)&gt;=Parametros!$B$17,G442&gt;=H442,R442&lt;H442),"SÍ","")</f>
        <v/>
      </c>
      <c r="X442" s="3" t="str">
        <f aca="false">IF(OR(E442="SOBRE MAX VENDIBLE",N(N442)&gt;=Parametros!$B$17,N(M442)&gt;=Parametros!$B$17),"SÍ","")</f>
        <v>SÍ</v>
      </c>
      <c r="Y442" s="3" t="str">
        <f aca="false">IF(AND(ISNUMBER(U442),MAX(S442,T442)&gt;=Parametros!$B$15,ABS(N(U442))&gt;Parametros!$B$14),"SÍ","")</f>
        <v/>
      </c>
      <c r="Z442" s="3" t="n">
        <f aca="false">COUNTIF(V442:Y442,"SÍ")</f>
        <v>1</v>
      </c>
      <c r="AA442" s="3" t="n">
        <f aca="false">(3*(V442="SÍ")+2*(W442="SÍ")+2*(X442="SÍ")+(Y442="SÍ"))*IF(LEFT(D442,1)="A",3,IF(OR(LEFT(D442,1)="B",D442="SIN HIST"),2,1))</f>
        <v>4</v>
      </c>
      <c r="AB442" s="3" t="str">
        <f aca="false">IF(AA442&gt;=9,"1-ALTA",IF(AA442&gt;=4,"2-MEDIA",IF(AA442&gt;0,"3-BAJA","")))</f>
        <v>2-MEDIA</v>
      </c>
      <c r="AC442" s="3" t="str">
        <f aca="false">IF(E442="BAJO SS","Stock + XLIB bajo el SS: riesgo real de quiebre, adelantar producción. ","")&amp;IF(E442="BAJO SS (XLIB CUBRE)","Disponible bajo el SS; depende de liberar "&amp;TEXT(J442,"#,##0")&amp;" kg"&amp;IF(ISNUMBER(K442)," el "&amp;TEXT(K442,"dd-mm"),"")&amp;". ","")&amp;IF(W442="SÍ","Stock parece sano pero "&amp;TEXT(L442,"#,##0")&amp;" kg no pasan filtro "&amp;Stock_Seguridad!O442&amp;": sin ellos queda bajo el SS para esa cadena. ","")&amp;IF(E442="SOBRE MAX VENDIBLE","Sobrestock vs vida útil: frenar producción/activar venta. ","")&amp;IF(N(N442)&gt;=Parametros!$B$17,TEXT(N442,"#,##0")&amp;" kg ya no los acepta ninguna cadena: venta intermedia/liquidación. ","")&amp;IF(N(M442)&gt;=Parametros!$B$17,TEXT(M442,"#,##0")&amp;" kg a punto de salir del filtro: despachar primero (FEFO). ","")&amp;IF(Y442="SÍ","Pedidos "&amp;IF(N(U442)&gt;0,"sobre","bajo")&amp;" FCST "&amp;TEXT(ABS(N(U442)),"0%")&amp;": revisar forecast con KAM.","")</f>
        <v>Sobrestock vs vida útil: frenar producción/activar venta. </v>
      </c>
    </row>
    <row r="443" customFormat="false" ht="15" hidden="false" customHeight="false" outlineLevel="0" collapsed="false">
      <c r="A443" s="18" t="n">
        <f aca="false">Stock_Seguridad!A443</f>
        <v>30000043</v>
      </c>
      <c r="B443" s="18" t="str">
        <f aca="false">Stock_Seguridad!B443</f>
        <v>ACEITE BELMONT FREIR 12X1LT</v>
      </c>
      <c r="C443" s="18" t="str">
        <f aca="false">Stock_Seguridad!C443</f>
        <v>ACEITES</v>
      </c>
      <c r="D443" s="18" t="str">
        <f aca="false">Stock_Seguridad!F443</f>
        <v>CX</v>
      </c>
      <c r="E443" s="19" t="str">
        <f aca="false">Stock_Seguridad!X443</f>
        <v>OK</v>
      </c>
      <c r="F443" s="20" t="n">
        <f aca="false">Stock_Seguridad!W443</f>
        <v>8.64820905339951</v>
      </c>
      <c r="G443" s="21" t="n">
        <f aca="false">Stock_Seguridad!T443</f>
        <v>14462.4</v>
      </c>
      <c r="H443" s="21" t="n">
        <f aca="false">Stock_Seguridad!R443</f>
        <v>552.972528747538</v>
      </c>
      <c r="I443" s="21" t="n">
        <f aca="false">Stock_Seguridad!S443</f>
        <v>2225.27252874754</v>
      </c>
      <c r="J443" s="21" t="n">
        <f aca="false">Stock_Seguridad!U443</f>
        <v>0</v>
      </c>
      <c r="K443" s="22"/>
      <c r="L443" s="23" t="n">
        <v>33.12</v>
      </c>
      <c r="M443" s="23" t="n">
        <v>0</v>
      </c>
      <c r="N443" s="23" t="n">
        <v>0</v>
      </c>
      <c r="O443" s="24" t="n">
        <v>0.0205271199388846</v>
      </c>
      <c r="P443" s="24" t="n">
        <f aca="false">IF(ISNUMBER(Stock_Seguridad!N443),Stock_Seguridad!N443,"")</f>
        <v>0.194520547945206</v>
      </c>
      <c r="Q443" s="24" t="n">
        <f aca="false">IF(AND(ISNUMBER(O443),ISNUMBER(P443)),P443-O443,"")</f>
        <v>0.173993428006321</v>
      </c>
      <c r="R443" s="23" t="n">
        <f aca="false">MAX(0,G443-N(L443))</f>
        <v>14429.28</v>
      </c>
      <c r="S443" s="23" t="n">
        <f aca="false">SUMIFS(Cadenas_vs_FCST!$D$17:$D$2437,Cadenas_vs_FCST!$A$17:$A$2437,A443)</f>
        <v>6403.2</v>
      </c>
      <c r="T443" s="23" t="n">
        <f aca="false">SUMIFS(Cadenas_vs_FCST!$E$17:$E$2437,Cadenas_vs_FCST!$A$17:$A$2437,A443)</f>
        <v>6947.84</v>
      </c>
      <c r="U443" s="24" t="n">
        <f aca="false">IF(T443&gt;0,S443/T443-1,"")</f>
        <v>-0.0783898305084745</v>
      </c>
      <c r="V443" s="3" t="str">
        <f aca="false">IF(OR(E443="BAJO SS",E443="BAJO SS (XLIB CUBRE)"),"SÍ","")</f>
        <v/>
      </c>
      <c r="W443" s="3" t="str">
        <f aca="false">IF(AND(V443="",N(L443)&gt;=Parametros!$B$17,G443&gt;=H443,R443&lt;H443),"SÍ","")</f>
        <v/>
      </c>
      <c r="X443" s="3" t="str">
        <f aca="false">IF(OR(E443="SOBRE MAX VENDIBLE",N(N443)&gt;=Parametros!$B$17,N(M443)&gt;=Parametros!$B$17),"SÍ","")</f>
        <v/>
      </c>
      <c r="Y443" s="3" t="str">
        <f aca="false">IF(AND(ISNUMBER(U443),MAX(S443,T443)&gt;=Parametros!$B$15,ABS(N(U443))&gt;Parametros!$B$14),"SÍ","")</f>
        <v/>
      </c>
      <c r="Z443" s="3" t="n">
        <f aca="false">COUNTIF(V443:Y443,"SÍ")</f>
        <v>0</v>
      </c>
      <c r="AA443" s="3" t="n">
        <f aca="false">(3*(V443="SÍ")+2*(W443="SÍ")+2*(X443="SÍ")+(Y443="SÍ"))*IF(LEFT(D443,1)="A",3,IF(OR(LEFT(D443,1)="B",D443="SIN HIST"),2,1))</f>
        <v>0</v>
      </c>
      <c r="AB443" s="3" t="str">
        <f aca="false">IF(AA443&gt;=9,"1-ALTA",IF(AA443&gt;=4,"2-MEDIA",IF(AA443&gt;0,"3-BAJA","")))</f>
        <v/>
      </c>
      <c r="AC443" s="3" t="str">
        <f aca="false">IF(E443="BAJO SS","Stock + XLIB bajo el SS: riesgo real de quiebre, adelantar producción. ","")&amp;IF(E443="BAJO SS (XLIB CUBRE)","Disponible bajo el SS; depende de liberar "&amp;TEXT(J443,"#,##0")&amp;" kg"&amp;IF(ISNUMBER(K443)," el "&amp;TEXT(K443,"dd-mm"),"")&amp;". ","")&amp;IF(W443="SÍ","Stock parece sano pero "&amp;TEXT(L443,"#,##0")&amp;" kg no pasan filtro "&amp;Stock_Seguridad!O443&amp;": sin ellos queda bajo el SS para esa cadena. ","")&amp;IF(E443="SOBRE MAX VENDIBLE","Sobrestock vs vida útil: frenar producción/activar venta. ","")&amp;IF(N(N443)&gt;=Parametros!$B$17,TEXT(N443,"#,##0")&amp;" kg ya no los acepta ninguna cadena: venta intermedia/liquidación. ","")&amp;IF(N(M443)&gt;=Parametros!$B$17,TEXT(M443,"#,##0")&amp;" kg a punto de salir del filtro: despachar primero (FEFO). ","")&amp;IF(Y443="SÍ","Pedidos "&amp;IF(N(U443)&gt;0,"sobre","bajo")&amp;" FCST "&amp;TEXT(ABS(N(U443)),"0%")&amp;": revisar forecast con KAM.","")</f>
        <v/>
      </c>
    </row>
    <row r="444" customFormat="false" ht="15" hidden="false" customHeight="false" outlineLevel="0" collapsed="false">
      <c r="A444" s="18" t="n">
        <f aca="false">Stock_Seguridad!A444</f>
        <v>30001142</v>
      </c>
      <c r="B444" s="18" t="str">
        <f aca="false">Stock_Seguridad!B444</f>
        <v>MERMELADA WATTS DAMASCO FRASCO 10X500GR</v>
      </c>
      <c r="C444" s="18" t="str">
        <f aca="false">Stock_Seguridad!C444</f>
        <v>MERMELADAS</v>
      </c>
      <c r="D444" s="18" t="str">
        <f aca="false">Stock_Seguridad!F444</f>
        <v>CX</v>
      </c>
      <c r="E444" s="19" t="str">
        <f aca="false">Stock_Seguridad!X444</f>
        <v>OK</v>
      </c>
      <c r="F444" s="20" t="n">
        <f aca="false">Stock_Seguridad!W444</f>
        <v>2.32776934749621</v>
      </c>
      <c r="G444" s="21" t="n">
        <f aca="false">Stock_Seguridad!T444</f>
        <v>3835</v>
      </c>
      <c r="H444" s="21" t="n">
        <f aca="false">Stock_Seguridad!R444</f>
        <v>365.916075343908</v>
      </c>
      <c r="I444" s="21" t="n">
        <f aca="false">Stock_Seguridad!S444</f>
        <v>2013.41607534391</v>
      </c>
      <c r="J444" s="21" t="n">
        <f aca="false">Stock_Seguridad!U444</f>
        <v>0</v>
      </c>
      <c r="K444" s="22"/>
      <c r="L444" s="23" t="n">
        <v>280</v>
      </c>
      <c r="M444" s="23" t="n">
        <v>50</v>
      </c>
      <c r="N444" s="23" t="n">
        <v>0</v>
      </c>
      <c r="O444" s="24" t="n">
        <v>0.0617801047120419</v>
      </c>
      <c r="P444" s="24" t="n">
        <f aca="false">IF(ISNUMBER(Stock_Seguridad!N444),Stock_Seguridad!N444,"")</f>
        <v>0.194520547945206</v>
      </c>
      <c r="Q444" s="24" t="n">
        <f aca="false">IF(AND(ISNUMBER(O444),ISNUMBER(P444)),P444-O444,"")</f>
        <v>0.132740443233164</v>
      </c>
      <c r="R444" s="23" t="n">
        <f aca="false">MAX(0,G444-N(L444))</f>
        <v>3555</v>
      </c>
      <c r="S444" s="23" t="n">
        <f aca="false">SUMIFS(Cadenas_vs_FCST!$D$17:$D$2437,Cadenas_vs_FCST!$A$17:$A$2437,A444)</f>
        <v>6635</v>
      </c>
      <c r="T444" s="23" t="n">
        <f aca="false">SUMIFS(Cadenas_vs_FCST!$E$17:$E$2437,Cadenas_vs_FCST!$A$17:$A$2437,A444)</f>
        <v>7065</v>
      </c>
      <c r="U444" s="24" t="n">
        <f aca="false">IF(T444&gt;0,S444/T444-1,"")</f>
        <v>-0.0608634111818825</v>
      </c>
      <c r="V444" s="3" t="str">
        <f aca="false">IF(OR(E444="BAJO SS",E444="BAJO SS (XLIB CUBRE)"),"SÍ","")</f>
        <v/>
      </c>
      <c r="W444" s="3" t="str">
        <f aca="false">IF(AND(V444="",N(L444)&gt;=Parametros!$B$17,G444&gt;=H444,R444&lt;H444),"SÍ","")</f>
        <v/>
      </c>
      <c r="X444" s="3" t="str">
        <f aca="false">IF(OR(E444="SOBRE MAX VENDIBLE",N(N444)&gt;=Parametros!$B$17,N(M444)&gt;=Parametros!$B$17),"SÍ","")</f>
        <v/>
      </c>
      <c r="Y444" s="3" t="str">
        <f aca="false">IF(AND(ISNUMBER(U444),MAX(S444,T444)&gt;=Parametros!$B$15,ABS(N(U444))&gt;Parametros!$B$14),"SÍ","")</f>
        <v/>
      </c>
      <c r="Z444" s="3" t="n">
        <f aca="false">COUNTIF(V444:Y444,"SÍ")</f>
        <v>0</v>
      </c>
      <c r="AA444" s="3" t="n">
        <f aca="false">(3*(V444="SÍ")+2*(W444="SÍ")+2*(X444="SÍ")+(Y444="SÍ"))*IF(LEFT(D444,1)="A",3,IF(OR(LEFT(D444,1)="B",D444="SIN HIST"),2,1))</f>
        <v>0</v>
      </c>
      <c r="AB444" s="3" t="str">
        <f aca="false">IF(AA444&gt;=9,"1-ALTA",IF(AA444&gt;=4,"2-MEDIA",IF(AA444&gt;0,"3-BAJA","")))</f>
        <v/>
      </c>
      <c r="AC444" s="3" t="str">
        <f aca="false">IF(E444="BAJO SS","Stock + XLIB bajo el SS: riesgo real de quiebre, adelantar producción. ","")&amp;IF(E444="BAJO SS (XLIB CUBRE)","Disponible bajo el SS; depende de liberar "&amp;TEXT(J444,"#,##0")&amp;" kg"&amp;IF(ISNUMBER(K444)," el "&amp;TEXT(K444,"dd-mm"),"")&amp;". ","")&amp;IF(W444="SÍ","Stock parece sano pero "&amp;TEXT(L444,"#,##0")&amp;" kg no pasan filtro "&amp;Stock_Seguridad!O444&amp;": sin ellos queda bajo el SS para esa cadena. ","")&amp;IF(E444="SOBRE MAX VENDIBLE","Sobrestock vs vida útil: frenar producción/activar venta. ","")&amp;IF(N(N444)&gt;=Parametros!$B$17,TEXT(N444,"#,##0")&amp;" kg ya no los acepta ninguna cadena: venta intermedia/liquidación. ","")&amp;IF(N(M444)&gt;=Parametros!$B$17,TEXT(M444,"#,##0")&amp;" kg a punto de salir del filtro: despachar primero (FEFO). ","")&amp;IF(Y444="SÍ","Pedidos "&amp;IF(N(U444)&gt;0,"sobre","bajo")&amp;" FCST "&amp;TEXT(ABS(N(U444)),"0%")&amp;": revisar forecast con KAM.","")</f>
        <v/>
      </c>
    </row>
    <row r="445" customFormat="false" ht="15" hidden="false" customHeight="false" outlineLevel="0" collapsed="false">
      <c r="A445" s="18" t="n">
        <f aca="false">Stock_Seguridad!A445</f>
        <v>30000816</v>
      </c>
      <c r="B445" s="18" t="str">
        <f aca="false">Stock_Seguridad!B445</f>
        <v>POROTO BLANCO COCIDO FM 8X2KG</v>
      </c>
      <c r="C445" s="18" t="str">
        <f aca="false">Stock_Seguridad!C445</f>
        <v>FRUTAS Y HORTALIZAS CONGELADAS</v>
      </c>
      <c r="D445" s="18" t="str">
        <f aca="false">Stock_Seguridad!F445</f>
        <v>SIN HIST</v>
      </c>
      <c r="E445" s="19" t="str">
        <f aca="false">Stock_Seguridad!X445</f>
        <v>OK</v>
      </c>
      <c r="F445" s="20" t="n">
        <f aca="false">Stock_Seguridad!W445</f>
        <v>8.85558080963204</v>
      </c>
      <c r="G445" s="21" t="n">
        <f aca="false">Stock_Seguridad!T445</f>
        <v>14416</v>
      </c>
      <c r="H445" s="21" t="n">
        <f aca="false">Stock_Seguridad!R445</f>
        <v>803.29716579429</v>
      </c>
      <c r="I445" s="21" t="n">
        <f aca="false">Stock_Seguridad!S445</f>
        <v>2431.19716579429</v>
      </c>
      <c r="J445" s="21" t="n">
        <f aca="false">Stock_Seguridad!U445</f>
        <v>0</v>
      </c>
      <c r="K445" s="22"/>
      <c r="L445" s="23" t="n">
        <v>0</v>
      </c>
      <c r="M445" s="23" t="n">
        <v>0</v>
      </c>
      <c r="N445" s="23" t="n">
        <v>0</v>
      </c>
      <c r="O445" s="24" t="n">
        <v>0.0494672586015538</v>
      </c>
      <c r="P445" s="24" t="str">
        <f aca="false">IF(ISNUMBER(Stock_Seguridad!N445),Stock_Seguridad!N445,"")</f>
        <v/>
      </c>
      <c r="Q445" s="24" t="str">
        <f aca="false">IF(AND(ISNUMBER(O445),ISNUMBER(P445)),P445-O445,"")</f>
        <v/>
      </c>
      <c r="R445" s="23" t="n">
        <f aca="false">MAX(0,G445-N(L445))</f>
        <v>14416</v>
      </c>
      <c r="S445" s="23" t="n">
        <f aca="false">SUMIFS(Cadenas_vs_FCST!$D$17:$D$2437,Cadenas_vs_FCST!$A$17:$A$2437,A445)</f>
        <v>0</v>
      </c>
      <c r="T445" s="23" t="n">
        <f aca="false">SUMIFS(Cadenas_vs_FCST!$E$17:$E$2437,Cadenas_vs_FCST!$A$17:$A$2437,A445)</f>
        <v>0</v>
      </c>
      <c r="U445" s="24" t="str">
        <f aca="false">IF(T445&gt;0,S445/T445-1,"")</f>
        <v/>
      </c>
      <c r="V445" s="3" t="str">
        <f aca="false">IF(OR(E445="BAJO SS",E445="BAJO SS (XLIB CUBRE)"),"SÍ","")</f>
        <v/>
      </c>
      <c r="W445" s="3" t="str">
        <f aca="false">IF(AND(V445="",N(L445)&gt;=Parametros!$B$17,G445&gt;=H445,R445&lt;H445),"SÍ","")</f>
        <v/>
      </c>
      <c r="X445" s="3" t="str">
        <f aca="false">IF(OR(E445="SOBRE MAX VENDIBLE",N(N445)&gt;=Parametros!$B$17,N(M445)&gt;=Parametros!$B$17),"SÍ","")</f>
        <v/>
      </c>
      <c r="Y445" s="3" t="str">
        <f aca="false">IF(AND(ISNUMBER(U445),MAX(S445,T445)&gt;=Parametros!$B$15,ABS(N(U445))&gt;Parametros!$B$14),"SÍ","")</f>
        <v/>
      </c>
      <c r="Z445" s="3" t="n">
        <f aca="false">COUNTIF(V445:Y445,"SÍ")</f>
        <v>0</v>
      </c>
      <c r="AA445" s="3" t="n">
        <f aca="false">(3*(V445="SÍ")+2*(W445="SÍ")+2*(X445="SÍ")+(Y445="SÍ"))*IF(LEFT(D445,1)="A",3,IF(OR(LEFT(D445,1)="B",D445="SIN HIST"),2,1))</f>
        <v>0</v>
      </c>
      <c r="AB445" s="3" t="str">
        <f aca="false">IF(AA445&gt;=9,"1-ALTA",IF(AA445&gt;=4,"2-MEDIA",IF(AA445&gt;0,"3-BAJA","")))</f>
        <v/>
      </c>
      <c r="AC445" s="3" t="str">
        <f aca="false">IF(E445="BAJO SS","Stock + XLIB bajo el SS: riesgo real de quiebre, adelantar producción. ","")&amp;IF(E445="BAJO SS (XLIB CUBRE)","Disponible bajo el SS; depende de liberar "&amp;TEXT(J445,"#,##0")&amp;" kg"&amp;IF(ISNUMBER(K445)," el "&amp;TEXT(K445,"dd-mm"),"")&amp;". ","")&amp;IF(W445="SÍ","Stock parece sano pero "&amp;TEXT(L445,"#,##0")&amp;" kg no pasan filtro "&amp;Stock_Seguridad!O445&amp;": sin ellos queda bajo el SS para esa cadena. ","")&amp;IF(E445="SOBRE MAX VENDIBLE","Sobrestock vs vida útil: frenar producción/activar venta. ","")&amp;IF(N(N445)&gt;=Parametros!$B$17,TEXT(N445,"#,##0")&amp;" kg ya no los acepta ninguna cadena: venta intermedia/liquidación. ","")&amp;IF(N(M445)&gt;=Parametros!$B$17,TEXT(M445,"#,##0")&amp;" kg a punto de salir del filtro: despachar primero (FEFO). ","")&amp;IF(Y445="SÍ","Pedidos "&amp;IF(N(U445)&gt;0,"sobre","bajo")&amp;" FCST "&amp;TEXT(ABS(N(U445)),"0%")&amp;": revisar forecast con KAM.","")</f>
        <v/>
      </c>
    </row>
    <row r="446" customFormat="false" ht="15" hidden="false" customHeight="false" outlineLevel="0" collapsed="false">
      <c r="A446" s="18" t="n">
        <f aca="false">Stock_Seguridad!A446</f>
        <v>30000048</v>
      </c>
      <c r="B446" s="18" t="str">
        <f aca="false">Stock_Seguridad!B446</f>
        <v>ACEITE LA REINA IND FREIR 4X5LT</v>
      </c>
      <c r="C446" s="18" t="str">
        <f aca="false">Stock_Seguridad!C446</f>
        <v>ACEITES</v>
      </c>
      <c r="D446" s="18" t="str">
        <f aca="false">Stock_Seguridad!F446</f>
        <v>SIN HIST</v>
      </c>
      <c r="E446" s="19" t="str">
        <f aca="false">Stock_Seguridad!X446</f>
        <v>OK</v>
      </c>
      <c r="F446" s="20" t="n">
        <f aca="false">Stock_Seguridad!W446</f>
        <v>4.02383438786166</v>
      </c>
      <c r="G446" s="21" t="n">
        <f aca="false">Stock_Seguridad!T446</f>
        <v>938.4</v>
      </c>
      <c r="H446" s="21" t="n">
        <f aca="false">Stock_Seguridad!R446</f>
        <v>803.29716579429</v>
      </c>
      <c r="I446" s="21" t="n">
        <f aca="false">Stock_Seguridad!S446</f>
        <v>2431.19716579429</v>
      </c>
      <c r="J446" s="21" t="n">
        <f aca="false">Stock_Seguridad!U446</f>
        <v>5612</v>
      </c>
      <c r="K446" s="22" t="n">
        <v>46316</v>
      </c>
      <c r="L446" s="23" t="n">
        <v>0</v>
      </c>
      <c r="M446" s="23" t="n">
        <v>441.6</v>
      </c>
      <c r="N446" s="23" t="n">
        <v>0</v>
      </c>
      <c r="O446" s="24" t="n">
        <v>0.0307584269662921</v>
      </c>
      <c r="P446" s="24" t="n">
        <f aca="false">IF(ISNUMBER(Stock_Seguridad!N446),Stock_Seguridad!N446,"")</f>
        <v>0.272131147540984</v>
      </c>
      <c r="Q446" s="24" t="n">
        <f aca="false">IF(AND(ISNUMBER(O446),ISNUMBER(P446)),P446-O446,"")</f>
        <v>0.241372720574691</v>
      </c>
      <c r="R446" s="23" t="n">
        <f aca="false">MAX(0,G446-N(L446))</f>
        <v>938.4</v>
      </c>
      <c r="S446" s="23" t="n">
        <f aca="false">SUMIFS(Cadenas_vs_FCST!$D$17:$D$2437,Cadenas_vs_FCST!$A$17:$A$2437,A446)</f>
        <v>0</v>
      </c>
      <c r="T446" s="23" t="n">
        <f aca="false">SUMIFS(Cadenas_vs_FCST!$E$17:$E$2437,Cadenas_vs_FCST!$A$17:$A$2437,A446)</f>
        <v>0</v>
      </c>
      <c r="U446" s="24" t="str">
        <f aca="false">IF(T446&gt;0,S446/T446-1,"")</f>
        <v/>
      </c>
      <c r="V446" s="3" t="str">
        <f aca="false">IF(OR(E446="BAJO SS",E446="BAJO SS (XLIB CUBRE)"),"SÍ","")</f>
        <v/>
      </c>
      <c r="W446" s="3" t="str">
        <f aca="false">IF(AND(V446="",N(L446)&gt;=Parametros!$B$17,G446&gt;=H446,R446&lt;H446),"SÍ","")</f>
        <v/>
      </c>
      <c r="X446" s="3" t="str">
        <f aca="false">IF(OR(E446="SOBRE MAX VENDIBLE",N(N446)&gt;=Parametros!$B$17,N(M446)&gt;=Parametros!$B$17),"SÍ","")</f>
        <v/>
      </c>
      <c r="Y446" s="3" t="str">
        <f aca="false">IF(AND(ISNUMBER(U446),MAX(S446,T446)&gt;=Parametros!$B$15,ABS(N(U446))&gt;Parametros!$B$14),"SÍ","")</f>
        <v/>
      </c>
      <c r="Z446" s="3" t="n">
        <f aca="false">COUNTIF(V446:Y446,"SÍ")</f>
        <v>0</v>
      </c>
      <c r="AA446" s="3" t="n">
        <f aca="false">(3*(V446="SÍ")+2*(W446="SÍ")+2*(X446="SÍ")+(Y446="SÍ"))*IF(LEFT(D446,1)="A",3,IF(OR(LEFT(D446,1)="B",D446="SIN HIST"),2,1))</f>
        <v>0</v>
      </c>
      <c r="AB446" s="3" t="str">
        <f aca="false">IF(AA446&gt;=9,"1-ALTA",IF(AA446&gt;=4,"2-MEDIA",IF(AA446&gt;0,"3-BAJA","")))</f>
        <v/>
      </c>
      <c r="AC446" s="3" t="str">
        <f aca="false">IF(E446="BAJO SS","Stock + XLIB bajo el SS: riesgo real de quiebre, adelantar producción. ","")&amp;IF(E446="BAJO SS (XLIB CUBRE)","Disponible bajo el SS; depende de liberar "&amp;TEXT(J446,"#,##0")&amp;" kg"&amp;IF(ISNUMBER(K446)," el "&amp;TEXT(K446,"dd-mm"),"")&amp;". ","")&amp;IF(W446="SÍ","Stock parece sano pero "&amp;TEXT(L446,"#,##0")&amp;" kg no pasan filtro "&amp;Stock_Seguridad!O446&amp;": sin ellos queda bajo el SS para esa cadena. ","")&amp;IF(E446="SOBRE MAX VENDIBLE","Sobrestock vs vida útil: frenar producción/activar venta. ","")&amp;IF(N(N446)&gt;=Parametros!$B$17,TEXT(N446,"#,##0")&amp;" kg ya no los acepta ninguna cadena: venta intermedia/liquidación. ","")&amp;IF(N(M446)&gt;=Parametros!$B$17,TEXT(M446,"#,##0")&amp;" kg a punto de salir del filtro: despachar primero (FEFO). ","")&amp;IF(Y446="SÍ","Pedidos "&amp;IF(N(U446)&gt;0,"sobre","bajo")&amp;" FCST "&amp;TEXT(ABS(N(U446)),"0%")&amp;": revisar forecast con KAM.","")</f>
        <v/>
      </c>
    </row>
    <row r="447" customFormat="false" ht="15" hidden="false" customHeight="false" outlineLevel="0" collapsed="false">
      <c r="A447" s="18" t="n">
        <f aca="false">Stock_Seguridad!A447</f>
        <v>30000951</v>
      </c>
      <c r="B447" s="18" t="str">
        <f aca="false">Stock_Seguridad!B447</f>
        <v>ARANDANO IQF 10X1KG</v>
      </c>
      <c r="C447" s="18" t="str">
        <f aca="false">Stock_Seguridad!C447</f>
        <v>FRUTAS Y HORTALIZAS CONGELADAS</v>
      </c>
      <c r="D447" s="18" t="str">
        <f aca="false">Stock_Seguridad!F447</f>
        <v>SIN HIST</v>
      </c>
      <c r="E447" s="19" t="str">
        <f aca="false">Stock_Seguridad!X447</f>
        <v>BAJO SS</v>
      </c>
      <c r="F447" s="20" t="n">
        <f aca="false">Stock_Seguridad!W447</f>
        <v>0</v>
      </c>
      <c r="G447" s="21" t="n">
        <f aca="false">Stock_Seguridad!T447</f>
        <v>0</v>
      </c>
      <c r="H447" s="21" t="n">
        <f aca="false">Stock_Seguridad!R447</f>
        <v>803.29716579429</v>
      </c>
      <c r="I447" s="21" t="n">
        <f aca="false">Stock_Seguridad!S447</f>
        <v>2431.19716579429</v>
      </c>
      <c r="J447" s="21" t="n">
        <f aca="false">Stock_Seguridad!U447</f>
        <v>0</v>
      </c>
      <c r="K447" s="22"/>
      <c r="L447" s="23"/>
      <c r="M447" s="23"/>
      <c r="N447" s="23"/>
      <c r="O447" s="24"/>
      <c r="P447" s="24" t="str">
        <f aca="false">IF(ISNUMBER(Stock_Seguridad!N447),Stock_Seguridad!N447,"")</f>
        <v/>
      </c>
      <c r="Q447" s="24" t="str">
        <f aca="false">IF(AND(ISNUMBER(O447),ISNUMBER(P447)),P447-O447,"")</f>
        <v/>
      </c>
      <c r="R447" s="23" t="n">
        <f aca="false">MAX(0,G447-N(L447))</f>
        <v>0</v>
      </c>
      <c r="S447" s="23" t="n">
        <f aca="false">SUMIFS(Cadenas_vs_FCST!$D$17:$D$2437,Cadenas_vs_FCST!$A$17:$A$2437,A447)</f>
        <v>0</v>
      </c>
      <c r="T447" s="23" t="n">
        <f aca="false">SUMIFS(Cadenas_vs_FCST!$E$17:$E$2437,Cadenas_vs_FCST!$A$17:$A$2437,A447)</f>
        <v>0</v>
      </c>
      <c r="U447" s="24" t="str">
        <f aca="false">IF(T447&gt;0,S447/T447-1,"")</f>
        <v/>
      </c>
      <c r="V447" s="3" t="str">
        <f aca="false">IF(OR(E447="BAJO SS",E447="BAJO SS (XLIB CUBRE)"),"SÍ","")</f>
        <v>SÍ</v>
      </c>
      <c r="W447" s="3" t="str">
        <f aca="false">IF(AND(V447="",N(L447)&gt;=Parametros!$B$17,G447&gt;=H447,R447&lt;H447),"SÍ","")</f>
        <v/>
      </c>
      <c r="X447" s="3" t="str">
        <f aca="false">IF(OR(E447="SOBRE MAX VENDIBLE",N(N447)&gt;=Parametros!$B$17,N(M447)&gt;=Parametros!$B$17),"SÍ","")</f>
        <v/>
      </c>
      <c r="Y447" s="3" t="str">
        <f aca="false">IF(AND(ISNUMBER(U447),MAX(S447,T447)&gt;=Parametros!$B$15,ABS(N(U447))&gt;Parametros!$B$14),"SÍ","")</f>
        <v/>
      </c>
      <c r="Z447" s="3" t="n">
        <f aca="false">COUNTIF(V447:Y447,"SÍ")</f>
        <v>1</v>
      </c>
      <c r="AA447" s="3" t="n">
        <f aca="false">(3*(V447="SÍ")+2*(W447="SÍ")+2*(X447="SÍ")+(Y447="SÍ"))*IF(LEFT(D447,1)="A",3,IF(OR(LEFT(D447,1)="B",D447="SIN HIST"),2,1))</f>
        <v>6</v>
      </c>
      <c r="AB447" s="3" t="str">
        <f aca="false">IF(AA447&gt;=9,"1-ALTA",IF(AA447&gt;=4,"2-MEDIA",IF(AA447&gt;0,"3-BAJA","")))</f>
        <v>2-MEDIA</v>
      </c>
      <c r="AC447" s="3" t="str">
        <f aca="false">IF(E447="BAJO SS","Stock + XLIB bajo el SS: riesgo real de quiebre, adelantar producción. ","")&amp;IF(E447="BAJO SS (XLIB CUBRE)","Disponible bajo el SS; depende de liberar "&amp;TEXT(J447,"#,##0")&amp;" kg"&amp;IF(ISNUMBER(K447)," el "&amp;TEXT(K447,"dd-mm"),"")&amp;". ","")&amp;IF(W447="SÍ","Stock parece sano pero "&amp;TEXT(L447,"#,##0")&amp;" kg no pasan filtro "&amp;Stock_Seguridad!O447&amp;": sin ellos queda bajo el SS para esa cadena. ","")&amp;IF(E447="SOBRE MAX VENDIBLE","Sobrestock vs vida útil: frenar producción/activar venta. ","")&amp;IF(N(N447)&gt;=Parametros!$B$17,TEXT(N447,"#,##0")&amp;" kg ya no los acepta ninguna cadena: venta intermedia/liquidación. ","")&amp;IF(N(M447)&gt;=Parametros!$B$17,TEXT(M447,"#,##0")&amp;" kg a punto de salir del filtro: despachar primero (FEFO). ","")&amp;IF(Y447="SÍ","Pedidos "&amp;IF(N(U447)&gt;0,"sobre","bajo")&amp;" FCST "&amp;TEXT(ABS(N(U447)),"0%")&amp;": revisar forecast con KAM.","")</f>
        <v>Stock + XLIB bajo el SS: riesgo real de quiebre, adelantar producción. </v>
      </c>
    </row>
    <row r="448" customFormat="false" ht="15" hidden="false" customHeight="false" outlineLevel="0" collapsed="false">
      <c r="A448" s="18" t="n">
        <f aca="false">Stock_Seguridad!A448</f>
        <v>30000185</v>
      </c>
      <c r="B448" s="18" t="str">
        <f aca="false">Stock_Seguridad!B448</f>
        <v>MERMELADA WATTS GOLD FRAMBUESA 1X5KG</v>
      </c>
      <c r="C448" s="18" t="str">
        <f aca="false">Stock_Seguridad!C448</f>
        <v>MERMELADAS</v>
      </c>
      <c r="D448" s="18" t="str">
        <f aca="false">Stock_Seguridad!F448</f>
        <v>SIN HIST</v>
      </c>
      <c r="E448" s="19" t="str">
        <f aca="false">Stock_Seguridad!X448</f>
        <v>OK</v>
      </c>
      <c r="F448" s="20" t="n">
        <f aca="false">Stock_Seguridad!W448</f>
        <v>4.21094661834265</v>
      </c>
      <c r="G448" s="21" t="n">
        <f aca="false">Stock_Seguridad!T448</f>
        <v>6855</v>
      </c>
      <c r="H448" s="21" t="n">
        <f aca="false">Stock_Seguridad!R448</f>
        <v>803.29716579429</v>
      </c>
      <c r="I448" s="21" t="n">
        <f aca="false">Stock_Seguridad!S448</f>
        <v>2431.19716579429</v>
      </c>
      <c r="J448" s="21" t="n">
        <f aca="false">Stock_Seguridad!U448</f>
        <v>0</v>
      </c>
      <c r="K448" s="22"/>
      <c r="L448" s="23" t="n">
        <v>4170</v>
      </c>
      <c r="M448" s="23" t="n">
        <v>0</v>
      </c>
      <c r="N448" s="23" t="n">
        <v>0</v>
      </c>
      <c r="O448" s="24" t="n">
        <v>0.21962071480671</v>
      </c>
      <c r="P448" s="24" t="n">
        <f aca="false">IF(ISNUMBER(Stock_Seguridad!N448),Stock_Seguridad!N448,"")</f>
        <v>0.253061224489796</v>
      </c>
      <c r="Q448" s="24" t="n">
        <f aca="false">IF(AND(ISNUMBER(O448),ISNUMBER(P448)),P448-O448,"")</f>
        <v>0.0334405096830856</v>
      </c>
      <c r="R448" s="23" t="n">
        <f aca="false">MAX(0,G448-N(L448))</f>
        <v>2685</v>
      </c>
      <c r="S448" s="23" t="n">
        <f aca="false">SUMIFS(Cadenas_vs_FCST!$D$17:$D$2437,Cadenas_vs_FCST!$A$17:$A$2437,A448)</f>
        <v>0</v>
      </c>
      <c r="T448" s="23" t="n">
        <f aca="false">SUMIFS(Cadenas_vs_FCST!$E$17:$E$2437,Cadenas_vs_FCST!$A$17:$A$2437,A448)</f>
        <v>0</v>
      </c>
      <c r="U448" s="24" t="str">
        <f aca="false">IF(T448&gt;0,S448/T448-1,"")</f>
        <v/>
      </c>
      <c r="V448" s="3" t="str">
        <f aca="false">IF(OR(E448="BAJO SS",E448="BAJO SS (XLIB CUBRE)"),"SÍ","")</f>
        <v/>
      </c>
      <c r="W448" s="3" t="str">
        <f aca="false">IF(AND(V448="",N(L448)&gt;=Parametros!$B$17,G448&gt;=H448,R448&lt;H448),"SÍ","")</f>
        <v/>
      </c>
      <c r="X448" s="3" t="str">
        <f aca="false">IF(OR(E448="SOBRE MAX VENDIBLE",N(N448)&gt;=Parametros!$B$17,N(M448)&gt;=Parametros!$B$17),"SÍ","")</f>
        <v/>
      </c>
      <c r="Y448" s="3" t="str">
        <f aca="false">IF(AND(ISNUMBER(U448),MAX(S448,T448)&gt;=Parametros!$B$15,ABS(N(U448))&gt;Parametros!$B$14),"SÍ","")</f>
        <v/>
      </c>
      <c r="Z448" s="3" t="n">
        <f aca="false">COUNTIF(V448:Y448,"SÍ")</f>
        <v>0</v>
      </c>
      <c r="AA448" s="3" t="n">
        <f aca="false">(3*(V448="SÍ")+2*(W448="SÍ")+2*(X448="SÍ")+(Y448="SÍ"))*IF(LEFT(D448,1)="A",3,IF(OR(LEFT(D448,1)="B",D448="SIN HIST"),2,1))</f>
        <v>0</v>
      </c>
      <c r="AB448" s="3" t="str">
        <f aca="false">IF(AA448&gt;=9,"1-ALTA",IF(AA448&gt;=4,"2-MEDIA",IF(AA448&gt;0,"3-BAJA","")))</f>
        <v/>
      </c>
      <c r="AC448" s="3" t="str">
        <f aca="false">IF(E448="BAJO SS","Stock + XLIB bajo el SS: riesgo real de quiebre, adelantar producción. ","")&amp;IF(E448="BAJO SS (XLIB CUBRE)","Disponible bajo el SS; depende de liberar "&amp;TEXT(J448,"#,##0")&amp;" kg"&amp;IF(ISNUMBER(K448)," el "&amp;TEXT(K448,"dd-mm"),"")&amp;". ","")&amp;IF(W448="SÍ","Stock parece sano pero "&amp;TEXT(L448,"#,##0")&amp;" kg no pasan filtro "&amp;Stock_Seguridad!O448&amp;": sin ellos queda bajo el SS para esa cadena. ","")&amp;IF(E448="SOBRE MAX VENDIBLE","Sobrestock vs vida útil: frenar producción/activar venta. ","")&amp;IF(N(N448)&gt;=Parametros!$B$17,TEXT(N448,"#,##0")&amp;" kg ya no los acepta ninguna cadena: venta intermedia/liquidación. ","")&amp;IF(N(M448)&gt;=Parametros!$B$17,TEXT(M448,"#,##0")&amp;" kg a punto de salir del filtro: despachar primero (FEFO). ","")&amp;IF(Y448="SÍ","Pedidos "&amp;IF(N(U448)&gt;0,"sobre","bajo")&amp;" FCST "&amp;TEXT(ABS(N(U448)),"0%")&amp;": revisar forecast con KAM.","")</f>
        <v/>
      </c>
    </row>
    <row r="449" customFormat="false" ht="15" hidden="false" customHeight="false" outlineLevel="0" collapsed="false">
      <c r="A449" s="18" t="n">
        <f aca="false">Stock_Seguridad!A449</f>
        <v>30000250</v>
      </c>
      <c r="B449" s="18" t="str">
        <f aca="false">Stock_Seguridad!B449</f>
        <v>JUGO FRESCO ARÁNDANO 6X1LT</v>
      </c>
      <c r="C449" s="18" t="str">
        <f aca="false">Stock_Seguridad!C449</f>
        <v>JUGOS Y NECTARES</v>
      </c>
      <c r="D449" s="18" t="str">
        <f aca="false">Stock_Seguridad!F449</f>
        <v>CX</v>
      </c>
      <c r="E449" s="19" t="str">
        <f aca="false">Stock_Seguridad!X449</f>
        <v>OK</v>
      </c>
      <c r="F449" s="20" t="n">
        <f aca="false">Stock_Seguridad!W449</f>
        <v>1.485</v>
      </c>
      <c r="G449" s="21" t="n">
        <f aca="false">Stock_Seguridad!T449</f>
        <v>2376</v>
      </c>
      <c r="H449" s="21" t="n">
        <f aca="false">Stock_Seguridad!R449</f>
        <v>535.17338013403</v>
      </c>
      <c r="I449" s="21" t="n">
        <f aca="false">Stock_Seguridad!S449</f>
        <v>2135.17338013403</v>
      </c>
      <c r="J449" s="21" t="n">
        <f aca="false">Stock_Seguridad!U449</f>
        <v>0</v>
      </c>
      <c r="K449" s="22"/>
      <c r="L449" s="23" t="n">
        <v>420</v>
      </c>
      <c r="M449" s="23" t="n">
        <v>0</v>
      </c>
      <c r="N449" s="23" t="n">
        <v>420</v>
      </c>
      <c r="O449" s="24" t="n">
        <v>0.210607594936709</v>
      </c>
      <c r="P449" s="24" t="n">
        <f aca="false">IF(ISNUMBER(Stock_Seguridad!N449),Stock_Seguridad!N449,"")</f>
        <v>0.328571428571429</v>
      </c>
      <c r="Q449" s="24" t="n">
        <f aca="false">IF(AND(ISNUMBER(O449),ISNUMBER(P449)),P449-O449,"")</f>
        <v>0.11796383363472</v>
      </c>
      <c r="R449" s="23" t="n">
        <f aca="false">MAX(0,G449-N(L449))</f>
        <v>1956</v>
      </c>
      <c r="S449" s="23" t="n">
        <f aca="false">SUMIFS(Cadenas_vs_FCST!$D$17:$D$2437,Cadenas_vs_FCST!$A$17:$A$2437,A449)</f>
        <v>5754</v>
      </c>
      <c r="T449" s="23" t="n">
        <f aca="false">SUMIFS(Cadenas_vs_FCST!$E$17:$E$2437,Cadenas_vs_FCST!$A$17:$A$2437,A449)</f>
        <v>6305.88573959005</v>
      </c>
      <c r="U449" s="24" t="n">
        <f aca="false">IF(T449&gt;0,S449/T449-1,"")</f>
        <v>-0.0875191467750781</v>
      </c>
      <c r="V449" s="3" t="str">
        <f aca="false">IF(OR(E449="BAJO SS",E449="BAJO SS (XLIB CUBRE)"),"SÍ","")</f>
        <v/>
      </c>
      <c r="W449" s="3" t="str">
        <f aca="false">IF(AND(V449="",N(L449)&gt;=Parametros!$B$17,G449&gt;=H449,R449&lt;H449),"SÍ","")</f>
        <v/>
      </c>
      <c r="X449" s="3" t="str">
        <f aca="false">IF(OR(E449="SOBRE MAX VENDIBLE",N(N449)&gt;=Parametros!$B$17,N(M449)&gt;=Parametros!$B$17),"SÍ","")</f>
        <v/>
      </c>
      <c r="Y449" s="3" t="str">
        <f aca="false">IF(AND(ISNUMBER(U449),MAX(S449,T449)&gt;=Parametros!$B$15,ABS(N(U449))&gt;Parametros!$B$14),"SÍ","")</f>
        <v/>
      </c>
      <c r="Z449" s="3" t="n">
        <f aca="false">COUNTIF(V449:Y449,"SÍ")</f>
        <v>0</v>
      </c>
      <c r="AA449" s="3" t="n">
        <f aca="false">(3*(V449="SÍ")+2*(W449="SÍ")+2*(X449="SÍ")+(Y449="SÍ"))*IF(LEFT(D449,1)="A",3,IF(OR(LEFT(D449,1)="B",D449="SIN HIST"),2,1))</f>
        <v>0</v>
      </c>
      <c r="AB449" s="3" t="str">
        <f aca="false">IF(AA449&gt;=9,"1-ALTA",IF(AA449&gt;=4,"2-MEDIA",IF(AA449&gt;0,"3-BAJA","")))</f>
        <v/>
      </c>
      <c r="AC449" s="3" t="str">
        <f aca="false">IF(E449="BAJO SS","Stock + XLIB bajo el SS: riesgo real de quiebre, adelantar producción. ","")&amp;IF(E449="BAJO SS (XLIB CUBRE)","Disponible bajo el SS; depende de liberar "&amp;TEXT(J449,"#,##0")&amp;" kg"&amp;IF(ISNUMBER(K449)," el "&amp;TEXT(K449,"dd-mm"),"")&amp;". ","")&amp;IF(W449="SÍ","Stock parece sano pero "&amp;TEXT(L449,"#,##0")&amp;" kg no pasan filtro "&amp;Stock_Seguridad!O449&amp;": sin ellos queda bajo el SS para esa cadena. ","")&amp;IF(E449="SOBRE MAX VENDIBLE","Sobrestock vs vida útil: frenar producción/activar venta. ","")&amp;IF(N(N449)&gt;=Parametros!$B$17,TEXT(N449,"#,##0")&amp;" kg ya no los acepta ninguna cadena: venta intermedia/liquidación. ","")&amp;IF(N(M449)&gt;=Parametros!$B$17,TEXT(M449,"#,##0")&amp;" kg a punto de salir del filtro: despachar primero (FEFO). ","")&amp;IF(Y449="SÍ","Pedidos "&amp;IF(N(U449)&gt;0,"sobre","bajo")&amp;" FCST "&amp;TEXT(ABS(N(U449)),"0%")&amp;": revisar forecast con KAM.","")</f>
        <v/>
      </c>
    </row>
    <row r="450" customFormat="false" ht="15" hidden="false" customHeight="false" outlineLevel="0" collapsed="false">
      <c r="A450" s="18" t="n">
        <f aca="false">Stock_Seguridad!A450</f>
        <v>30001537</v>
      </c>
      <c r="B450" s="18" t="str">
        <f aca="false">Stock_Seguridad!B450</f>
        <v>YOGURT DANONE L&amp;F TRZO FRUTILLA 24X145GR</v>
      </c>
      <c r="C450" s="18" t="str">
        <f aca="false">Stock_Seguridad!C450</f>
        <v>YOGURT</v>
      </c>
      <c r="D450" s="18" t="str">
        <f aca="false">Stock_Seguridad!F450</f>
        <v>CY</v>
      </c>
      <c r="E450" s="19" t="str">
        <f aca="false">Stock_Seguridad!X450</f>
        <v>OK</v>
      </c>
      <c r="F450" s="20" t="n">
        <f aca="false">Stock_Seguridad!W450</f>
        <v>1.57934160005036</v>
      </c>
      <c r="G450" s="21" t="n">
        <f aca="false">Stock_Seguridad!T450</f>
        <v>2509.1</v>
      </c>
      <c r="H450" s="21" t="n">
        <f aca="false">Stock_Seguridad!R450</f>
        <v>802.238587244284</v>
      </c>
      <c r="I450" s="21" t="n">
        <f aca="false">Stock_Seguridad!S450</f>
        <v>2390.93858724428</v>
      </c>
      <c r="J450" s="21" t="n">
        <f aca="false">Stock_Seguridad!U450</f>
        <v>0</v>
      </c>
      <c r="K450" s="22"/>
      <c r="L450" s="23" t="n">
        <v>0</v>
      </c>
      <c r="M450" s="23" t="n">
        <v>0</v>
      </c>
      <c r="N450" s="23" t="n">
        <v>0</v>
      </c>
      <c r="O450" s="24" t="n">
        <v>0.080757363253857</v>
      </c>
      <c r="P450" s="24" t="n">
        <f aca="false">IF(ISNUMBER(Stock_Seguridad!N450),Stock_Seguridad!N450,"")</f>
        <v>0.323076923076923</v>
      </c>
      <c r="Q450" s="24" t="n">
        <f aca="false">IF(AND(ISNUMBER(O450),ISNUMBER(P450)),P450-O450,"")</f>
        <v>0.242319559823066</v>
      </c>
      <c r="R450" s="23" t="n">
        <f aca="false">MAX(0,G450-N(L450))</f>
        <v>2509.1</v>
      </c>
      <c r="S450" s="23" t="n">
        <f aca="false">SUMIFS(Cadenas_vs_FCST!$D$17:$D$2437,Cadenas_vs_FCST!$A$17:$A$2437,A450)</f>
        <v>5609.76</v>
      </c>
      <c r="T450" s="23" t="n">
        <f aca="false">SUMIFS(Cadenas_vs_FCST!$E$17:$E$2437,Cadenas_vs_FCST!$A$17:$A$2437,A450)</f>
        <v>6475.20684815683</v>
      </c>
      <c r="U450" s="24" t="n">
        <f aca="false">IF(T450&gt;0,S450/T450-1,"")</f>
        <v>-0.133655475176546</v>
      </c>
      <c r="V450" s="3" t="str">
        <f aca="false">IF(OR(E450="BAJO SS",E450="BAJO SS (XLIB CUBRE)"),"SÍ","")</f>
        <v/>
      </c>
      <c r="W450" s="3" t="str">
        <f aca="false">IF(AND(V450="",N(L450)&gt;=Parametros!$B$17,G450&gt;=H450,R450&lt;H450),"SÍ","")</f>
        <v/>
      </c>
      <c r="X450" s="3" t="str">
        <f aca="false">IF(OR(E450="SOBRE MAX VENDIBLE",N(N450)&gt;=Parametros!$B$17,N(M450)&gt;=Parametros!$B$17),"SÍ","")</f>
        <v/>
      </c>
      <c r="Y450" s="3" t="str">
        <f aca="false">IF(AND(ISNUMBER(U450),MAX(S450,T450)&gt;=Parametros!$B$15,ABS(N(U450))&gt;Parametros!$B$14),"SÍ","")</f>
        <v/>
      </c>
      <c r="Z450" s="3" t="n">
        <f aca="false">COUNTIF(V450:Y450,"SÍ")</f>
        <v>0</v>
      </c>
      <c r="AA450" s="3" t="n">
        <f aca="false">(3*(V450="SÍ")+2*(W450="SÍ")+2*(X450="SÍ")+(Y450="SÍ"))*IF(LEFT(D450,1)="A",3,IF(OR(LEFT(D450,1)="B",D450="SIN HIST"),2,1))</f>
        <v>0</v>
      </c>
      <c r="AB450" s="3" t="str">
        <f aca="false">IF(AA450&gt;=9,"1-ALTA",IF(AA450&gt;=4,"2-MEDIA",IF(AA450&gt;0,"3-BAJA","")))</f>
        <v/>
      </c>
      <c r="AC450" s="3" t="str">
        <f aca="false">IF(E450="BAJO SS","Stock + XLIB bajo el SS: riesgo real de quiebre, adelantar producción. ","")&amp;IF(E450="BAJO SS (XLIB CUBRE)","Disponible bajo el SS; depende de liberar "&amp;TEXT(J450,"#,##0")&amp;" kg"&amp;IF(ISNUMBER(K450)," el "&amp;TEXT(K450,"dd-mm"),"")&amp;". ","")&amp;IF(W450="SÍ","Stock parece sano pero "&amp;TEXT(L450,"#,##0")&amp;" kg no pasan filtro "&amp;Stock_Seguridad!O450&amp;": sin ellos queda bajo el SS para esa cadena. ","")&amp;IF(E450="SOBRE MAX VENDIBLE","Sobrestock vs vida útil: frenar producción/activar venta. ","")&amp;IF(N(N450)&gt;=Parametros!$B$17,TEXT(N450,"#,##0")&amp;" kg ya no los acepta ninguna cadena: venta intermedia/liquidación. ","")&amp;IF(N(M450)&gt;=Parametros!$B$17,TEXT(M450,"#,##0")&amp;" kg a punto de salir del filtro: despachar primero (FEFO). ","")&amp;IF(Y450="SÍ","Pedidos "&amp;IF(N(U450)&gt;0,"sobre","bajo")&amp;" FCST "&amp;TEXT(ABS(N(U450)),"0%")&amp;": revisar forecast con KAM.","")</f>
        <v/>
      </c>
    </row>
    <row r="451" customFormat="false" ht="15" hidden="false" customHeight="false" outlineLevel="0" collapsed="false">
      <c r="A451" s="18" t="n">
        <f aca="false">Stock_Seguridad!A451</f>
        <v>30000750</v>
      </c>
      <c r="B451" s="18" t="str">
        <f aca="false">Stock_Seguridad!B451</f>
        <v>POROTO VERDE 12X150GR</v>
      </c>
      <c r="C451" s="18" t="str">
        <f aca="false">Stock_Seguridad!C451</f>
        <v>FRUTAS Y HORTALIZAS CONGELADAS</v>
      </c>
      <c r="D451" s="18" t="str">
        <f aca="false">Stock_Seguridad!F451</f>
        <v>SIN HIST</v>
      </c>
      <c r="E451" s="19" t="str">
        <f aca="false">Stock_Seguridad!X451</f>
        <v>OK</v>
      </c>
      <c r="F451" s="20" t="n">
        <f aca="false">Stock_Seguridad!W451</f>
        <v>3.62183334386253</v>
      </c>
      <c r="G451" s="21" t="n">
        <f aca="false">Stock_Seguridad!T451</f>
        <v>5733</v>
      </c>
      <c r="H451" s="21" t="n">
        <f aca="false">Stock_Seguridad!R451</f>
        <v>781.091641830445</v>
      </c>
      <c r="I451" s="21" t="n">
        <f aca="false">Stock_Seguridad!S451</f>
        <v>2363.99164183045</v>
      </c>
      <c r="J451" s="21" t="n">
        <f aca="false">Stock_Seguridad!U451</f>
        <v>0</v>
      </c>
      <c r="K451" s="22"/>
      <c r="L451" s="23" t="n">
        <v>0</v>
      </c>
      <c r="M451" s="23" t="n">
        <v>0</v>
      </c>
      <c r="N451" s="23" t="n">
        <v>0</v>
      </c>
      <c r="O451" s="24" t="n">
        <v>0.02</v>
      </c>
      <c r="P451" s="24" t="str">
        <f aca="false">IF(ISNUMBER(Stock_Seguridad!N451),Stock_Seguridad!N451,"")</f>
        <v/>
      </c>
      <c r="Q451" s="24" t="str">
        <f aca="false">IF(AND(ISNUMBER(O451),ISNUMBER(P451)),P451-O451,"")</f>
        <v/>
      </c>
      <c r="R451" s="23" t="n">
        <f aca="false">MAX(0,G451-N(L451))</f>
        <v>5733</v>
      </c>
      <c r="S451" s="23" t="n">
        <f aca="false">SUMIFS(Cadenas_vs_FCST!$D$17:$D$2437,Cadenas_vs_FCST!$A$17:$A$2437,A451)</f>
        <v>0</v>
      </c>
      <c r="T451" s="23" t="n">
        <f aca="false">SUMIFS(Cadenas_vs_FCST!$E$17:$E$2437,Cadenas_vs_FCST!$A$17:$A$2437,A451)</f>
        <v>0</v>
      </c>
      <c r="U451" s="24" t="str">
        <f aca="false">IF(T451&gt;0,S451/T451-1,"")</f>
        <v/>
      </c>
      <c r="V451" s="3" t="str">
        <f aca="false">IF(OR(E451="BAJO SS",E451="BAJO SS (XLIB CUBRE)"),"SÍ","")</f>
        <v/>
      </c>
      <c r="W451" s="3" t="str">
        <f aca="false">IF(AND(V451="",N(L451)&gt;=Parametros!$B$17,G451&gt;=H451,R451&lt;H451),"SÍ","")</f>
        <v/>
      </c>
      <c r="X451" s="3" t="str">
        <f aca="false">IF(OR(E451="SOBRE MAX VENDIBLE",N(N451)&gt;=Parametros!$B$17,N(M451)&gt;=Parametros!$B$17),"SÍ","")</f>
        <v/>
      </c>
      <c r="Y451" s="3" t="str">
        <f aca="false">IF(AND(ISNUMBER(U451),MAX(S451,T451)&gt;=Parametros!$B$15,ABS(N(U451))&gt;Parametros!$B$14),"SÍ","")</f>
        <v/>
      </c>
      <c r="Z451" s="3" t="n">
        <f aca="false">COUNTIF(V451:Y451,"SÍ")</f>
        <v>0</v>
      </c>
      <c r="AA451" s="3" t="n">
        <f aca="false">(3*(V451="SÍ")+2*(W451="SÍ")+2*(X451="SÍ")+(Y451="SÍ"))*IF(LEFT(D451,1)="A",3,IF(OR(LEFT(D451,1)="B",D451="SIN HIST"),2,1))</f>
        <v>0</v>
      </c>
      <c r="AB451" s="3" t="str">
        <f aca="false">IF(AA451&gt;=9,"1-ALTA",IF(AA451&gt;=4,"2-MEDIA",IF(AA451&gt;0,"3-BAJA","")))</f>
        <v/>
      </c>
      <c r="AC451" s="3" t="str">
        <f aca="false">IF(E451="BAJO SS","Stock + XLIB bajo el SS: riesgo real de quiebre, adelantar producción. ","")&amp;IF(E451="BAJO SS (XLIB CUBRE)","Disponible bajo el SS; depende de liberar "&amp;TEXT(J451,"#,##0")&amp;" kg"&amp;IF(ISNUMBER(K451)," el "&amp;TEXT(K451,"dd-mm"),"")&amp;". ","")&amp;IF(W451="SÍ","Stock parece sano pero "&amp;TEXT(L451,"#,##0")&amp;" kg no pasan filtro "&amp;Stock_Seguridad!O451&amp;": sin ellos queda bajo el SS para esa cadena. ","")&amp;IF(E451="SOBRE MAX VENDIBLE","Sobrestock vs vida útil: frenar producción/activar venta. ","")&amp;IF(N(N451)&gt;=Parametros!$B$17,TEXT(N451,"#,##0")&amp;" kg ya no los acepta ninguna cadena: venta intermedia/liquidación. ","")&amp;IF(N(M451)&gt;=Parametros!$B$17,TEXT(M451,"#,##0")&amp;" kg a punto de salir del filtro: despachar primero (FEFO). ","")&amp;IF(Y451="SÍ","Pedidos "&amp;IF(N(U451)&gt;0,"sobre","bajo")&amp;" FCST "&amp;TEXT(ABS(N(U451)),"0%")&amp;": revisar forecast con KAM.","")</f>
        <v/>
      </c>
    </row>
    <row r="452" customFormat="false" ht="15" hidden="false" customHeight="false" outlineLevel="0" collapsed="false">
      <c r="A452" s="18" t="n">
        <f aca="false">Stock_Seguridad!A452</f>
        <v>30000613</v>
      </c>
      <c r="B452" s="18" t="str">
        <f aca="false">Stock_Seguridad!B452</f>
        <v>CHAMPIÑON LAMINADO WSL 24X400GR</v>
      </c>
      <c r="C452" s="18" t="str">
        <f aca="false">Stock_Seguridad!C452</f>
        <v>CONSERVAS Y PLATOS LISTOS</v>
      </c>
      <c r="D452" s="18" t="str">
        <f aca="false">Stock_Seguridad!F452</f>
        <v>CX</v>
      </c>
      <c r="E452" s="19" t="str">
        <f aca="false">Stock_Seguridad!X452</f>
        <v>OK</v>
      </c>
      <c r="F452" s="20" t="n">
        <f aca="false">Stock_Seguridad!W452</f>
        <v>24.0594474436329</v>
      </c>
      <c r="G452" s="21" t="n">
        <f aca="false">Stock_Seguridad!T452</f>
        <v>37881.6</v>
      </c>
      <c r="H452" s="21" t="n">
        <f aca="false">Stock_Seguridad!R452</f>
        <v>712.090418885027</v>
      </c>
      <c r="I452" s="21" t="n">
        <f aca="false">Stock_Seguridad!S452</f>
        <v>2286.59041888503</v>
      </c>
      <c r="J452" s="21" t="n">
        <f aca="false">Stock_Seguridad!U452</f>
        <v>0</v>
      </c>
      <c r="K452" s="22"/>
      <c r="L452" s="23" t="n">
        <v>0</v>
      </c>
      <c r="M452" s="23" t="n">
        <v>0</v>
      </c>
      <c r="N452" s="23" t="n">
        <v>0</v>
      </c>
      <c r="O452" s="24" t="n">
        <v>0.192516472377091</v>
      </c>
      <c r="P452" s="24" t="n">
        <f aca="false">IF(ISNUMBER(Stock_Seguridad!N452),Stock_Seguridad!N452,"")</f>
        <v>0.461187214611872</v>
      </c>
      <c r="Q452" s="24" t="n">
        <f aca="false">IF(AND(ISNUMBER(O452),ISNUMBER(P452)),P452-O452,"")</f>
        <v>0.268670742234782</v>
      </c>
      <c r="R452" s="23" t="n">
        <f aca="false">MAX(0,G452-N(L452))</f>
        <v>37881.6</v>
      </c>
      <c r="S452" s="23" t="n">
        <f aca="false">SUMIFS(Cadenas_vs_FCST!$D$17:$D$2437,Cadenas_vs_FCST!$A$17:$A$2437,A452)</f>
        <v>5414.4</v>
      </c>
      <c r="T452" s="23" t="n">
        <f aca="false">SUMIFS(Cadenas_vs_FCST!$E$17:$E$2437,Cadenas_vs_FCST!$A$17:$A$2437,A452)</f>
        <v>6294.8</v>
      </c>
      <c r="U452" s="24" t="n">
        <f aca="false">IF(T452&gt;0,S452/T452-1,"")</f>
        <v>-0.13986147296181</v>
      </c>
      <c r="V452" s="3" t="str">
        <f aca="false">IF(OR(E452="BAJO SS",E452="BAJO SS (XLIB CUBRE)"),"SÍ","")</f>
        <v/>
      </c>
      <c r="W452" s="3" t="str">
        <f aca="false">IF(AND(V452="",N(L452)&gt;=Parametros!$B$17,G452&gt;=H452,R452&lt;H452),"SÍ","")</f>
        <v/>
      </c>
      <c r="X452" s="3" t="str">
        <f aca="false">IF(OR(E452="SOBRE MAX VENDIBLE",N(N452)&gt;=Parametros!$B$17,N(M452)&gt;=Parametros!$B$17),"SÍ","")</f>
        <v/>
      </c>
      <c r="Y452" s="3" t="str">
        <f aca="false">IF(AND(ISNUMBER(U452),MAX(S452,T452)&gt;=Parametros!$B$15,ABS(N(U452))&gt;Parametros!$B$14),"SÍ","")</f>
        <v/>
      </c>
      <c r="Z452" s="3" t="n">
        <f aca="false">COUNTIF(V452:Y452,"SÍ")</f>
        <v>0</v>
      </c>
      <c r="AA452" s="3" t="n">
        <f aca="false">(3*(V452="SÍ")+2*(W452="SÍ")+2*(X452="SÍ")+(Y452="SÍ"))*IF(LEFT(D452,1)="A",3,IF(OR(LEFT(D452,1)="B",D452="SIN HIST"),2,1))</f>
        <v>0</v>
      </c>
      <c r="AB452" s="3" t="str">
        <f aca="false">IF(AA452&gt;=9,"1-ALTA",IF(AA452&gt;=4,"2-MEDIA",IF(AA452&gt;0,"3-BAJA","")))</f>
        <v/>
      </c>
      <c r="AC452" s="3" t="str">
        <f aca="false">IF(E452="BAJO SS","Stock + XLIB bajo el SS: riesgo real de quiebre, adelantar producción. ","")&amp;IF(E452="BAJO SS (XLIB CUBRE)","Disponible bajo el SS; depende de liberar "&amp;TEXT(J452,"#,##0")&amp;" kg"&amp;IF(ISNUMBER(K452)," el "&amp;TEXT(K452,"dd-mm"),"")&amp;". ","")&amp;IF(W452="SÍ","Stock parece sano pero "&amp;TEXT(L452,"#,##0")&amp;" kg no pasan filtro "&amp;Stock_Seguridad!O452&amp;": sin ellos queda bajo el SS para esa cadena. ","")&amp;IF(E452="SOBRE MAX VENDIBLE","Sobrestock vs vida útil: frenar producción/activar venta. ","")&amp;IF(N(N452)&gt;=Parametros!$B$17,TEXT(N452,"#,##0")&amp;" kg ya no los acepta ninguna cadena: venta intermedia/liquidación. ","")&amp;IF(N(M452)&gt;=Parametros!$B$17,TEXT(M452,"#,##0")&amp;" kg a punto de salir del filtro: despachar primero (FEFO). ","")&amp;IF(Y452="SÍ","Pedidos "&amp;IF(N(U452)&gt;0,"sobre","bajo")&amp;" FCST "&amp;TEXT(ABS(N(U452)),"0%")&amp;": revisar forecast con KAM.","")</f>
        <v/>
      </c>
    </row>
    <row r="453" customFormat="false" ht="15" hidden="false" customHeight="false" outlineLevel="0" collapsed="false">
      <c r="A453" s="18" t="n">
        <f aca="false">Stock_Seguridad!A453</f>
        <v>30001700</v>
      </c>
      <c r="B453" s="18" t="str">
        <f aca="false">Stock_Seguridad!B453</f>
        <v>MANGO CUBO RT 15X400GR</v>
      </c>
      <c r="C453" s="18" t="str">
        <f aca="false">Stock_Seguridad!C453</f>
        <v>FRUTAS Y HORTALIZAS CONGELADAS</v>
      </c>
      <c r="D453" s="18" t="str">
        <f aca="false">Stock_Seguridad!F453</f>
        <v>SIN HIST</v>
      </c>
      <c r="E453" s="19" t="str">
        <f aca="false">Stock_Seguridad!X453</f>
        <v>OK</v>
      </c>
      <c r="F453" s="20" t="n">
        <f aca="false">Stock_Seguridad!W453</f>
        <v>2.98423279066786</v>
      </c>
      <c r="G453" s="21" t="n">
        <f aca="false">Stock_Seguridad!T453</f>
        <v>1866</v>
      </c>
      <c r="H453" s="21" t="n">
        <f aca="false">Stock_Seguridad!R453</f>
        <v>769.890188630906</v>
      </c>
      <c r="I453" s="21" t="n">
        <f aca="false">Stock_Seguridad!S453</f>
        <v>2330.09018863091</v>
      </c>
      <c r="J453" s="21" t="n">
        <f aca="false">Stock_Seguridad!U453</f>
        <v>2790</v>
      </c>
      <c r="K453" s="22" t="n">
        <v>46318</v>
      </c>
      <c r="L453" s="23" t="n">
        <v>0</v>
      </c>
      <c r="M453" s="23" t="n">
        <v>0</v>
      </c>
      <c r="N453" s="23" t="n">
        <v>0</v>
      </c>
      <c r="O453" s="24" t="n">
        <v>0.0152319587628866</v>
      </c>
      <c r="P453" s="24" t="str">
        <f aca="false">IF(ISNUMBER(Stock_Seguridad!N453),Stock_Seguridad!N453,"")</f>
        <v/>
      </c>
      <c r="Q453" s="24" t="str">
        <f aca="false">IF(AND(ISNUMBER(O453),ISNUMBER(P453)),P453-O453,"")</f>
        <v/>
      </c>
      <c r="R453" s="23" t="n">
        <f aca="false">MAX(0,G453-N(L453))</f>
        <v>1866</v>
      </c>
      <c r="S453" s="23" t="n">
        <f aca="false">SUMIFS(Cadenas_vs_FCST!$D$17:$D$2437,Cadenas_vs_FCST!$A$17:$A$2437,A453)</f>
        <v>0</v>
      </c>
      <c r="T453" s="23" t="n">
        <f aca="false">SUMIFS(Cadenas_vs_FCST!$E$17:$E$2437,Cadenas_vs_FCST!$A$17:$A$2437,A453)</f>
        <v>0</v>
      </c>
      <c r="U453" s="24" t="str">
        <f aca="false">IF(T453&gt;0,S453/T453-1,"")</f>
        <v/>
      </c>
      <c r="V453" s="3" t="str">
        <f aca="false">IF(OR(E453="BAJO SS",E453="BAJO SS (XLIB CUBRE)"),"SÍ","")</f>
        <v/>
      </c>
      <c r="W453" s="3" t="str">
        <f aca="false">IF(AND(V453="",N(L453)&gt;=Parametros!$B$17,G453&gt;=H453,R453&lt;H453),"SÍ","")</f>
        <v/>
      </c>
      <c r="X453" s="3" t="str">
        <f aca="false">IF(OR(E453="SOBRE MAX VENDIBLE",N(N453)&gt;=Parametros!$B$17,N(M453)&gt;=Parametros!$B$17),"SÍ","")</f>
        <v/>
      </c>
      <c r="Y453" s="3" t="str">
        <f aca="false">IF(AND(ISNUMBER(U453),MAX(S453,T453)&gt;=Parametros!$B$15,ABS(N(U453))&gt;Parametros!$B$14),"SÍ","")</f>
        <v/>
      </c>
      <c r="Z453" s="3" t="n">
        <f aca="false">COUNTIF(V453:Y453,"SÍ")</f>
        <v>0</v>
      </c>
      <c r="AA453" s="3" t="n">
        <f aca="false">(3*(V453="SÍ")+2*(W453="SÍ")+2*(X453="SÍ")+(Y453="SÍ"))*IF(LEFT(D453,1)="A",3,IF(OR(LEFT(D453,1)="B",D453="SIN HIST"),2,1))</f>
        <v>0</v>
      </c>
      <c r="AB453" s="3" t="str">
        <f aca="false">IF(AA453&gt;=9,"1-ALTA",IF(AA453&gt;=4,"2-MEDIA",IF(AA453&gt;0,"3-BAJA","")))</f>
        <v/>
      </c>
      <c r="AC453" s="3" t="str">
        <f aca="false">IF(E453="BAJO SS","Stock + XLIB bajo el SS: riesgo real de quiebre, adelantar producción. ","")&amp;IF(E453="BAJO SS (XLIB CUBRE)","Disponible bajo el SS; depende de liberar "&amp;TEXT(J453,"#,##0")&amp;" kg"&amp;IF(ISNUMBER(K453)," el "&amp;TEXT(K453,"dd-mm"),"")&amp;". ","")&amp;IF(W453="SÍ","Stock parece sano pero "&amp;TEXT(L453,"#,##0")&amp;" kg no pasan filtro "&amp;Stock_Seguridad!O453&amp;": sin ellos queda bajo el SS para esa cadena. ","")&amp;IF(E453="SOBRE MAX VENDIBLE","Sobrestock vs vida útil: frenar producción/activar venta. ","")&amp;IF(N(N453)&gt;=Parametros!$B$17,TEXT(N453,"#,##0")&amp;" kg ya no los acepta ninguna cadena: venta intermedia/liquidación. ","")&amp;IF(N(M453)&gt;=Parametros!$B$17,TEXT(M453,"#,##0")&amp;" kg a punto de salir del filtro: despachar primero (FEFO). ","")&amp;IF(Y453="SÍ","Pedidos "&amp;IF(N(U453)&gt;0,"sobre","bajo")&amp;" FCST "&amp;TEXT(ABS(N(U453)),"0%")&amp;": revisar forecast con KAM.","")</f>
        <v/>
      </c>
    </row>
    <row r="454" customFormat="false" ht="15" hidden="false" customHeight="false" outlineLevel="0" collapsed="false">
      <c r="A454" s="18" t="n">
        <f aca="false">Stock_Seguridad!A454</f>
        <v>30000946</v>
      </c>
      <c r="B454" s="18" t="str">
        <f aca="false">Stock_Seguridad!B454</f>
        <v>BASE ARVEJADO 6X2KG</v>
      </c>
      <c r="C454" s="18" t="str">
        <f aca="false">Stock_Seguridad!C454</f>
        <v>FRUTAS Y HORTALIZAS CONGELADAS</v>
      </c>
      <c r="D454" s="18" t="str">
        <f aca="false">Stock_Seguridad!F454</f>
        <v>SIN HIST</v>
      </c>
      <c r="E454" s="19" t="str">
        <f aca="false">Stock_Seguridad!X454</f>
        <v>OK</v>
      </c>
      <c r="F454" s="20" t="n">
        <f aca="false">Stock_Seguridad!W454</f>
        <v>8.10383602133265</v>
      </c>
      <c r="G454" s="21" t="n">
        <f aca="false">Stock_Seguridad!T454</f>
        <v>12612</v>
      </c>
      <c r="H454" s="21" t="n">
        <f aca="false">Stock_Seguridad!R454</f>
        <v>767.965709887373</v>
      </c>
      <c r="I454" s="21" t="n">
        <f aca="false">Stock_Seguridad!S454</f>
        <v>2324.26570988737</v>
      </c>
      <c r="J454" s="21" t="n">
        <f aca="false">Stock_Seguridad!U454</f>
        <v>0</v>
      </c>
      <c r="K454" s="22"/>
      <c r="L454" s="23" t="n">
        <v>0</v>
      </c>
      <c r="M454" s="23" t="n">
        <v>0</v>
      </c>
      <c r="N454" s="23" t="n">
        <v>0</v>
      </c>
      <c r="O454" s="24" t="n">
        <v>0.0714938154138915</v>
      </c>
      <c r="P454" s="24" t="str">
        <f aca="false">IF(ISNUMBER(Stock_Seguridad!N454),Stock_Seguridad!N454,"")</f>
        <v/>
      </c>
      <c r="Q454" s="24" t="str">
        <f aca="false">IF(AND(ISNUMBER(O454),ISNUMBER(P454)),P454-O454,"")</f>
        <v/>
      </c>
      <c r="R454" s="23" t="n">
        <f aca="false">MAX(0,G454-N(L454))</f>
        <v>12612</v>
      </c>
      <c r="S454" s="23" t="n">
        <f aca="false">SUMIFS(Cadenas_vs_FCST!$D$17:$D$2437,Cadenas_vs_FCST!$A$17:$A$2437,A454)</f>
        <v>0</v>
      </c>
      <c r="T454" s="23" t="n">
        <f aca="false">SUMIFS(Cadenas_vs_FCST!$E$17:$E$2437,Cadenas_vs_FCST!$A$17:$A$2437,A454)</f>
        <v>0</v>
      </c>
      <c r="U454" s="24" t="str">
        <f aca="false">IF(T454&gt;0,S454/T454-1,"")</f>
        <v/>
      </c>
      <c r="V454" s="3" t="str">
        <f aca="false">IF(OR(E454="BAJO SS",E454="BAJO SS (XLIB CUBRE)"),"SÍ","")</f>
        <v/>
      </c>
      <c r="W454" s="3" t="str">
        <f aca="false">IF(AND(V454="",N(L454)&gt;=Parametros!$B$17,G454&gt;=H454,R454&lt;H454),"SÍ","")</f>
        <v/>
      </c>
      <c r="X454" s="3" t="str">
        <f aca="false">IF(OR(E454="SOBRE MAX VENDIBLE",N(N454)&gt;=Parametros!$B$17,N(M454)&gt;=Parametros!$B$17),"SÍ","")</f>
        <v/>
      </c>
      <c r="Y454" s="3" t="str">
        <f aca="false">IF(AND(ISNUMBER(U454),MAX(S454,T454)&gt;=Parametros!$B$15,ABS(N(U454))&gt;Parametros!$B$14),"SÍ","")</f>
        <v/>
      </c>
      <c r="Z454" s="3" t="n">
        <f aca="false">COUNTIF(V454:Y454,"SÍ")</f>
        <v>0</v>
      </c>
      <c r="AA454" s="3" t="n">
        <f aca="false">(3*(V454="SÍ")+2*(W454="SÍ")+2*(X454="SÍ")+(Y454="SÍ"))*IF(LEFT(D454,1)="A",3,IF(OR(LEFT(D454,1)="B",D454="SIN HIST"),2,1))</f>
        <v>0</v>
      </c>
      <c r="AB454" s="3" t="str">
        <f aca="false">IF(AA454&gt;=9,"1-ALTA",IF(AA454&gt;=4,"2-MEDIA",IF(AA454&gt;0,"3-BAJA","")))</f>
        <v/>
      </c>
      <c r="AC454" s="3" t="str">
        <f aca="false">IF(E454="BAJO SS","Stock + XLIB bajo el SS: riesgo real de quiebre, adelantar producción. ","")&amp;IF(E454="BAJO SS (XLIB CUBRE)","Disponible bajo el SS; depende de liberar "&amp;TEXT(J454,"#,##0")&amp;" kg"&amp;IF(ISNUMBER(K454)," el "&amp;TEXT(K454,"dd-mm"),"")&amp;". ","")&amp;IF(W454="SÍ","Stock parece sano pero "&amp;TEXT(L454,"#,##0")&amp;" kg no pasan filtro "&amp;Stock_Seguridad!O454&amp;": sin ellos queda bajo el SS para esa cadena. ","")&amp;IF(E454="SOBRE MAX VENDIBLE","Sobrestock vs vida útil: frenar producción/activar venta. ","")&amp;IF(N(N454)&gt;=Parametros!$B$17,TEXT(N454,"#,##0")&amp;" kg ya no los acepta ninguna cadena: venta intermedia/liquidación. ","")&amp;IF(N(M454)&gt;=Parametros!$B$17,TEXT(M454,"#,##0")&amp;" kg a punto de salir del filtro: despachar primero (FEFO). ","")&amp;IF(Y454="SÍ","Pedidos "&amp;IF(N(U454)&gt;0,"sobre","bajo")&amp;" FCST "&amp;TEXT(ABS(N(U454)),"0%")&amp;": revisar forecast con KAM.","")</f>
        <v/>
      </c>
    </row>
    <row r="455" customFormat="false" ht="15" hidden="false" customHeight="false" outlineLevel="0" collapsed="false">
      <c r="A455" s="18" t="n">
        <f aca="false">Stock_Seguridad!A455</f>
        <v>30000927</v>
      </c>
      <c r="B455" s="18" t="str">
        <f aca="false">Stock_Seguridad!B455</f>
        <v>ZAPALLO CUBO 20X350GR</v>
      </c>
      <c r="C455" s="18" t="str">
        <f aca="false">Stock_Seguridad!C455</f>
        <v>FRUTAS Y HORTALIZAS CONGELADAS</v>
      </c>
      <c r="D455" s="18" t="str">
        <f aca="false">Stock_Seguridad!F455</f>
        <v>SIN HIST</v>
      </c>
      <c r="E455" s="19" t="str">
        <f aca="false">Stock_Seguridad!X455</f>
        <v>OK</v>
      </c>
      <c r="F455" s="20" t="n">
        <f aca="false">Stock_Seguridad!W455</f>
        <v>9.29990966576333</v>
      </c>
      <c r="G455" s="21" t="n">
        <f aca="false">Stock_Seguridad!T455</f>
        <v>14413</v>
      </c>
      <c r="H455" s="21" t="n">
        <f aca="false">Stock_Seguridad!R455</f>
        <v>764.758245314817</v>
      </c>
      <c r="I455" s="21" t="n">
        <f aca="false">Stock_Seguridad!S455</f>
        <v>2314.55824531482</v>
      </c>
      <c r="J455" s="21" t="n">
        <f aca="false">Stock_Seguridad!U455</f>
        <v>0</v>
      </c>
      <c r="K455" s="22"/>
      <c r="L455" s="23" t="n">
        <v>0</v>
      </c>
      <c r="M455" s="23" t="n">
        <v>0</v>
      </c>
      <c r="N455" s="23" t="n">
        <v>0</v>
      </c>
      <c r="O455" s="24" t="n">
        <v>0.0160174842156387</v>
      </c>
      <c r="P455" s="24" t="str">
        <f aca="false">IF(ISNUMBER(Stock_Seguridad!N455),Stock_Seguridad!N455,"")</f>
        <v/>
      </c>
      <c r="Q455" s="24" t="str">
        <f aca="false">IF(AND(ISNUMBER(O455),ISNUMBER(P455)),P455-O455,"")</f>
        <v/>
      </c>
      <c r="R455" s="23" t="n">
        <f aca="false">MAX(0,G455-N(L455))</f>
        <v>14413</v>
      </c>
      <c r="S455" s="23" t="n">
        <f aca="false">SUMIFS(Cadenas_vs_FCST!$D$17:$D$2437,Cadenas_vs_FCST!$A$17:$A$2437,A455)</f>
        <v>0</v>
      </c>
      <c r="T455" s="23" t="n">
        <f aca="false">SUMIFS(Cadenas_vs_FCST!$E$17:$E$2437,Cadenas_vs_FCST!$A$17:$A$2437,A455)</f>
        <v>0</v>
      </c>
      <c r="U455" s="24" t="str">
        <f aca="false">IF(T455&gt;0,S455/T455-1,"")</f>
        <v/>
      </c>
      <c r="V455" s="3" t="str">
        <f aca="false">IF(OR(E455="BAJO SS",E455="BAJO SS (XLIB CUBRE)"),"SÍ","")</f>
        <v/>
      </c>
      <c r="W455" s="3" t="str">
        <f aca="false">IF(AND(V455="",N(L455)&gt;=Parametros!$B$17,G455&gt;=H455,R455&lt;H455),"SÍ","")</f>
        <v/>
      </c>
      <c r="X455" s="3" t="str">
        <f aca="false">IF(OR(E455="SOBRE MAX VENDIBLE",N(N455)&gt;=Parametros!$B$17,N(M455)&gt;=Parametros!$B$17),"SÍ","")</f>
        <v/>
      </c>
      <c r="Y455" s="3" t="str">
        <f aca="false">IF(AND(ISNUMBER(U455),MAX(S455,T455)&gt;=Parametros!$B$15,ABS(N(U455))&gt;Parametros!$B$14),"SÍ","")</f>
        <v/>
      </c>
      <c r="Z455" s="3" t="n">
        <f aca="false">COUNTIF(V455:Y455,"SÍ")</f>
        <v>0</v>
      </c>
      <c r="AA455" s="3" t="n">
        <f aca="false">(3*(V455="SÍ")+2*(W455="SÍ")+2*(X455="SÍ")+(Y455="SÍ"))*IF(LEFT(D455,1)="A",3,IF(OR(LEFT(D455,1)="B",D455="SIN HIST"),2,1))</f>
        <v>0</v>
      </c>
      <c r="AB455" s="3" t="str">
        <f aca="false">IF(AA455&gt;=9,"1-ALTA",IF(AA455&gt;=4,"2-MEDIA",IF(AA455&gt;0,"3-BAJA","")))</f>
        <v/>
      </c>
      <c r="AC455" s="3" t="str">
        <f aca="false">IF(E455="BAJO SS","Stock + XLIB bajo el SS: riesgo real de quiebre, adelantar producción. ","")&amp;IF(E455="BAJO SS (XLIB CUBRE)","Disponible bajo el SS; depende de liberar "&amp;TEXT(J455,"#,##0")&amp;" kg"&amp;IF(ISNUMBER(K455)," el "&amp;TEXT(K455,"dd-mm"),"")&amp;". ","")&amp;IF(W455="SÍ","Stock parece sano pero "&amp;TEXT(L455,"#,##0")&amp;" kg no pasan filtro "&amp;Stock_Seguridad!O455&amp;": sin ellos queda bajo el SS para esa cadena. ","")&amp;IF(E455="SOBRE MAX VENDIBLE","Sobrestock vs vida útil: frenar producción/activar venta. ","")&amp;IF(N(N455)&gt;=Parametros!$B$17,TEXT(N455,"#,##0")&amp;" kg ya no los acepta ninguna cadena: venta intermedia/liquidación. ","")&amp;IF(N(M455)&gt;=Parametros!$B$17,TEXT(M455,"#,##0")&amp;" kg a punto de salir del filtro: despachar primero (FEFO). ","")&amp;IF(Y455="SÍ","Pedidos "&amp;IF(N(U455)&gt;0,"sobre","bajo")&amp;" FCST "&amp;TEXT(ABS(N(U455)),"0%")&amp;": revisar forecast con KAM.","")</f>
        <v/>
      </c>
    </row>
    <row r="456" customFormat="false" ht="15" hidden="false" customHeight="false" outlineLevel="0" collapsed="false">
      <c r="A456" s="18" t="n">
        <f aca="false">Stock_Seguridad!A456</f>
        <v>30001149</v>
      </c>
      <c r="B456" s="18" t="str">
        <f aca="false">Stock_Seguridad!B456</f>
        <v>LECHE EVAPORADA S/LAC LONCO 30X200ML</v>
      </c>
      <c r="C456" s="18" t="str">
        <f aca="false">Stock_Seguridad!C456</f>
        <v>LECHE EVAPORADA</v>
      </c>
      <c r="D456" s="18" t="str">
        <f aca="false">Stock_Seguridad!F456</f>
        <v>CX</v>
      </c>
      <c r="E456" s="19" t="str">
        <f aca="false">Stock_Seguridad!X456</f>
        <v>OK</v>
      </c>
      <c r="F456" s="20" t="n">
        <f aca="false">Stock_Seguridad!W456</f>
        <v>1.52952565343659</v>
      </c>
      <c r="G456" s="21" t="n">
        <f aca="false">Stock_Seguridad!T456</f>
        <v>2370</v>
      </c>
      <c r="H456" s="21" t="n">
        <f aca="false">Stock_Seguridad!R456</f>
        <v>686.370613822838</v>
      </c>
      <c r="I456" s="21" t="n">
        <f aca="false">Stock_Seguridad!S456</f>
        <v>2235.87061382284</v>
      </c>
      <c r="J456" s="21" t="n">
        <f aca="false">Stock_Seguridad!U456</f>
        <v>0</v>
      </c>
      <c r="K456" s="22"/>
      <c r="L456" s="23" t="n">
        <v>2370</v>
      </c>
      <c r="M456" s="23" t="n">
        <v>0</v>
      </c>
      <c r="N456" s="23" t="n">
        <v>0</v>
      </c>
      <c r="O456" s="24" t="n">
        <v>0.23</v>
      </c>
      <c r="P456" s="24" t="n">
        <f aca="false">IF(ISNUMBER(Stock_Seguridad!N456),Stock_Seguridad!N456,"")</f>
        <v>0.211640211640212</v>
      </c>
      <c r="Q456" s="24" t="n">
        <f aca="false">IF(AND(ISNUMBER(O456),ISNUMBER(P456)),P456-O456,"")</f>
        <v>-0.0183597883597884</v>
      </c>
      <c r="R456" s="23" t="n">
        <f aca="false">MAX(0,G456-N(L456))</f>
        <v>0</v>
      </c>
      <c r="S456" s="23" t="n">
        <f aca="false">SUMIFS(Cadenas_vs_FCST!$D$17:$D$2437,Cadenas_vs_FCST!$A$17:$A$2437,A456)</f>
        <v>6300</v>
      </c>
      <c r="T456" s="23" t="n">
        <f aca="false">SUMIFS(Cadenas_vs_FCST!$E$17:$E$2437,Cadenas_vs_FCST!$A$17:$A$2437,A456)</f>
        <v>6785.52604682713</v>
      </c>
      <c r="U456" s="24" t="n">
        <f aca="false">IF(T456&gt;0,S456/T456-1,"")</f>
        <v>-0.0715531918198382</v>
      </c>
      <c r="V456" s="3" t="str">
        <f aca="false">IF(OR(E456="BAJO SS",E456="BAJO SS (XLIB CUBRE)"),"SÍ","")</f>
        <v/>
      </c>
      <c r="W456" s="3" t="str">
        <f aca="false">IF(AND(V456="",N(L456)&gt;=Parametros!$B$17,G456&gt;=H456,R456&lt;H456),"SÍ","")</f>
        <v>SÍ</v>
      </c>
      <c r="X456" s="3" t="str">
        <f aca="false">IF(OR(E456="SOBRE MAX VENDIBLE",N(N456)&gt;=Parametros!$B$17,N(M456)&gt;=Parametros!$B$17),"SÍ","")</f>
        <v/>
      </c>
      <c r="Y456" s="3" t="str">
        <f aca="false">IF(AND(ISNUMBER(U456),MAX(S456,T456)&gt;=Parametros!$B$15,ABS(N(U456))&gt;Parametros!$B$14),"SÍ","")</f>
        <v/>
      </c>
      <c r="Z456" s="3" t="n">
        <f aca="false">COUNTIF(V456:Y456,"SÍ")</f>
        <v>1</v>
      </c>
      <c r="AA456" s="3" t="n">
        <f aca="false">(3*(V456="SÍ")+2*(W456="SÍ")+2*(X456="SÍ")+(Y456="SÍ"))*IF(LEFT(D456,1)="A",3,IF(OR(LEFT(D456,1)="B",D456="SIN HIST"),2,1))</f>
        <v>2</v>
      </c>
      <c r="AB456" s="3" t="str">
        <f aca="false">IF(AA456&gt;=9,"1-ALTA",IF(AA456&gt;=4,"2-MEDIA",IF(AA456&gt;0,"3-BAJA","")))</f>
        <v>3-BAJA</v>
      </c>
      <c r="AC456" s="3" t="str">
        <f aca="false">IF(E456="BAJO SS","Stock + XLIB bajo el SS: riesgo real de quiebre, adelantar producción. ","")&amp;IF(E456="BAJO SS (XLIB CUBRE)","Disponible bajo el SS; depende de liberar "&amp;TEXT(J456,"#,##0")&amp;" kg"&amp;IF(ISNUMBER(K456)," el "&amp;TEXT(K456,"dd-mm"),"")&amp;". ","")&amp;IF(W456="SÍ","Stock parece sano pero "&amp;TEXT(L456,"#,##0")&amp;" kg no pasan filtro "&amp;Stock_Seguridad!O456&amp;": sin ellos queda bajo el SS para esa cadena. ","")&amp;IF(E456="SOBRE MAX VENDIBLE","Sobrestock vs vida útil: frenar producción/activar venta. ","")&amp;IF(N(N456)&gt;=Parametros!$B$17,TEXT(N456,"#,##0")&amp;" kg ya no los acepta ninguna cadena: venta intermedia/liquidación. ","")&amp;IF(N(M456)&gt;=Parametros!$B$17,TEXT(M456,"#,##0")&amp;" kg a punto de salir del filtro: despachar primero (FEFO). ","")&amp;IF(Y456="SÍ","Pedidos "&amp;IF(N(U456)&gt;0,"sobre","bajo")&amp;" FCST "&amp;TEXT(ABS(N(U456)),"0%")&amp;": revisar forecast con KAM.","")</f>
        <v>Stock parece sano pero 2,370 kg no pasan filtro CENCOSUD CENTRAL: sin ellos queda bajo el SS para esa cadena. </v>
      </c>
    </row>
    <row r="457" customFormat="false" ht="15" hidden="false" customHeight="false" outlineLevel="0" collapsed="false">
      <c r="A457" s="18" t="n">
        <f aca="false">Stock_Seguridad!A457</f>
        <v>30002288</v>
      </c>
      <c r="B457" s="18" t="str">
        <f aca="false">Stock_Seguridad!B457</f>
        <v>YOGURT LONCO PROTEIN CHIRIMOYA 24X140GR</v>
      </c>
      <c r="C457" s="18" t="str">
        <f aca="false">Stock_Seguridad!C457</f>
        <v>YOGURT</v>
      </c>
      <c r="D457" s="18" t="str">
        <f aca="false">Stock_Seguridad!F457</f>
        <v>BX</v>
      </c>
      <c r="E457" s="19" t="str">
        <f aca="false">Stock_Seguridad!X457</f>
        <v>BAJO SS</v>
      </c>
      <c r="F457" s="20" t="n">
        <f aca="false">Stock_Seguridad!W457</f>
        <v>0.359953252824309</v>
      </c>
      <c r="G457" s="21" t="n">
        <f aca="false">Stock_Seguridad!T457</f>
        <v>554.4</v>
      </c>
      <c r="H457" s="21" t="n">
        <f aca="false">Stock_Seguridad!R457</f>
        <v>2619.56611252386</v>
      </c>
      <c r="I457" s="21" t="n">
        <f aca="false">Stock_Seguridad!S457</f>
        <v>4159.76611252386</v>
      </c>
      <c r="J457" s="21" t="n">
        <f aca="false">Stock_Seguridad!U457</f>
        <v>0</v>
      </c>
      <c r="K457" s="22"/>
      <c r="L457" s="23" t="n">
        <v>0</v>
      </c>
      <c r="M457" s="23" t="n">
        <v>0</v>
      </c>
      <c r="N457" s="23" t="n">
        <v>0</v>
      </c>
      <c r="O457" s="24" t="n">
        <v>0.37</v>
      </c>
      <c r="P457" s="24" t="str">
        <f aca="false">IF(ISNUMBER(Stock_Seguridad!N457),Stock_Seguridad!N457,"")</f>
        <v/>
      </c>
      <c r="Q457" s="24" t="str">
        <f aca="false">IF(AND(ISNUMBER(O457),ISNUMBER(P457)),P457-O457,"")</f>
        <v/>
      </c>
      <c r="R457" s="23" t="n">
        <f aca="false">MAX(0,G457-N(L457))</f>
        <v>554.4</v>
      </c>
      <c r="S457" s="23" t="n">
        <f aca="false">SUMIFS(Cadenas_vs_FCST!$D$17:$D$2437,Cadenas_vs_FCST!$A$17:$A$2437,A457)</f>
        <v>10849.44</v>
      </c>
      <c r="T457" s="23" t="n">
        <f aca="false">SUMIFS(Cadenas_vs_FCST!$E$17:$E$2437,Cadenas_vs_FCST!$A$17:$A$2437,A457)</f>
        <v>11346.6897799697</v>
      </c>
      <c r="U457" s="24" t="n">
        <f aca="false">IF(T457&gt;0,S457/T457-1,"")</f>
        <v>-0.0438233343479193</v>
      </c>
      <c r="V457" s="3" t="str">
        <f aca="false">IF(OR(E457="BAJO SS",E457="BAJO SS (XLIB CUBRE)"),"SÍ","")</f>
        <v>SÍ</v>
      </c>
      <c r="W457" s="3" t="str">
        <f aca="false">IF(AND(V457="",N(L457)&gt;=Parametros!$B$17,G457&gt;=H457,R457&lt;H457),"SÍ","")</f>
        <v/>
      </c>
      <c r="X457" s="3" t="str">
        <f aca="false">IF(OR(E457="SOBRE MAX VENDIBLE",N(N457)&gt;=Parametros!$B$17,N(M457)&gt;=Parametros!$B$17),"SÍ","")</f>
        <v/>
      </c>
      <c r="Y457" s="3" t="str">
        <f aca="false">IF(AND(ISNUMBER(U457),MAX(S457,T457)&gt;=Parametros!$B$15,ABS(N(U457))&gt;Parametros!$B$14),"SÍ","")</f>
        <v/>
      </c>
      <c r="Z457" s="3" t="n">
        <f aca="false">COUNTIF(V457:Y457,"SÍ")</f>
        <v>1</v>
      </c>
      <c r="AA457" s="3" t="n">
        <f aca="false">(3*(V457="SÍ")+2*(W457="SÍ")+2*(X457="SÍ")+(Y457="SÍ"))*IF(LEFT(D457,1)="A",3,IF(OR(LEFT(D457,1)="B",D457="SIN HIST"),2,1))</f>
        <v>6</v>
      </c>
      <c r="AB457" s="3" t="str">
        <f aca="false">IF(AA457&gt;=9,"1-ALTA",IF(AA457&gt;=4,"2-MEDIA",IF(AA457&gt;0,"3-BAJA","")))</f>
        <v>2-MEDIA</v>
      </c>
      <c r="AC457" s="3" t="str">
        <f aca="false">IF(E457="BAJO SS","Stock + XLIB bajo el SS: riesgo real de quiebre, adelantar producción. ","")&amp;IF(E457="BAJO SS (XLIB CUBRE)","Disponible bajo el SS; depende de liberar "&amp;TEXT(J457,"#,##0")&amp;" kg"&amp;IF(ISNUMBER(K457)," el "&amp;TEXT(K457,"dd-mm"),"")&amp;". ","")&amp;IF(W457="SÍ","Stock parece sano pero "&amp;TEXT(L457,"#,##0")&amp;" kg no pasan filtro "&amp;Stock_Seguridad!O457&amp;": sin ellos queda bajo el SS para esa cadena. ","")&amp;IF(E457="SOBRE MAX VENDIBLE","Sobrestock vs vida útil: frenar producción/activar venta. ","")&amp;IF(N(N457)&gt;=Parametros!$B$17,TEXT(N457,"#,##0")&amp;" kg ya no los acepta ninguna cadena: venta intermedia/liquidación. ","")&amp;IF(N(M457)&gt;=Parametros!$B$17,TEXT(M457,"#,##0")&amp;" kg a punto de salir del filtro: despachar primero (FEFO). ","")&amp;IF(Y457="SÍ","Pedidos "&amp;IF(N(U457)&gt;0,"sobre","bajo")&amp;" FCST "&amp;TEXT(ABS(N(U457)),"0%")&amp;": revisar forecast con KAM.","")</f>
        <v>Stock + XLIB bajo el SS: riesgo real de quiebre, adelantar producción. </v>
      </c>
    </row>
    <row r="458" customFormat="false" ht="15" hidden="false" customHeight="false" outlineLevel="0" collapsed="false">
      <c r="A458" s="18" t="n">
        <f aca="false">Stock_Seguridad!A458</f>
        <v>30002076</v>
      </c>
      <c r="B458" s="18" t="str">
        <f aca="false">Stock_Seguridad!B458</f>
        <v>LECHE DESC LIGHT CHOC LONCOLECHE 12X1LT</v>
      </c>
      <c r="C458" s="18" t="str">
        <f aca="false">Stock_Seguridad!C458</f>
        <v>LECHES LIQUIDAS</v>
      </c>
      <c r="D458" s="18" t="str">
        <f aca="false">Stock_Seguridad!F458</f>
        <v>CZ</v>
      </c>
      <c r="E458" s="19" t="str">
        <f aca="false">Stock_Seguridad!X458</f>
        <v>OK</v>
      </c>
      <c r="F458" s="20" t="n">
        <f aca="false">Stock_Seguridad!W458</f>
        <v>5.0760493504798</v>
      </c>
      <c r="G458" s="21" t="n">
        <f aca="false">Stock_Seguridad!T458</f>
        <v>7776</v>
      </c>
      <c r="H458" s="21" t="n">
        <f aca="false">Stock_Seguridad!R458</f>
        <v>3077.72898766324</v>
      </c>
      <c r="I458" s="21" t="n">
        <f aca="false">Stock_Seguridad!S458</f>
        <v>4609.62898766324</v>
      </c>
      <c r="J458" s="21" t="n">
        <f aca="false">Stock_Seguridad!U458</f>
        <v>0</v>
      </c>
      <c r="K458" s="22"/>
      <c r="L458" s="23" t="n">
        <v>264</v>
      </c>
      <c r="M458" s="23" t="n">
        <v>0</v>
      </c>
      <c r="N458" s="23" t="n">
        <v>24</v>
      </c>
      <c r="O458" s="24" t="n">
        <v>0.0807716049382716</v>
      </c>
      <c r="P458" s="24" t="n">
        <f aca="false">IF(ISNUMBER(Stock_Seguridad!N458),Stock_Seguridad!N458,"")</f>
        <v>0.239130434782609</v>
      </c>
      <c r="Q458" s="24" t="n">
        <f aca="false">IF(AND(ISNUMBER(O458),ISNUMBER(P458)),P458-O458,"")</f>
        <v>0.158358829844337</v>
      </c>
      <c r="R458" s="23" t="n">
        <f aca="false">MAX(0,G458-N(L458))</f>
        <v>7512</v>
      </c>
      <c r="S458" s="23" t="n">
        <f aca="false">SUMIFS(Cadenas_vs_FCST!$D$17:$D$2437,Cadenas_vs_FCST!$A$17:$A$2437,A458)</f>
        <v>6552</v>
      </c>
      <c r="T458" s="23" t="n">
        <f aca="false">SUMIFS(Cadenas_vs_FCST!$E$17:$E$2437,Cadenas_vs_FCST!$A$17:$A$2437,A458)</f>
        <v>5375.88731644978</v>
      </c>
      <c r="U458" s="24" t="n">
        <f aca="false">IF(T458&gt;0,S458/T458-1,"")</f>
        <v>0.218775546122667</v>
      </c>
      <c r="V458" s="3" t="str">
        <f aca="false">IF(OR(E458="BAJO SS",E458="BAJO SS (XLIB CUBRE)"),"SÍ","")</f>
        <v/>
      </c>
      <c r="W458" s="3" t="str">
        <f aca="false">IF(AND(V458="",N(L458)&gt;=Parametros!$B$17,G458&gt;=H458,R458&lt;H458),"SÍ","")</f>
        <v/>
      </c>
      <c r="X458" s="3" t="str">
        <f aca="false">IF(OR(E458="SOBRE MAX VENDIBLE",N(N458)&gt;=Parametros!$B$17,N(M458)&gt;=Parametros!$B$17),"SÍ","")</f>
        <v/>
      </c>
      <c r="Y458" s="3" t="str">
        <f aca="false">IF(AND(ISNUMBER(U458),MAX(S458,T458)&gt;=Parametros!$B$15,ABS(N(U458))&gt;Parametros!$B$14),"SÍ","")</f>
        <v>SÍ</v>
      </c>
      <c r="Z458" s="3" t="n">
        <f aca="false">COUNTIF(V458:Y458,"SÍ")</f>
        <v>1</v>
      </c>
      <c r="AA458" s="3" t="n">
        <f aca="false">(3*(V458="SÍ")+2*(W458="SÍ")+2*(X458="SÍ")+(Y458="SÍ"))*IF(LEFT(D458,1)="A",3,IF(OR(LEFT(D458,1)="B",D458="SIN HIST"),2,1))</f>
        <v>1</v>
      </c>
      <c r="AB458" s="3" t="str">
        <f aca="false">IF(AA458&gt;=9,"1-ALTA",IF(AA458&gt;=4,"2-MEDIA",IF(AA458&gt;0,"3-BAJA","")))</f>
        <v>3-BAJA</v>
      </c>
      <c r="AC458" s="3" t="str">
        <f aca="false">IF(E458="BAJO SS","Stock + XLIB bajo el SS: riesgo real de quiebre, adelantar producción. ","")&amp;IF(E458="BAJO SS (XLIB CUBRE)","Disponible bajo el SS; depende de liberar "&amp;TEXT(J458,"#,##0")&amp;" kg"&amp;IF(ISNUMBER(K458)," el "&amp;TEXT(K458,"dd-mm"),"")&amp;". ","")&amp;IF(W458="SÍ","Stock parece sano pero "&amp;TEXT(L458,"#,##0")&amp;" kg no pasan filtro "&amp;Stock_Seguridad!O458&amp;": sin ellos queda bajo el SS para esa cadena. ","")&amp;IF(E458="SOBRE MAX VENDIBLE","Sobrestock vs vida útil: frenar producción/activar venta. ","")&amp;IF(N(N458)&gt;=Parametros!$B$17,TEXT(N458,"#,##0")&amp;" kg ya no los acepta ninguna cadena: venta intermedia/liquidación. ","")&amp;IF(N(M458)&gt;=Parametros!$B$17,TEXT(M458,"#,##0")&amp;" kg a punto de salir del filtro: despachar primero (FEFO). ","")&amp;IF(Y458="SÍ","Pedidos "&amp;IF(N(U458)&gt;0,"sobre","bajo")&amp;" FCST "&amp;TEXT(ABS(N(U458)),"0%")&amp;": revisar forecast con KAM.","")</f>
        <v>Pedidos sobre FCST 22%: revisar forecast con KAM.</v>
      </c>
    </row>
    <row r="459" customFormat="false" ht="15" hidden="false" customHeight="false" outlineLevel="0" collapsed="false">
      <c r="A459" s="18" t="n">
        <f aca="false">Stock_Seguridad!A459</f>
        <v>30000119</v>
      </c>
      <c r="B459" s="18" t="str">
        <f aca="false">Stock_Seguridad!B459</f>
        <v>MANTECA PALMIN 6X12X100GR</v>
      </c>
      <c r="C459" s="18" t="str">
        <f aca="false">Stock_Seguridad!C459</f>
        <v>MANTECAS</v>
      </c>
      <c r="D459" s="18" t="str">
        <f aca="false">Stock_Seguridad!F459</f>
        <v>CX</v>
      </c>
      <c r="E459" s="19" t="str">
        <f aca="false">Stock_Seguridad!X459</f>
        <v>SOBRE MAX VENDIBLE</v>
      </c>
      <c r="F459" s="20" t="n">
        <f aca="false">Stock_Seguridad!W459</f>
        <v>6.5376</v>
      </c>
      <c r="G459" s="21" t="n">
        <f aca="false">Stock_Seguridad!T459</f>
        <v>9806.4</v>
      </c>
      <c r="H459" s="21" t="n">
        <f aca="false">Stock_Seguridad!R459</f>
        <v>2303.98172878384</v>
      </c>
      <c r="I459" s="21" t="n">
        <f aca="false">Stock_Seguridad!S459</f>
        <v>3803.98172878384</v>
      </c>
      <c r="J459" s="21" t="n">
        <f aca="false">Stock_Seguridad!U459</f>
        <v>0</v>
      </c>
      <c r="K459" s="22"/>
      <c r="L459" s="23" t="n">
        <v>626.4</v>
      </c>
      <c r="M459" s="23" t="n">
        <v>0</v>
      </c>
      <c r="N459" s="23" t="n">
        <v>7.2</v>
      </c>
      <c r="O459" s="24" t="n">
        <v>0.160822320117474</v>
      </c>
      <c r="P459" s="24" t="n">
        <f aca="false">IF(ISNUMBER(Stock_Seguridad!N459),Stock_Seguridad!N459,"")</f>
        <v>0.244565217391304</v>
      </c>
      <c r="Q459" s="24" t="n">
        <f aca="false">IF(AND(ISNUMBER(O459),ISNUMBER(P459)),P459-O459,"")</f>
        <v>0.08374289727383</v>
      </c>
      <c r="R459" s="23" t="n">
        <f aca="false">MAX(0,G459-N(L459))</f>
        <v>9180</v>
      </c>
      <c r="S459" s="23" t="n">
        <f aca="false">SUMIFS(Cadenas_vs_FCST!$D$17:$D$2437,Cadenas_vs_FCST!$A$17:$A$2437,A459)</f>
        <v>6487.2</v>
      </c>
      <c r="T459" s="23" t="n">
        <f aca="false">SUMIFS(Cadenas_vs_FCST!$E$17:$E$2437,Cadenas_vs_FCST!$A$17:$A$2437,A459)</f>
        <v>10092.8536836675</v>
      </c>
      <c r="U459" s="24" t="n">
        <f aca="false">IF(T459&gt;0,S459/T459-1,"")</f>
        <v>-0.357248187348862</v>
      </c>
      <c r="V459" s="3" t="str">
        <f aca="false">IF(OR(E459="BAJO SS",E459="BAJO SS (XLIB CUBRE)"),"SÍ","")</f>
        <v/>
      </c>
      <c r="W459" s="3" t="str">
        <f aca="false">IF(AND(V459="",N(L459)&gt;=Parametros!$B$17,G459&gt;=H459,R459&lt;H459),"SÍ","")</f>
        <v/>
      </c>
      <c r="X459" s="3" t="str">
        <f aca="false">IF(OR(E459="SOBRE MAX VENDIBLE",N(N459)&gt;=Parametros!$B$17,N(M459)&gt;=Parametros!$B$17),"SÍ","")</f>
        <v>SÍ</v>
      </c>
      <c r="Y459" s="3" t="str">
        <f aca="false">IF(AND(ISNUMBER(U459),MAX(S459,T459)&gt;=Parametros!$B$15,ABS(N(U459))&gt;Parametros!$B$14),"SÍ","")</f>
        <v>SÍ</v>
      </c>
      <c r="Z459" s="3" t="n">
        <f aca="false">COUNTIF(V459:Y459,"SÍ")</f>
        <v>2</v>
      </c>
      <c r="AA459" s="3" t="n">
        <f aca="false">(3*(V459="SÍ")+2*(W459="SÍ")+2*(X459="SÍ")+(Y459="SÍ"))*IF(LEFT(D459,1)="A",3,IF(OR(LEFT(D459,1)="B",D459="SIN HIST"),2,1))</f>
        <v>3</v>
      </c>
      <c r="AB459" s="3" t="str">
        <f aca="false">IF(AA459&gt;=9,"1-ALTA",IF(AA459&gt;=4,"2-MEDIA",IF(AA459&gt;0,"3-BAJA","")))</f>
        <v>3-BAJA</v>
      </c>
      <c r="AC459" s="3" t="str">
        <f aca="false">IF(E459="BAJO SS","Stock + XLIB bajo el SS: riesgo real de quiebre, adelantar producción. ","")&amp;IF(E459="BAJO SS (XLIB CUBRE)","Disponible bajo el SS; depende de liberar "&amp;TEXT(J459,"#,##0")&amp;" kg"&amp;IF(ISNUMBER(K459)," el "&amp;TEXT(K459,"dd-mm"),"")&amp;". ","")&amp;IF(W459="SÍ","Stock parece sano pero "&amp;TEXT(L459,"#,##0")&amp;" kg no pasan filtro "&amp;Stock_Seguridad!O459&amp;": sin ellos queda bajo el SS para esa cadena. ","")&amp;IF(E459="SOBRE MAX VENDIBLE","Sobrestock vs vida útil: frenar producción/activar venta. ","")&amp;IF(N(N459)&gt;=Parametros!$B$17,TEXT(N459,"#,##0")&amp;" kg ya no los acepta ninguna cadena: venta intermedia/liquidación. ","")&amp;IF(N(M459)&gt;=Parametros!$B$17,TEXT(M459,"#,##0")&amp;" kg a punto de salir del filtro: despachar primero (FEFO). ","")&amp;IF(Y459="SÍ","Pedidos "&amp;IF(N(U459)&gt;0,"sobre","bajo")&amp;" FCST "&amp;TEXT(ABS(N(U459)),"0%")&amp;": revisar forecast con KAM.","")</f>
        <v>Sobrestock vs vida útil: frenar producción/activar venta. Pedidos bajo FCST 36%: revisar forecast con KAM.</v>
      </c>
    </row>
    <row r="460" customFormat="false" ht="15" hidden="false" customHeight="false" outlineLevel="0" collapsed="false">
      <c r="A460" s="18" t="n">
        <f aca="false">Stock_Seguridad!A460</f>
        <v>30001541</v>
      </c>
      <c r="B460" s="18" t="str">
        <f aca="false">Stock_Seguridad!B460</f>
        <v>QUESO CREMA CALO TRIPA 40X100G</v>
      </c>
      <c r="C460" s="18" t="str">
        <f aca="false">Stock_Seguridad!C460</f>
        <v>QUESOS</v>
      </c>
      <c r="D460" s="18" t="str">
        <f aca="false">Stock_Seguridad!F460</f>
        <v>CX</v>
      </c>
      <c r="E460" s="19" t="str">
        <f aca="false">Stock_Seguridad!X460</f>
        <v>OK</v>
      </c>
      <c r="F460" s="20" t="n">
        <f aca="false">Stock_Seguridad!W460</f>
        <v>4.064</v>
      </c>
      <c r="G460" s="21" t="n">
        <f aca="false">Stock_Seguridad!T460</f>
        <v>4884</v>
      </c>
      <c r="H460" s="21" t="n">
        <f aca="false">Stock_Seguridad!R460</f>
        <v>1114.36464098176</v>
      </c>
      <c r="I460" s="21" t="n">
        <f aca="false">Stock_Seguridad!S460</f>
        <v>2614.36464098176</v>
      </c>
      <c r="J460" s="21" t="n">
        <f aca="false">Stock_Seguridad!U460</f>
        <v>1212</v>
      </c>
      <c r="K460" s="22" t="n">
        <v>46319</v>
      </c>
      <c r="L460" s="23" t="n">
        <v>612</v>
      </c>
      <c r="M460" s="23" t="n">
        <v>1556</v>
      </c>
      <c r="N460" s="23" t="n">
        <v>196</v>
      </c>
      <c r="O460" s="24" t="n">
        <v>0.129901185770751</v>
      </c>
      <c r="P460" s="24" t="n">
        <f aca="false">IF(ISNUMBER(Stock_Seguridad!N460),Stock_Seguridad!N460,"")</f>
        <v>0.217391304347826</v>
      </c>
      <c r="Q460" s="24" t="n">
        <f aca="false">IF(AND(ISNUMBER(O460),ISNUMBER(P460)),P460-O460,"")</f>
        <v>0.0874901185770751</v>
      </c>
      <c r="R460" s="23" t="n">
        <f aca="false">MAX(0,G460-N(L460))</f>
        <v>4272</v>
      </c>
      <c r="S460" s="23" t="n">
        <f aca="false">SUMIFS(Cadenas_vs_FCST!$D$17:$D$2437,Cadenas_vs_FCST!$A$17:$A$2437,A460)</f>
        <v>2980</v>
      </c>
      <c r="T460" s="23" t="n">
        <f aca="false">SUMIFS(Cadenas_vs_FCST!$E$17:$E$2437,Cadenas_vs_FCST!$A$17:$A$2437,A460)</f>
        <v>6469.31299121802</v>
      </c>
      <c r="U460" s="24" t="n">
        <f aca="false">IF(T460&gt;0,S460/T460-1,"")</f>
        <v>-0.539363761802019</v>
      </c>
      <c r="V460" s="3" t="str">
        <f aca="false">IF(OR(E460="BAJO SS",E460="BAJO SS (XLIB CUBRE)"),"SÍ","")</f>
        <v/>
      </c>
      <c r="W460" s="3" t="str">
        <f aca="false">IF(AND(V460="",N(L460)&gt;=Parametros!$B$17,G460&gt;=H460,R460&lt;H460),"SÍ","")</f>
        <v/>
      </c>
      <c r="X460" s="3" t="str">
        <f aca="false">IF(OR(E460="SOBRE MAX VENDIBLE",N(N460)&gt;=Parametros!$B$17,N(M460)&gt;=Parametros!$B$17),"SÍ","")</f>
        <v>SÍ</v>
      </c>
      <c r="Y460" s="3" t="str">
        <f aca="false">IF(AND(ISNUMBER(U460),MAX(S460,T460)&gt;=Parametros!$B$15,ABS(N(U460))&gt;Parametros!$B$14),"SÍ","")</f>
        <v>SÍ</v>
      </c>
      <c r="Z460" s="3" t="n">
        <f aca="false">COUNTIF(V460:Y460,"SÍ")</f>
        <v>2</v>
      </c>
      <c r="AA460" s="3" t="n">
        <f aca="false">(3*(V460="SÍ")+2*(W460="SÍ")+2*(X460="SÍ")+(Y460="SÍ"))*IF(LEFT(D460,1)="A",3,IF(OR(LEFT(D460,1)="B",D460="SIN HIST"),2,1))</f>
        <v>3</v>
      </c>
      <c r="AB460" s="3" t="str">
        <f aca="false">IF(AA460&gt;=9,"1-ALTA",IF(AA460&gt;=4,"2-MEDIA",IF(AA460&gt;0,"3-BAJA","")))</f>
        <v>3-BAJA</v>
      </c>
      <c r="AC460" s="3" t="str">
        <f aca="false">IF(E460="BAJO SS","Stock + XLIB bajo el SS: riesgo real de quiebre, adelantar producción. ","")&amp;IF(E460="BAJO SS (XLIB CUBRE)","Disponible bajo el SS; depende de liberar "&amp;TEXT(J460,"#,##0")&amp;" kg"&amp;IF(ISNUMBER(K460)," el "&amp;TEXT(K460,"dd-mm"),"")&amp;". ","")&amp;IF(W460="SÍ","Stock parece sano pero "&amp;TEXT(L460,"#,##0")&amp;" kg no pasan filtro "&amp;Stock_Seguridad!O460&amp;": sin ellos queda bajo el SS para esa cadena. ","")&amp;IF(E460="SOBRE MAX VENDIBLE","Sobrestock vs vida útil: frenar producción/activar venta. ","")&amp;IF(N(N460)&gt;=Parametros!$B$17,TEXT(N460,"#,##0")&amp;" kg ya no los acepta ninguna cadena: venta intermedia/liquidación. ","")&amp;IF(N(M460)&gt;=Parametros!$B$17,TEXT(M460,"#,##0")&amp;" kg a punto de salir del filtro: despachar primero (FEFO). ","")&amp;IF(Y460="SÍ","Pedidos "&amp;IF(N(U460)&gt;0,"sobre","bajo")&amp;" FCST "&amp;TEXT(ABS(N(U460)),"0%")&amp;": revisar forecast con KAM.","")</f>
        <v>1,556 kg a punto de salir del filtro: despachar primero (FEFO). Pedidos bajo FCST 54%: revisar forecast con KAM.</v>
      </c>
    </row>
    <row r="461" customFormat="false" ht="15" hidden="false" customHeight="false" outlineLevel="0" collapsed="false">
      <c r="A461" s="18" t="n">
        <f aca="false">Stock_Seguridad!A461</f>
        <v>30000053</v>
      </c>
      <c r="B461" s="18" t="str">
        <f aca="false">Stock_Seguridad!B461</f>
        <v>ACEITE CHEF OLIVA 12X1LT</v>
      </c>
      <c r="C461" s="18" t="str">
        <f aca="false">Stock_Seguridad!C461</f>
        <v>ACEITES</v>
      </c>
      <c r="D461" s="18" t="str">
        <f aca="false">Stock_Seguridad!F461</f>
        <v>CY</v>
      </c>
      <c r="E461" s="19" t="str">
        <f aca="false">Stock_Seguridad!X461</f>
        <v>OK</v>
      </c>
      <c r="F461" s="20" t="n">
        <f aca="false">Stock_Seguridad!W461</f>
        <v>7.00671960904093</v>
      </c>
      <c r="G461" s="21" t="n">
        <f aca="false">Stock_Seguridad!T461</f>
        <v>10323</v>
      </c>
      <c r="H461" s="21" t="n">
        <f aca="false">Stock_Seguridad!R461</f>
        <v>1543.28855324701</v>
      </c>
      <c r="I461" s="21" t="n">
        <f aca="false">Stock_Seguridad!S461</f>
        <v>3016.58855324701</v>
      </c>
      <c r="J461" s="21" t="n">
        <f aca="false">Stock_Seguridad!U461</f>
        <v>0</v>
      </c>
      <c r="K461" s="22"/>
      <c r="L461" s="23" t="n">
        <v>99.9</v>
      </c>
      <c r="M461" s="23" t="n">
        <v>0</v>
      </c>
      <c r="N461" s="23" t="n">
        <v>0</v>
      </c>
      <c r="O461" s="24" t="n">
        <v>0.0424086021505376</v>
      </c>
      <c r="P461" s="24" t="n">
        <f aca="false">IF(ISNUMBER(Stock_Seguridad!N461),Stock_Seguridad!N461,"")</f>
        <v>0.197080291970803</v>
      </c>
      <c r="Q461" s="24" t="n">
        <f aca="false">IF(AND(ISNUMBER(O461),ISNUMBER(P461)),P461-O461,"")</f>
        <v>0.154671689820265</v>
      </c>
      <c r="R461" s="23" t="n">
        <f aca="false">MAX(0,G461-N(L461))</f>
        <v>10223.1</v>
      </c>
      <c r="S461" s="23" t="n">
        <f aca="false">SUMIFS(Cadenas_vs_FCST!$D$17:$D$2437,Cadenas_vs_FCST!$A$17:$A$2437,A461)</f>
        <v>9268.5</v>
      </c>
      <c r="T461" s="23" t="n">
        <f aca="false">SUMIFS(Cadenas_vs_FCST!$E$17:$E$2437,Cadenas_vs_FCST!$A$17:$A$2437,A461)</f>
        <v>5085.3</v>
      </c>
      <c r="U461" s="24" t="n">
        <f aca="false">IF(T461&gt;0,S461/T461-1,"")</f>
        <v>0.822606335909386</v>
      </c>
      <c r="V461" s="3" t="str">
        <f aca="false">IF(OR(E461="BAJO SS",E461="BAJO SS (XLIB CUBRE)"),"SÍ","")</f>
        <v/>
      </c>
      <c r="W461" s="3" t="str">
        <f aca="false">IF(AND(V461="",N(L461)&gt;=Parametros!$B$17,G461&gt;=H461,R461&lt;H461),"SÍ","")</f>
        <v/>
      </c>
      <c r="X461" s="3" t="str">
        <f aca="false">IF(OR(E461="SOBRE MAX VENDIBLE",N(N461)&gt;=Parametros!$B$17,N(M461)&gt;=Parametros!$B$17),"SÍ","")</f>
        <v/>
      </c>
      <c r="Y461" s="3" t="str">
        <f aca="false">IF(AND(ISNUMBER(U461),MAX(S461,T461)&gt;=Parametros!$B$15,ABS(N(U461))&gt;Parametros!$B$14),"SÍ","")</f>
        <v>SÍ</v>
      </c>
      <c r="Z461" s="3" t="n">
        <f aca="false">COUNTIF(V461:Y461,"SÍ")</f>
        <v>1</v>
      </c>
      <c r="AA461" s="3" t="n">
        <f aca="false">(3*(V461="SÍ")+2*(W461="SÍ")+2*(X461="SÍ")+(Y461="SÍ"))*IF(LEFT(D461,1)="A",3,IF(OR(LEFT(D461,1)="B",D461="SIN HIST"),2,1))</f>
        <v>1</v>
      </c>
      <c r="AB461" s="3" t="str">
        <f aca="false">IF(AA461&gt;=9,"1-ALTA",IF(AA461&gt;=4,"2-MEDIA",IF(AA461&gt;0,"3-BAJA","")))</f>
        <v>3-BAJA</v>
      </c>
      <c r="AC461" s="3" t="str">
        <f aca="false">IF(E461="BAJO SS","Stock + XLIB bajo el SS: riesgo real de quiebre, adelantar producción. ","")&amp;IF(E461="BAJO SS (XLIB CUBRE)","Disponible bajo el SS; depende de liberar "&amp;TEXT(J461,"#,##0")&amp;" kg"&amp;IF(ISNUMBER(K461)," el "&amp;TEXT(K461,"dd-mm"),"")&amp;". ","")&amp;IF(W461="SÍ","Stock parece sano pero "&amp;TEXT(L461,"#,##0")&amp;" kg no pasan filtro "&amp;Stock_Seguridad!O461&amp;": sin ellos queda bajo el SS para esa cadena. ","")&amp;IF(E461="SOBRE MAX VENDIBLE","Sobrestock vs vida útil: frenar producción/activar venta. ","")&amp;IF(N(N461)&gt;=Parametros!$B$17,TEXT(N461,"#,##0")&amp;" kg ya no los acepta ninguna cadena: venta intermedia/liquidación. ","")&amp;IF(N(M461)&gt;=Parametros!$B$17,TEXT(M461,"#,##0")&amp;" kg a punto de salir del filtro: despachar primero (FEFO). ","")&amp;IF(Y461="SÍ","Pedidos "&amp;IF(N(U461)&gt;0,"sobre","bajo")&amp;" FCST "&amp;TEXT(ABS(N(U461)),"0%")&amp;": revisar forecast con KAM.","")</f>
        <v>Pedidos sobre FCST 82%: revisar forecast con KAM.</v>
      </c>
    </row>
    <row r="462" customFormat="false" ht="15" hidden="false" customHeight="false" outlineLevel="0" collapsed="false">
      <c r="A462" s="18" t="n">
        <f aca="false">Stock_Seguridad!A462</f>
        <v>30002107</v>
      </c>
      <c r="B462" s="18" t="str">
        <f aca="false">Stock_Seguridad!B462</f>
        <v>BITES FRAMBUESA 14X250GR</v>
      </c>
      <c r="C462" s="18" t="str">
        <f aca="false">Stock_Seguridad!C462</f>
        <v>FRUTAS Y HORTALIZAS CONGELADAS</v>
      </c>
      <c r="D462" s="18" t="str">
        <f aca="false">Stock_Seguridad!F462</f>
        <v>SIN HIST</v>
      </c>
      <c r="E462" s="19" t="str">
        <f aca="false">Stock_Seguridad!X462</f>
        <v>OK</v>
      </c>
      <c r="F462" s="20" t="n">
        <f aca="false">Stock_Seguridad!W462</f>
        <v>6.06498194945848</v>
      </c>
      <c r="G462" s="21" t="n">
        <f aca="false">Stock_Seguridad!T462</f>
        <v>8904</v>
      </c>
      <c r="H462" s="21" t="n">
        <f aca="false">Stock_Seguridad!R462</f>
        <v>724.442882918237</v>
      </c>
      <c r="I462" s="21" t="n">
        <f aca="false">Stock_Seguridad!S462</f>
        <v>2192.54288291824</v>
      </c>
      <c r="J462" s="21" t="n">
        <f aca="false">Stock_Seguridad!U462</f>
        <v>0</v>
      </c>
      <c r="K462" s="22"/>
      <c r="L462" s="23" t="n">
        <v>0</v>
      </c>
      <c r="M462" s="23" t="n">
        <v>0</v>
      </c>
      <c r="N462" s="23" t="n">
        <v>0</v>
      </c>
      <c r="O462" s="24" t="n">
        <v>0.289064465408805</v>
      </c>
      <c r="P462" s="24" t="str">
        <f aca="false">IF(ISNUMBER(Stock_Seguridad!N462),Stock_Seguridad!N462,"")</f>
        <v/>
      </c>
      <c r="Q462" s="24" t="str">
        <f aca="false">IF(AND(ISNUMBER(O462),ISNUMBER(P462)),P462-O462,"")</f>
        <v/>
      </c>
      <c r="R462" s="23" t="n">
        <f aca="false">MAX(0,G462-N(L462))</f>
        <v>8904</v>
      </c>
      <c r="S462" s="23" t="n">
        <f aca="false">SUMIFS(Cadenas_vs_FCST!$D$17:$D$2437,Cadenas_vs_FCST!$A$17:$A$2437,A462)</f>
        <v>0</v>
      </c>
      <c r="T462" s="23" t="n">
        <f aca="false">SUMIFS(Cadenas_vs_FCST!$E$17:$E$2437,Cadenas_vs_FCST!$A$17:$A$2437,A462)</f>
        <v>0</v>
      </c>
      <c r="U462" s="24" t="str">
        <f aca="false">IF(T462&gt;0,S462/T462-1,"")</f>
        <v/>
      </c>
      <c r="V462" s="3" t="str">
        <f aca="false">IF(OR(E462="BAJO SS",E462="BAJO SS (XLIB CUBRE)"),"SÍ","")</f>
        <v/>
      </c>
      <c r="W462" s="3" t="str">
        <f aca="false">IF(AND(V462="",N(L462)&gt;=Parametros!$B$17,G462&gt;=H462,R462&lt;H462),"SÍ","")</f>
        <v/>
      </c>
      <c r="X462" s="3" t="str">
        <f aca="false">IF(OR(E462="SOBRE MAX VENDIBLE",N(N462)&gt;=Parametros!$B$17,N(M462)&gt;=Parametros!$B$17),"SÍ","")</f>
        <v/>
      </c>
      <c r="Y462" s="3" t="str">
        <f aca="false">IF(AND(ISNUMBER(U462),MAX(S462,T462)&gt;=Parametros!$B$15,ABS(N(U462))&gt;Parametros!$B$14),"SÍ","")</f>
        <v/>
      </c>
      <c r="Z462" s="3" t="n">
        <f aca="false">COUNTIF(V462:Y462,"SÍ")</f>
        <v>0</v>
      </c>
      <c r="AA462" s="3" t="n">
        <f aca="false">(3*(V462="SÍ")+2*(W462="SÍ")+2*(X462="SÍ")+(Y462="SÍ"))*IF(LEFT(D462,1)="A",3,IF(OR(LEFT(D462,1)="B",D462="SIN HIST"),2,1))</f>
        <v>0</v>
      </c>
      <c r="AB462" s="3" t="str">
        <f aca="false">IF(AA462&gt;=9,"1-ALTA",IF(AA462&gt;=4,"2-MEDIA",IF(AA462&gt;0,"3-BAJA","")))</f>
        <v/>
      </c>
      <c r="AC462" s="3" t="str">
        <f aca="false">IF(E462="BAJO SS","Stock + XLIB bajo el SS: riesgo real de quiebre, adelantar producción. ","")&amp;IF(E462="BAJO SS (XLIB CUBRE)","Disponible bajo el SS; depende de liberar "&amp;TEXT(J462,"#,##0")&amp;" kg"&amp;IF(ISNUMBER(K462)," el "&amp;TEXT(K462,"dd-mm"),"")&amp;". ","")&amp;IF(W462="SÍ","Stock parece sano pero "&amp;TEXT(L462,"#,##0")&amp;" kg no pasan filtro "&amp;Stock_Seguridad!O462&amp;": sin ellos queda bajo el SS para esa cadena. ","")&amp;IF(E462="SOBRE MAX VENDIBLE","Sobrestock vs vida útil: frenar producción/activar venta. ","")&amp;IF(N(N462)&gt;=Parametros!$B$17,TEXT(N462,"#,##0")&amp;" kg ya no los acepta ninguna cadena: venta intermedia/liquidación. ","")&amp;IF(N(M462)&gt;=Parametros!$B$17,TEXT(M462,"#,##0")&amp;" kg a punto de salir del filtro: despachar primero (FEFO). ","")&amp;IF(Y462="SÍ","Pedidos "&amp;IF(N(U462)&gt;0,"sobre","bajo")&amp;" FCST "&amp;TEXT(ABS(N(U462)),"0%")&amp;": revisar forecast con KAM.","")</f>
        <v/>
      </c>
    </row>
    <row r="463" customFormat="false" ht="15" hidden="false" customHeight="false" outlineLevel="0" collapsed="false">
      <c r="A463" s="18" t="n">
        <f aca="false">Stock_Seguridad!A463</f>
        <v>30000985</v>
      </c>
      <c r="B463" s="18" t="str">
        <f aca="false">Stock_Seguridad!B463</f>
        <v>BASE POROTOS GRANADOS 18X500GR</v>
      </c>
      <c r="C463" s="18" t="str">
        <f aca="false">Stock_Seguridad!C463</f>
        <v>FRUTAS Y HORTALIZAS CONGELADAS</v>
      </c>
      <c r="D463" s="18" t="str">
        <f aca="false">Stock_Seguridad!F463</f>
        <v>SIN HIST</v>
      </c>
      <c r="E463" s="19" t="str">
        <f aca="false">Stock_Seguridad!X463</f>
        <v>OK</v>
      </c>
      <c r="F463" s="20" t="n">
        <f aca="false">Stock_Seguridad!W463</f>
        <v>5.33638100436681</v>
      </c>
      <c r="G463" s="21" t="n">
        <f aca="false">Stock_Seguridad!T463</f>
        <v>7821</v>
      </c>
      <c r="H463" s="21" t="n">
        <f aca="false">Stock_Seguridad!R463</f>
        <v>723.209242698023</v>
      </c>
      <c r="I463" s="21" t="n">
        <f aca="false">Stock_Seguridad!S463</f>
        <v>2188.80924269802</v>
      </c>
      <c r="J463" s="21" t="n">
        <f aca="false">Stock_Seguridad!U463</f>
        <v>0</v>
      </c>
      <c r="K463" s="22"/>
      <c r="L463" s="23" t="n">
        <v>0</v>
      </c>
      <c r="M463" s="23" t="n">
        <v>0</v>
      </c>
      <c r="N463" s="23" t="n">
        <v>0</v>
      </c>
      <c r="O463" s="24" t="n">
        <v>0.03</v>
      </c>
      <c r="P463" s="24" t="str">
        <f aca="false">IF(ISNUMBER(Stock_Seguridad!N463),Stock_Seguridad!N463,"")</f>
        <v/>
      </c>
      <c r="Q463" s="24" t="str">
        <f aca="false">IF(AND(ISNUMBER(O463),ISNUMBER(P463)),P463-O463,"")</f>
        <v/>
      </c>
      <c r="R463" s="23" t="n">
        <f aca="false">MAX(0,G463-N(L463))</f>
        <v>7821</v>
      </c>
      <c r="S463" s="23" t="n">
        <f aca="false">SUMIFS(Cadenas_vs_FCST!$D$17:$D$2437,Cadenas_vs_FCST!$A$17:$A$2437,A463)</f>
        <v>0</v>
      </c>
      <c r="T463" s="23" t="n">
        <f aca="false">SUMIFS(Cadenas_vs_FCST!$E$17:$E$2437,Cadenas_vs_FCST!$A$17:$A$2437,A463)</f>
        <v>0</v>
      </c>
      <c r="U463" s="24" t="str">
        <f aca="false">IF(T463&gt;0,S463/T463-1,"")</f>
        <v/>
      </c>
      <c r="V463" s="3" t="str">
        <f aca="false">IF(OR(E463="BAJO SS",E463="BAJO SS (XLIB CUBRE)"),"SÍ","")</f>
        <v/>
      </c>
      <c r="W463" s="3" t="str">
        <f aca="false">IF(AND(V463="",N(L463)&gt;=Parametros!$B$17,G463&gt;=H463,R463&lt;H463),"SÍ","")</f>
        <v/>
      </c>
      <c r="X463" s="3" t="str">
        <f aca="false">IF(OR(E463="SOBRE MAX VENDIBLE",N(N463)&gt;=Parametros!$B$17,N(M463)&gt;=Parametros!$B$17),"SÍ","")</f>
        <v/>
      </c>
      <c r="Y463" s="3" t="str">
        <f aca="false">IF(AND(ISNUMBER(U463),MAX(S463,T463)&gt;=Parametros!$B$15,ABS(N(U463))&gt;Parametros!$B$14),"SÍ","")</f>
        <v/>
      </c>
      <c r="Z463" s="3" t="n">
        <f aca="false">COUNTIF(V463:Y463,"SÍ")</f>
        <v>0</v>
      </c>
      <c r="AA463" s="3" t="n">
        <f aca="false">(3*(V463="SÍ")+2*(W463="SÍ")+2*(X463="SÍ")+(Y463="SÍ"))*IF(LEFT(D463,1)="A",3,IF(OR(LEFT(D463,1)="B",D463="SIN HIST"),2,1))</f>
        <v>0</v>
      </c>
      <c r="AB463" s="3" t="str">
        <f aca="false">IF(AA463&gt;=9,"1-ALTA",IF(AA463&gt;=4,"2-MEDIA",IF(AA463&gt;0,"3-BAJA","")))</f>
        <v/>
      </c>
      <c r="AC463" s="3" t="str">
        <f aca="false">IF(E463="BAJO SS","Stock + XLIB bajo el SS: riesgo real de quiebre, adelantar producción. ","")&amp;IF(E463="BAJO SS (XLIB CUBRE)","Disponible bajo el SS; depende de liberar "&amp;TEXT(J463,"#,##0")&amp;" kg"&amp;IF(ISNUMBER(K463)," el "&amp;TEXT(K463,"dd-mm"),"")&amp;". ","")&amp;IF(W463="SÍ","Stock parece sano pero "&amp;TEXT(L463,"#,##0")&amp;" kg no pasan filtro "&amp;Stock_Seguridad!O463&amp;": sin ellos queda bajo el SS para esa cadena. ","")&amp;IF(E463="SOBRE MAX VENDIBLE","Sobrestock vs vida útil: frenar producción/activar venta. ","")&amp;IF(N(N463)&gt;=Parametros!$B$17,TEXT(N463,"#,##0")&amp;" kg ya no los acepta ninguna cadena: venta intermedia/liquidación. ","")&amp;IF(N(M463)&gt;=Parametros!$B$17,TEXT(M463,"#,##0")&amp;" kg a punto de salir del filtro: despachar primero (FEFO). ","")&amp;IF(Y463="SÍ","Pedidos "&amp;IF(N(U463)&gt;0,"sobre","bajo")&amp;" FCST "&amp;TEXT(ABS(N(U463)),"0%")&amp;": revisar forecast con KAM.","")</f>
        <v/>
      </c>
    </row>
    <row r="464" customFormat="false" ht="15" hidden="false" customHeight="false" outlineLevel="0" collapsed="false">
      <c r="A464" s="18" t="n">
        <f aca="false">Stock_Seguridad!A464</f>
        <v>30001448</v>
      </c>
      <c r="B464" s="18" t="str">
        <f aca="false">Stock_Seguridad!B464</f>
        <v>MANTECA VEGETAL AMASA 12X1KG</v>
      </c>
      <c r="C464" s="18" t="str">
        <f aca="false">Stock_Seguridad!C464</f>
        <v>MANTECAS</v>
      </c>
      <c r="D464" s="18" t="str">
        <f aca="false">Stock_Seguridad!F464</f>
        <v>SIN HIST</v>
      </c>
      <c r="E464" s="19" t="str">
        <f aca="false">Stock_Seguridad!X464</f>
        <v>OK</v>
      </c>
      <c r="F464" s="20" t="n">
        <f aca="false">Stock_Seguridad!W464</f>
        <v>6.11260053619303</v>
      </c>
      <c r="G464" s="21" t="n">
        <f aca="false">Stock_Seguridad!T464</f>
        <v>8892</v>
      </c>
      <c r="H464" s="21" t="n">
        <f aca="false">Stock_Seguridad!R464</f>
        <v>717.830571337892</v>
      </c>
      <c r="I464" s="21" t="n">
        <f aca="false">Stock_Seguridad!S464</f>
        <v>2172.53057133789</v>
      </c>
      <c r="J464" s="21" t="n">
        <f aca="false">Stock_Seguridad!U464</f>
        <v>0</v>
      </c>
      <c r="K464" s="22"/>
      <c r="L464" s="23" t="n">
        <v>2160</v>
      </c>
      <c r="M464" s="23" t="n">
        <v>6732</v>
      </c>
      <c r="N464" s="23" t="n">
        <v>804</v>
      </c>
      <c r="O464" s="24" t="n">
        <v>0.214412955465587</v>
      </c>
      <c r="P464" s="24" t="n">
        <f aca="false">IF(ISNUMBER(Stock_Seguridad!N464),Stock_Seguridad!N464,"")</f>
        <v>0.210958904109589</v>
      </c>
      <c r="Q464" s="24" t="n">
        <f aca="false">IF(AND(ISNUMBER(O464),ISNUMBER(P464)),P464-O464,"")</f>
        <v>-0.00345405135599791</v>
      </c>
      <c r="R464" s="23" t="n">
        <f aca="false">MAX(0,G464-N(L464))</f>
        <v>6732</v>
      </c>
      <c r="S464" s="23" t="n">
        <f aca="false">SUMIFS(Cadenas_vs_FCST!$D$17:$D$2437,Cadenas_vs_FCST!$A$17:$A$2437,A464)</f>
        <v>0</v>
      </c>
      <c r="T464" s="23" t="n">
        <f aca="false">SUMIFS(Cadenas_vs_FCST!$E$17:$E$2437,Cadenas_vs_FCST!$A$17:$A$2437,A464)</f>
        <v>0</v>
      </c>
      <c r="U464" s="24" t="str">
        <f aca="false">IF(T464&gt;0,S464/T464-1,"")</f>
        <v/>
      </c>
      <c r="V464" s="3" t="str">
        <f aca="false">IF(OR(E464="BAJO SS",E464="BAJO SS (XLIB CUBRE)"),"SÍ","")</f>
        <v/>
      </c>
      <c r="W464" s="3" t="str">
        <f aca="false">IF(AND(V464="",N(L464)&gt;=Parametros!$B$17,G464&gt;=H464,R464&lt;H464),"SÍ","")</f>
        <v/>
      </c>
      <c r="X464" s="3" t="str">
        <f aca="false">IF(OR(E464="SOBRE MAX VENDIBLE",N(N464)&gt;=Parametros!$B$17,N(M464)&gt;=Parametros!$B$17),"SÍ","")</f>
        <v>SÍ</v>
      </c>
      <c r="Y464" s="3" t="str">
        <f aca="false">IF(AND(ISNUMBER(U464),MAX(S464,T464)&gt;=Parametros!$B$15,ABS(N(U464))&gt;Parametros!$B$14),"SÍ","")</f>
        <v/>
      </c>
      <c r="Z464" s="3" t="n">
        <f aca="false">COUNTIF(V464:Y464,"SÍ")</f>
        <v>1</v>
      </c>
      <c r="AA464" s="3" t="n">
        <f aca="false">(3*(V464="SÍ")+2*(W464="SÍ")+2*(X464="SÍ")+(Y464="SÍ"))*IF(LEFT(D464,1)="A",3,IF(OR(LEFT(D464,1)="B",D464="SIN HIST"),2,1))</f>
        <v>4</v>
      </c>
      <c r="AB464" s="3" t="str">
        <f aca="false">IF(AA464&gt;=9,"1-ALTA",IF(AA464&gt;=4,"2-MEDIA",IF(AA464&gt;0,"3-BAJA","")))</f>
        <v>2-MEDIA</v>
      </c>
      <c r="AC464" s="3" t="str">
        <f aca="false">IF(E464="BAJO SS","Stock + XLIB bajo el SS: riesgo real de quiebre, adelantar producción. ","")&amp;IF(E464="BAJO SS (XLIB CUBRE)","Disponible bajo el SS; depende de liberar "&amp;TEXT(J464,"#,##0")&amp;" kg"&amp;IF(ISNUMBER(K464)," el "&amp;TEXT(K464,"dd-mm"),"")&amp;". ","")&amp;IF(W464="SÍ","Stock parece sano pero "&amp;TEXT(L464,"#,##0")&amp;" kg no pasan filtro "&amp;Stock_Seguridad!O464&amp;": sin ellos queda bajo el SS para esa cadena. ","")&amp;IF(E464="SOBRE MAX VENDIBLE","Sobrestock vs vida útil: frenar producción/activar venta. ","")&amp;IF(N(N464)&gt;=Parametros!$B$17,TEXT(N464,"#,##0")&amp;" kg ya no los acepta ninguna cadena: venta intermedia/liquidación. ","")&amp;IF(N(M464)&gt;=Parametros!$B$17,TEXT(M464,"#,##0")&amp;" kg a punto de salir del filtro: despachar primero (FEFO). ","")&amp;IF(Y464="SÍ","Pedidos "&amp;IF(N(U464)&gt;0,"sobre","bajo")&amp;" FCST "&amp;TEXT(ABS(N(U464)),"0%")&amp;": revisar forecast con KAM.","")</f>
        <v>804 kg ya no los acepta ninguna cadena: venta intermedia/liquidación. 6,732 kg a punto de salir del filtro: despachar primero (FEFO). </v>
      </c>
    </row>
    <row r="465" customFormat="false" ht="15" hidden="false" customHeight="false" outlineLevel="0" collapsed="false">
      <c r="A465" s="18" t="n">
        <f aca="false">Stock_Seguridad!A465</f>
        <v>30000253</v>
      </c>
      <c r="B465" s="18" t="str">
        <f aca="false">Stock_Seguridad!B465</f>
        <v>NECTAR WATTS SELECCION MGO/MCYA 6X1LT</v>
      </c>
      <c r="C465" s="18" t="str">
        <f aca="false">Stock_Seguridad!C465</f>
        <v>JUGOS Y NECTARES</v>
      </c>
      <c r="D465" s="18" t="str">
        <f aca="false">Stock_Seguridad!F465</f>
        <v>CX</v>
      </c>
      <c r="E465" s="19" t="str">
        <f aca="false">Stock_Seguridad!X465</f>
        <v>OK</v>
      </c>
      <c r="F465" s="20" t="n">
        <f aca="false">Stock_Seguridad!W465</f>
        <v>1.74408901251739</v>
      </c>
      <c r="G465" s="21" t="n">
        <f aca="false">Stock_Seguridad!T465</f>
        <v>2508</v>
      </c>
      <c r="H465" s="21" t="n">
        <f aca="false">Stock_Seguridad!R465</f>
        <v>861.528418812171</v>
      </c>
      <c r="I465" s="21" t="n">
        <f aca="false">Stock_Seguridad!S465</f>
        <v>2299.52841881217</v>
      </c>
      <c r="J465" s="21" t="n">
        <f aca="false">Stock_Seguridad!U465</f>
        <v>0</v>
      </c>
      <c r="K465" s="22"/>
      <c r="L465" s="23" t="n">
        <v>192</v>
      </c>
      <c r="M465" s="23" t="n">
        <v>582</v>
      </c>
      <c r="N465" s="23" t="n">
        <v>192</v>
      </c>
      <c r="O465" s="24" t="n">
        <v>0.196052631578947</v>
      </c>
      <c r="P465" s="24" t="n">
        <f aca="false">IF(ISNUMBER(Stock_Seguridad!N465),Stock_Seguridad!N465,"")</f>
        <v>0.333333333333333</v>
      </c>
      <c r="Q465" s="24" t="n">
        <f aca="false">IF(AND(ISNUMBER(O465),ISNUMBER(P465)),P465-O465,"")</f>
        <v>0.137280701754386</v>
      </c>
      <c r="R465" s="23" t="n">
        <f aca="false">MAX(0,G465-N(L465))</f>
        <v>2316</v>
      </c>
      <c r="S465" s="23" t="n">
        <f aca="false">SUMIFS(Cadenas_vs_FCST!$D$17:$D$2437,Cadenas_vs_FCST!$A$17:$A$2437,A465)</f>
        <v>5946</v>
      </c>
      <c r="T465" s="23" t="n">
        <f aca="false">SUMIFS(Cadenas_vs_FCST!$E$17:$E$2437,Cadenas_vs_FCST!$A$17:$A$2437,A465)</f>
        <v>7145.30187268395</v>
      </c>
      <c r="U465" s="24" t="n">
        <f aca="false">IF(T465&gt;0,S465/T465-1,"")</f>
        <v>-0.167844815244098</v>
      </c>
      <c r="V465" s="3" t="str">
        <f aca="false">IF(OR(E465="BAJO SS",E465="BAJO SS (XLIB CUBRE)"),"SÍ","")</f>
        <v/>
      </c>
      <c r="W465" s="3" t="str">
        <f aca="false">IF(AND(V465="",N(L465)&gt;=Parametros!$B$17,G465&gt;=H465,R465&lt;H465),"SÍ","")</f>
        <v/>
      </c>
      <c r="X465" s="3" t="str">
        <f aca="false">IF(OR(E465="SOBRE MAX VENDIBLE",N(N465)&gt;=Parametros!$B$17,N(M465)&gt;=Parametros!$B$17),"SÍ","")</f>
        <v>SÍ</v>
      </c>
      <c r="Y465" s="3" t="str">
        <f aca="false">IF(AND(ISNUMBER(U465),MAX(S465,T465)&gt;=Parametros!$B$15,ABS(N(U465))&gt;Parametros!$B$14),"SÍ","")</f>
        <v/>
      </c>
      <c r="Z465" s="3" t="n">
        <f aca="false">COUNTIF(V465:Y465,"SÍ")</f>
        <v>1</v>
      </c>
      <c r="AA465" s="3" t="n">
        <f aca="false">(3*(V465="SÍ")+2*(W465="SÍ")+2*(X465="SÍ")+(Y465="SÍ"))*IF(LEFT(D465,1)="A",3,IF(OR(LEFT(D465,1)="B",D465="SIN HIST"),2,1))</f>
        <v>2</v>
      </c>
      <c r="AB465" s="3" t="str">
        <f aca="false">IF(AA465&gt;=9,"1-ALTA",IF(AA465&gt;=4,"2-MEDIA",IF(AA465&gt;0,"3-BAJA","")))</f>
        <v>3-BAJA</v>
      </c>
      <c r="AC465" s="3" t="str">
        <f aca="false">IF(E465="BAJO SS","Stock + XLIB bajo el SS: riesgo real de quiebre, adelantar producción. ","")&amp;IF(E465="BAJO SS (XLIB CUBRE)","Disponible bajo el SS; depende de liberar "&amp;TEXT(J465,"#,##0")&amp;" kg"&amp;IF(ISNUMBER(K465)," el "&amp;TEXT(K465,"dd-mm"),"")&amp;". ","")&amp;IF(W465="SÍ","Stock parece sano pero "&amp;TEXT(L465,"#,##0")&amp;" kg no pasan filtro "&amp;Stock_Seguridad!O465&amp;": sin ellos queda bajo el SS para esa cadena. ","")&amp;IF(E465="SOBRE MAX VENDIBLE","Sobrestock vs vida útil: frenar producción/activar venta. ","")&amp;IF(N(N465)&gt;=Parametros!$B$17,TEXT(N465,"#,##0")&amp;" kg ya no los acepta ninguna cadena: venta intermedia/liquidación. ","")&amp;IF(N(M465)&gt;=Parametros!$B$17,TEXT(M465,"#,##0")&amp;" kg a punto de salir del filtro: despachar primero (FEFO). ","")&amp;IF(Y465="SÍ","Pedidos "&amp;IF(N(U465)&gt;0,"sobre","bajo")&amp;" FCST "&amp;TEXT(ABS(N(U465)),"0%")&amp;": revisar forecast con KAM.","")</f>
        <v>582 kg a punto de salir del filtro: despachar primero (FEFO). </v>
      </c>
    </row>
    <row r="466" customFormat="false" ht="15" hidden="false" customHeight="false" outlineLevel="0" collapsed="false">
      <c r="A466" s="18" t="n">
        <f aca="false">Stock_Seguridad!A466</f>
        <v>30002093</v>
      </c>
      <c r="B466" s="18" t="str">
        <f aca="false">Stock_Seguridad!B466</f>
        <v>YOG OIKOS POSTRE PIE DE LIMON 12X132GR</v>
      </c>
      <c r="C466" s="18" t="str">
        <f aca="false">Stock_Seguridad!C466</f>
        <v>POSTRES</v>
      </c>
      <c r="D466" s="18" t="str">
        <f aca="false">Stock_Seguridad!F466</f>
        <v>CX</v>
      </c>
      <c r="E466" s="19" t="str">
        <f aca="false">Stock_Seguridad!X466</f>
        <v>SOBRE MAX VENDIBLE</v>
      </c>
      <c r="F466" s="20" t="n">
        <f aca="false">Stock_Seguridad!W466</f>
        <v>2.32308446561143</v>
      </c>
      <c r="G466" s="21" t="n">
        <f aca="false">Stock_Seguridad!T466</f>
        <v>3316.9</v>
      </c>
      <c r="H466" s="21" t="n">
        <f aca="false">Stock_Seguridad!R466</f>
        <v>830.319127512147</v>
      </c>
      <c r="I466" s="21" t="n">
        <f aca="false">Stock_Seguridad!S466</f>
        <v>2258.11912751215</v>
      </c>
      <c r="J466" s="21" t="n">
        <f aca="false">Stock_Seguridad!U466</f>
        <v>0</v>
      </c>
      <c r="K466" s="22"/>
      <c r="L466" s="23" t="n">
        <v>560.736</v>
      </c>
      <c r="M466" s="23" t="n">
        <v>0</v>
      </c>
      <c r="N466" s="23" t="n">
        <v>0</v>
      </c>
      <c r="O466" s="24" t="n">
        <v>0.147191977077364</v>
      </c>
      <c r="P466" s="24" t="n">
        <f aca="false">IF(ISNUMBER(Stock_Seguridad!N466),Stock_Seguridad!N466,"")</f>
        <v>0.228070175438597</v>
      </c>
      <c r="Q466" s="24" t="n">
        <f aca="false">IF(AND(ISNUMBER(O466),ISNUMBER(P466)),P466-O466,"")</f>
        <v>0.0808781983612326</v>
      </c>
      <c r="R466" s="23" t="n">
        <f aca="false">MAX(0,G466-N(L466))</f>
        <v>2756.164</v>
      </c>
      <c r="S466" s="23" t="n">
        <f aca="false">SUMIFS(Cadenas_vs_FCST!$D$17:$D$2437,Cadenas_vs_FCST!$A$17:$A$2437,A466)</f>
        <v>8270.064</v>
      </c>
      <c r="T466" s="23" t="n">
        <f aca="false">SUMIFS(Cadenas_vs_FCST!$E$17:$E$2437,Cadenas_vs_FCST!$A$17:$A$2437,A466)</f>
        <v>7835.90590665545</v>
      </c>
      <c r="U466" s="24" t="n">
        <f aca="false">IF(T466&gt;0,S466/T466-1,"")</f>
        <v>0.0554062412842138</v>
      </c>
      <c r="V466" s="3" t="str">
        <f aca="false">IF(OR(E466="BAJO SS",E466="BAJO SS (XLIB CUBRE)"),"SÍ","")</f>
        <v/>
      </c>
      <c r="W466" s="3" t="str">
        <f aca="false">IF(AND(V466="",N(L466)&gt;=Parametros!$B$17,G466&gt;=H466,R466&lt;H466),"SÍ","")</f>
        <v/>
      </c>
      <c r="X466" s="3" t="str">
        <f aca="false">IF(OR(E466="SOBRE MAX VENDIBLE",N(N466)&gt;=Parametros!$B$17,N(M466)&gt;=Parametros!$B$17),"SÍ","")</f>
        <v>SÍ</v>
      </c>
      <c r="Y466" s="3" t="str">
        <f aca="false">IF(AND(ISNUMBER(U466),MAX(S466,T466)&gt;=Parametros!$B$15,ABS(N(U466))&gt;Parametros!$B$14),"SÍ","")</f>
        <v/>
      </c>
      <c r="Z466" s="3" t="n">
        <f aca="false">COUNTIF(V466:Y466,"SÍ")</f>
        <v>1</v>
      </c>
      <c r="AA466" s="3" t="n">
        <f aca="false">(3*(V466="SÍ")+2*(W466="SÍ")+2*(X466="SÍ")+(Y466="SÍ"))*IF(LEFT(D466,1)="A",3,IF(OR(LEFT(D466,1)="B",D466="SIN HIST"),2,1))</f>
        <v>2</v>
      </c>
      <c r="AB466" s="3" t="str">
        <f aca="false">IF(AA466&gt;=9,"1-ALTA",IF(AA466&gt;=4,"2-MEDIA",IF(AA466&gt;0,"3-BAJA","")))</f>
        <v>3-BAJA</v>
      </c>
      <c r="AC466" s="3" t="str">
        <f aca="false">IF(E466="BAJO SS","Stock + XLIB bajo el SS: riesgo real de quiebre, adelantar producción. ","")&amp;IF(E466="BAJO SS (XLIB CUBRE)","Disponible bajo el SS; depende de liberar "&amp;TEXT(J466,"#,##0")&amp;" kg"&amp;IF(ISNUMBER(K466)," el "&amp;TEXT(K466,"dd-mm"),"")&amp;". ","")&amp;IF(W466="SÍ","Stock parece sano pero "&amp;TEXT(L466,"#,##0")&amp;" kg no pasan filtro "&amp;Stock_Seguridad!O466&amp;": sin ellos queda bajo el SS para esa cadena. ","")&amp;IF(E466="SOBRE MAX VENDIBLE","Sobrestock vs vida útil: frenar producción/activar venta. ","")&amp;IF(N(N466)&gt;=Parametros!$B$17,TEXT(N466,"#,##0")&amp;" kg ya no los acepta ninguna cadena: venta intermedia/liquidación. ","")&amp;IF(N(M466)&gt;=Parametros!$B$17,TEXT(M466,"#,##0")&amp;" kg a punto de salir del filtro: despachar primero (FEFO). ","")&amp;IF(Y466="SÍ","Pedidos "&amp;IF(N(U466)&gt;0,"sobre","bajo")&amp;" FCST "&amp;TEXT(ABS(N(U466)),"0%")&amp;": revisar forecast con KAM.","")</f>
        <v>Sobrestock vs vida útil: frenar producción/activar venta. </v>
      </c>
    </row>
    <row r="467" customFormat="false" ht="15" hidden="false" customHeight="false" outlineLevel="0" collapsed="false">
      <c r="A467" s="18" t="n">
        <f aca="false">Stock_Seguridad!A467</f>
        <v>30000308</v>
      </c>
      <c r="B467" s="18" t="str">
        <f aca="false">Stock_Seguridad!B467</f>
        <v>YOGU YOGU VAINILLA 30X200GR</v>
      </c>
      <c r="C467" s="18" t="str">
        <f aca="false">Stock_Seguridad!C467</f>
        <v>LECHES LIQUIDAS</v>
      </c>
      <c r="D467" s="18" t="str">
        <f aca="false">Stock_Seguridad!F467</f>
        <v>CX</v>
      </c>
      <c r="E467" s="19" t="str">
        <f aca="false">Stock_Seguridad!X467</f>
        <v>OK</v>
      </c>
      <c r="F467" s="20" t="n">
        <f aca="false">Stock_Seguridad!W467</f>
        <v>4.35487280670848</v>
      </c>
      <c r="G467" s="21" t="n">
        <f aca="false">Stock_Seguridad!T467</f>
        <v>6180</v>
      </c>
      <c r="H467" s="21" t="n">
        <f aca="false">Stock_Seguridad!R467</f>
        <v>1033.24753268625</v>
      </c>
      <c r="I467" s="21" t="n">
        <f aca="false">Stock_Seguridad!S467</f>
        <v>2452.34753268625</v>
      </c>
      <c r="J467" s="21" t="n">
        <f aca="false">Stock_Seguridad!U467</f>
        <v>0</v>
      </c>
      <c r="K467" s="22"/>
      <c r="L467" s="23" t="n">
        <v>0</v>
      </c>
      <c r="M467" s="23" t="n">
        <v>912</v>
      </c>
      <c r="N467" s="23" t="n">
        <v>0</v>
      </c>
      <c r="O467" s="24" t="n">
        <v>0.124885745375408</v>
      </c>
      <c r="P467" s="24" t="n">
        <f aca="false">IF(ISNUMBER(Stock_Seguridad!N467),Stock_Seguridad!N467,"")</f>
        <v>0.240816326530612</v>
      </c>
      <c r="Q467" s="24" t="n">
        <f aca="false">IF(AND(ISNUMBER(O467),ISNUMBER(P467)),P467-O467,"")</f>
        <v>0.115930581155204</v>
      </c>
      <c r="R467" s="23" t="n">
        <f aca="false">MAX(0,G467-N(L467))</f>
        <v>6180</v>
      </c>
      <c r="S467" s="23" t="n">
        <f aca="false">SUMIFS(Cadenas_vs_FCST!$D$17:$D$2437,Cadenas_vs_FCST!$A$17:$A$2437,A467)</f>
        <v>8178</v>
      </c>
      <c r="T467" s="23" t="n">
        <f aca="false">SUMIFS(Cadenas_vs_FCST!$E$17:$E$2437,Cadenas_vs_FCST!$A$17:$A$2437,A467)</f>
        <v>7643.28641141156</v>
      </c>
      <c r="U467" s="24" t="n">
        <f aca="false">IF(T467&gt;0,S467/T467-1,"")</f>
        <v>0.0699585963166456</v>
      </c>
      <c r="V467" s="3" t="str">
        <f aca="false">IF(OR(E467="BAJO SS",E467="BAJO SS (XLIB CUBRE)"),"SÍ","")</f>
        <v/>
      </c>
      <c r="W467" s="3" t="str">
        <f aca="false">IF(AND(V467="",N(L467)&gt;=Parametros!$B$17,G467&gt;=H467,R467&lt;H467),"SÍ","")</f>
        <v/>
      </c>
      <c r="X467" s="3" t="str">
        <f aca="false">IF(OR(E467="SOBRE MAX VENDIBLE",N(N467)&gt;=Parametros!$B$17,N(M467)&gt;=Parametros!$B$17),"SÍ","")</f>
        <v>SÍ</v>
      </c>
      <c r="Y467" s="3" t="str">
        <f aca="false">IF(AND(ISNUMBER(U467),MAX(S467,T467)&gt;=Parametros!$B$15,ABS(N(U467))&gt;Parametros!$B$14),"SÍ","")</f>
        <v/>
      </c>
      <c r="Z467" s="3" t="n">
        <f aca="false">COUNTIF(V467:Y467,"SÍ")</f>
        <v>1</v>
      </c>
      <c r="AA467" s="3" t="n">
        <f aca="false">(3*(V467="SÍ")+2*(W467="SÍ")+2*(X467="SÍ")+(Y467="SÍ"))*IF(LEFT(D467,1)="A",3,IF(OR(LEFT(D467,1)="B",D467="SIN HIST"),2,1))</f>
        <v>2</v>
      </c>
      <c r="AB467" s="3" t="str">
        <f aca="false">IF(AA467&gt;=9,"1-ALTA",IF(AA467&gt;=4,"2-MEDIA",IF(AA467&gt;0,"3-BAJA","")))</f>
        <v>3-BAJA</v>
      </c>
      <c r="AC467" s="3" t="str">
        <f aca="false">IF(E467="BAJO SS","Stock + XLIB bajo el SS: riesgo real de quiebre, adelantar producción. ","")&amp;IF(E467="BAJO SS (XLIB CUBRE)","Disponible bajo el SS; depende de liberar "&amp;TEXT(J467,"#,##0")&amp;" kg"&amp;IF(ISNUMBER(K467)," el "&amp;TEXT(K467,"dd-mm"),"")&amp;". ","")&amp;IF(W467="SÍ","Stock parece sano pero "&amp;TEXT(L467,"#,##0")&amp;" kg no pasan filtro "&amp;Stock_Seguridad!O467&amp;": sin ellos queda bajo el SS para esa cadena. ","")&amp;IF(E467="SOBRE MAX VENDIBLE","Sobrestock vs vida útil: frenar producción/activar venta. ","")&amp;IF(N(N467)&gt;=Parametros!$B$17,TEXT(N467,"#,##0")&amp;" kg ya no los acepta ninguna cadena: venta intermedia/liquidación. ","")&amp;IF(N(M467)&gt;=Parametros!$B$17,TEXT(M467,"#,##0")&amp;" kg a punto de salir del filtro: despachar primero (FEFO). ","")&amp;IF(Y467="SÍ","Pedidos "&amp;IF(N(U467)&gt;0,"sobre","bajo")&amp;" FCST "&amp;TEXT(ABS(N(U467)),"0%")&amp;": revisar forecast con KAM.","")</f>
        <v>912 kg a punto de salir del filtro: despachar primero (FEFO). </v>
      </c>
    </row>
    <row r="468" customFormat="false" ht="15" hidden="false" customHeight="false" outlineLevel="0" collapsed="false">
      <c r="A468" s="18" t="n">
        <f aca="false">Stock_Seguridad!A468</f>
        <v>30000983</v>
      </c>
      <c r="B468" s="18" t="str">
        <f aca="false">Stock_Seguridad!B468</f>
        <v>BASE CARBONADA RT 24X500GR</v>
      </c>
      <c r="C468" s="18" t="str">
        <f aca="false">Stock_Seguridad!C468</f>
        <v>FRUTAS Y HORTALIZAS CONGELADAS</v>
      </c>
      <c r="D468" s="18" t="str">
        <f aca="false">Stock_Seguridad!F468</f>
        <v>SIN HIST</v>
      </c>
      <c r="E468" s="19" t="str">
        <f aca="false">Stock_Seguridad!X468</f>
        <v>OK</v>
      </c>
      <c r="F468" s="20" t="n">
        <f aca="false">Stock_Seguridad!W468</f>
        <v>4.36379102573191</v>
      </c>
      <c r="G468" s="21" t="n">
        <f aca="false">Stock_Seguridad!T468</f>
        <v>6156</v>
      </c>
      <c r="H468" s="21" t="n">
        <f aca="false">Stock_Seguridad!R468</f>
        <v>696.118503462132</v>
      </c>
      <c r="I468" s="21" t="n">
        <f aca="false">Stock_Seguridad!S468</f>
        <v>2106.81850346213</v>
      </c>
      <c r="J468" s="21" t="n">
        <f aca="false">Stock_Seguridad!U468</f>
        <v>0</v>
      </c>
      <c r="K468" s="22"/>
      <c r="L468" s="23" t="n">
        <v>0</v>
      </c>
      <c r="M468" s="23" t="n">
        <v>0</v>
      </c>
      <c r="N468" s="23" t="n">
        <v>0</v>
      </c>
      <c r="O468" s="24" t="n">
        <v>0.0835867446393762</v>
      </c>
      <c r="P468" s="24" t="str">
        <f aca="false">IF(ISNUMBER(Stock_Seguridad!N468),Stock_Seguridad!N468,"")</f>
        <v/>
      </c>
      <c r="Q468" s="24" t="str">
        <f aca="false">IF(AND(ISNUMBER(O468),ISNUMBER(P468)),P468-O468,"")</f>
        <v/>
      </c>
      <c r="R468" s="23" t="n">
        <f aca="false">MAX(0,G468-N(L468))</f>
        <v>6156</v>
      </c>
      <c r="S468" s="23" t="n">
        <f aca="false">SUMIFS(Cadenas_vs_FCST!$D$17:$D$2437,Cadenas_vs_FCST!$A$17:$A$2437,A468)</f>
        <v>0</v>
      </c>
      <c r="T468" s="23" t="n">
        <f aca="false">SUMIFS(Cadenas_vs_FCST!$E$17:$E$2437,Cadenas_vs_FCST!$A$17:$A$2437,A468)</f>
        <v>0</v>
      </c>
      <c r="U468" s="24" t="str">
        <f aca="false">IF(T468&gt;0,S468/T468-1,"")</f>
        <v/>
      </c>
      <c r="V468" s="3" t="str">
        <f aca="false">IF(OR(E468="BAJO SS",E468="BAJO SS (XLIB CUBRE)"),"SÍ","")</f>
        <v/>
      </c>
      <c r="W468" s="3" t="str">
        <f aca="false">IF(AND(V468="",N(L468)&gt;=Parametros!$B$17,G468&gt;=H468,R468&lt;H468),"SÍ","")</f>
        <v/>
      </c>
      <c r="X468" s="3" t="str">
        <f aca="false">IF(OR(E468="SOBRE MAX VENDIBLE",N(N468)&gt;=Parametros!$B$17,N(M468)&gt;=Parametros!$B$17),"SÍ","")</f>
        <v/>
      </c>
      <c r="Y468" s="3" t="str">
        <f aca="false">IF(AND(ISNUMBER(U468),MAX(S468,T468)&gt;=Parametros!$B$15,ABS(N(U468))&gt;Parametros!$B$14),"SÍ","")</f>
        <v/>
      </c>
      <c r="Z468" s="3" t="n">
        <f aca="false">COUNTIF(V468:Y468,"SÍ")</f>
        <v>0</v>
      </c>
      <c r="AA468" s="3" t="n">
        <f aca="false">(3*(V468="SÍ")+2*(W468="SÍ")+2*(X468="SÍ")+(Y468="SÍ"))*IF(LEFT(D468,1)="A",3,IF(OR(LEFT(D468,1)="B",D468="SIN HIST"),2,1))</f>
        <v>0</v>
      </c>
      <c r="AB468" s="3" t="str">
        <f aca="false">IF(AA468&gt;=9,"1-ALTA",IF(AA468&gt;=4,"2-MEDIA",IF(AA468&gt;0,"3-BAJA","")))</f>
        <v/>
      </c>
      <c r="AC468" s="3" t="str">
        <f aca="false">IF(E468="BAJO SS","Stock + XLIB bajo el SS: riesgo real de quiebre, adelantar producción. ","")&amp;IF(E468="BAJO SS (XLIB CUBRE)","Disponible bajo el SS; depende de liberar "&amp;TEXT(J468,"#,##0")&amp;" kg"&amp;IF(ISNUMBER(K468)," el "&amp;TEXT(K468,"dd-mm"),"")&amp;". ","")&amp;IF(W468="SÍ","Stock parece sano pero "&amp;TEXT(L468,"#,##0")&amp;" kg no pasan filtro "&amp;Stock_Seguridad!O468&amp;": sin ellos queda bajo el SS para esa cadena. ","")&amp;IF(E468="SOBRE MAX VENDIBLE","Sobrestock vs vida útil: frenar producción/activar venta. ","")&amp;IF(N(N468)&gt;=Parametros!$B$17,TEXT(N468,"#,##0")&amp;" kg ya no los acepta ninguna cadena: venta intermedia/liquidación. ","")&amp;IF(N(M468)&gt;=Parametros!$B$17,TEXT(M468,"#,##0")&amp;" kg a punto de salir del filtro: despachar primero (FEFO). ","")&amp;IF(Y468="SÍ","Pedidos "&amp;IF(N(U468)&gt;0,"sobre","bajo")&amp;" FCST "&amp;TEXT(ABS(N(U468)),"0%")&amp;": revisar forecast con KAM.","")</f>
        <v/>
      </c>
    </row>
    <row r="469" customFormat="false" ht="15" hidden="false" customHeight="false" outlineLevel="0" collapsed="false">
      <c r="A469" s="18" t="n">
        <f aca="false">Stock_Seguridad!A469</f>
        <v>30000869</v>
      </c>
      <c r="B469" s="18" t="str">
        <f aca="false">Stock_Seguridad!B469</f>
        <v>SMOOTHIE VITALITY FDM 15X500GR</v>
      </c>
      <c r="C469" s="18" t="str">
        <f aca="false">Stock_Seguridad!C469</f>
        <v>FRUTAS Y HORTALIZAS CONGELADAS</v>
      </c>
      <c r="D469" s="18" t="str">
        <f aca="false">Stock_Seguridad!F469</f>
        <v>SIN HIST</v>
      </c>
      <c r="E469" s="19" t="str">
        <f aca="false">Stock_Seguridad!X469</f>
        <v>OK</v>
      </c>
      <c r="F469" s="20" t="n">
        <f aca="false">Stock_Seguridad!W469</f>
        <v>3.65879600085088</v>
      </c>
      <c r="G469" s="21" t="n">
        <f aca="false">Stock_Seguridad!T469</f>
        <v>4200</v>
      </c>
      <c r="H469" s="21" t="n">
        <f aca="false">Stock_Seguridad!R469</f>
        <v>695.921121026898</v>
      </c>
      <c r="I469" s="21" t="n">
        <f aca="false">Stock_Seguridad!S469</f>
        <v>2106.2211210269</v>
      </c>
      <c r="J469" s="21" t="n">
        <f aca="false">Stock_Seguridad!U469</f>
        <v>960</v>
      </c>
      <c r="K469" s="22" t="n">
        <v>46237</v>
      </c>
      <c r="L469" s="23" t="n">
        <v>0</v>
      </c>
      <c r="M469" s="23" t="n">
        <v>0</v>
      </c>
      <c r="N469" s="23" t="n">
        <v>0</v>
      </c>
      <c r="O469" s="24" t="n">
        <v>0.0509883720930233</v>
      </c>
      <c r="P469" s="24" t="str">
        <f aca="false">IF(ISNUMBER(Stock_Seguridad!N469),Stock_Seguridad!N469,"")</f>
        <v/>
      </c>
      <c r="Q469" s="24" t="str">
        <f aca="false">IF(AND(ISNUMBER(O469),ISNUMBER(P469)),P469-O469,"")</f>
        <v/>
      </c>
      <c r="R469" s="23" t="n">
        <f aca="false">MAX(0,G469-N(L469))</f>
        <v>4200</v>
      </c>
      <c r="S469" s="23" t="n">
        <f aca="false">SUMIFS(Cadenas_vs_FCST!$D$17:$D$2437,Cadenas_vs_FCST!$A$17:$A$2437,A469)</f>
        <v>0</v>
      </c>
      <c r="T469" s="23" t="n">
        <f aca="false">SUMIFS(Cadenas_vs_FCST!$E$17:$E$2437,Cadenas_vs_FCST!$A$17:$A$2437,A469)</f>
        <v>0</v>
      </c>
      <c r="U469" s="24" t="str">
        <f aca="false">IF(T469&gt;0,S469/T469-1,"")</f>
        <v/>
      </c>
      <c r="V469" s="3" t="str">
        <f aca="false">IF(OR(E469="BAJO SS",E469="BAJO SS (XLIB CUBRE)"),"SÍ","")</f>
        <v/>
      </c>
      <c r="W469" s="3" t="str">
        <f aca="false">IF(AND(V469="",N(L469)&gt;=Parametros!$B$17,G469&gt;=H469,R469&lt;H469),"SÍ","")</f>
        <v/>
      </c>
      <c r="X469" s="3" t="str">
        <f aca="false">IF(OR(E469="SOBRE MAX VENDIBLE",N(N469)&gt;=Parametros!$B$17,N(M469)&gt;=Parametros!$B$17),"SÍ","")</f>
        <v/>
      </c>
      <c r="Y469" s="3" t="str">
        <f aca="false">IF(AND(ISNUMBER(U469),MAX(S469,T469)&gt;=Parametros!$B$15,ABS(N(U469))&gt;Parametros!$B$14),"SÍ","")</f>
        <v/>
      </c>
      <c r="Z469" s="3" t="n">
        <f aca="false">COUNTIF(V469:Y469,"SÍ")</f>
        <v>0</v>
      </c>
      <c r="AA469" s="3" t="n">
        <f aca="false">(3*(V469="SÍ")+2*(W469="SÍ")+2*(X469="SÍ")+(Y469="SÍ"))*IF(LEFT(D469,1)="A",3,IF(OR(LEFT(D469,1)="B",D469="SIN HIST"),2,1))</f>
        <v>0</v>
      </c>
      <c r="AB469" s="3" t="str">
        <f aca="false">IF(AA469&gt;=9,"1-ALTA",IF(AA469&gt;=4,"2-MEDIA",IF(AA469&gt;0,"3-BAJA","")))</f>
        <v/>
      </c>
      <c r="AC469" s="3" t="str">
        <f aca="false">IF(E469="BAJO SS","Stock + XLIB bajo el SS: riesgo real de quiebre, adelantar producción. ","")&amp;IF(E469="BAJO SS (XLIB CUBRE)","Disponible bajo el SS; depende de liberar "&amp;TEXT(J469,"#,##0")&amp;" kg"&amp;IF(ISNUMBER(K469)," el "&amp;TEXT(K469,"dd-mm"),"")&amp;". ","")&amp;IF(W469="SÍ","Stock parece sano pero "&amp;TEXT(L469,"#,##0")&amp;" kg no pasan filtro "&amp;Stock_Seguridad!O469&amp;": sin ellos queda bajo el SS para esa cadena. ","")&amp;IF(E469="SOBRE MAX VENDIBLE","Sobrestock vs vida útil: frenar producción/activar venta. ","")&amp;IF(N(N469)&gt;=Parametros!$B$17,TEXT(N469,"#,##0")&amp;" kg ya no los acepta ninguna cadena: venta intermedia/liquidación. ","")&amp;IF(N(M469)&gt;=Parametros!$B$17,TEXT(M469,"#,##0")&amp;" kg a punto de salir del filtro: despachar primero (FEFO). ","")&amp;IF(Y469="SÍ","Pedidos "&amp;IF(N(U469)&gt;0,"sobre","bajo")&amp;" FCST "&amp;TEXT(ABS(N(U469)),"0%")&amp;": revisar forecast con KAM.","")</f>
        <v/>
      </c>
    </row>
    <row r="470" customFormat="false" ht="15" hidden="false" customHeight="false" outlineLevel="0" collapsed="false">
      <c r="A470" s="18" t="n">
        <f aca="false">Stock_Seguridad!A470</f>
        <v>30000162</v>
      </c>
      <c r="B470" s="18" t="str">
        <f aca="false">Stock_Seguridad!B470</f>
        <v>MERMELADA WATTS INDU FRAMB 6X1KG</v>
      </c>
      <c r="C470" s="18" t="str">
        <f aca="false">Stock_Seguridad!C470</f>
        <v>MERMELADAS</v>
      </c>
      <c r="D470" s="18" t="str">
        <f aca="false">Stock_Seguridad!F470</f>
        <v>SIN HIST</v>
      </c>
      <c r="E470" s="19" t="str">
        <f aca="false">Stock_Seguridad!X470</f>
        <v>OK</v>
      </c>
      <c r="F470" s="20" t="n">
        <f aca="false">Stock_Seguridad!W470</f>
        <v>1.84893220581912</v>
      </c>
      <c r="G470" s="21" t="n">
        <f aca="false">Stock_Seguridad!T470</f>
        <v>2580</v>
      </c>
      <c r="H470" s="21" t="n">
        <f aca="false">Stock_Seguridad!R470</f>
        <v>688.568625314425</v>
      </c>
      <c r="I470" s="21" t="n">
        <f aca="false">Stock_Seguridad!S470</f>
        <v>2083.96862531443</v>
      </c>
      <c r="J470" s="21" t="n">
        <f aca="false">Stock_Seguridad!U470</f>
        <v>0</v>
      </c>
      <c r="K470" s="22"/>
      <c r="L470" s="23" t="n">
        <v>0</v>
      </c>
      <c r="M470" s="23" t="n">
        <v>84</v>
      </c>
      <c r="N470" s="23" t="n">
        <v>0</v>
      </c>
      <c r="O470" s="24" t="n">
        <v>0.0188317757009346</v>
      </c>
      <c r="P470" s="24" t="n">
        <f aca="false">IF(ISNUMBER(Stock_Seguridad!N470),Stock_Seguridad!N470,"")</f>
        <v>0.273972602739726</v>
      </c>
      <c r="Q470" s="24" t="n">
        <f aca="false">IF(AND(ISNUMBER(O470),ISNUMBER(P470)),P470-O470,"")</f>
        <v>0.255140827038791</v>
      </c>
      <c r="R470" s="23" t="n">
        <f aca="false">MAX(0,G470-N(L470))</f>
        <v>2580</v>
      </c>
      <c r="S470" s="23" t="n">
        <f aca="false">SUMIFS(Cadenas_vs_FCST!$D$17:$D$2437,Cadenas_vs_FCST!$A$17:$A$2437,A470)</f>
        <v>0</v>
      </c>
      <c r="T470" s="23" t="n">
        <f aca="false">SUMIFS(Cadenas_vs_FCST!$E$17:$E$2437,Cadenas_vs_FCST!$A$17:$A$2437,A470)</f>
        <v>0</v>
      </c>
      <c r="U470" s="24" t="str">
        <f aca="false">IF(T470&gt;0,S470/T470-1,"")</f>
        <v/>
      </c>
      <c r="V470" s="3" t="str">
        <f aca="false">IF(OR(E470="BAJO SS",E470="BAJO SS (XLIB CUBRE)"),"SÍ","")</f>
        <v/>
      </c>
      <c r="W470" s="3" t="str">
        <f aca="false">IF(AND(V470="",N(L470)&gt;=Parametros!$B$17,G470&gt;=H470,R470&lt;H470),"SÍ","")</f>
        <v/>
      </c>
      <c r="X470" s="3" t="str">
        <f aca="false">IF(OR(E470="SOBRE MAX VENDIBLE",N(N470)&gt;=Parametros!$B$17,N(M470)&gt;=Parametros!$B$17),"SÍ","")</f>
        <v/>
      </c>
      <c r="Y470" s="3" t="str">
        <f aca="false">IF(AND(ISNUMBER(U470),MAX(S470,T470)&gt;=Parametros!$B$15,ABS(N(U470))&gt;Parametros!$B$14),"SÍ","")</f>
        <v/>
      </c>
      <c r="Z470" s="3" t="n">
        <f aca="false">COUNTIF(V470:Y470,"SÍ")</f>
        <v>0</v>
      </c>
      <c r="AA470" s="3" t="n">
        <f aca="false">(3*(V470="SÍ")+2*(W470="SÍ")+2*(X470="SÍ")+(Y470="SÍ"))*IF(LEFT(D470,1)="A",3,IF(OR(LEFT(D470,1)="B",D470="SIN HIST"),2,1))</f>
        <v>0</v>
      </c>
      <c r="AB470" s="3" t="str">
        <f aca="false">IF(AA470&gt;=9,"1-ALTA",IF(AA470&gt;=4,"2-MEDIA",IF(AA470&gt;0,"3-BAJA","")))</f>
        <v/>
      </c>
      <c r="AC470" s="3" t="str">
        <f aca="false">IF(E470="BAJO SS","Stock + XLIB bajo el SS: riesgo real de quiebre, adelantar producción. ","")&amp;IF(E470="BAJO SS (XLIB CUBRE)","Disponible bajo el SS; depende de liberar "&amp;TEXT(J470,"#,##0")&amp;" kg"&amp;IF(ISNUMBER(K470)," el "&amp;TEXT(K470,"dd-mm"),"")&amp;". ","")&amp;IF(W470="SÍ","Stock parece sano pero "&amp;TEXT(L470,"#,##0")&amp;" kg no pasan filtro "&amp;Stock_Seguridad!O470&amp;": sin ellos queda bajo el SS para esa cadena. ","")&amp;IF(E470="SOBRE MAX VENDIBLE","Sobrestock vs vida útil: frenar producción/activar venta. ","")&amp;IF(N(N470)&gt;=Parametros!$B$17,TEXT(N470,"#,##0")&amp;" kg ya no los acepta ninguna cadena: venta intermedia/liquidación. ","")&amp;IF(N(M470)&gt;=Parametros!$B$17,TEXT(M470,"#,##0")&amp;" kg a punto de salir del filtro: despachar primero (FEFO). ","")&amp;IF(Y470="SÍ","Pedidos "&amp;IF(N(U470)&gt;0,"sobre","bajo")&amp;" FCST "&amp;TEXT(ABS(N(U470)),"0%")&amp;": revisar forecast con KAM.","")</f>
        <v/>
      </c>
    </row>
    <row r="471" customFormat="false" ht="15" hidden="false" customHeight="false" outlineLevel="0" collapsed="false">
      <c r="A471" s="18" t="n">
        <f aca="false">Stock_Seguridad!A471</f>
        <v>30001962</v>
      </c>
      <c r="B471" s="18" t="str">
        <f aca="false">Stock_Seguridad!B471</f>
        <v>SALSA DE MANJAR LONCOLECHE 2X6KG</v>
      </c>
      <c r="C471" s="18" t="str">
        <f aca="false">Stock_Seguridad!C471</f>
        <v>TOPPINGS</v>
      </c>
      <c r="D471" s="18" t="str">
        <f aca="false">Stock_Seguridad!F471</f>
        <v>SIN HIST</v>
      </c>
      <c r="E471" s="19" t="str">
        <f aca="false">Stock_Seguridad!X471</f>
        <v>OK</v>
      </c>
      <c r="F471" s="20" t="n">
        <f aca="false">Stock_Seguridad!W471</f>
        <v>3.53472371533004</v>
      </c>
      <c r="G471" s="21" t="n">
        <f aca="false">Stock_Seguridad!T471</f>
        <v>4932</v>
      </c>
      <c r="H471" s="21" t="n">
        <f aca="false">Stock_Seguridad!R471</f>
        <v>688.519279705616</v>
      </c>
      <c r="I471" s="21" t="n">
        <f aca="false">Stock_Seguridad!S471</f>
        <v>2083.81927970562</v>
      </c>
      <c r="J471" s="21" t="n">
        <f aca="false">Stock_Seguridad!U471</f>
        <v>0</v>
      </c>
      <c r="K471" s="22"/>
      <c r="L471" s="23" t="n">
        <v>0</v>
      </c>
      <c r="M471" s="23" t="n">
        <v>0</v>
      </c>
      <c r="N471" s="23" t="n">
        <v>0</v>
      </c>
      <c r="O471" s="24" t="n">
        <v>0.13</v>
      </c>
      <c r="P471" s="24" t="n">
        <f aca="false">IF(ISNUMBER(Stock_Seguridad!N471),Stock_Seguridad!N471,"")</f>
        <v>0.271739130434783</v>
      </c>
      <c r="Q471" s="24" t="n">
        <f aca="false">IF(AND(ISNUMBER(O471),ISNUMBER(P471)),P471-O471,"")</f>
        <v>0.141739130434783</v>
      </c>
      <c r="R471" s="23" t="n">
        <f aca="false">MAX(0,G471-N(L471))</f>
        <v>4932</v>
      </c>
      <c r="S471" s="23" t="n">
        <f aca="false">SUMIFS(Cadenas_vs_FCST!$D$17:$D$2437,Cadenas_vs_FCST!$A$17:$A$2437,A471)</f>
        <v>0</v>
      </c>
      <c r="T471" s="23" t="n">
        <f aca="false">SUMIFS(Cadenas_vs_FCST!$E$17:$E$2437,Cadenas_vs_FCST!$A$17:$A$2437,A471)</f>
        <v>0</v>
      </c>
      <c r="U471" s="24" t="str">
        <f aca="false">IF(T471&gt;0,S471/T471-1,"")</f>
        <v/>
      </c>
      <c r="V471" s="3" t="str">
        <f aca="false">IF(OR(E471="BAJO SS",E471="BAJO SS (XLIB CUBRE)"),"SÍ","")</f>
        <v/>
      </c>
      <c r="W471" s="3" t="str">
        <f aca="false">IF(AND(V471="",N(L471)&gt;=Parametros!$B$17,G471&gt;=H471,R471&lt;H471),"SÍ","")</f>
        <v/>
      </c>
      <c r="X471" s="3" t="str">
        <f aca="false">IF(OR(E471="SOBRE MAX VENDIBLE",N(N471)&gt;=Parametros!$B$17,N(M471)&gt;=Parametros!$B$17),"SÍ","")</f>
        <v/>
      </c>
      <c r="Y471" s="3" t="str">
        <f aca="false">IF(AND(ISNUMBER(U471),MAX(S471,T471)&gt;=Parametros!$B$15,ABS(N(U471))&gt;Parametros!$B$14),"SÍ","")</f>
        <v/>
      </c>
      <c r="Z471" s="3" t="n">
        <f aca="false">COUNTIF(V471:Y471,"SÍ")</f>
        <v>0</v>
      </c>
      <c r="AA471" s="3" t="n">
        <f aca="false">(3*(V471="SÍ")+2*(W471="SÍ")+2*(X471="SÍ")+(Y471="SÍ"))*IF(LEFT(D471,1)="A",3,IF(OR(LEFT(D471,1)="B",D471="SIN HIST"),2,1))</f>
        <v>0</v>
      </c>
      <c r="AB471" s="3" t="str">
        <f aca="false">IF(AA471&gt;=9,"1-ALTA",IF(AA471&gt;=4,"2-MEDIA",IF(AA471&gt;0,"3-BAJA","")))</f>
        <v/>
      </c>
      <c r="AC471" s="3" t="str">
        <f aca="false">IF(E471="BAJO SS","Stock + XLIB bajo el SS: riesgo real de quiebre, adelantar producción. ","")&amp;IF(E471="BAJO SS (XLIB CUBRE)","Disponible bajo el SS; depende de liberar "&amp;TEXT(J471,"#,##0")&amp;" kg"&amp;IF(ISNUMBER(K471)," el "&amp;TEXT(K471,"dd-mm"),"")&amp;". ","")&amp;IF(W471="SÍ","Stock parece sano pero "&amp;TEXT(L471,"#,##0")&amp;" kg no pasan filtro "&amp;Stock_Seguridad!O471&amp;": sin ellos queda bajo el SS para esa cadena. ","")&amp;IF(E471="SOBRE MAX VENDIBLE","Sobrestock vs vida útil: frenar producción/activar venta. ","")&amp;IF(N(N471)&gt;=Parametros!$B$17,TEXT(N471,"#,##0")&amp;" kg ya no los acepta ninguna cadena: venta intermedia/liquidación. ","")&amp;IF(N(M471)&gt;=Parametros!$B$17,TEXT(M471,"#,##0")&amp;" kg a punto de salir del filtro: despachar primero (FEFO). ","")&amp;IF(Y471="SÍ","Pedidos "&amp;IF(N(U471)&gt;0,"sobre","bajo")&amp;" FCST "&amp;TEXT(ABS(N(U471)),"0%")&amp;": revisar forecast con KAM.","")</f>
        <v/>
      </c>
    </row>
    <row r="472" customFormat="false" ht="15" hidden="false" customHeight="false" outlineLevel="0" collapsed="false">
      <c r="A472" s="18" t="n">
        <f aca="false">Stock_Seguridad!A472</f>
        <v>30000066</v>
      </c>
      <c r="B472" s="18" t="str">
        <f aca="false">Stock_Seguridad!B472</f>
        <v>MARGARINA PAMPERITA 6X12X100GR</v>
      </c>
      <c r="C472" s="18" t="str">
        <f aca="false">Stock_Seguridad!C472</f>
        <v>MARGARINAS</v>
      </c>
      <c r="D472" s="18" t="str">
        <f aca="false">Stock_Seguridad!F472</f>
        <v>BX</v>
      </c>
      <c r="E472" s="19" t="str">
        <f aca="false">Stock_Seguridad!X472</f>
        <v>BAJO SS (XLIB CUBRE)</v>
      </c>
      <c r="F472" s="20" t="n">
        <f aca="false">Stock_Seguridad!W472</f>
        <v>4.95712230215827</v>
      </c>
      <c r="G472" s="21" t="n">
        <f aca="false">Stock_Seguridad!T472</f>
        <v>1785.6</v>
      </c>
      <c r="H472" s="21" t="n">
        <f aca="false">Stock_Seguridad!R472</f>
        <v>2695.61650562828</v>
      </c>
      <c r="I472" s="21" t="n">
        <f aca="false">Stock_Seguridad!S472</f>
        <v>4085.61650562828</v>
      </c>
      <c r="J472" s="21" t="n">
        <f aca="false">Stock_Seguridad!U472</f>
        <v>5104.8</v>
      </c>
      <c r="K472" s="22" t="n">
        <v>46317</v>
      </c>
      <c r="L472" s="23" t="n">
        <v>0</v>
      </c>
      <c r="M472" s="23" t="n">
        <v>0</v>
      </c>
      <c r="N472" s="23" t="n">
        <v>0</v>
      </c>
      <c r="O472" s="24" t="n">
        <v>0.0332528856243442</v>
      </c>
      <c r="P472" s="24" t="n">
        <f aca="false">IF(ISNUMBER(Stock_Seguridad!N472),Stock_Seguridad!N472,"")</f>
        <v>0.217391304347826</v>
      </c>
      <c r="Q472" s="24" t="n">
        <f aca="false">IF(AND(ISNUMBER(O472),ISNUMBER(P472)),P472-O472,"")</f>
        <v>0.184138418723482</v>
      </c>
      <c r="R472" s="23" t="n">
        <f aca="false">MAX(0,G472-N(L472))</f>
        <v>1785.6</v>
      </c>
      <c r="S472" s="23" t="n">
        <f aca="false">SUMIFS(Cadenas_vs_FCST!$D$17:$D$2437,Cadenas_vs_FCST!$A$17:$A$2437,A472)</f>
        <v>14284.8</v>
      </c>
      <c r="T472" s="23" t="n">
        <f aca="false">SUMIFS(Cadenas_vs_FCST!$E$17:$E$2437,Cadenas_vs_FCST!$A$17:$A$2437,A472)</f>
        <v>7263.6091724475</v>
      </c>
      <c r="U472" s="24" t="n">
        <f aca="false">IF(T472&gt;0,S472/T472-1,"")</f>
        <v>0.966625634840797</v>
      </c>
      <c r="V472" s="3" t="str">
        <f aca="false">IF(OR(E472="BAJO SS",E472="BAJO SS (XLIB CUBRE)"),"SÍ","")</f>
        <v>SÍ</v>
      </c>
      <c r="W472" s="3" t="str">
        <f aca="false">IF(AND(V472="",N(L472)&gt;=Parametros!$B$17,G472&gt;=H472,R472&lt;H472),"SÍ","")</f>
        <v/>
      </c>
      <c r="X472" s="3" t="str">
        <f aca="false">IF(OR(E472="SOBRE MAX VENDIBLE",N(N472)&gt;=Parametros!$B$17,N(M472)&gt;=Parametros!$B$17),"SÍ","")</f>
        <v/>
      </c>
      <c r="Y472" s="3" t="str">
        <f aca="false">IF(AND(ISNUMBER(U472),MAX(S472,T472)&gt;=Parametros!$B$15,ABS(N(U472))&gt;Parametros!$B$14),"SÍ","")</f>
        <v>SÍ</v>
      </c>
      <c r="Z472" s="3" t="n">
        <f aca="false">COUNTIF(V472:Y472,"SÍ")</f>
        <v>2</v>
      </c>
      <c r="AA472" s="3" t="n">
        <f aca="false">(3*(V472="SÍ")+2*(W472="SÍ")+2*(X472="SÍ")+(Y472="SÍ"))*IF(LEFT(D472,1)="A",3,IF(OR(LEFT(D472,1)="B",D472="SIN HIST"),2,1))</f>
        <v>8</v>
      </c>
      <c r="AB472" s="3" t="str">
        <f aca="false">IF(AA472&gt;=9,"1-ALTA",IF(AA472&gt;=4,"2-MEDIA",IF(AA472&gt;0,"3-BAJA","")))</f>
        <v>2-MEDIA</v>
      </c>
      <c r="AC472" s="3" t="str">
        <f aca="false">IF(E472="BAJO SS","Stock + XLIB bajo el SS: riesgo real de quiebre, adelantar producción. ","")&amp;IF(E472="BAJO SS (XLIB CUBRE)","Disponible bajo el SS; depende de liberar "&amp;TEXT(J472,"#,##0")&amp;" kg"&amp;IF(ISNUMBER(K472)," el "&amp;TEXT(K472,"dd-mm"),"")&amp;". ","")&amp;IF(W472="SÍ","Stock parece sano pero "&amp;TEXT(L472,"#,##0")&amp;" kg no pasan filtro "&amp;Stock_Seguridad!O472&amp;": sin ellos queda bajo el SS para esa cadena. ","")&amp;IF(E472="SOBRE MAX VENDIBLE","Sobrestock vs vida útil: frenar producción/activar venta. ","")&amp;IF(N(N472)&gt;=Parametros!$B$17,TEXT(N472,"#,##0")&amp;" kg ya no los acepta ninguna cadena: venta intermedia/liquidación. ","")&amp;IF(N(M472)&gt;=Parametros!$B$17,TEXT(M472,"#,##0")&amp;" kg a punto de salir del filtro: despachar primero (FEFO). ","")&amp;IF(Y472="SÍ","Pedidos "&amp;IF(N(U472)&gt;0,"sobre","bajo")&amp;" FCST "&amp;TEXT(ABS(N(U472)),"0%")&amp;": revisar forecast con KAM.","")</f>
        <v>Disponible bajo el SS; depende de liberar 5,105 kg el 22-10. Pedidos sobre FCST 97%: revisar forecast con KAM.</v>
      </c>
    </row>
    <row r="473" customFormat="false" ht="15" hidden="false" customHeight="false" outlineLevel="0" collapsed="false">
      <c r="A473" s="18" t="n">
        <f aca="false">Stock_Seguridad!A473</f>
        <v>30001716</v>
      </c>
      <c r="B473" s="18" t="str">
        <f aca="false">Stock_Seguridad!B473</f>
        <v>CREMA LISTA LONCO 18X250ML</v>
      </c>
      <c r="C473" s="18" t="str">
        <f aca="false">Stock_Seguridad!C473</f>
        <v>CREMA</v>
      </c>
      <c r="D473" s="18" t="str">
        <f aca="false">Stock_Seguridad!F473</f>
        <v>CY</v>
      </c>
      <c r="E473" s="19" t="str">
        <f aca="false">Stock_Seguridad!X473</f>
        <v>SOBRE MAX VENDIBLE</v>
      </c>
      <c r="F473" s="20" t="n">
        <f aca="false">Stock_Seguridad!W473</f>
        <v>12.5876873817494</v>
      </c>
      <c r="G473" s="21" t="n">
        <f aca="false">Stock_Seguridad!T473</f>
        <v>7078.5</v>
      </c>
      <c r="H473" s="21" t="n">
        <f aca="false">Stock_Seguridad!R473</f>
        <v>963.258133272181</v>
      </c>
      <c r="I473" s="21" t="n">
        <f aca="false">Stock_Seguridad!S473</f>
        <v>2337.45813327218</v>
      </c>
      <c r="J473" s="21" t="n">
        <f aca="false">Stock_Seguridad!U473</f>
        <v>10219.5</v>
      </c>
      <c r="K473" s="22" t="n">
        <v>46321</v>
      </c>
      <c r="L473" s="23" t="n">
        <v>7078.5</v>
      </c>
      <c r="M473" s="23" t="n">
        <v>0</v>
      </c>
      <c r="N473" s="23" t="n">
        <v>675</v>
      </c>
      <c r="O473" s="24" t="n">
        <v>0.164323621227888</v>
      </c>
      <c r="P473" s="24" t="n">
        <f aca="false">IF(ISNUMBER(Stock_Seguridad!N473),Stock_Seguridad!N473,"")</f>
        <v>0.239130434782609</v>
      </c>
      <c r="Q473" s="24" t="n">
        <f aca="false">IF(AND(ISNUMBER(O473),ISNUMBER(P473)),P473-O473,"")</f>
        <v>0.074806813554721</v>
      </c>
      <c r="R473" s="23" t="n">
        <f aca="false">MAX(0,G473-N(L473))</f>
        <v>0</v>
      </c>
      <c r="S473" s="23" t="n">
        <f aca="false">SUMIFS(Cadenas_vs_FCST!$D$17:$D$2437,Cadenas_vs_FCST!$A$17:$A$2437,A473)</f>
        <v>1746</v>
      </c>
      <c r="T473" s="23" t="n">
        <f aca="false">SUMIFS(Cadenas_vs_FCST!$E$17:$E$2437,Cadenas_vs_FCST!$A$17:$A$2437,A473)</f>
        <v>3476.55208333333</v>
      </c>
      <c r="U473" s="24" t="n">
        <f aca="false">IF(T473&gt;0,S473/T473-1,"")</f>
        <v>-0.497778270496691</v>
      </c>
      <c r="V473" s="3" t="str">
        <f aca="false">IF(OR(E473="BAJO SS",E473="BAJO SS (XLIB CUBRE)"),"SÍ","")</f>
        <v/>
      </c>
      <c r="W473" s="3" t="str">
        <f aca="false">IF(AND(V473="",N(L473)&gt;=Parametros!$B$17,G473&gt;=H473,R473&lt;H473),"SÍ","")</f>
        <v>SÍ</v>
      </c>
      <c r="X473" s="3" t="str">
        <f aca="false">IF(OR(E473="SOBRE MAX VENDIBLE",N(N473)&gt;=Parametros!$B$17,N(M473)&gt;=Parametros!$B$17),"SÍ","")</f>
        <v>SÍ</v>
      </c>
      <c r="Y473" s="3" t="str">
        <f aca="false">IF(AND(ISNUMBER(U473),MAX(S473,T473)&gt;=Parametros!$B$15,ABS(N(U473))&gt;Parametros!$B$14),"SÍ","")</f>
        <v>SÍ</v>
      </c>
      <c r="Z473" s="3" t="n">
        <f aca="false">COUNTIF(V473:Y473,"SÍ")</f>
        <v>3</v>
      </c>
      <c r="AA473" s="3" t="n">
        <f aca="false">(3*(V473="SÍ")+2*(W473="SÍ")+2*(X473="SÍ")+(Y473="SÍ"))*IF(LEFT(D473,1)="A",3,IF(OR(LEFT(D473,1)="B",D473="SIN HIST"),2,1))</f>
        <v>5</v>
      </c>
      <c r="AB473" s="3" t="str">
        <f aca="false">IF(AA473&gt;=9,"1-ALTA",IF(AA473&gt;=4,"2-MEDIA",IF(AA473&gt;0,"3-BAJA","")))</f>
        <v>2-MEDIA</v>
      </c>
      <c r="AC473" s="3" t="str">
        <f aca="false">IF(E473="BAJO SS","Stock + XLIB bajo el SS: riesgo real de quiebre, adelantar producción. ","")&amp;IF(E473="BAJO SS (XLIB CUBRE)","Disponible bajo el SS; depende de liberar "&amp;TEXT(J473,"#,##0")&amp;" kg"&amp;IF(ISNUMBER(K473)," el "&amp;TEXT(K473,"dd-mm"),"")&amp;". ","")&amp;IF(W473="SÍ","Stock parece sano pero "&amp;TEXT(L473,"#,##0")&amp;" kg no pasan filtro "&amp;Stock_Seguridad!O473&amp;": sin ellos queda bajo el SS para esa cadena. ","")&amp;IF(E473="SOBRE MAX VENDIBLE","Sobrestock vs vida útil: frenar producción/activar venta. ","")&amp;IF(N(N473)&gt;=Parametros!$B$17,TEXT(N473,"#,##0")&amp;" kg ya no los acepta ninguna cadena: venta intermedia/liquidación. ","")&amp;IF(N(M473)&gt;=Parametros!$B$17,TEXT(M473,"#,##0")&amp;" kg a punto de salir del filtro: despachar primero (FEFO). ","")&amp;IF(Y473="SÍ","Pedidos "&amp;IF(N(U473)&gt;0,"sobre","bajo")&amp;" FCST "&amp;TEXT(ABS(N(U473)),"0%")&amp;": revisar forecast con KAM.","")</f>
        <v>Stock parece sano pero 7,079 kg no pasan filtro CENCOSUD CENTRAL: sin ellos queda bajo el SS para esa cadena. Sobrestock vs vida útil: frenar producción/activar venta. 675 kg ya no los acepta ninguna cadena: venta intermedia/liquidación. Pedidos bajo FCST 50%: revisar forecast con KAM.</v>
      </c>
    </row>
    <row r="474" customFormat="false" ht="15" hidden="false" customHeight="false" outlineLevel="0" collapsed="false">
      <c r="A474" s="18" t="n">
        <f aca="false">Stock_Seguridad!A474</f>
        <v>30002138</v>
      </c>
      <c r="B474" s="18" t="str">
        <f aca="false">Stock_Seguridad!B474</f>
        <v>MANGO EN TROZOS WASIL 16X500G</v>
      </c>
      <c r="C474" s="18" t="str">
        <f aca="false">Stock_Seguridad!C474</f>
        <v>CONSERVAS Y PLATOS LISTOS</v>
      </c>
      <c r="D474" s="18" t="str">
        <f aca="false">Stock_Seguridad!F474</f>
        <v>CY</v>
      </c>
      <c r="E474" s="19" t="str">
        <f aca="false">Stock_Seguridad!X474</f>
        <v>OK</v>
      </c>
      <c r="F474" s="20" t="n">
        <f aca="false">Stock_Seguridad!W474</f>
        <v>5.08321621421703</v>
      </c>
      <c r="G474" s="21" t="n">
        <f aca="false">Stock_Seguridad!T474</f>
        <v>6872</v>
      </c>
      <c r="H474" s="21" t="n">
        <f aca="false">Stock_Seguridad!R474</f>
        <v>705.112730433411</v>
      </c>
      <c r="I474" s="21" t="n">
        <f aca="false">Stock_Seguridad!S474</f>
        <v>2057.01273043341</v>
      </c>
      <c r="J474" s="21" t="n">
        <f aca="false">Stock_Seguridad!U474</f>
        <v>0</v>
      </c>
      <c r="K474" s="22"/>
      <c r="L474" s="23" t="n">
        <v>24</v>
      </c>
      <c r="M474" s="23" t="n">
        <v>0</v>
      </c>
      <c r="N474" s="23" t="n">
        <v>24</v>
      </c>
      <c r="O474" s="24" t="n">
        <v>0.0533294528521537</v>
      </c>
      <c r="P474" s="24" t="n">
        <f aca="false">IF(ISNUMBER(Stock_Seguridad!N474),Stock_Seguridad!N474,"")</f>
        <v>0.32054794520548</v>
      </c>
      <c r="Q474" s="24" t="n">
        <f aca="false">IF(AND(ISNUMBER(O474),ISNUMBER(P474)),P474-O474,"")</f>
        <v>0.267218492353326</v>
      </c>
      <c r="R474" s="23" t="n">
        <f aca="false">MAX(0,G474-N(L474))</f>
        <v>6848</v>
      </c>
      <c r="S474" s="23" t="n">
        <f aca="false">SUMIFS(Cadenas_vs_FCST!$D$17:$D$2437,Cadenas_vs_FCST!$A$17:$A$2437,A474)</f>
        <v>6072</v>
      </c>
      <c r="T474" s="23" t="n">
        <f aca="false">SUMIFS(Cadenas_vs_FCST!$E$17:$E$2437,Cadenas_vs_FCST!$A$17:$A$2437,A474)</f>
        <v>5900</v>
      </c>
      <c r="U474" s="24" t="n">
        <f aca="false">IF(T474&gt;0,S474/T474-1,"")</f>
        <v>0.0291525423728813</v>
      </c>
      <c r="V474" s="3" t="str">
        <f aca="false">IF(OR(E474="BAJO SS",E474="BAJO SS (XLIB CUBRE)"),"SÍ","")</f>
        <v/>
      </c>
      <c r="W474" s="3" t="str">
        <f aca="false">IF(AND(V474="",N(L474)&gt;=Parametros!$B$17,G474&gt;=H474,R474&lt;H474),"SÍ","")</f>
        <v/>
      </c>
      <c r="X474" s="3" t="str">
        <f aca="false">IF(OR(E474="SOBRE MAX VENDIBLE",N(N474)&gt;=Parametros!$B$17,N(M474)&gt;=Parametros!$B$17),"SÍ","")</f>
        <v/>
      </c>
      <c r="Y474" s="3" t="str">
        <f aca="false">IF(AND(ISNUMBER(U474),MAX(S474,T474)&gt;=Parametros!$B$15,ABS(N(U474))&gt;Parametros!$B$14),"SÍ","")</f>
        <v/>
      </c>
      <c r="Z474" s="3" t="n">
        <f aca="false">COUNTIF(V474:Y474,"SÍ")</f>
        <v>0</v>
      </c>
      <c r="AA474" s="3" t="n">
        <f aca="false">(3*(V474="SÍ")+2*(W474="SÍ")+2*(X474="SÍ")+(Y474="SÍ"))*IF(LEFT(D474,1)="A",3,IF(OR(LEFT(D474,1)="B",D474="SIN HIST"),2,1))</f>
        <v>0</v>
      </c>
      <c r="AB474" s="3" t="str">
        <f aca="false">IF(AA474&gt;=9,"1-ALTA",IF(AA474&gt;=4,"2-MEDIA",IF(AA474&gt;0,"3-BAJA","")))</f>
        <v/>
      </c>
      <c r="AC474" s="3" t="str">
        <f aca="false">IF(E474="BAJO SS","Stock + XLIB bajo el SS: riesgo real de quiebre, adelantar producción. ","")&amp;IF(E474="BAJO SS (XLIB CUBRE)","Disponible bajo el SS; depende de liberar "&amp;TEXT(J474,"#,##0")&amp;" kg"&amp;IF(ISNUMBER(K474)," el "&amp;TEXT(K474,"dd-mm"),"")&amp;". ","")&amp;IF(W474="SÍ","Stock parece sano pero "&amp;TEXT(L474,"#,##0")&amp;" kg no pasan filtro "&amp;Stock_Seguridad!O474&amp;": sin ellos queda bajo el SS para esa cadena. ","")&amp;IF(E474="SOBRE MAX VENDIBLE","Sobrestock vs vida útil: frenar producción/activar venta. ","")&amp;IF(N(N474)&gt;=Parametros!$B$17,TEXT(N474,"#,##0")&amp;" kg ya no los acepta ninguna cadena: venta intermedia/liquidación. ","")&amp;IF(N(M474)&gt;=Parametros!$B$17,TEXT(M474,"#,##0")&amp;" kg a punto de salir del filtro: despachar primero (FEFO). ","")&amp;IF(Y474="SÍ","Pedidos "&amp;IF(N(U474)&gt;0,"sobre","bajo")&amp;" FCST "&amp;TEXT(ABS(N(U474)),"0%")&amp;": revisar forecast con KAM.","")</f>
        <v/>
      </c>
    </row>
    <row r="475" customFormat="false" ht="15" hidden="false" customHeight="false" outlineLevel="0" collapsed="false">
      <c r="A475" s="18" t="n">
        <f aca="false">Stock_Seguridad!A475</f>
        <v>30001595</v>
      </c>
      <c r="B475" s="18" t="str">
        <f aca="false">Stock_Seguridad!B475</f>
        <v>CHOCLO GRANO 10X500GR</v>
      </c>
      <c r="C475" s="18" t="str">
        <f aca="false">Stock_Seguridad!C475</f>
        <v>FRUTAS Y HORTALIZAS CONGELADAS</v>
      </c>
      <c r="D475" s="18" t="str">
        <f aca="false">Stock_Seguridad!F475</f>
        <v>SIN HIST</v>
      </c>
      <c r="E475" s="19" t="str">
        <f aca="false">Stock_Seguridad!X475</f>
        <v>OK</v>
      </c>
      <c r="F475" s="20" t="n">
        <f aca="false">Stock_Seguridad!W475</f>
        <v>9.9290780141844</v>
      </c>
      <c r="G475" s="21" t="n">
        <f aca="false">Stock_Seguridad!T475</f>
        <v>13300</v>
      </c>
      <c r="H475" s="21" t="n">
        <f aca="false">Stock_Seguridad!R475</f>
        <v>660.984429990449</v>
      </c>
      <c r="I475" s="21" t="n">
        <f aca="false">Stock_Seguridad!S475</f>
        <v>2000.48442999045</v>
      </c>
      <c r="J475" s="21" t="n">
        <f aca="false">Stock_Seguridad!U475</f>
        <v>0</v>
      </c>
      <c r="K475" s="22"/>
      <c r="L475" s="23" t="n">
        <v>0</v>
      </c>
      <c r="M475" s="23" t="n">
        <v>0</v>
      </c>
      <c r="N475" s="23" t="n">
        <v>0</v>
      </c>
      <c r="O475" s="24" t="n">
        <v>0.0516278195488722</v>
      </c>
      <c r="P475" s="24" t="str">
        <f aca="false">IF(ISNUMBER(Stock_Seguridad!N475),Stock_Seguridad!N475,"")</f>
        <v/>
      </c>
      <c r="Q475" s="24" t="str">
        <f aca="false">IF(AND(ISNUMBER(O475),ISNUMBER(P475)),P475-O475,"")</f>
        <v/>
      </c>
      <c r="R475" s="23" t="n">
        <f aca="false">MAX(0,G475-N(L475))</f>
        <v>13300</v>
      </c>
      <c r="S475" s="23" t="n">
        <f aca="false">SUMIFS(Cadenas_vs_FCST!$D$17:$D$2437,Cadenas_vs_FCST!$A$17:$A$2437,A475)</f>
        <v>0</v>
      </c>
      <c r="T475" s="23" t="n">
        <f aca="false">SUMIFS(Cadenas_vs_FCST!$E$17:$E$2437,Cadenas_vs_FCST!$A$17:$A$2437,A475)</f>
        <v>0</v>
      </c>
      <c r="U475" s="24" t="str">
        <f aca="false">IF(T475&gt;0,S475/T475-1,"")</f>
        <v/>
      </c>
      <c r="V475" s="3" t="str">
        <f aca="false">IF(OR(E475="BAJO SS",E475="BAJO SS (XLIB CUBRE)"),"SÍ","")</f>
        <v/>
      </c>
      <c r="W475" s="3" t="str">
        <f aca="false">IF(AND(V475="",N(L475)&gt;=Parametros!$B$17,G475&gt;=H475,R475&lt;H475),"SÍ","")</f>
        <v/>
      </c>
      <c r="X475" s="3" t="str">
        <f aca="false">IF(OR(E475="SOBRE MAX VENDIBLE",N(N475)&gt;=Parametros!$B$17,N(M475)&gt;=Parametros!$B$17),"SÍ","")</f>
        <v/>
      </c>
      <c r="Y475" s="3" t="str">
        <f aca="false">IF(AND(ISNUMBER(U475),MAX(S475,T475)&gt;=Parametros!$B$15,ABS(N(U475))&gt;Parametros!$B$14),"SÍ","")</f>
        <v/>
      </c>
      <c r="Z475" s="3" t="n">
        <f aca="false">COUNTIF(V475:Y475,"SÍ")</f>
        <v>0</v>
      </c>
      <c r="AA475" s="3" t="n">
        <f aca="false">(3*(V475="SÍ")+2*(W475="SÍ")+2*(X475="SÍ")+(Y475="SÍ"))*IF(LEFT(D475,1)="A",3,IF(OR(LEFT(D475,1)="B",D475="SIN HIST"),2,1))</f>
        <v>0</v>
      </c>
      <c r="AB475" s="3" t="str">
        <f aca="false">IF(AA475&gt;=9,"1-ALTA",IF(AA475&gt;=4,"2-MEDIA",IF(AA475&gt;0,"3-BAJA","")))</f>
        <v/>
      </c>
      <c r="AC475" s="3" t="str">
        <f aca="false">IF(E475="BAJO SS","Stock + XLIB bajo el SS: riesgo real de quiebre, adelantar producción. ","")&amp;IF(E475="BAJO SS (XLIB CUBRE)","Disponible bajo el SS; depende de liberar "&amp;TEXT(J475,"#,##0")&amp;" kg"&amp;IF(ISNUMBER(K475)," el "&amp;TEXT(K475,"dd-mm"),"")&amp;". ","")&amp;IF(W475="SÍ","Stock parece sano pero "&amp;TEXT(L475,"#,##0")&amp;" kg no pasan filtro "&amp;Stock_Seguridad!O475&amp;": sin ellos queda bajo el SS para esa cadena. ","")&amp;IF(E475="SOBRE MAX VENDIBLE","Sobrestock vs vida útil: frenar producción/activar venta. ","")&amp;IF(N(N475)&gt;=Parametros!$B$17,TEXT(N475,"#,##0")&amp;" kg ya no los acepta ninguna cadena: venta intermedia/liquidación. ","")&amp;IF(N(M475)&gt;=Parametros!$B$17,TEXT(M475,"#,##0")&amp;" kg a punto de salir del filtro: despachar primero (FEFO). ","")&amp;IF(Y475="SÍ","Pedidos "&amp;IF(N(U475)&gt;0,"sobre","bajo")&amp;" FCST "&amp;TEXT(ABS(N(U475)),"0%")&amp;": revisar forecast con KAM.","")</f>
        <v/>
      </c>
    </row>
    <row r="476" customFormat="false" ht="15" hidden="false" customHeight="false" outlineLevel="0" collapsed="false">
      <c r="A476" s="18" t="n">
        <f aca="false">Stock_Seguridad!A476</f>
        <v>30000776</v>
      </c>
      <c r="B476" s="18" t="str">
        <f aca="false">Stock_Seguridad!B476</f>
        <v>CHOCLO TROZO FM 20X650GR</v>
      </c>
      <c r="C476" s="18" t="str">
        <f aca="false">Stock_Seguridad!C476</f>
        <v>FRUTAS Y HORTALIZAS CONGELADAS</v>
      </c>
      <c r="D476" s="18" t="str">
        <f aca="false">Stock_Seguridad!F476</f>
        <v>SIN HIST</v>
      </c>
      <c r="E476" s="19" t="str">
        <f aca="false">Stock_Seguridad!X476</f>
        <v>OK</v>
      </c>
      <c r="F476" s="20" t="n">
        <f aca="false">Stock_Seguridad!W476</f>
        <v>5.93647234678625</v>
      </c>
      <c r="G476" s="21" t="n">
        <f aca="false">Stock_Seguridad!T476</f>
        <v>7943</v>
      </c>
      <c r="H476" s="21" t="n">
        <f aca="false">Stock_Seguridad!R476</f>
        <v>660.244245858321</v>
      </c>
      <c r="I476" s="21" t="n">
        <f aca="false">Stock_Seguridad!S476</f>
        <v>1998.24424585832</v>
      </c>
      <c r="J476" s="21" t="n">
        <f aca="false">Stock_Seguridad!U476</f>
        <v>0</v>
      </c>
      <c r="K476" s="22"/>
      <c r="L476" s="23" t="n">
        <v>0</v>
      </c>
      <c r="M476" s="23" t="n">
        <v>0</v>
      </c>
      <c r="N476" s="23" t="n">
        <v>0</v>
      </c>
      <c r="O476" s="24" t="n">
        <v>0.0116530278232406</v>
      </c>
      <c r="P476" s="24" t="str">
        <f aca="false">IF(ISNUMBER(Stock_Seguridad!N476),Stock_Seguridad!N476,"")</f>
        <v/>
      </c>
      <c r="Q476" s="24" t="str">
        <f aca="false">IF(AND(ISNUMBER(O476),ISNUMBER(P476)),P476-O476,"")</f>
        <v/>
      </c>
      <c r="R476" s="23" t="n">
        <f aca="false">MAX(0,G476-N(L476))</f>
        <v>7943</v>
      </c>
      <c r="S476" s="23" t="n">
        <f aca="false">SUMIFS(Cadenas_vs_FCST!$D$17:$D$2437,Cadenas_vs_FCST!$A$17:$A$2437,A476)</f>
        <v>0</v>
      </c>
      <c r="T476" s="23" t="n">
        <f aca="false">SUMIFS(Cadenas_vs_FCST!$E$17:$E$2437,Cadenas_vs_FCST!$A$17:$A$2437,A476)</f>
        <v>0</v>
      </c>
      <c r="U476" s="24" t="str">
        <f aca="false">IF(T476&gt;0,S476/T476-1,"")</f>
        <v/>
      </c>
      <c r="V476" s="3" t="str">
        <f aca="false">IF(OR(E476="BAJO SS",E476="BAJO SS (XLIB CUBRE)"),"SÍ","")</f>
        <v/>
      </c>
      <c r="W476" s="3" t="str">
        <f aca="false">IF(AND(V476="",N(L476)&gt;=Parametros!$B$17,G476&gt;=H476,R476&lt;H476),"SÍ","")</f>
        <v/>
      </c>
      <c r="X476" s="3" t="str">
        <f aca="false">IF(OR(E476="SOBRE MAX VENDIBLE",N(N476)&gt;=Parametros!$B$17,N(M476)&gt;=Parametros!$B$17),"SÍ","")</f>
        <v/>
      </c>
      <c r="Y476" s="3" t="str">
        <f aca="false">IF(AND(ISNUMBER(U476),MAX(S476,T476)&gt;=Parametros!$B$15,ABS(N(U476))&gt;Parametros!$B$14),"SÍ","")</f>
        <v/>
      </c>
      <c r="Z476" s="3" t="n">
        <f aca="false">COUNTIF(V476:Y476,"SÍ")</f>
        <v>0</v>
      </c>
      <c r="AA476" s="3" t="n">
        <f aca="false">(3*(V476="SÍ")+2*(W476="SÍ")+2*(X476="SÍ")+(Y476="SÍ"))*IF(LEFT(D476,1)="A",3,IF(OR(LEFT(D476,1)="B",D476="SIN HIST"),2,1))</f>
        <v>0</v>
      </c>
      <c r="AB476" s="3" t="str">
        <f aca="false">IF(AA476&gt;=9,"1-ALTA",IF(AA476&gt;=4,"2-MEDIA",IF(AA476&gt;0,"3-BAJA","")))</f>
        <v/>
      </c>
      <c r="AC476" s="3" t="str">
        <f aca="false">IF(E476="BAJO SS","Stock + XLIB bajo el SS: riesgo real de quiebre, adelantar producción. ","")&amp;IF(E476="BAJO SS (XLIB CUBRE)","Disponible bajo el SS; depende de liberar "&amp;TEXT(J476,"#,##0")&amp;" kg"&amp;IF(ISNUMBER(K476)," el "&amp;TEXT(K476,"dd-mm"),"")&amp;". ","")&amp;IF(W476="SÍ","Stock parece sano pero "&amp;TEXT(L476,"#,##0")&amp;" kg no pasan filtro "&amp;Stock_Seguridad!O476&amp;": sin ellos queda bajo el SS para esa cadena. ","")&amp;IF(E476="SOBRE MAX VENDIBLE","Sobrestock vs vida útil: frenar producción/activar venta. ","")&amp;IF(N(N476)&gt;=Parametros!$B$17,TEXT(N476,"#,##0")&amp;" kg ya no los acepta ninguna cadena: venta intermedia/liquidación. ","")&amp;IF(N(M476)&gt;=Parametros!$B$17,TEXT(M476,"#,##0")&amp;" kg a punto de salir del filtro: despachar primero (FEFO). ","")&amp;IF(Y476="SÍ","Pedidos "&amp;IF(N(U476)&gt;0,"sobre","bajo")&amp;" FCST "&amp;TEXT(ABS(N(U476)),"0%")&amp;": revisar forecast con KAM.","")</f>
        <v/>
      </c>
    </row>
    <row r="477" customFormat="false" ht="15" hidden="false" customHeight="false" outlineLevel="0" collapsed="false">
      <c r="A477" s="18" t="n">
        <f aca="false">Stock_Seguridad!A477</f>
        <v>30002081</v>
      </c>
      <c r="B477" s="18" t="str">
        <f aca="false">Stock_Seguridad!B477</f>
        <v>CHILI CON CARNE 16X380GR</v>
      </c>
      <c r="C477" s="18" t="str">
        <f aca="false">Stock_Seguridad!C477</f>
        <v>CONSERVAS Y PLATOS LISTOS</v>
      </c>
      <c r="D477" s="18" t="str">
        <f aca="false">Stock_Seguridad!F477</f>
        <v>CX</v>
      </c>
      <c r="E477" s="19" t="str">
        <f aca="false">Stock_Seguridad!X477</f>
        <v>OK</v>
      </c>
      <c r="F477" s="20" t="n">
        <f aca="false">Stock_Seguridad!W477</f>
        <v>15.7816282041645</v>
      </c>
      <c r="G477" s="21" t="n">
        <f aca="false">Stock_Seguridad!T477</f>
        <v>10956.2</v>
      </c>
      <c r="H477" s="21" t="n">
        <f aca="false">Stock_Seguridad!R477</f>
        <v>523.631754806711</v>
      </c>
      <c r="I477" s="21" t="n">
        <f aca="false">Stock_Seguridad!S477</f>
        <v>1853.93175480671</v>
      </c>
      <c r="J477" s="21" t="n">
        <f aca="false">Stock_Seguridad!U477</f>
        <v>10038.1</v>
      </c>
      <c r="K477" s="22" t="n">
        <v>46322</v>
      </c>
      <c r="L477" s="23" t="n">
        <v>0</v>
      </c>
      <c r="M477" s="23" t="n">
        <v>18.24</v>
      </c>
      <c r="N477" s="23" t="n">
        <v>0</v>
      </c>
      <c r="O477" s="24" t="n">
        <v>0.0198638864755285</v>
      </c>
      <c r="P477" s="24" t="n">
        <f aca="false">IF(ISNUMBER(Stock_Seguridad!N477),Stock_Seguridad!N477,"")</f>
        <v>0.2</v>
      </c>
      <c r="Q477" s="24" t="n">
        <f aca="false">IF(AND(ISNUMBER(O477),ISNUMBER(P477)),P477-O477,"")</f>
        <v>0.180136113524471</v>
      </c>
      <c r="R477" s="23" t="n">
        <f aca="false">MAX(0,G477-N(L477))</f>
        <v>10956.2</v>
      </c>
      <c r="S477" s="23" t="n">
        <f aca="false">SUMIFS(Cadenas_vs_FCST!$D$17:$D$2437,Cadenas_vs_FCST!$A$17:$A$2437,A477)</f>
        <v>3812.16</v>
      </c>
      <c r="T477" s="23" t="n">
        <f aca="false">SUMIFS(Cadenas_vs_FCST!$E$17:$E$2437,Cadenas_vs_FCST!$A$17:$A$2437,A477)</f>
        <v>5341.2</v>
      </c>
      <c r="U477" s="24" t="n">
        <f aca="false">IF(T477&gt;0,S477/T477-1,"")</f>
        <v>-0.286272747697147</v>
      </c>
      <c r="V477" s="3" t="str">
        <f aca="false">IF(OR(E477="BAJO SS",E477="BAJO SS (XLIB CUBRE)"),"SÍ","")</f>
        <v/>
      </c>
      <c r="W477" s="3" t="str">
        <f aca="false">IF(AND(V477="",N(L477)&gt;=Parametros!$B$17,G477&gt;=H477,R477&lt;H477),"SÍ","")</f>
        <v/>
      </c>
      <c r="X477" s="3" t="str">
        <f aca="false">IF(OR(E477="SOBRE MAX VENDIBLE",N(N477)&gt;=Parametros!$B$17,N(M477)&gt;=Parametros!$B$17),"SÍ","")</f>
        <v/>
      </c>
      <c r="Y477" s="3" t="str">
        <f aca="false">IF(AND(ISNUMBER(U477),MAX(S477,T477)&gt;=Parametros!$B$15,ABS(N(U477))&gt;Parametros!$B$14),"SÍ","")</f>
        <v>SÍ</v>
      </c>
      <c r="Z477" s="3" t="n">
        <f aca="false">COUNTIF(V477:Y477,"SÍ")</f>
        <v>1</v>
      </c>
      <c r="AA477" s="3" t="n">
        <f aca="false">(3*(V477="SÍ")+2*(W477="SÍ")+2*(X477="SÍ")+(Y477="SÍ"))*IF(LEFT(D477,1)="A",3,IF(OR(LEFT(D477,1)="B",D477="SIN HIST"),2,1))</f>
        <v>1</v>
      </c>
      <c r="AB477" s="3" t="str">
        <f aca="false">IF(AA477&gt;=9,"1-ALTA",IF(AA477&gt;=4,"2-MEDIA",IF(AA477&gt;0,"3-BAJA","")))</f>
        <v>3-BAJA</v>
      </c>
      <c r="AC477" s="3" t="str">
        <f aca="false">IF(E477="BAJO SS","Stock + XLIB bajo el SS: riesgo real de quiebre, adelantar producción. ","")&amp;IF(E477="BAJO SS (XLIB CUBRE)","Disponible bajo el SS; depende de liberar "&amp;TEXT(J477,"#,##0")&amp;" kg"&amp;IF(ISNUMBER(K477)," el "&amp;TEXT(K477,"dd-mm"),"")&amp;". ","")&amp;IF(W477="SÍ","Stock parece sano pero "&amp;TEXT(L477,"#,##0")&amp;" kg no pasan filtro "&amp;Stock_Seguridad!O477&amp;": sin ellos queda bajo el SS para esa cadena. ","")&amp;IF(E477="SOBRE MAX VENDIBLE","Sobrestock vs vida útil: frenar producción/activar venta. ","")&amp;IF(N(N477)&gt;=Parametros!$B$17,TEXT(N477,"#,##0")&amp;" kg ya no los acepta ninguna cadena: venta intermedia/liquidación. ","")&amp;IF(N(M477)&gt;=Parametros!$B$17,TEXT(M477,"#,##0")&amp;" kg a punto de salir del filtro: despachar primero (FEFO). ","")&amp;IF(Y477="SÍ","Pedidos "&amp;IF(N(U477)&gt;0,"sobre","bajo")&amp;" FCST "&amp;TEXT(ABS(N(U477)),"0%")&amp;": revisar forecast con KAM.","")</f>
        <v>Pedidos bajo FCST 29%: revisar forecast con KAM.</v>
      </c>
    </row>
    <row r="478" customFormat="false" ht="15" hidden="false" customHeight="false" outlineLevel="0" collapsed="false">
      <c r="A478" s="18" t="n">
        <f aca="false">Stock_Seguridad!A478</f>
        <v>30000355</v>
      </c>
      <c r="B478" s="18" t="str">
        <f aca="false">Stock_Seguridad!B478</f>
        <v>LECHE LONCO DESC CHOC 5X6X200ML</v>
      </c>
      <c r="C478" s="18" t="str">
        <f aca="false">Stock_Seguridad!C478</f>
        <v>LECHES LIQUIDAS</v>
      </c>
      <c r="D478" s="18" t="str">
        <f aca="false">Stock_Seguridad!F478</f>
        <v>CX</v>
      </c>
      <c r="E478" s="19" t="str">
        <f aca="false">Stock_Seguridad!X478</f>
        <v>OK</v>
      </c>
      <c r="F478" s="20" t="n">
        <f aca="false">Stock_Seguridad!W478</f>
        <v>4.9984962406015</v>
      </c>
      <c r="G478" s="21" t="n">
        <f aca="false">Stock_Seguridad!T478</f>
        <v>6648</v>
      </c>
      <c r="H478" s="21" t="n">
        <f aca="false">Stock_Seguridad!R478</f>
        <v>1230.83984768483</v>
      </c>
      <c r="I478" s="21" t="n">
        <f aca="false">Stock_Seguridad!S478</f>
        <v>2560.83984768483</v>
      </c>
      <c r="J478" s="21" t="n">
        <f aca="false">Stock_Seguridad!U478</f>
        <v>0</v>
      </c>
      <c r="K478" s="22"/>
      <c r="L478" s="23" t="n">
        <v>6642</v>
      </c>
      <c r="M478" s="23" t="n">
        <v>0</v>
      </c>
      <c r="N478" s="23" t="n">
        <v>642</v>
      </c>
      <c r="O478" s="24" t="n">
        <v>0.31836495031617</v>
      </c>
      <c r="P478" s="24" t="n">
        <f aca="false">IF(ISNUMBER(Stock_Seguridad!N478),Stock_Seguridad!N478,"")</f>
        <v>0.239130434782609</v>
      </c>
      <c r="Q478" s="24" t="n">
        <f aca="false">IF(AND(ISNUMBER(O478),ISNUMBER(P478)),P478-O478,"")</f>
        <v>-0.0792345155335612</v>
      </c>
      <c r="R478" s="23" t="n">
        <f aca="false">MAX(0,G478-N(L478))</f>
        <v>6</v>
      </c>
      <c r="S478" s="23" t="n">
        <f aca="false">SUMIFS(Cadenas_vs_FCST!$D$17:$D$2437,Cadenas_vs_FCST!$A$17:$A$2437,A478)</f>
        <v>3720</v>
      </c>
      <c r="T478" s="23" t="n">
        <f aca="false">SUMIFS(Cadenas_vs_FCST!$E$17:$E$2437,Cadenas_vs_FCST!$A$17:$A$2437,A478)</f>
        <v>8223.1069582343</v>
      </c>
      <c r="U478" s="24" t="n">
        <f aca="false">IF(T478&gt;0,S478/T478-1,"")</f>
        <v>-0.547616245429602</v>
      </c>
      <c r="V478" s="3" t="str">
        <f aca="false">IF(OR(E478="BAJO SS",E478="BAJO SS (XLIB CUBRE)"),"SÍ","")</f>
        <v/>
      </c>
      <c r="W478" s="3" t="str">
        <f aca="false">IF(AND(V478="",N(L478)&gt;=Parametros!$B$17,G478&gt;=H478,R478&lt;H478),"SÍ","")</f>
        <v>SÍ</v>
      </c>
      <c r="X478" s="3" t="str">
        <f aca="false">IF(OR(E478="SOBRE MAX VENDIBLE",N(N478)&gt;=Parametros!$B$17,N(M478)&gt;=Parametros!$B$17),"SÍ","")</f>
        <v>SÍ</v>
      </c>
      <c r="Y478" s="3" t="str">
        <f aca="false">IF(AND(ISNUMBER(U478),MAX(S478,T478)&gt;=Parametros!$B$15,ABS(N(U478))&gt;Parametros!$B$14),"SÍ","")</f>
        <v>SÍ</v>
      </c>
      <c r="Z478" s="3" t="n">
        <f aca="false">COUNTIF(V478:Y478,"SÍ")</f>
        <v>3</v>
      </c>
      <c r="AA478" s="3" t="n">
        <f aca="false">(3*(V478="SÍ")+2*(W478="SÍ")+2*(X478="SÍ")+(Y478="SÍ"))*IF(LEFT(D478,1)="A",3,IF(OR(LEFT(D478,1)="B",D478="SIN HIST"),2,1))</f>
        <v>5</v>
      </c>
      <c r="AB478" s="3" t="str">
        <f aca="false">IF(AA478&gt;=9,"1-ALTA",IF(AA478&gt;=4,"2-MEDIA",IF(AA478&gt;0,"3-BAJA","")))</f>
        <v>2-MEDIA</v>
      </c>
      <c r="AC478" s="3" t="str">
        <f aca="false">IF(E478="BAJO SS","Stock + XLIB bajo el SS: riesgo real de quiebre, adelantar producción. ","")&amp;IF(E478="BAJO SS (XLIB CUBRE)","Disponible bajo el SS; depende de liberar "&amp;TEXT(J478,"#,##0")&amp;" kg"&amp;IF(ISNUMBER(K478)," el "&amp;TEXT(K478,"dd-mm"),"")&amp;". ","")&amp;IF(W478="SÍ","Stock parece sano pero "&amp;TEXT(L478,"#,##0")&amp;" kg no pasan filtro "&amp;Stock_Seguridad!O478&amp;": sin ellos queda bajo el SS para esa cadena. ","")&amp;IF(E478="SOBRE MAX VENDIBLE","Sobrestock vs vida útil: frenar producción/activar venta. ","")&amp;IF(N(N478)&gt;=Parametros!$B$17,TEXT(N478,"#,##0")&amp;" kg ya no los acepta ninguna cadena: venta intermedia/liquidación. ","")&amp;IF(N(M478)&gt;=Parametros!$B$17,TEXT(M478,"#,##0")&amp;" kg a punto de salir del filtro: despachar primero (FEFO). ","")&amp;IF(Y478="SÍ","Pedidos "&amp;IF(N(U478)&gt;0,"sobre","bajo")&amp;" FCST "&amp;TEXT(ABS(N(U478)),"0%")&amp;": revisar forecast con KAM.","")</f>
        <v>Stock parece sano pero 6,642 kg no pasan filtro CENCOSUD CENTRAL: sin ellos queda bajo el SS para esa cadena. 642 kg ya no los acepta ninguna cadena: venta intermedia/liquidación. Pedidos bajo FCST 55%: revisar forecast con KAM.</v>
      </c>
    </row>
    <row r="479" customFormat="false" ht="15" hidden="false" customHeight="false" outlineLevel="0" collapsed="false">
      <c r="A479" s="18" t="n">
        <f aca="false">Stock_Seguridad!A479</f>
        <v>30002255</v>
      </c>
      <c r="B479" s="18" t="str">
        <f aca="false">Stock_Seguridad!B479</f>
        <v>YOGURT YOGU YOGU DAMASCO TETRA 5X6X115GR</v>
      </c>
      <c r="C479" s="18" t="str">
        <f aca="false">Stock_Seguridad!C479</f>
        <v>LECHES LIQUIDAS</v>
      </c>
      <c r="D479" s="18" t="str">
        <f aca="false">Stock_Seguridad!F479</f>
        <v>CX</v>
      </c>
      <c r="E479" s="19" t="str">
        <f aca="false">Stock_Seguridad!X479</f>
        <v>SOBRE MAX VENDIBLE</v>
      </c>
      <c r="F479" s="20" t="n">
        <f aca="false">Stock_Seguridad!W479</f>
        <v>3.03221629855293</v>
      </c>
      <c r="G479" s="21" t="n">
        <f aca="false">Stock_Seguridad!T479</f>
        <v>2201.1</v>
      </c>
      <c r="H479" s="21" t="n">
        <f aca="false">Stock_Seguridad!R479</f>
        <v>455.15038969249</v>
      </c>
      <c r="I479" s="21" t="n">
        <f aca="false">Stock_Seguridad!S479</f>
        <v>1768.15038969249</v>
      </c>
      <c r="J479" s="21" t="n">
        <f aca="false">Stock_Seguridad!U479</f>
        <v>1780.2</v>
      </c>
      <c r="K479" s="22" t="n">
        <v>46315</v>
      </c>
      <c r="L479" s="23" t="n">
        <v>13.8</v>
      </c>
      <c r="M479" s="23" t="n">
        <v>579.6</v>
      </c>
      <c r="N479" s="23" t="n">
        <v>13.8</v>
      </c>
      <c r="O479" s="24" t="n">
        <v>0.0873310225303293</v>
      </c>
      <c r="P479" s="24" t="n">
        <f aca="false">IF(ISNUMBER(Stock_Seguridad!N479),Stock_Seguridad!N479,"")</f>
        <v>0.23</v>
      </c>
      <c r="Q479" s="24" t="n">
        <f aca="false">IF(AND(ISNUMBER(O479),ISNUMBER(P479)),P479-O479,"")</f>
        <v>0.142668977469671</v>
      </c>
      <c r="R479" s="23" t="n">
        <f aca="false">MAX(0,G479-N(L479))</f>
        <v>2187.3</v>
      </c>
      <c r="S479" s="23" t="n">
        <f aca="false">SUMIFS(Cadenas_vs_FCST!$D$17:$D$2437,Cadenas_vs_FCST!$A$17:$A$2437,A479)</f>
        <v>6237.6</v>
      </c>
      <c r="T479" s="23" t="n">
        <f aca="false">SUMIFS(Cadenas_vs_FCST!$E$17:$E$2437,Cadenas_vs_FCST!$A$17:$A$2437,A479)</f>
        <v>5829.2225110331</v>
      </c>
      <c r="U479" s="24" t="n">
        <f aca="false">IF(T479&gt;0,S479/T479-1,"")</f>
        <v>0.0700569395307786</v>
      </c>
      <c r="V479" s="3" t="str">
        <f aca="false">IF(OR(E479="BAJO SS",E479="BAJO SS (XLIB CUBRE)"),"SÍ","")</f>
        <v/>
      </c>
      <c r="W479" s="3" t="str">
        <f aca="false">IF(AND(V479="",N(L479)&gt;=Parametros!$B$17,G479&gt;=H479,R479&lt;H479),"SÍ","")</f>
        <v/>
      </c>
      <c r="X479" s="3" t="str">
        <f aca="false">IF(OR(E479="SOBRE MAX VENDIBLE",N(N479)&gt;=Parametros!$B$17,N(M479)&gt;=Parametros!$B$17),"SÍ","")</f>
        <v>SÍ</v>
      </c>
      <c r="Y479" s="3" t="str">
        <f aca="false">IF(AND(ISNUMBER(U479),MAX(S479,T479)&gt;=Parametros!$B$15,ABS(N(U479))&gt;Parametros!$B$14),"SÍ","")</f>
        <v/>
      </c>
      <c r="Z479" s="3" t="n">
        <f aca="false">COUNTIF(V479:Y479,"SÍ")</f>
        <v>1</v>
      </c>
      <c r="AA479" s="3" t="n">
        <f aca="false">(3*(V479="SÍ")+2*(W479="SÍ")+2*(X479="SÍ")+(Y479="SÍ"))*IF(LEFT(D479,1)="A",3,IF(OR(LEFT(D479,1)="B",D479="SIN HIST"),2,1))</f>
        <v>2</v>
      </c>
      <c r="AB479" s="3" t="str">
        <f aca="false">IF(AA479&gt;=9,"1-ALTA",IF(AA479&gt;=4,"2-MEDIA",IF(AA479&gt;0,"3-BAJA","")))</f>
        <v>3-BAJA</v>
      </c>
      <c r="AC479" s="3" t="str">
        <f aca="false">IF(E479="BAJO SS","Stock + XLIB bajo el SS: riesgo real de quiebre, adelantar producción. ","")&amp;IF(E479="BAJO SS (XLIB CUBRE)","Disponible bajo el SS; depende de liberar "&amp;TEXT(J479,"#,##0")&amp;" kg"&amp;IF(ISNUMBER(K479)," el "&amp;TEXT(K479,"dd-mm"),"")&amp;". ","")&amp;IF(W479="SÍ","Stock parece sano pero "&amp;TEXT(L479,"#,##0")&amp;" kg no pasan filtro "&amp;Stock_Seguridad!O479&amp;": sin ellos queda bajo el SS para esa cadena. ","")&amp;IF(E479="SOBRE MAX VENDIBLE","Sobrestock vs vida útil: frenar producción/activar venta. ","")&amp;IF(N(N479)&gt;=Parametros!$B$17,TEXT(N479,"#,##0")&amp;" kg ya no los acepta ninguna cadena: venta intermedia/liquidación. ","")&amp;IF(N(M479)&gt;=Parametros!$B$17,TEXT(M479,"#,##0")&amp;" kg a punto de salir del filtro: despachar primero (FEFO). ","")&amp;IF(Y479="SÍ","Pedidos "&amp;IF(N(U479)&gt;0,"sobre","bajo")&amp;" FCST "&amp;TEXT(ABS(N(U479)),"0%")&amp;": revisar forecast con KAM.","")</f>
        <v>Sobrestock vs vida útil: frenar producción/activar venta. 580 kg a punto de salir del filtro: despachar primero (FEFO). </v>
      </c>
    </row>
    <row r="480" customFormat="false" ht="15" hidden="false" customHeight="false" outlineLevel="0" collapsed="false">
      <c r="A480" s="18" t="n">
        <f aca="false">Stock_Seguridad!A480</f>
        <v>30001829</v>
      </c>
      <c r="B480" s="18" t="str">
        <f aca="false">Stock_Seguridad!B480</f>
        <v>LONCO L VEGETAL SOYA TRZO MGO-MYA12X130G</v>
      </c>
      <c r="C480" s="18" t="str">
        <f aca="false">Stock_Seguridad!C480</f>
        <v>YOGURT</v>
      </c>
      <c r="D480" s="18" t="str">
        <f aca="false">Stock_Seguridad!F480</f>
        <v>CX</v>
      </c>
      <c r="E480" s="19" t="str">
        <f aca="false">Stock_Seguridad!X480</f>
        <v>OK</v>
      </c>
      <c r="F480" s="20" t="n">
        <f aca="false">Stock_Seguridad!W480</f>
        <v>2.43744752308984</v>
      </c>
      <c r="G480" s="21" t="n">
        <f aca="false">Stock_Seguridad!T480</f>
        <v>3193.3</v>
      </c>
      <c r="H480" s="21" t="n">
        <f aca="false">Stock_Seguridad!R480</f>
        <v>1001.32944818372</v>
      </c>
      <c r="I480" s="21" t="n">
        <f aca="false">Stock_Seguridad!S480</f>
        <v>2311.42944818372</v>
      </c>
      <c r="J480" s="21" t="n">
        <f aca="false">Stock_Seguridad!U480</f>
        <v>0</v>
      </c>
      <c r="K480" s="22"/>
      <c r="L480" s="23" t="n">
        <v>7.8</v>
      </c>
      <c r="M480" s="23" t="n">
        <v>0</v>
      </c>
      <c r="N480" s="23" t="n">
        <v>0</v>
      </c>
      <c r="O480" s="24" t="n">
        <v>0.0706849315068493</v>
      </c>
      <c r="P480" s="24" t="n">
        <f aca="false">IF(ISNUMBER(Stock_Seguridad!N480),Stock_Seguridad!N480,"")</f>
        <v>0.323943661971831</v>
      </c>
      <c r="Q480" s="24" t="n">
        <f aca="false">IF(AND(ISNUMBER(O480),ISNUMBER(P480)),P480-O480,"")</f>
        <v>0.253258730464982</v>
      </c>
      <c r="R480" s="23" t="n">
        <f aca="false">MAX(0,G480-N(L480))</f>
        <v>3185.5</v>
      </c>
      <c r="S480" s="23" t="n">
        <f aca="false">SUMIFS(Cadenas_vs_FCST!$D$17:$D$2437,Cadenas_vs_FCST!$A$17:$A$2437,A480)</f>
        <v>8216.52</v>
      </c>
      <c r="T480" s="23" t="n">
        <f aca="false">SUMIFS(Cadenas_vs_FCST!$E$17:$E$2437,Cadenas_vs_FCST!$A$17:$A$2437,A480)</f>
        <v>7031.78892744436</v>
      </c>
      <c r="U480" s="24" t="n">
        <f aca="false">IF(T480&gt;0,S480/T480-1,"")</f>
        <v>0.168482172144239</v>
      </c>
      <c r="V480" s="3" t="str">
        <f aca="false">IF(OR(E480="BAJO SS",E480="BAJO SS (XLIB CUBRE)"),"SÍ","")</f>
        <v/>
      </c>
      <c r="W480" s="3" t="str">
        <f aca="false">IF(AND(V480="",N(L480)&gt;=Parametros!$B$17,G480&gt;=H480,R480&lt;H480),"SÍ","")</f>
        <v/>
      </c>
      <c r="X480" s="3" t="str">
        <f aca="false">IF(OR(E480="SOBRE MAX VENDIBLE",N(N480)&gt;=Parametros!$B$17,N(M480)&gt;=Parametros!$B$17),"SÍ","")</f>
        <v/>
      </c>
      <c r="Y480" s="3" t="str">
        <f aca="false">IF(AND(ISNUMBER(U480),MAX(S480,T480)&gt;=Parametros!$B$15,ABS(N(U480))&gt;Parametros!$B$14),"SÍ","")</f>
        <v/>
      </c>
      <c r="Z480" s="3" t="n">
        <f aca="false">COUNTIF(V480:Y480,"SÍ")</f>
        <v>0</v>
      </c>
      <c r="AA480" s="3" t="n">
        <f aca="false">(3*(V480="SÍ")+2*(W480="SÍ")+2*(X480="SÍ")+(Y480="SÍ"))*IF(LEFT(D480,1)="A",3,IF(OR(LEFT(D480,1)="B",D480="SIN HIST"),2,1))</f>
        <v>0</v>
      </c>
      <c r="AB480" s="3" t="str">
        <f aca="false">IF(AA480&gt;=9,"1-ALTA",IF(AA480&gt;=4,"2-MEDIA",IF(AA480&gt;0,"3-BAJA","")))</f>
        <v/>
      </c>
      <c r="AC480" s="3" t="str">
        <f aca="false">IF(E480="BAJO SS","Stock + XLIB bajo el SS: riesgo real de quiebre, adelantar producción. ","")&amp;IF(E480="BAJO SS (XLIB CUBRE)","Disponible bajo el SS; depende de liberar "&amp;TEXT(J480,"#,##0")&amp;" kg"&amp;IF(ISNUMBER(K480)," el "&amp;TEXT(K480,"dd-mm"),"")&amp;". ","")&amp;IF(W480="SÍ","Stock parece sano pero "&amp;TEXT(L480,"#,##0")&amp;" kg no pasan filtro "&amp;Stock_Seguridad!O480&amp;": sin ellos queda bajo el SS para esa cadena. ","")&amp;IF(E480="SOBRE MAX VENDIBLE","Sobrestock vs vida útil: frenar producción/activar venta. ","")&amp;IF(N(N480)&gt;=Parametros!$B$17,TEXT(N480,"#,##0")&amp;" kg ya no los acepta ninguna cadena: venta intermedia/liquidación. ","")&amp;IF(N(M480)&gt;=Parametros!$B$17,TEXT(M480,"#,##0")&amp;" kg a punto de salir del filtro: despachar primero (FEFO). ","")&amp;IF(Y480="SÍ","Pedidos "&amp;IF(N(U480)&gt;0,"sobre","bajo")&amp;" FCST "&amp;TEXT(ABS(N(U480)),"0%")&amp;": revisar forecast con KAM.","")</f>
        <v/>
      </c>
    </row>
    <row r="481" customFormat="false" ht="15" hidden="false" customHeight="false" outlineLevel="0" collapsed="false">
      <c r="A481" s="18" t="n">
        <f aca="false">Stock_Seguridad!A481</f>
        <v>30000436</v>
      </c>
      <c r="B481" s="18" t="str">
        <f aca="false">Stock_Seguridad!B481</f>
        <v>PROT SHOT VAINILL PACK 8X6X100ML</v>
      </c>
      <c r="C481" s="18" t="str">
        <f aca="false">Stock_Seguridad!C481</f>
        <v>LECHES LIQUIDAS</v>
      </c>
      <c r="D481" s="18" t="str">
        <f aca="false">Stock_Seguridad!F481</f>
        <v>CX</v>
      </c>
      <c r="E481" s="19" t="str">
        <f aca="false">Stock_Seguridad!X481</f>
        <v>OK</v>
      </c>
      <c r="F481" s="20" t="n">
        <f aca="false">Stock_Seguridad!W481</f>
        <v>2.33153846153846</v>
      </c>
      <c r="G481" s="21" t="n">
        <f aca="false">Stock_Seguridad!T481</f>
        <v>3031</v>
      </c>
      <c r="H481" s="21" t="n">
        <f aca="false">Stock_Seguridad!R481</f>
        <v>626.041198262407</v>
      </c>
      <c r="I481" s="21" t="n">
        <f aca="false">Stock_Seguridad!S481</f>
        <v>1926.04119826241</v>
      </c>
      <c r="J481" s="21" t="n">
        <f aca="false">Stock_Seguridad!U481</f>
        <v>0</v>
      </c>
      <c r="K481" s="22"/>
      <c r="L481" s="23" t="n">
        <v>240.64</v>
      </c>
      <c r="M481" s="23" t="n">
        <v>0</v>
      </c>
      <c r="N481" s="23" t="n">
        <v>10.24</v>
      </c>
      <c r="O481" s="24" t="n">
        <v>0.137772108843537</v>
      </c>
      <c r="P481" s="24" t="n">
        <f aca="false">IF(ISNUMBER(Stock_Seguridad!N481),Stock_Seguridad!N481,"")</f>
        <v>0.346153846153846</v>
      </c>
      <c r="Q481" s="24" t="n">
        <f aca="false">IF(AND(ISNUMBER(O481),ISNUMBER(P481)),P481-O481,"")</f>
        <v>0.208381737310309</v>
      </c>
      <c r="R481" s="23" t="n">
        <f aca="false">MAX(0,G481-N(L481))</f>
        <v>2790.36</v>
      </c>
      <c r="S481" s="23" t="n">
        <f aca="false">SUMIFS(Cadenas_vs_FCST!$D$17:$D$2437,Cadenas_vs_FCST!$A$17:$A$2437,A481)</f>
        <v>5058.56</v>
      </c>
      <c r="T481" s="23" t="n">
        <f aca="false">SUMIFS(Cadenas_vs_FCST!$E$17:$E$2437,Cadenas_vs_FCST!$A$17:$A$2437,A481)</f>
        <v>5606.73792572229</v>
      </c>
      <c r="U481" s="24" t="n">
        <f aca="false">IF(T481&gt;0,S481/T481-1,"")</f>
        <v>-0.0977712768073903</v>
      </c>
      <c r="V481" s="3" t="str">
        <f aca="false">IF(OR(E481="BAJO SS",E481="BAJO SS (XLIB CUBRE)"),"SÍ","")</f>
        <v/>
      </c>
      <c r="W481" s="3" t="str">
        <f aca="false">IF(AND(V481="",N(L481)&gt;=Parametros!$B$17,G481&gt;=H481,R481&lt;H481),"SÍ","")</f>
        <v/>
      </c>
      <c r="X481" s="3" t="str">
        <f aca="false">IF(OR(E481="SOBRE MAX VENDIBLE",N(N481)&gt;=Parametros!$B$17,N(M481)&gt;=Parametros!$B$17),"SÍ","")</f>
        <v/>
      </c>
      <c r="Y481" s="3" t="str">
        <f aca="false">IF(AND(ISNUMBER(U481),MAX(S481,T481)&gt;=Parametros!$B$15,ABS(N(U481))&gt;Parametros!$B$14),"SÍ","")</f>
        <v/>
      </c>
      <c r="Z481" s="3" t="n">
        <f aca="false">COUNTIF(V481:Y481,"SÍ")</f>
        <v>0</v>
      </c>
      <c r="AA481" s="3" t="n">
        <f aca="false">(3*(V481="SÍ")+2*(W481="SÍ")+2*(X481="SÍ")+(Y481="SÍ"))*IF(LEFT(D481,1)="A",3,IF(OR(LEFT(D481,1)="B",D481="SIN HIST"),2,1))</f>
        <v>0</v>
      </c>
      <c r="AB481" s="3" t="str">
        <f aca="false">IF(AA481&gt;=9,"1-ALTA",IF(AA481&gt;=4,"2-MEDIA",IF(AA481&gt;0,"3-BAJA","")))</f>
        <v/>
      </c>
      <c r="AC481" s="3" t="str">
        <f aca="false">IF(E481="BAJO SS","Stock + XLIB bajo el SS: riesgo real de quiebre, adelantar producción. ","")&amp;IF(E481="BAJO SS (XLIB CUBRE)","Disponible bajo el SS; depende de liberar "&amp;TEXT(J481,"#,##0")&amp;" kg"&amp;IF(ISNUMBER(K481)," el "&amp;TEXT(K481,"dd-mm"),"")&amp;". ","")&amp;IF(W481="SÍ","Stock parece sano pero "&amp;TEXT(L481,"#,##0")&amp;" kg no pasan filtro "&amp;Stock_Seguridad!O481&amp;": sin ellos queda bajo el SS para esa cadena. ","")&amp;IF(E481="SOBRE MAX VENDIBLE","Sobrestock vs vida útil: frenar producción/activar venta. ","")&amp;IF(N(N481)&gt;=Parametros!$B$17,TEXT(N481,"#,##0")&amp;" kg ya no los acepta ninguna cadena: venta intermedia/liquidación. ","")&amp;IF(N(M481)&gt;=Parametros!$B$17,TEXT(M481,"#,##0")&amp;" kg a punto de salir del filtro: despachar primero (FEFO). ","")&amp;IF(Y481="SÍ","Pedidos "&amp;IF(N(U481)&gt;0,"sobre","bajo")&amp;" FCST "&amp;TEXT(ABS(N(U481)),"0%")&amp;": revisar forecast con KAM.","")</f>
        <v/>
      </c>
    </row>
    <row r="482" customFormat="false" ht="15" hidden="false" customHeight="false" outlineLevel="0" collapsed="false">
      <c r="A482" s="18" t="n">
        <f aca="false">Stock_Seguridad!A482</f>
        <v>30002291</v>
      </c>
      <c r="B482" s="18" t="str">
        <f aca="false">Stock_Seguridad!B482</f>
        <v>NECTAR WATTS PROTEINA TROPICAL 18X250ML</v>
      </c>
      <c r="C482" s="18" t="str">
        <f aca="false">Stock_Seguridad!C482</f>
        <v>JUGOS Y NECTARES</v>
      </c>
      <c r="D482" s="18" t="str">
        <f aca="false">Stock_Seguridad!F482</f>
        <v>BX</v>
      </c>
      <c r="E482" s="19" t="str">
        <f aca="false">Stock_Seguridad!X482</f>
        <v>OK</v>
      </c>
      <c r="F482" s="20" t="n">
        <f aca="false">Stock_Seguridad!W482</f>
        <v>5.11994754705338</v>
      </c>
      <c r="G482" s="21" t="n">
        <f aca="false">Stock_Seguridad!T482</f>
        <v>6637.5</v>
      </c>
      <c r="H482" s="21" t="n">
        <f aca="false">Stock_Seguridad!R482</f>
        <v>2641.86189336296</v>
      </c>
      <c r="I482" s="21" t="n">
        <f aca="false">Stock_Seguridad!S482</f>
        <v>3938.26189336296</v>
      </c>
      <c r="J482" s="21" t="n">
        <f aca="false">Stock_Seguridad!U482</f>
        <v>0</v>
      </c>
      <c r="K482" s="22"/>
      <c r="L482" s="23" t="n">
        <v>0</v>
      </c>
      <c r="M482" s="23" t="n">
        <v>0</v>
      </c>
      <c r="N482" s="23" t="n">
        <v>0</v>
      </c>
      <c r="O482" s="24" t="n">
        <v>0.120074576271186</v>
      </c>
      <c r="P482" s="24" t="str">
        <f aca="false">IF(ISNUMBER(Stock_Seguridad!N482),Stock_Seguridad!N482,"")</f>
        <v/>
      </c>
      <c r="Q482" s="24" t="str">
        <f aca="false">IF(AND(ISNUMBER(O482),ISNUMBER(P482)),P482-O482,"")</f>
        <v/>
      </c>
      <c r="R482" s="23" t="n">
        <f aca="false">MAX(0,G482-N(L482))</f>
        <v>6637.5</v>
      </c>
      <c r="S482" s="23" t="n">
        <f aca="false">SUMIFS(Cadenas_vs_FCST!$D$17:$D$2437,Cadenas_vs_FCST!$A$17:$A$2437,A482)</f>
        <v>9324</v>
      </c>
      <c r="T482" s="23" t="n">
        <f aca="false">SUMIFS(Cadenas_vs_FCST!$E$17:$E$2437,Cadenas_vs_FCST!$A$17:$A$2437,A482)</f>
        <v>6539.54021452411</v>
      </c>
      <c r="U482" s="24" t="n">
        <f aca="false">IF(T482&gt;0,S482/T482-1,"")</f>
        <v>0.425788311430779</v>
      </c>
      <c r="V482" s="3" t="str">
        <f aca="false">IF(OR(E482="BAJO SS",E482="BAJO SS (XLIB CUBRE)"),"SÍ","")</f>
        <v/>
      </c>
      <c r="W482" s="3" t="str">
        <f aca="false">IF(AND(V482="",N(L482)&gt;=Parametros!$B$17,G482&gt;=H482,R482&lt;H482),"SÍ","")</f>
        <v/>
      </c>
      <c r="X482" s="3" t="str">
        <f aca="false">IF(OR(E482="SOBRE MAX VENDIBLE",N(N482)&gt;=Parametros!$B$17,N(M482)&gt;=Parametros!$B$17),"SÍ","")</f>
        <v/>
      </c>
      <c r="Y482" s="3" t="str">
        <f aca="false">IF(AND(ISNUMBER(U482),MAX(S482,T482)&gt;=Parametros!$B$15,ABS(N(U482))&gt;Parametros!$B$14),"SÍ","")</f>
        <v>SÍ</v>
      </c>
      <c r="Z482" s="3" t="n">
        <f aca="false">COUNTIF(V482:Y482,"SÍ")</f>
        <v>1</v>
      </c>
      <c r="AA482" s="3" t="n">
        <f aca="false">(3*(V482="SÍ")+2*(W482="SÍ")+2*(X482="SÍ")+(Y482="SÍ"))*IF(LEFT(D482,1)="A",3,IF(OR(LEFT(D482,1)="B",D482="SIN HIST"),2,1))</f>
        <v>2</v>
      </c>
      <c r="AB482" s="3" t="str">
        <f aca="false">IF(AA482&gt;=9,"1-ALTA",IF(AA482&gt;=4,"2-MEDIA",IF(AA482&gt;0,"3-BAJA","")))</f>
        <v>3-BAJA</v>
      </c>
      <c r="AC482" s="3" t="str">
        <f aca="false">IF(E482="BAJO SS","Stock + XLIB bajo el SS: riesgo real de quiebre, adelantar producción. ","")&amp;IF(E482="BAJO SS (XLIB CUBRE)","Disponible bajo el SS; depende de liberar "&amp;TEXT(J482,"#,##0")&amp;" kg"&amp;IF(ISNUMBER(K482)," el "&amp;TEXT(K482,"dd-mm"),"")&amp;". ","")&amp;IF(W482="SÍ","Stock parece sano pero "&amp;TEXT(L482,"#,##0")&amp;" kg no pasan filtro "&amp;Stock_Seguridad!O482&amp;": sin ellos queda bajo el SS para esa cadena. ","")&amp;IF(E482="SOBRE MAX VENDIBLE","Sobrestock vs vida útil: frenar producción/activar venta. ","")&amp;IF(N(N482)&gt;=Parametros!$B$17,TEXT(N482,"#,##0")&amp;" kg ya no los acepta ninguna cadena: venta intermedia/liquidación. ","")&amp;IF(N(M482)&gt;=Parametros!$B$17,TEXT(M482,"#,##0")&amp;" kg a punto de salir del filtro: despachar primero (FEFO). ","")&amp;IF(Y482="SÍ","Pedidos "&amp;IF(N(U482)&gt;0,"sobre","bajo")&amp;" FCST "&amp;TEXT(ABS(N(U482)),"0%")&amp;": revisar forecast con KAM.","")</f>
        <v>Pedidos sobre FCST 43%: revisar forecast con KAM.</v>
      </c>
    </row>
    <row r="483" customFormat="false" ht="15" hidden="false" customHeight="false" outlineLevel="0" collapsed="false">
      <c r="A483" s="18" t="n">
        <f aca="false">Stock_Seguridad!A483</f>
        <v>30000788</v>
      </c>
      <c r="B483" s="18" t="str">
        <f aca="false">Stock_Seguridad!B483</f>
        <v>POROTO GRANADO FM 8X2KG</v>
      </c>
      <c r="C483" s="18" t="str">
        <f aca="false">Stock_Seguridad!C483</f>
        <v>FRUTAS Y HORTALIZAS CONGELADAS</v>
      </c>
      <c r="D483" s="18" t="str">
        <f aca="false">Stock_Seguridad!F483</f>
        <v>SIN HIST</v>
      </c>
      <c r="E483" s="19" t="str">
        <f aca="false">Stock_Seguridad!X483</f>
        <v>OK</v>
      </c>
      <c r="F483" s="20" t="n">
        <f aca="false">Stock_Seguridad!W483</f>
        <v>9.0740307356268</v>
      </c>
      <c r="G483" s="21" t="n">
        <f aca="false">Stock_Seguridad!T483</f>
        <v>11632</v>
      </c>
      <c r="H483" s="21" t="n">
        <f aca="false">Stock_Seguridad!R483</f>
        <v>632.561359316727</v>
      </c>
      <c r="I483" s="21" t="n">
        <f aca="false">Stock_Seguridad!S483</f>
        <v>1914.46135931673</v>
      </c>
      <c r="J483" s="21" t="n">
        <f aca="false">Stock_Seguridad!U483</f>
        <v>0</v>
      </c>
      <c r="K483" s="22"/>
      <c r="L483" s="23" t="n">
        <v>0</v>
      </c>
      <c r="M483" s="23" t="n">
        <v>0</v>
      </c>
      <c r="N483" s="23" t="n">
        <v>0</v>
      </c>
      <c r="O483" s="24" t="n">
        <v>0.228335625859697</v>
      </c>
      <c r="P483" s="24" t="str">
        <f aca="false">IF(ISNUMBER(Stock_Seguridad!N483),Stock_Seguridad!N483,"")</f>
        <v/>
      </c>
      <c r="Q483" s="24" t="str">
        <f aca="false">IF(AND(ISNUMBER(O483),ISNUMBER(P483)),P483-O483,"")</f>
        <v/>
      </c>
      <c r="R483" s="23" t="n">
        <f aca="false">MAX(0,G483-N(L483))</f>
        <v>11632</v>
      </c>
      <c r="S483" s="23" t="n">
        <f aca="false">SUMIFS(Cadenas_vs_FCST!$D$17:$D$2437,Cadenas_vs_FCST!$A$17:$A$2437,A483)</f>
        <v>0</v>
      </c>
      <c r="T483" s="23" t="n">
        <f aca="false">SUMIFS(Cadenas_vs_FCST!$E$17:$E$2437,Cadenas_vs_FCST!$A$17:$A$2437,A483)</f>
        <v>0</v>
      </c>
      <c r="U483" s="24" t="str">
        <f aca="false">IF(T483&gt;0,S483/T483-1,"")</f>
        <v/>
      </c>
      <c r="V483" s="3" t="str">
        <f aca="false">IF(OR(E483="BAJO SS",E483="BAJO SS (XLIB CUBRE)"),"SÍ","")</f>
        <v/>
      </c>
      <c r="W483" s="3" t="str">
        <f aca="false">IF(AND(V483="",N(L483)&gt;=Parametros!$B$17,G483&gt;=H483,R483&lt;H483),"SÍ","")</f>
        <v/>
      </c>
      <c r="X483" s="3" t="str">
        <f aca="false">IF(OR(E483="SOBRE MAX VENDIBLE",N(N483)&gt;=Parametros!$B$17,N(M483)&gt;=Parametros!$B$17),"SÍ","")</f>
        <v/>
      </c>
      <c r="Y483" s="3" t="str">
        <f aca="false">IF(AND(ISNUMBER(U483),MAX(S483,T483)&gt;=Parametros!$B$15,ABS(N(U483))&gt;Parametros!$B$14),"SÍ","")</f>
        <v/>
      </c>
      <c r="Z483" s="3" t="n">
        <f aca="false">COUNTIF(V483:Y483,"SÍ")</f>
        <v>0</v>
      </c>
      <c r="AA483" s="3" t="n">
        <f aca="false">(3*(V483="SÍ")+2*(W483="SÍ")+2*(X483="SÍ")+(Y483="SÍ"))*IF(LEFT(D483,1)="A",3,IF(OR(LEFT(D483,1)="B",D483="SIN HIST"),2,1))</f>
        <v>0</v>
      </c>
      <c r="AB483" s="3" t="str">
        <f aca="false">IF(AA483&gt;=9,"1-ALTA",IF(AA483&gt;=4,"2-MEDIA",IF(AA483&gt;0,"3-BAJA","")))</f>
        <v/>
      </c>
      <c r="AC483" s="3" t="str">
        <f aca="false">IF(E483="BAJO SS","Stock + XLIB bajo el SS: riesgo real de quiebre, adelantar producción. ","")&amp;IF(E483="BAJO SS (XLIB CUBRE)","Disponible bajo el SS; depende de liberar "&amp;TEXT(J483,"#,##0")&amp;" kg"&amp;IF(ISNUMBER(K483)," el "&amp;TEXT(K483,"dd-mm"),"")&amp;". ","")&amp;IF(W483="SÍ","Stock parece sano pero "&amp;TEXT(L483,"#,##0")&amp;" kg no pasan filtro "&amp;Stock_Seguridad!O483&amp;": sin ellos queda bajo el SS para esa cadena. ","")&amp;IF(E483="SOBRE MAX VENDIBLE","Sobrestock vs vida útil: frenar producción/activar venta. ","")&amp;IF(N(N483)&gt;=Parametros!$B$17,TEXT(N483,"#,##0")&amp;" kg ya no los acepta ninguna cadena: venta intermedia/liquidación. ","")&amp;IF(N(M483)&gt;=Parametros!$B$17,TEXT(M483,"#,##0")&amp;" kg a punto de salir del filtro: despachar primero (FEFO). ","")&amp;IF(Y483="SÍ","Pedidos "&amp;IF(N(U483)&gt;0,"sobre","bajo")&amp;" FCST "&amp;TEXT(ABS(N(U483)),"0%")&amp;": revisar forecast con KAM.","")</f>
        <v/>
      </c>
    </row>
    <row r="484" customFormat="false" ht="15" hidden="false" customHeight="false" outlineLevel="0" collapsed="false">
      <c r="A484" s="18" t="n">
        <f aca="false">Stock_Seguridad!A484</f>
        <v>30000635</v>
      </c>
      <c r="B484" s="18" t="str">
        <f aca="false">Stock_Seguridad!B484</f>
        <v>MERMELADA REGIMEL FRUTILLA 24X200GR</v>
      </c>
      <c r="C484" s="18" t="str">
        <f aca="false">Stock_Seguridad!C484</f>
        <v>MERMELADAS</v>
      </c>
      <c r="D484" s="18" t="str">
        <f aca="false">Stock_Seguridad!F484</f>
        <v>CX</v>
      </c>
      <c r="E484" s="19" t="str">
        <f aca="false">Stock_Seguridad!X484</f>
        <v>OK</v>
      </c>
      <c r="F484" s="20" t="n">
        <f aca="false">Stock_Seguridad!W484</f>
        <v>4.07168010016433</v>
      </c>
      <c r="G484" s="21" t="n">
        <f aca="false">Stock_Seguridad!T484</f>
        <v>5203.2</v>
      </c>
      <c r="H484" s="21" t="n">
        <f aca="false">Stock_Seguridad!R484</f>
        <v>384.187414820239</v>
      </c>
      <c r="I484" s="21" t="n">
        <f aca="false">Stock_Seguridad!S484</f>
        <v>1662.08741482024</v>
      </c>
      <c r="J484" s="21" t="n">
        <f aca="false">Stock_Seguridad!U484</f>
        <v>0</v>
      </c>
      <c r="K484" s="22"/>
      <c r="L484" s="23" t="n">
        <v>81.6</v>
      </c>
      <c r="M484" s="23" t="n">
        <v>0</v>
      </c>
      <c r="N484" s="23" t="n">
        <v>0</v>
      </c>
      <c r="O484" s="24" t="n">
        <v>0.108428835489834</v>
      </c>
      <c r="P484" s="24" t="n">
        <f aca="false">IF(ISNUMBER(Stock_Seguridad!N484),Stock_Seguridad!N484,"")</f>
        <v>0.32054794520548</v>
      </c>
      <c r="Q484" s="24" t="n">
        <f aca="false">IF(AND(ISNUMBER(O484),ISNUMBER(P484)),P484-O484,"")</f>
        <v>0.212119109715646</v>
      </c>
      <c r="R484" s="23" t="n">
        <f aca="false">MAX(0,G484-N(L484))</f>
        <v>5121.6</v>
      </c>
      <c r="S484" s="23" t="n">
        <f aca="false">SUMIFS(Cadenas_vs_FCST!$D$17:$D$2437,Cadenas_vs_FCST!$A$17:$A$2437,A484)</f>
        <v>5078.4</v>
      </c>
      <c r="T484" s="23" t="n">
        <f aca="false">SUMIFS(Cadenas_vs_FCST!$E$17:$E$2437,Cadenas_vs_FCST!$A$17:$A$2437,A484)</f>
        <v>5349.6</v>
      </c>
      <c r="U484" s="24" t="n">
        <f aca="false">IF(T484&gt;0,S484/T484-1,"")</f>
        <v>-0.050695379093764</v>
      </c>
      <c r="V484" s="3" t="str">
        <f aca="false">IF(OR(E484="BAJO SS",E484="BAJO SS (XLIB CUBRE)"),"SÍ","")</f>
        <v/>
      </c>
      <c r="W484" s="3" t="str">
        <f aca="false">IF(AND(V484="",N(L484)&gt;=Parametros!$B$17,G484&gt;=H484,R484&lt;H484),"SÍ","")</f>
        <v/>
      </c>
      <c r="X484" s="3" t="str">
        <f aca="false">IF(OR(E484="SOBRE MAX VENDIBLE",N(N484)&gt;=Parametros!$B$17,N(M484)&gt;=Parametros!$B$17),"SÍ","")</f>
        <v/>
      </c>
      <c r="Y484" s="3" t="str">
        <f aca="false">IF(AND(ISNUMBER(U484),MAX(S484,T484)&gt;=Parametros!$B$15,ABS(N(U484))&gt;Parametros!$B$14),"SÍ","")</f>
        <v/>
      </c>
      <c r="Z484" s="3" t="n">
        <f aca="false">COUNTIF(V484:Y484,"SÍ")</f>
        <v>0</v>
      </c>
      <c r="AA484" s="3" t="n">
        <f aca="false">(3*(V484="SÍ")+2*(W484="SÍ")+2*(X484="SÍ")+(Y484="SÍ"))*IF(LEFT(D484,1)="A",3,IF(OR(LEFT(D484,1)="B",D484="SIN HIST"),2,1))</f>
        <v>0</v>
      </c>
      <c r="AB484" s="3" t="str">
        <f aca="false">IF(AA484&gt;=9,"1-ALTA",IF(AA484&gt;=4,"2-MEDIA",IF(AA484&gt;0,"3-BAJA","")))</f>
        <v/>
      </c>
      <c r="AC484" s="3" t="str">
        <f aca="false">IF(E484="BAJO SS","Stock + XLIB bajo el SS: riesgo real de quiebre, adelantar producción. ","")&amp;IF(E484="BAJO SS (XLIB CUBRE)","Disponible bajo el SS; depende de liberar "&amp;TEXT(J484,"#,##0")&amp;" kg"&amp;IF(ISNUMBER(K484)," el "&amp;TEXT(K484,"dd-mm"),"")&amp;". ","")&amp;IF(W484="SÍ","Stock parece sano pero "&amp;TEXT(L484,"#,##0")&amp;" kg no pasan filtro "&amp;Stock_Seguridad!O484&amp;": sin ellos queda bajo el SS para esa cadena. ","")&amp;IF(E484="SOBRE MAX VENDIBLE","Sobrestock vs vida útil: frenar producción/activar venta. ","")&amp;IF(N(N484)&gt;=Parametros!$B$17,TEXT(N484,"#,##0")&amp;" kg ya no los acepta ninguna cadena: venta intermedia/liquidación. ","")&amp;IF(N(M484)&gt;=Parametros!$B$17,TEXT(M484,"#,##0")&amp;" kg a punto de salir del filtro: despachar primero (FEFO). ","")&amp;IF(Y484="SÍ","Pedidos "&amp;IF(N(U484)&gt;0,"sobre","bajo")&amp;" FCST "&amp;TEXT(ABS(N(U484)),"0%")&amp;": revisar forecast con KAM.","")</f>
        <v/>
      </c>
    </row>
    <row r="485" customFormat="false" ht="15" hidden="false" customHeight="false" outlineLevel="0" collapsed="false">
      <c r="A485" s="18" t="n">
        <f aca="false">Stock_Seguridad!A485</f>
        <v>30002297</v>
      </c>
      <c r="B485" s="18" t="str">
        <f aca="false">Stock_Seguridad!B485</f>
        <v>MERMELADA WATTS S/A PAPAYA SACHET24X200G</v>
      </c>
      <c r="C485" s="18" t="str">
        <f aca="false">Stock_Seguridad!C485</f>
        <v>MERMELADAS</v>
      </c>
      <c r="D485" s="18" t="str">
        <f aca="false">Stock_Seguridad!F485</f>
        <v>CX</v>
      </c>
      <c r="E485" s="19" t="str">
        <f aca="false">Stock_Seguridad!X485</f>
        <v>OK</v>
      </c>
      <c r="F485" s="20" t="n">
        <f aca="false">Stock_Seguridad!W485</f>
        <v>1.93129411764706</v>
      </c>
      <c r="G485" s="21" t="n">
        <f aca="false">Stock_Seguridad!T485</f>
        <v>2462.4</v>
      </c>
      <c r="H485" s="21" t="n">
        <f aca="false">Stock_Seguridad!R485</f>
        <v>980.227128764536</v>
      </c>
      <c r="I485" s="21" t="n">
        <f aca="false">Stock_Seguridad!S485</f>
        <v>2255.22712876454</v>
      </c>
      <c r="J485" s="21" t="n">
        <f aca="false">Stock_Seguridad!U485</f>
        <v>0</v>
      </c>
      <c r="K485" s="22"/>
      <c r="L485" s="23" t="n">
        <v>0</v>
      </c>
      <c r="M485" s="23" t="n">
        <v>0</v>
      </c>
      <c r="N485" s="23" t="n">
        <v>0</v>
      </c>
      <c r="O485" s="24" t="n">
        <v>0.138557504873294</v>
      </c>
      <c r="P485" s="24" t="str">
        <f aca="false">IF(ISNUMBER(Stock_Seguridad!N485),Stock_Seguridad!N485,"")</f>
        <v/>
      </c>
      <c r="Q485" s="24" t="str">
        <f aca="false">IF(AND(ISNUMBER(O485),ISNUMBER(P485)),P485-O485,"")</f>
        <v/>
      </c>
      <c r="R485" s="23" t="n">
        <f aca="false">MAX(0,G485-N(L485))</f>
        <v>2462.4</v>
      </c>
      <c r="S485" s="23" t="n">
        <f aca="false">SUMIFS(Cadenas_vs_FCST!$D$17:$D$2437,Cadenas_vs_FCST!$A$17:$A$2437,A485)</f>
        <v>5779.2</v>
      </c>
      <c r="T485" s="23" t="n">
        <f aca="false">SUMIFS(Cadenas_vs_FCST!$E$17:$E$2437,Cadenas_vs_FCST!$A$17:$A$2437,A485)</f>
        <v>5150</v>
      </c>
      <c r="U485" s="24" t="n">
        <f aca="false">IF(T485&gt;0,S485/T485-1,"")</f>
        <v>0.122174757281553</v>
      </c>
      <c r="V485" s="3" t="str">
        <f aca="false">IF(OR(E485="BAJO SS",E485="BAJO SS (XLIB CUBRE)"),"SÍ","")</f>
        <v/>
      </c>
      <c r="W485" s="3" t="str">
        <f aca="false">IF(AND(V485="",N(L485)&gt;=Parametros!$B$17,G485&gt;=H485,R485&lt;H485),"SÍ","")</f>
        <v/>
      </c>
      <c r="X485" s="3" t="str">
        <f aca="false">IF(OR(E485="SOBRE MAX VENDIBLE",N(N485)&gt;=Parametros!$B$17,N(M485)&gt;=Parametros!$B$17),"SÍ","")</f>
        <v/>
      </c>
      <c r="Y485" s="3" t="str">
        <f aca="false">IF(AND(ISNUMBER(U485),MAX(S485,T485)&gt;=Parametros!$B$15,ABS(N(U485))&gt;Parametros!$B$14),"SÍ","")</f>
        <v/>
      </c>
      <c r="Z485" s="3" t="n">
        <f aca="false">COUNTIF(V485:Y485,"SÍ")</f>
        <v>0</v>
      </c>
      <c r="AA485" s="3" t="n">
        <f aca="false">(3*(V485="SÍ")+2*(W485="SÍ")+2*(X485="SÍ")+(Y485="SÍ"))*IF(LEFT(D485,1)="A",3,IF(OR(LEFT(D485,1)="B",D485="SIN HIST"),2,1))</f>
        <v>0</v>
      </c>
      <c r="AB485" s="3" t="str">
        <f aca="false">IF(AA485&gt;=9,"1-ALTA",IF(AA485&gt;=4,"2-MEDIA",IF(AA485&gt;0,"3-BAJA","")))</f>
        <v/>
      </c>
      <c r="AC485" s="3" t="str">
        <f aca="false">IF(E485="BAJO SS","Stock + XLIB bajo el SS: riesgo real de quiebre, adelantar producción. ","")&amp;IF(E485="BAJO SS (XLIB CUBRE)","Disponible bajo el SS; depende de liberar "&amp;TEXT(J485,"#,##0")&amp;" kg"&amp;IF(ISNUMBER(K485)," el "&amp;TEXT(K485,"dd-mm"),"")&amp;". ","")&amp;IF(W485="SÍ","Stock parece sano pero "&amp;TEXT(L485,"#,##0")&amp;" kg no pasan filtro "&amp;Stock_Seguridad!O485&amp;": sin ellos queda bajo el SS para esa cadena. ","")&amp;IF(E485="SOBRE MAX VENDIBLE","Sobrestock vs vida útil: frenar producción/activar venta. ","")&amp;IF(N(N485)&gt;=Parametros!$B$17,TEXT(N485,"#,##0")&amp;" kg ya no los acepta ninguna cadena: venta intermedia/liquidación. ","")&amp;IF(N(M485)&gt;=Parametros!$B$17,TEXT(M485,"#,##0")&amp;" kg a punto de salir del filtro: despachar primero (FEFO). ","")&amp;IF(Y485="SÍ","Pedidos "&amp;IF(N(U485)&gt;0,"sobre","bajo")&amp;" FCST "&amp;TEXT(ABS(N(U485)),"0%")&amp;": revisar forecast con KAM.","")</f>
        <v/>
      </c>
    </row>
    <row r="486" customFormat="false" ht="15" hidden="false" customHeight="false" outlineLevel="0" collapsed="false">
      <c r="A486" s="18" t="n">
        <f aca="false">Stock_Seguridad!A486</f>
        <v>30002289</v>
      </c>
      <c r="B486" s="18" t="str">
        <f aca="false">Stock_Seguridad!B486</f>
        <v>JALEA LONCO PROTEIN NARANJA 6X4X100GR</v>
      </c>
      <c r="C486" s="18" t="str">
        <f aca="false">Stock_Seguridad!C486</f>
        <v>POSTRES</v>
      </c>
      <c r="D486" s="18" t="str">
        <f aca="false">Stock_Seguridad!F486</f>
        <v>CX</v>
      </c>
      <c r="E486" s="19" t="str">
        <f aca="false">Stock_Seguridad!X486</f>
        <v>OK</v>
      </c>
      <c r="F486" s="20" t="n">
        <f aca="false">Stock_Seguridad!W486</f>
        <v>2.35776</v>
      </c>
      <c r="G486" s="21" t="n">
        <f aca="false">Stock_Seguridad!T486</f>
        <v>1461.6</v>
      </c>
      <c r="H486" s="21" t="n">
        <f aca="false">Stock_Seguridad!R486</f>
        <v>481.460463802441</v>
      </c>
      <c r="I486" s="21" t="n">
        <f aca="false">Stock_Seguridad!S486</f>
        <v>1731.46046380244</v>
      </c>
      <c r="J486" s="21" t="n">
        <f aca="false">Stock_Seguridad!U486</f>
        <v>1485.6</v>
      </c>
      <c r="K486" s="22" t="n">
        <v>46317</v>
      </c>
      <c r="L486" s="23" t="n">
        <v>0</v>
      </c>
      <c r="M486" s="23" t="n">
        <v>0</v>
      </c>
      <c r="N486" s="23" t="n">
        <v>0</v>
      </c>
      <c r="O486" s="24" t="n">
        <v>0.100358306188925</v>
      </c>
      <c r="P486" s="24" t="str">
        <f aca="false">IF(ISNUMBER(Stock_Seguridad!N486),Stock_Seguridad!N486,"")</f>
        <v/>
      </c>
      <c r="Q486" s="24" t="str">
        <f aca="false">IF(AND(ISNUMBER(O486),ISNUMBER(P486)),P486-O486,"")</f>
        <v/>
      </c>
      <c r="R486" s="23" t="n">
        <f aca="false">MAX(0,G486-N(L486))</f>
        <v>1461.6</v>
      </c>
      <c r="S486" s="23" t="n">
        <f aca="false">SUMIFS(Cadenas_vs_FCST!$D$17:$D$2437,Cadenas_vs_FCST!$A$17:$A$2437,A486)</f>
        <v>3964.8</v>
      </c>
      <c r="T486" s="23" t="n">
        <f aca="false">SUMIFS(Cadenas_vs_FCST!$E$17:$E$2437,Cadenas_vs_FCST!$A$17:$A$2437,A486)</f>
        <v>3597.09380517179</v>
      </c>
      <c r="U486" s="24" t="n">
        <f aca="false">IF(T486&gt;0,S486/T486-1,"")</f>
        <v>0.102223131990479</v>
      </c>
      <c r="V486" s="3" t="str">
        <f aca="false">IF(OR(E486="BAJO SS",E486="BAJO SS (XLIB CUBRE)"),"SÍ","")</f>
        <v/>
      </c>
      <c r="W486" s="3" t="str">
        <f aca="false">IF(AND(V486="",N(L486)&gt;=Parametros!$B$17,G486&gt;=H486,R486&lt;H486),"SÍ","")</f>
        <v/>
      </c>
      <c r="X486" s="3" t="str">
        <f aca="false">IF(OR(E486="SOBRE MAX VENDIBLE",N(N486)&gt;=Parametros!$B$17,N(M486)&gt;=Parametros!$B$17),"SÍ","")</f>
        <v/>
      </c>
      <c r="Y486" s="3" t="str">
        <f aca="false">IF(AND(ISNUMBER(U486),MAX(S486,T486)&gt;=Parametros!$B$15,ABS(N(U486))&gt;Parametros!$B$14),"SÍ","")</f>
        <v/>
      </c>
      <c r="Z486" s="3" t="n">
        <f aca="false">COUNTIF(V486:Y486,"SÍ")</f>
        <v>0</v>
      </c>
      <c r="AA486" s="3" t="n">
        <f aca="false">(3*(V486="SÍ")+2*(W486="SÍ")+2*(X486="SÍ")+(Y486="SÍ"))*IF(LEFT(D486,1)="A",3,IF(OR(LEFT(D486,1)="B",D486="SIN HIST"),2,1))</f>
        <v>0</v>
      </c>
      <c r="AB486" s="3" t="str">
        <f aca="false">IF(AA486&gt;=9,"1-ALTA",IF(AA486&gt;=4,"2-MEDIA",IF(AA486&gt;0,"3-BAJA","")))</f>
        <v/>
      </c>
      <c r="AC486" s="3" t="str">
        <f aca="false">IF(E486="BAJO SS","Stock + XLIB bajo el SS: riesgo real de quiebre, adelantar producción. ","")&amp;IF(E486="BAJO SS (XLIB CUBRE)","Disponible bajo el SS; depende de liberar "&amp;TEXT(J486,"#,##0")&amp;" kg"&amp;IF(ISNUMBER(K486)," el "&amp;TEXT(K486,"dd-mm"),"")&amp;". ","")&amp;IF(W486="SÍ","Stock parece sano pero "&amp;TEXT(L486,"#,##0")&amp;" kg no pasan filtro "&amp;Stock_Seguridad!O486&amp;": sin ellos queda bajo el SS para esa cadena. ","")&amp;IF(E486="SOBRE MAX VENDIBLE","Sobrestock vs vida útil: frenar producción/activar venta. ","")&amp;IF(N(N486)&gt;=Parametros!$B$17,TEXT(N486,"#,##0")&amp;" kg ya no los acepta ninguna cadena: venta intermedia/liquidación. ","")&amp;IF(N(M486)&gt;=Parametros!$B$17,TEXT(M486,"#,##0")&amp;" kg a punto de salir del filtro: despachar primero (FEFO). ","")&amp;IF(Y486="SÍ","Pedidos "&amp;IF(N(U486)&gt;0,"sobre","bajo")&amp;" FCST "&amp;TEXT(ABS(N(U486)),"0%")&amp;": revisar forecast con KAM.","")</f>
        <v/>
      </c>
    </row>
    <row r="487" customFormat="false" ht="15" hidden="false" customHeight="false" outlineLevel="0" collapsed="false">
      <c r="A487" s="18" t="n">
        <f aca="false">Stock_Seguridad!A487</f>
        <v>30001407</v>
      </c>
      <c r="B487" s="18" t="str">
        <f aca="false">Stock_Seguridad!B487</f>
        <v>LECHE BREAK CHOCO AVELLANA LONCO18X250ML</v>
      </c>
      <c r="C487" s="18" t="str">
        <f aca="false">Stock_Seguridad!C487</f>
        <v>LECHES LIQUIDAS</v>
      </c>
      <c r="D487" s="18" t="str">
        <f aca="false">Stock_Seguridad!F487</f>
        <v>CX</v>
      </c>
      <c r="E487" s="19" t="str">
        <f aca="false">Stock_Seguridad!X487</f>
        <v>OK</v>
      </c>
      <c r="F487" s="20" t="n">
        <f aca="false">Stock_Seguridad!W487</f>
        <v>7.91252405388069</v>
      </c>
      <c r="G487" s="21" t="n">
        <f aca="false">Stock_Seguridad!T487</f>
        <v>9868.5</v>
      </c>
      <c r="H487" s="21" t="n">
        <f aca="false">Stock_Seguridad!R487</f>
        <v>458.083007717216</v>
      </c>
      <c r="I487" s="21" t="n">
        <f aca="false">Stock_Seguridad!S487</f>
        <v>1705.28300771722</v>
      </c>
      <c r="J487" s="21" t="n">
        <f aca="false">Stock_Seguridad!U487</f>
        <v>0</v>
      </c>
      <c r="K487" s="22"/>
      <c r="L487" s="23" t="n">
        <v>1327.5</v>
      </c>
      <c r="M487" s="23" t="n">
        <v>0</v>
      </c>
      <c r="N487" s="23" t="n">
        <v>0</v>
      </c>
      <c r="O487" s="24" t="n">
        <v>0.12310502283105</v>
      </c>
      <c r="P487" s="24" t="n">
        <f aca="false">IF(ISNUMBER(Stock_Seguridad!N487),Stock_Seguridad!N487,"")</f>
        <v>0.332</v>
      </c>
      <c r="Q487" s="24" t="n">
        <f aca="false">IF(AND(ISNUMBER(O487),ISNUMBER(P487)),P487-O487,"")</f>
        <v>0.20889497716895</v>
      </c>
      <c r="R487" s="23" t="n">
        <f aca="false">MAX(0,G487-N(L487))</f>
        <v>8541</v>
      </c>
      <c r="S487" s="23" t="n">
        <f aca="false">SUMIFS(Cadenas_vs_FCST!$D$17:$D$2437,Cadenas_vs_FCST!$A$17:$A$2437,A487)</f>
        <v>6304.5</v>
      </c>
      <c r="T487" s="23" t="n">
        <f aca="false">SUMIFS(Cadenas_vs_FCST!$E$17:$E$2437,Cadenas_vs_FCST!$A$17:$A$2437,A487)</f>
        <v>6325.91190052674</v>
      </c>
      <c r="U487" s="24" t="n">
        <f aca="false">IF(T487&gt;0,S487/T487-1,"")</f>
        <v>-0.00338479271659764</v>
      </c>
      <c r="V487" s="3" t="str">
        <f aca="false">IF(OR(E487="BAJO SS",E487="BAJO SS (XLIB CUBRE)"),"SÍ","")</f>
        <v/>
      </c>
      <c r="W487" s="3" t="str">
        <f aca="false">IF(AND(V487="",N(L487)&gt;=Parametros!$B$17,G487&gt;=H487,R487&lt;H487),"SÍ","")</f>
        <v/>
      </c>
      <c r="X487" s="3" t="str">
        <f aca="false">IF(OR(E487="SOBRE MAX VENDIBLE",N(N487)&gt;=Parametros!$B$17,N(M487)&gt;=Parametros!$B$17),"SÍ","")</f>
        <v/>
      </c>
      <c r="Y487" s="3" t="str">
        <f aca="false">IF(AND(ISNUMBER(U487),MAX(S487,T487)&gt;=Parametros!$B$15,ABS(N(U487))&gt;Parametros!$B$14),"SÍ","")</f>
        <v/>
      </c>
      <c r="Z487" s="3" t="n">
        <f aca="false">COUNTIF(V487:Y487,"SÍ")</f>
        <v>0</v>
      </c>
      <c r="AA487" s="3" t="n">
        <f aca="false">(3*(V487="SÍ")+2*(W487="SÍ")+2*(X487="SÍ")+(Y487="SÍ"))*IF(LEFT(D487,1)="A",3,IF(OR(LEFT(D487,1)="B",D487="SIN HIST"),2,1))</f>
        <v>0</v>
      </c>
      <c r="AB487" s="3" t="str">
        <f aca="false">IF(AA487&gt;=9,"1-ALTA",IF(AA487&gt;=4,"2-MEDIA",IF(AA487&gt;0,"3-BAJA","")))</f>
        <v/>
      </c>
      <c r="AC487" s="3" t="str">
        <f aca="false">IF(E487="BAJO SS","Stock + XLIB bajo el SS: riesgo real de quiebre, adelantar producción. ","")&amp;IF(E487="BAJO SS (XLIB CUBRE)","Disponible bajo el SS; depende de liberar "&amp;TEXT(J487,"#,##0")&amp;" kg"&amp;IF(ISNUMBER(K487)," el "&amp;TEXT(K487,"dd-mm"),"")&amp;". ","")&amp;IF(W487="SÍ","Stock parece sano pero "&amp;TEXT(L487,"#,##0")&amp;" kg no pasan filtro "&amp;Stock_Seguridad!O487&amp;": sin ellos queda bajo el SS para esa cadena. ","")&amp;IF(E487="SOBRE MAX VENDIBLE","Sobrestock vs vida útil: frenar producción/activar venta. ","")&amp;IF(N(N487)&gt;=Parametros!$B$17,TEXT(N487,"#,##0")&amp;" kg ya no los acepta ninguna cadena: venta intermedia/liquidación. ","")&amp;IF(N(M487)&gt;=Parametros!$B$17,TEXT(M487,"#,##0")&amp;" kg a punto de salir del filtro: despachar primero (FEFO). ","")&amp;IF(Y487="SÍ","Pedidos "&amp;IF(N(U487)&gt;0,"sobre","bajo")&amp;" FCST "&amp;TEXT(ABS(N(U487)),"0%")&amp;": revisar forecast con KAM.","")</f>
        <v/>
      </c>
    </row>
    <row r="488" customFormat="false" ht="15" hidden="false" customHeight="false" outlineLevel="0" collapsed="false">
      <c r="A488" s="18" t="n">
        <f aca="false">Stock_Seguridad!A488</f>
        <v>30000815</v>
      </c>
      <c r="B488" s="18" t="str">
        <f aca="false">Stock_Seguridad!B488</f>
        <v>SALTEADO THAI WOK IQF 20X500GR</v>
      </c>
      <c r="C488" s="18" t="str">
        <f aca="false">Stock_Seguridad!C488</f>
        <v>FRUTAS Y HORTALIZAS CONGELADAS</v>
      </c>
      <c r="D488" s="18" t="str">
        <f aca="false">Stock_Seguridad!F488</f>
        <v>SIN HIST</v>
      </c>
      <c r="E488" s="19" t="str">
        <f aca="false">Stock_Seguridad!X488</f>
        <v>OK</v>
      </c>
      <c r="F488" s="20" t="n">
        <f aca="false">Stock_Seguridad!W488</f>
        <v>11.9511018175969</v>
      </c>
      <c r="G488" s="21" t="n">
        <f aca="false">Stock_Seguridad!T488</f>
        <v>14860</v>
      </c>
      <c r="H488" s="21" t="n">
        <f aca="false">Stock_Seguridad!R488</f>
        <v>613.563299925438</v>
      </c>
      <c r="I488" s="21" t="n">
        <f aca="false">Stock_Seguridad!S488</f>
        <v>1856.96329992544</v>
      </c>
      <c r="J488" s="21" t="n">
        <f aca="false">Stock_Seguridad!U488</f>
        <v>0</v>
      </c>
      <c r="K488" s="22"/>
      <c r="L488" s="23" t="n">
        <v>0</v>
      </c>
      <c r="M488" s="23" t="n">
        <v>0</v>
      </c>
      <c r="N488" s="23" t="n">
        <v>0</v>
      </c>
      <c r="O488" s="24" t="n">
        <v>0.0195895020188425</v>
      </c>
      <c r="P488" s="24" t="str">
        <f aca="false">IF(ISNUMBER(Stock_Seguridad!N488),Stock_Seguridad!N488,"")</f>
        <v/>
      </c>
      <c r="Q488" s="24" t="str">
        <f aca="false">IF(AND(ISNUMBER(O488),ISNUMBER(P488)),P488-O488,"")</f>
        <v/>
      </c>
      <c r="R488" s="23" t="n">
        <f aca="false">MAX(0,G488-N(L488))</f>
        <v>14860</v>
      </c>
      <c r="S488" s="23" t="n">
        <f aca="false">SUMIFS(Cadenas_vs_FCST!$D$17:$D$2437,Cadenas_vs_FCST!$A$17:$A$2437,A488)</f>
        <v>0</v>
      </c>
      <c r="T488" s="23" t="n">
        <f aca="false">SUMIFS(Cadenas_vs_FCST!$E$17:$E$2437,Cadenas_vs_FCST!$A$17:$A$2437,A488)</f>
        <v>0</v>
      </c>
      <c r="U488" s="24" t="str">
        <f aca="false">IF(T488&gt;0,S488/T488-1,"")</f>
        <v/>
      </c>
      <c r="V488" s="3" t="str">
        <f aca="false">IF(OR(E488="BAJO SS",E488="BAJO SS (XLIB CUBRE)"),"SÍ","")</f>
        <v/>
      </c>
      <c r="W488" s="3" t="str">
        <f aca="false">IF(AND(V488="",N(L488)&gt;=Parametros!$B$17,G488&gt;=H488,R488&lt;H488),"SÍ","")</f>
        <v/>
      </c>
      <c r="X488" s="3" t="str">
        <f aca="false">IF(OR(E488="SOBRE MAX VENDIBLE",N(N488)&gt;=Parametros!$B$17,N(M488)&gt;=Parametros!$B$17),"SÍ","")</f>
        <v/>
      </c>
      <c r="Y488" s="3" t="str">
        <f aca="false">IF(AND(ISNUMBER(U488),MAX(S488,T488)&gt;=Parametros!$B$15,ABS(N(U488))&gt;Parametros!$B$14),"SÍ","")</f>
        <v/>
      </c>
      <c r="Z488" s="3" t="n">
        <f aca="false">COUNTIF(V488:Y488,"SÍ")</f>
        <v>0</v>
      </c>
      <c r="AA488" s="3" t="n">
        <f aca="false">(3*(V488="SÍ")+2*(W488="SÍ")+2*(X488="SÍ")+(Y488="SÍ"))*IF(LEFT(D488,1)="A",3,IF(OR(LEFT(D488,1)="B",D488="SIN HIST"),2,1))</f>
        <v>0</v>
      </c>
      <c r="AB488" s="3" t="str">
        <f aca="false">IF(AA488&gt;=9,"1-ALTA",IF(AA488&gt;=4,"2-MEDIA",IF(AA488&gt;0,"3-BAJA","")))</f>
        <v/>
      </c>
      <c r="AC488" s="3" t="str">
        <f aca="false">IF(E488="BAJO SS","Stock + XLIB bajo el SS: riesgo real de quiebre, adelantar producción. ","")&amp;IF(E488="BAJO SS (XLIB CUBRE)","Disponible bajo el SS; depende de liberar "&amp;TEXT(J488,"#,##0")&amp;" kg"&amp;IF(ISNUMBER(K488)," el "&amp;TEXT(K488,"dd-mm"),"")&amp;". ","")&amp;IF(W488="SÍ","Stock parece sano pero "&amp;TEXT(L488,"#,##0")&amp;" kg no pasan filtro "&amp;Stock_Seguridad!O488&amp;": sin ellos queda bajo el SS para esa cadena. ","")&amp;IF(E488="SOBRE MAX VENDIBLE","Sobrestock vs vida útil: frenar producción/activar venta. ","")&amp;IF(N(N488)&gt;=Parametros!$B$17,TEXT(N488,"#,##0")&amp;" kg ya no los acepta ninguna cadena: venta intermedia/liquidación. ","")&amp;IF(N(M488)&gt;=Parametros!$B$17,TEXT(M488,"#,##0")&amp;" kg a punto de salir del filtro: despachar primero (FEFO). ","")&amp;IF(Y488="SÍ","Pedidos "&amp;IF(N(U488)&gt;0,"sobre","bajo")&amp;" FCST "&amp;TEXT(ABS(N(U488)),"0%")&amp;": revisar forecast con KAM.","")</f>
        <v/>
      </c>
    </row>
    <row r="489" customFormat="false" ht="15" hidden="false" customHeight="false" outlineLevel="0" collapsed="false">
      <c r="A489" s="18" t="n">
        <f aca="false">Stock_Seguridad!A489</f>
        <v>30001708</v>
      </c>
      <c r="B489" s="18" t="str">
        <f aca="false">Stock_Seguridad!B489</f>
        <v>YOGURT LONCO S/LACT FRUTILLA POTE24X140G</v>
      </c>
      <c r="C489" s="18" t="str">
        <f aca="false">Stock_Seguridad!C489</f>
        <v>YOGURT</v>
      </c>
      <c r="D489" s="18" t="str">
        <f aca="false">Stock_Seguridad!F489</f>
        <v>CX</v>
      </c>
      <c r="E489" s="19" t="str">
        <f aca="false">Stock_Seguridad!X489</f>
        <v>OK</v>
      </c>
      <c r="F489" s="20" t="n">
        <f aca="false">Stock_Seguridad!W489</f>
        <v>1.70997661101702</v>
      </c>
      <c r="G489" s="21" t="n">
        <f aca="false">Stock_Seguridad!T489</f>
        <v>2120.2</v>
      </c>
      <c r="H489" s="21" t="n">
        <f aca="false">Stock_Seguridad!R489</f>
        <v>750.790217374249</v>
      </c>
      <c r="I489" s="21" t="n">
        <f aca="false">Stock_Seguridad!S489</f>
        <v>1990.69021737425</v>
      </c>
      <c r="J489" s="21" t="n">
        <f aca="false">Stock_Seguridad!U489</f>
        <v>0</v>
      </c>
      <c r="K489" s="22"/>
      <c r="L489" s="23" t="n">
        <v>0</v>
      </c>
      <c r="M489" s="23" t="n">
        <v>0</v>
      </c>
      <c r="N489" s="23" t="n">
        <v>0</v>
      </c>
      <c r="O489" s="24" t="n">
        <v>0.121669341894061</v>
      </c>
      <c r="P489" s="24" t="n">
        <f aca="false">IF(ISNUMBER(Stock_Seguridad!N489),Stock_Seguridad!N489,"")</f>
        <v>0.295774647887324</v>
      </c>
      <c r="Q489" s="24" t="n">
        <f aca="false">IF(AND(ISNUMBER(O489),ISNUMBER(P489)),P489-O489,"")</f>
        <v>0.174105305993263</v>
      </c>
      <c r="R489" s="23" t="n">
        <f aca="false">MAX(0,G489-N(L489))</f>
        <v>2120.2</v>
      </c>
      <c r="S489" s="23" t="n">
        <f aca="false">SUMIFS(Cadenas_vs_FCST!$D$17:$D$2437,Cadenas_vs_FCST!$A$17:$A$2437,A489)</f>
        <v>6343.68</v>
      </c>
      <c r="T489" s="23" t="n">
        <f aca="false">SUMIFS(Cadenas_vs_FCST!$E$17:$E$2437,Cadenas_vs_FCST!$A$17:$A$2437,A489)</f>
        <v>5324.55507729595</v>
      </c>
      <c r="U489" s="24" t="n">
        <f aca="false">IF(T489&gt;0,S489/T489-1,"")</f>
        <v>0.191400954241158</v>
      </c>
      <c r="V489" s="3" t="str">
        <f aca="false">IF(OR(E489="BAJO SS",E489="BAJO SS (XLIB CUBRE)"),"SÍ","")</f>
        <v/>
      </c>
      <c r="W489" s="3" t="str">
        <f aca="false">IF(AND(V489="",N(L489)&gt;=Parametros!$B$17,G489&gt;=H489,R489&lt;H489),"SÍ","")</f>
        <v/>
      </c>
      <c r="X489" s="3" t="str">
        <f aca="false">IF(OR(E489="SOBRE MAX VENDIBLE",N(N489)&gt;=Parametros!$B$17,N(M489)&gt;=Parametros!$B$17),"SÍ","")</f>
        <v/>
      </c>
      <c r="Y489" s="3" t="str">
        <f aca="false">IF(AND(ISNUMBER(U489),MAX(S489,T489)&gt;=Parametros!$B$15,ABS(N(U489))&gt;Parametros!$B$14),"SÍ","")</f>
        <v/>
      </c>
      <c r="Z489" s="3" t="n">
        <f aca="false">COUNTIF(V489:Y489,"SÍ")</f>
        <v>0</v>
      </c>
      <c r="AA489" s="3" t="n">
        <f aca="false">(3*(V489="SÍ")+2*(W489="SÍ")+2*(X489="SÍ")+(Y489="SÍ"))*IF(LEFT(D489,1)="A",3,IF(OR(LEFT(D489,1)="B",D489="SIN HIST"),2,1))</f>
        <v>0</v>
      </c>
      <c r="AB489" s="3" t="str">
        <f aca="false">IF(AA489&gt;=9,"1-ALTA",IF(AA489&gt;=4,"2-MEDIA",IF(AA489&gt;0,"3-BAJA","")))</f>
        <v/>
      </c>
      <c r="AC489" s="3" t="str">
        <f aca="false">IF(E489="BAJO SS","Stock + XLIB bajo el SS: riesgo real de quiebre, adelantar producción. ","")&amp;IF(E489="BAJO SS (XLIB CUBRE)","Disponible bajo el SS; depende de liberar "&amp;TEXT(J489,"#,##0")&amp;" kg"&amp;IF(ISNUMBER(K489)," el "&amp;TEXT(K489,"dd-mm"),"")&amp;". ","")&amp;IF(W489="SÍ","Stock parece sano pero "&amp;TEXT(L489,"#,##0")&amp;" kg no pasan filtro "&amp;Stock_Seguridad!O489&amp;": sin ellos queda bajo el SS para esa cadena. ","")&amp;IF(E489="SOBRE MAX VENDIBLE","Sobrestock vs vida útil: frenar producción/activar venta. ","")&amp;IF(N(N489)&gt;=Parametros!$B$17,TEXT(N489,"#,##0")&amp;" kg ya no los acepta ninguna cadena: venta intermedia/liquidación. ","")&amp;IF(N(M489)&gt;=Parametros!$B$17,TEXT(M489,"#,##0")&amp;" kg a punto de salir del filtro: despachar primero (FEFO). ","")&amp;IF(Y489="SÍ","Pedidos "&amp;IF(N(U489)&gt;0,"sobre","bajo")&amp;" FCST "&amp;TEXT(ABS(N(U489)),"0%")&amp;": revisar forecast con KAM.","")</f>
        <v/>
      </c>
    </row>
    <row r="490" customFormat="false" ht="15" hidden="false" customHeight="false" outlineLevel="0" collapsed="false">
      <c r="A490" s="18" t="n">
        <f aca="false">Stock_Seguridad!A490</f>
        <v>30000867</v>
      </c>
      <c r="B490" s="18" t="str">
        <f aca="false">Stock_Seguridad!B490</f>
        <v>SMOOTHIE DETOX FDM 15X500GR</v>
      </c>
      <c r="C490" s="18" t="str">
        <f aca="false">Stock_Seguridad!C490</f>
        <v>FRUTAS Y HORTALIZAS CONGELADAS</v>
      </c>
      <c r="D490" s="18" t="str">
        <f aca="false">Stock_Seguridad!F490</f>
        <v>SIN HIST</v>
      </c>
      <c r="E490" s="19" t="str">
        <f aca="false">Stock_Seguridad!X490</f>
        <v>OK</v>
      </c>
      <c r="F490" s="20" t="n">
        <f aca="false">Stock_Seguridad!W490</f>
        <v>1.89990162321692</v>
      </c>
      <c r="G490" s="21" t="n">
        <f aca="false">Stock_Seguridad!T490</f>
        <v>2317.5</v>
      </c>
      <c r="H490" s="21" t="n">
        <f aca="false">Stock_Seguridad!R490</f>
        <v>601.917736246622</v>
      </c>
      <c r="I490" s="21" t="n">
        <f aca="false">Stock_Seguridad!S490</f>
        <v>1821.71773624662</v>
      </c>
      <c r="J490" s="21" t="n">
        <f aca="false">Stock_Seguridad!U490</f>
        <v>0</v>
      </c>
      <c r="K490" s="22"/>
      <c r="L490" s="23" t="n">
        <v>0</v>
      </c>
      <c r="M490" s="23" t="n">
        <v>0</v>
      </c>
      <c r="N490" s="23" t="n">
        <v>0</v>
      </c>
      <c r="O490" s="24" t="n">
        <v>0.0711003236245955</v>
      </c>
      <c r="P490" s="24" t="str">
        <f aca="false">IF(ISNUMBER(Stock_Seguridad!N490),Stock_Seguridad!N490,"")</f>
        <v/>
      </c>
      <c r="Q490" s="24" t="str">
        <f aca="false">IF(AND(ISNUMBER(O490),ISNUMBER(P490)),P490-O490,"")</f>
        <v/>
      </c>
      <c r="R490" s="23" t="n">
        <f aca="false">MAX(0,G490-N(L490))</f>
        <v>2317.5</v>
      </c>
      <c r="S490" s="23" t="n">
        <f aca="false">SUMIFS(Cadenas_vs_FCST!$D$17:$D$2437,Cadenas_vs_FCST!$A$17:$A$2437,A490)</f>
        <v>0</v>
      </c>
      <c r="T490" s="23" t="n">
        <f aca="false">SUMIFS(Cadenas_vs_FCST!$E$17:$E$2437,Cadenas_vs_FCST!$A$17:$A$2437,A490)</f>
        <v>0</v>
      </c>
      <c r="U490" s="24" t="str">
        <f aca="false">IF(T490&gt;0,S490/T490-1,"")</f>
        <v/>
      </c>
      <c r="V490" s="3" t="str">
        <f aca="false">IF(OR(E490="BAJO SS",E490="BAJO SS (XLIB CUBRE)"),"SÍ","")</f>
        <v/>
      </c>
      <c r="W490" s="3" t="str">
        <f aca="false">IF(AND(V490="",N(L490)&gt;=Parametros!$B$17,G490&gt;=H490,R490&lt;H490),"SÍ","")</f>
        <v/>
      </c>
      <c r="X490" s="3" t="str">
        <f aca="false">IF(OR(E490="SOBRE MAX VENDIBLE",N(N490)&gt;=Parametros!$B$17,N(M490)&gt;=Parametros!$B$17),"SÍ","")</f>
        <v/>
      </c>
      <c r="Y490" s="3" t="str">
        <f aca="false">IF(AND(ISNUMBER(U490),MAX(S490,T490)&gt;=Parametros!$B$15,ABS(N(U490))&gt;Parametros!$B$14),"SÍ","")</f>
        <v/>
      </c>
      <c r="Z490" s="3" t="n">
        <f aca="false">COUNTIF(V490:Y490,"SÍ")</f>
        <v>0</v>
      </c>
      <c r="AA490" s="3" t="n">
        <f aca="false">(3*(V490="SÍ")+2*(W490="SÍ")+2*(X490="SÍ")+(Y490="SÍ"))*IF(LEFT(D490,1)="A",3,IF(OR(LEFT(D490,1)="B",D490="SIN HIST"),2,1))</f>
        <v>0</v>
      </c>
      <c r="AB490" s="3" t="str">
        <f aca="false">IF(AA490&gt;=9,"1-ALTA",IF(AA490&gt;=4,"2-MEDIA",IF(AA490&gt;0,"3-BAJA","")))</f>
        <v/>
      </c>
      <c r="AC490" s="3" t="str">
        <f aca="false">IF(E490="BAJO SS","Stock + XLIB bajo el SS: riesgo real de quiebre, adelantar producción. ","")&amp;IF(E490="BAJO SS (XLIB CUBRE)","Disponible bajo el SS; depende de liberar "&amp;TEXT(J490,"#,##0")&amp;" kg"&amp;IF(ISNUMBER(K490)," el "&amp;TEXT(K490,"dd-mm"),"")&amp;". ","")&amp;IF(W490="SÍ","Stock parece sano pero "&amp;TEXT(L490,"#,##0")&amp;" kg no pasan filtro "&amp;Stock_Seguridad!O490&amp;": sin ellos queda bajo el SS para esa cadena. ","")&amp;IF(E490="SOBRE MAX VENDIBLE","Sobrestock vs vida útil: frenar producción/activar venta. ","")&amp;IF(N(N490)&gt;=Parametros!$B$17,TEXT(N490,"#,##0")&amp;" kg ya no los acepta ninguna cadena: venta intermedia/liquidación. ","")&amp;IF(N(M490)&gt;=Parametros!$B$17,TEXT(M490,"#,##0")&amp;" kg a punto de salir del filtro: despachar primero (FEFO). ","")&amp;IF(Y490="SÍ","Pedidos "&amp;IF(N(U490)&gt;0,"sobre","bajo")&amp;" FCST "&amp;TEXT(ABS(N(U490)),"0%")&amp;": revisar forecast con KAM.","")</f>
        <v/>
      </c>
    </row>
    <row r="491" customFormat="false" ht="15" hidden="false" customHeight="false" outlineLevel="0" collapsed="false">
      <c r="A491" s="18" t="n">
        <f aca="false">Stock_Seguridad!A491</f>
        <v>30000628</v>
      </c>
      <c r="B491" s="18" t="str">
        <f aca="false">Stock_Seguridad!B491</f>
        <v>ENSALADA DE VERDURAS WASIL 16X340GR</v>
      </c>
      <c r="C491" s="18" t="str">
        <f aca="false">Stock_Seguridad!C491</f>
        <v>CONSERVAS Y PLATOS LISTOS</v>
      </c>
      <c r="D491" s="18" t="str">
        <f aca="false">Stock_Seguridad!F491</f>
        <v>CX</v>
      </c>
      <c r="E491" s="19" t="str">
        <f aca="false">Stock_Seguridad!X491</f>
        <v>SOBRE MAX VENDIBLE</v>
      </c>
      <c r="F491" s="20" t="n">
        <f aca="false">Stock_Seguridad!W491</f>
        <v>23.2599176954733</v>
      </c>
      <c r="G491" s="21" t="n">
        <f aca="false">Stock_Seguridad!T491</f>
        <v>18251.2</v>
      </c>
      <c r="H491" s="21" t="n">
        <f aca="false">Stock_Seguridad!R491</f>
        <v>858.787030210027</v>
      </c>
      <c r="I491" s="21" t="n">
        <f aca="false">Stock_Seguridad!S491</f>
        <v>2073.78703021003</v>
      </c>
      <c r="J491" s="21" t="n">
        <f aca="false">Stock_Seguridad!U491</f>
        <v>10009.6</v>
      </c>
      <c r="K491" s="22" t="n">
        <v>46323</v>
      </c>
      <c r="L491" s="23" t="n">
        <v>0</v>
      </c>
      <c r="M491" s="23" t="n">
        <v>0</v>
      </c>
      <c r="N491" s="23" t="n">
        <v>0</v>
      </c>
      <c r="O491" s="24" t="n">
        <v>0.0300365736284889</v>
      </c>
      <c r="P491" s="24" t="n">
        <f aca="false">IF(ISNUMBER(Stock_Seguridad!N491),Stock_Seguridad!N491,"")</f>
        <v>0.197260273972603</v>
      </c>
      <c r="Q491" s="24" t="n">
        <f aca="false">IF(AND(ISNUMBER(O491),ISNUMBER(P491)),P491-O491,"")</f>
        <v>0.167223700344114</v>
      </c>
      <c r="R491" s="23" t="n">
        <f aca="false">MAX(0,G491-N(L491))</f>
        <v>18251.2</v>
      </c>
      <c r="S491" s="23" t="n">
        <f aca="false">SUMIFS(Cadenas_vs_FCST!$D$17:$D$2437,Cadenas_vs_FCST!$A$17:$A$2437,A491)</f>
        <v>4885.12</v>
      </c>
      <c r="T491" s="23" t="n">
        <f aca="false">SUMIFS(Cadenas_vs_FCST!$E$17:$E$2437,Cadenas_vs_FCST!$A$17:$A$2437,A491)</f>
        <v>5520</v>
      </c>
      <c r="U491" s="24" t="n">
        <f aca="false">IF(T491&gt;0,S491/T491-1,"")</f>
        <v>-0.115014492753623</v>
      </c>
      <c r="V491" s="3" t="str">
        <f aca="false">IF(OR(E491="BAJO SS",E491="BAJO SS (XLIB CUBRE)"),"SÍ","")</f>
        <v/>
      </c>
      <c r="W491" s="3" t="str">
        <f aca="false">IF(AND(V491="",N(L491)&gt;=Parametros!$B$17,G491&gt;=H491,R491&lt;H491),"SÍ","")</f>
        <v/>
      </c>
      <c r="X491" s="3" t="str">
        <f aca="false">IF(OR(E491="SOBRE MAX VENDIBLE",N(N491)&gt;=Parametros!$B$17,N(M491)&gt;=Parametros!$B$17),"SÍ","")</f>
        <v>SÍ</v>
      </c>
      <c r="Y491" s="3" t="str">
        <f aca="false">IF(AND(ISNUMBER(U491),MAX(S491,T491)&gt;=Parametros!$B$15,ABS(N(U491))&gt;Parametros!$B$14),"SÍ","")</f>
        <v/>
      </c>
      <c r="Z491" s="3" t="n">
        <f aca="false">COUNTIF(V491:Y491,"SÍ")</f>
        <v>1</v>
      </c>
      <c r="AA491" s="3" t="n">
        <f aca="false">(3*(V491="SÍ")+2*(W491="SÍ")+2*(X491="SÍ")+(Y491="SÍ"))*IF(LEFT(D491,1)="A",3,IF(OR(LEFT(D491,1)="B",D491="SIN HIST"),2,1))</f>
        <v>2</v>
      </c>
      <c r="AB491" s="3" t="str">
        <f aca="false">IF(AA491&gt;=9,"1-ALTA",IF(AA491&gt;=4,"2-MEDIA",IF(AA491&gt;0,"3-BAJA","")))</f>
        <v>3-BAJA</v>
      </c>
      <c r="AC491" s="3" t="str">
        <f aca="false">IF(E491="BAJO SS","Stock + XLIB bajo el SS: riesgo real de quiebre, adelantar producción. ","")&amp;IF(E491="BAJO SS (XLIB CUBRE)","Disponible bajo el SS; depende de liberar "&amp;TEXT(J491,"#,##0")&amp;" kg"&amp;IF(ISNUMBER(K491)," el "&amp;TEXT(K491,"dd-mm"),"")&amp;". ","")&amp;IF(W491="SÍ","Stock parece sano pero "&amp;TEXT(L491,"#,##0")&amp;" kg no pasan filtro "&amp;Stock_Seguridad!O491&amp;": sin ellos queda bajo el SS para esa cadena. ","")&amp;IF(E491="SOBRE MAX VENDIBLE","Sobrestock vs vida útil: frenar producción/activar venta. ","")&amp;IF(N(N491)&gt;=Parametros!$B$17,TEXT(N491,"#,##0")&amp;" kg ya no los acepta ninguna cadena: venta intermedia/liquidación. ","")&amp;IF(N(M491)&gt;=Parametros!$B$17,TEXT(M491,"#,##0")&amp;" kg a punto de salir del filtro: despachar primero (FEFO). ","")&amp;IF(Y491="SÍ","Pedidos "&amp;IF(N(U491)&gt;0,"sobre","bajo")&amp;" FCST "&amp;TEXT(ABS(N(U491)),"0%")&amp;": revisar forecast con KAM.","")</f>
        <v>Sobrestock vs vida útil: frenar producción/activar venta. </v>
      </c>
    </row>
    <row r="492" customFormat="false" ht="15" hidden="false" customHeight="false" outlineLevel="0" collapsed="false">
      <c r="A492" s="18" t="n">
        <f aca="false">Stock_Seguridad!A492</f>
        <v>30002253</v>
      </c>
      <c r="B492" s="18" t="str">
        <f aca="false">Stock_Seguridad!B492</f>
        <v>MARGARINA SUREÑA MIX 6X900GR</v>
      </c>
      <c r="C492" s="18" t="str">
        <f aca="false">Stock_Seguridad!C492</f>
        <v>MARGARINAS</v>
      </c>
      <c r="D492" s="18" t="str">
        <f aca="false">Stock_Seguridad!F492</f>
        <v>CX</v>
      </c>
      <c r="E492" s="19" t="str">
        <f aca="false">Stock_Seguridad!X492</f>
        <v>OK</v>
      </c>
      <c r="F492" s="20" t="n">
        <f aca="false">Stock_Seguridad!W492</f>
        <v>3.5955</v>
      </c>
      <c r="G492" s="21" t="n">
        <f aca="false">Stock_Seguridad!T492</f>
        <v>4314.6</v>
      </c>
      <c r="H492" s="21" t="n">
        <f aca="false">Stock_Seguridad!R492</f>
        <v>661.780031901113</v>
      </c>
      <c r="I492" s="21" t="n">
        <f aca="false">Stock_Seguridad!S492</f>
        <v>1861.78003190111</v>
      </c>
      <c r="J492" s="21" t="n">
        <f aca="false">Stock_Seguridad!U492</f>
        <v>0</v>
      </c>
      <c r="K492" s="22"/>
      <c r="L492" s="23" t="n">
        <v>0</v>
      </c>
      <c r="M492" s="23" t="n">
        <v>0</v>
      </c>
      <c r="N492" s="23" t="n">
        <v>0</v>
      </c>
      <c r="O492" s="24" t="n">
        <v>0.221063829787234</v>
      </c>
      <c r="P492" s="24" t="str">
        <f aca="false">IF(ISNUMBER(Stock_Seguridad!N492),Stock_Seguridad!N492,"")</f>
        <v/>
      </c>
      <c r="Q492" s="24" t="str">
        <f aca="false">IF(AND(ISNUMBER(O492),ISNUMBER(P492)),P492-O492,"")</f>
        <v/>
      </c>
      <c r="R492" s="23" t="n">
        <f aca="false">MAX(0,G492-N(L492))</f>
        <v>4314.6</v>
      </c>
      <c r="S492" s="23" t="n">
        <f aca="false">SUMIFS(Cadenas_vs_FCST!$D$17:$D$2437,Cadenas_vs_FCST!$A$17:$A$2437,A492)</f>
        <v>5292</v>
      </c>
      <c r="T492" s="23" t="n">
        <f aca="false">SUMIFS(Cadenas_vs_FCST!$E$17:$E$2437,Cadenas_vs_FCST!$A$17:$A$2437,A492)</f>
        <v>6787.72519648721</v>
      </c>
      <c r="U492" s="24" t="n">
        <f aca="false">IF(T492&gt;0,S492/T492-1,"")</f>
        <v>-0.220357358789551</v>
      </c>
      <c r="V492" s="3" t="str">
        <f aca="false">IF(OR(E492="BAJO SS",E492="BAJO SS (XLIB CUBRE)"),"SÍ","")</f>
        <v/>
      </c>
      <c r="W492" s="3" t="str">
        <f aca="false">IF(AND(V492="",N(L492)&gt;=Parametros!$B$17,G492&gt;=H492,R492&lt;H492),"SÍ","")</f>
        <v/>
      </c>
      <c r="X492" s="3" t="str">
        <f aca="false">IF(OR(E492="SOBRE MAX VENDIBLE",N(N492)&gt;=Parametros!$B$17,N(M492)&gt;=Parametros!$B$17),"SÍ","")</f>
        <v/>
      </c>
      <c r="Y492" s="3" t="str">
        <f aca="false">IF(AND(ISNUMBER(U492),MAX(S492,T492)&gt;=Parametros!$B$15,ABS(N(U492))&gt;Parametros!$B$14),"SÍ","")</f>
        <v>SÍ</v>
      </c>
      <c r="Z492" s="3" t="n">
        <f aca="false">COUNTIF(V492:Y492,"SÍ")</f>
        <v>1</v>
      </c>
      <c r="AA492" s="3" t="n">
        <f aca="false">(3*(V492="SÍ")+2*(W492="SÍ")+2*(X492="SÍ")+(Y492="SÍ"))*IF(LEFT(D492,1)="A",3,IF(OR(LEFT(D492,1)="B",D492="SIN HIST"),2,1))</f>
        <v>1</v>
      </c>
      <c r="AB492" s="3" t="str">
        <f aca="false">IF(AA492&gt;=9,"1-ALTA",IF(AA492&gt;=4,"2-MEDIA",IF(AA492&gt;0,"3-BAJA","")))</f>
        <v>3-BAJA</v>
      </c>
      <c r="AC492" s="3" t="str">
        <f aca="false">IF(E492="BAJO SS","Stock + XLIB bajo el SS: riesgo real de quiebre, adelantar producción. ","")&amp;IF(E492="BAJO SS (XLIB CUBRE)","Disponible bajo el SS; depende de liberar "&amp;TEXT(J492,"#,##0")&amp;" kg"&amp;IF(ISNUMBER(K492)," el "&amp;TEXT(K492,"dd-mm"),"")&amp;". ","")&amp;IF(W492="SÍ","Stock parece sano pero "&amp;TEXT(L492,"#,##0")&amp;" kg no pasan filtro "&amp;Stock_Seguridad!O492&amp;": sin ellos queda bajo el SS para esa cadena. ","")&amp;IF(E492="SOBRE MAX VENDIBLE","Sobrestock vs vida útil: frenar producción/activar venta. ","")&amp;IF(N(N492)&gt;=Parametros!$B$17,TEXT(N492,"#,##0")&amp;" kg ya no los acepta ninguna cadena: venta intermedia/liquidación. ","")&amp;IF(N(M492)&gt;=Parametros!$B$17,TEXT(M492,"#,##0")&amp;" kg a punto de salir del filtro: despachar primero (FEFO). ","")&amp;IF(Y492="SÍ","Pedidos "&amp;IF(N(U492)&gt;0,"sobre","bajo")&amp;" FCST "&amp;TEXT(ABS(N(U492)),"0%")&amp;": revisar forecast con KAM.","")</f>
        <v>Pedidos bajo FCST 22%: revisar forecast con KAM.</v>
      </c>
    </row>
    <row r="493" customFormat="false" ht="15" hidden="false" customHeight="false" outlineLevel="0" collapsed="false">
      <c r="A493" s="18" t="n">
        <f aca="false">Stock_Seguridad!A493</f>
        <v>30000090</v>
      </c>
      <c r="B493" s="18" t="str">
        <f aca="false">Stock_Seguridad!B493</f>
        <v>MANTECA CRUCINA 6X12X100GR</v>
      </c>
      <c r="C493" s="18" t="str">
        <f aca="false">Stock_Seguridad!C493</f>
        <v>MANTECAS</v>
      </c>
      <c r="D493" s="18" t="str">
        <f aca="false">Stock_Seguridad!F493</f>
        <v>CX</v>
      </c>
      <c r="E493" s="19" t="str">
        <f aca="false">Stock_Seguridad!X493</f>
        <v>OK</v>
      </c>
      <c r="F493" s="20" t="n">
        <f aca="false">Stock_Seguridad!W493</f>
        <v>5.028</v>
      </c>
      <c r="G493" s="21" t="n">
        <f aca="false">Stock_Seguridad!T493</f>
        <v>6033.6</v>
      </c>
      <c r="H493" s="21" t="n">
        <f aca="false">Stock_Seguridad!R493</f>
        <v>971.360696897976</v>
      </c>
      <c r="I493" s="21" t="n">
        <f aca="false">Stock_Seguridad!S493</f>
        <v>2171.36069689798</v>
      </c>
      <c r="J493" s="21" t="n">
        <f aca="false">Stock_Seguridad!U493</f>
        <v>0</v>
      </c>
      <c r="K493" s="22"/>
      <c r="L493" s="23" t="n">
        <v>417.6</v>
      </c>
      <c r="M493" s="23" t="n">
        <v>5608.8</v>
      </c>
      <c r="N493" s="23" t="n">
        <v>0</v>
      </c>
      <c r="O493" s="24" t="n">
        <v>0.17194743130227</v>
      </c>
      <c r="P493" s="24" t="n">
        <f aca="false">IF(ISNUMBER(Stock_Seguridad!N493),Stock_Seguridad!N493,"")</f>
        <v>0.217391304347826</v>
      </c>
      <c r="Q493" s="24" t="n">
        <f aca="false">IF(AND(ISNUMBER(O493),ISNUMBER(P493)),P493-O493,"")</f>
        <v>0.0454438730455561</v>
      </c>
      <c r="R493" s="23" t="n">
        <f aca="false">MAX(0,G493-N(L493))</f>
        <v>5616</v>
      </c>
      <c r="S493" s="23" t="n">
        <f aca="false">SUMIFS(Cadenas_vs_FCST!$D$17:$D$2437,Cadenas_vs_FCST!$A$17:$A$2437,A493)</f>
        <v>6948</v>
      </c>
      <c r="T493" s="23" t="n">
        <f aca="false">SUMIFS(Cadenas_vs_FCST!$E$17:$E$2437,Cadenas_vs_FCST!$A$17:$A$2437,A493)</f>
        <v>7519.11930127027</v>
      </c>
      <c r="U493" s="24" t="n">
        <f aca="false">IF(T493&gt;0,S493/T493-1,"")</f>
        <v>-0.0759556110745289</v>
      </c>
      <c r="V493" s="3" t="str">
        <f aca="false">IF(OR(E493="BAJO SS",E493="BAJO SS (XLIB CUBRE)"),"SÍ","")</f>
        <v/>
      </c>
      <c r="W493" s="3" t="str">
        <f aca="false">IF(AND(V493="",N(L493)&gt;=Parametros!$B$17,G493&gt;=H493,R493&lt;H493),"SÍ","")</f>
        <v/>
      </c>
      <c r="X493" s="3" t="str">
        <f aca="false">IF(OR(E493="SOBRE MAX VENDIBLE",N(N493)&gt;=Parametros!$B$17,N(M493)&gt;=Parametros!$B$17),"SÍ","")</f>
        <v>SÍ</v>
      </c>
      <c r="Y493" s="3" t="str">
        <f aca="false">IF(AND(ISNUMBER(U493),MAX(S493,T493)&gt;=Parametros!$B$15,ABS(N(U493))&gt;Parametros!$B$14),"SÍ","")</f>
        <v/>
      </c>
      <c r="Z493" s="3" t="n">
        <f aca="false">COUNTIF(V493:Y493,"SÍ")</f>
        <v>1</v>
      </c>
      <c r="AA493" s="3" t="n">
        <f aca="false">(3*(V493="SÍ")+2*(W493="SÍ")+2*(X493="SÍ")+(Y493="SÍ"))*IF(LEFT(D493,1)="A",3,IF(OR(LEFT(D493,1)="B",D493="SIN HIST"),2,1))</f>
        <v>2</v>
      </c>
      <c r="AB493" s="3" t="str">
        <f aca="false">IF(AA493&gt;=9,"1-ALTA",IF(AA493&gt;=4,"2-MEDIA",IF(AA493&gt;0,"3-BAJA","")))</f>
        <v>3-BAJA</v>
      </c>
      <c r="AC493" s="3" t="str">
        <f aca="false">IF(E493="BAJO SS","Stock + XLIB bajo el SS: riesgo real de quiebre, adelantar producción. ","")&amp;IF(E493="BAJO SS (XLIB CUBRE)","Disponible bajo el SS; depende de liberar "&amp;TEXT(J493,"#,##0")&amp;" kg"&amp;IF(ISNUMBER(K493)," el "&amp;TEXT(K493,"dd-mm"),"")&amp;". ","")&amp;IF(W493="SÍ","Stock parece sano pero "&amp;TEXT(L493,"#,##0")&amp;" kg no pasan filtro "&amp;Stock_Seguridad!O493&amp;": sin ellos queda bajo el SS para esa cadena. ","")&amp;IF(E493="SOBRE MAX VENDIBLE","Sobrestock vs vida útil: frenar producción/activar venta. ","")&amp;IF(N(N493)&gt;=Parametros!$B$17,TEXT(N493,"#,##0")&amp;" kg ya no los acepta ninguna cadena: venta intermedia/liquidación. ","")&amp;IF(N(M493)&gt;=Parametros!$B$17,TEXT(M493,"#,##0")&amp;" kg a punto de salir del filtro: despachar primero (FEFO). ","")&amp;IF(Y493="SÍ","Pedidos "&amp;IF(N(U493)&gt;0,"sobre","bajo")&amp;" FCST "&amp;TEXT(ABS(N(U493)),"0%")&amp;": revisar forecast con KAM.","")</f>
        <v>5,609 kg a punto de salir del filtro: despachar primero (FEFO). </v>
      </c>
    </row>
    <row r="494" customFormat="false" ht="15" hidden="false" customHeight="false" outlineLevel="0" collapsed="false">
      <c r="A494" s="18" t="n">
        <f aca="false">Stock_Seguridad!A494</f>
        <v>30002176</v>
      </c>
      <c r="B494" s="18" t="str">
        <f aca="false">Stock_Seguridad!B494</f>
        <v>MIX CHOCLO PALMITO WASIL 16X380GR</v>
      </c>
      <c r="C494" s="18" t="str">
        <f aca="false">Stock_Seguridad!C494</f>
        <v>CONSERVAS Y PLATOS LISTOS</v>
      </c>
      <c r="D494" s="18" t="str">
        <f aca="false">Stock_Seguridad!F494</f>
        <v>CY</v>
      </c>
      <c r="E494" s="19" t="str">
        <f aca="false">Stock_Seguridad!X494</f>
        <v>SOBRE MAX VENDIBLE</v>
      </c>
      <c r="F494" s="20" t="n">
        <f aca="false">Stock_Seguridad!W494</f>
        <v>16.6923653942324</v>
      </c>
      <c r="G494" s="21" t="n">
        <f aca="false">Stock_Seguridad!T494</f>
        <v>20027.5</v>
      </c>
      <c r="H494" s="21" t="n">
        <f aca="false">Stock_Seguridad!R494</f>
        <v>1259.48121585513</v>
      </c>
      <c r="I494" s="21" t="n">
        <f aca="false">Stock_Seguridad!S494</f>
        <v>2459.28121585513</v>
      </c>
      <c r="J494" s="21" t="n">
        <f aca="false">Stock_Seguridad!U494</f>
        <v>0</v>
      </c>
      <c r="K494" s="22"/>
      <c r="L494" s="23" t="n">
        <v>11351.36</v>
      </c>
      <c r="M494" s="23" t="n">
        <v>0</v>
      </c>
      <c r="N494" s="23" t="n">
        <v>0</v>
      </c>
      <c r="O494" s="24" t="n">
        <v>0.242865816636308</v>
      </c>
      <c r="P494" s="24" t="n">
        <f aca="false">IF(ISNUMBER(Stock_Seguridad!N494),Stock_Seguridad!N494,"")</f>
        <v>0.273972602739726</v>
      </c>
      <c r="Q494" s="24" t="n">
        <f aca="false">IF(AND(ISNUMBER(O494),ISNUMBER(P494)),P494-O494,"")</f>
        <v>0.0311067861034176</v>
      </c>
      <c r="R494" s="23" t="n">
        <f aca="false">MAX(0,G494-N(L494))</f>
        <v>8676.14</v>
      </c>
      <c r="S494" s="23" t="n">
        <f aca="false">SUMIFS(Cadenas_vs_FCST!$D$17:$D$2437,Cadenas_vs_FCST!$A$17:$A$2437,A494)</f>
        <v>7241.28</v>
      </c>
      <c r="T494" s="23" t="n">
        <f aca="false">SUMIFS(Cadenas_vs_FCST!$E$17:$E$2437,Cadenas_vs_FCST!$A$17:$A$2437,A494)</f>
        <v>4622.4</v>
      </c>
      <c r="U494" s="24" t="n">
        <f aca="false">IF(T494&gt;0,S494/T494-1,"")</f>
        <v>0.56656282450675</v>
      </c>
      <c r="V494" s="3" t="str">
        <f aca="false">IF(OR(E494="BAJO SS",E494="BAJO SS (XLIB CUBRE)"),"SÍ","")</f>
        <v/>
      </c>
      <c r="W494" s="3" t="str">
        <f aca="false">IF(AND(V494="",N(L494)&gt;=Parametros!$B$17,G494&gt;=H494,R494&lt;H494),"SÍ","")</f>
        <v/>
      </c>
      <c r="X494" s="3" t="str">
        <f aca="false">IF(OR(E494="SOBRE MAX VENDIBLE",N(N494)&gt;=Parametros!$B$17,N(M494)&gt;=Parametros!$B$17),"SÍ","")</f>
        <v>SÍ</v>
      </c>
      <c r="Y494" s="3" t="str">
        <f aca="false">IF(AND(ISNUMBER(U494),MAX(S494,T494)&gt;=Parametros!$B$15,ABS(N(U494))&gt;Parametros!$B$14),"SÍ","")</f>
        <v>SÍ</v>
      </c>
      <c r="Z494" s="3" t="n">
        <f aca="false">COUNTIF(V494:Y494,"SÍ")</f>
        <v>2</v>
      </c>
      <c r="AA494" s="3" t="n">
        <f aca="false">(3*(V494="SÍ")+2*(W494="SÍ")+2*(X494="SÍ")+(Y494="SÍ"))*IF(LEFT(D494,1)="A",3,IF(OR(LEFT(D494,1)="B",D494="SIN HIST"),2,1))</f>
        <v>3</v>
      </c>
      <c r="AB494" s="3" t="str">
        <f aca="false">IF(AA494&gt;=9,"1-ALTA",IF(AA494&gt;=4,"2-MEDIA",IF(AA494&gt;0,"3-BAJA","")))</f>
        <v>3-BAJA</v>
      </c>
      <c r="AC494" s="3" t="str">
        <f aca="false">IF(E494="BAJO SS","Stock + XLIB bajo el SS: riesgo real de quiebre, adelantar producción. ","")&amp;IF(E494="BAJO SS (XLIB CUBRE)","Disponible bajo el SS; depende de liberar "&amp;TEXT(J494,"#,##0")&amp;" kg"&amp;IF(ISNUMBER(K494)," el "&amp;TEXT(K494,"dd-mm"),"")&amp;". ","")&amp;IF(W494="SÍ","Stock parece sano pero "&amp;TEXT(L494,"#,##0")&amp;" kg no pasan filtro "&amp;Stock_Seguridad!O494&amp;": sin ellos queda bajo el SS para esa cadena. ","")&amp;IF(E494="SOBRE MAX VENDIBLE","Sobrestock vs vida útil: frenar producción/activar venta. ","")&amp;IF(N(N494)&gt;=Parametros!$B$17,TEXT(N494,"#,##0")&amp;" kg ya no los acepta ninguna cadena: venta intermedia/liquidación. ","")&amp;IF(N(M494)&gt;=Parametros!$B$17,TEXT(M494,"#,##0")&amp;" kg a punto de salir del filtro: despachar primero (FEFO). ","")&amp;IF(Y494="SÍ","Pedidos "&amp;IF(N(U494)&gt;0,"sobre","bajo")&amp;" FCST "&amp;TEXT(ABS(N(U494)),"0%")&amp;": revisar forecast con KAM.","")</f>
        <v>Sobrestock vs vida útil: frenar producción/activar venta. Pedidos sobre FCST 57%: revisar forecast con KAM.</v>
      </c>
    </row>
    <row r="495" customFormat="false" ht="15" hidden="false" customHeight="false" outlineLevel="0" collapsed="false">
      <c r="A495" s="18" t="n">
        <f aca="false">Stock_Seguridad!A495</f>
        <v>30000865</v>
      </c>
      <c r="B495" s="18" t="str">
        <f aca="false">Stock_Seguridad!B495</f>
        <v>ESPARRAGO LC 24X350GR</v>
      </c>
      <c r="C495" s="18" t="str">
        <f aca="false">Stock_Seguridad!C495</f>
        <v>FRUTAS Y HORTALIZAS CONGELADAS</v>
      </c>
      <c r="D495" s="18" t="str">
        <f aca="false">Stock_Seguridad!F495</f>
        <v>SIN HIST</v>
      </c>
      <c r="E495" s="19" t="str">
        <f aca="false">Stock_Seguridad!X495</f>
        <v>BAJO SS</v>
      </c>
      <c r="F495" s="20" t="n">
        <f aca="false">Stock_Seguridad!W495</f>
        <v>0.453211937278705</v>
      </c>
      <c r="G495" s="21" t="n">
        <f aca="false">Stock_Seguridad!T495</f>
        <v>0</v>
      </c>
      <c r="H495" s="21" t="n">
        <f aca="false">Stock_Seguridad!R495</f>
        <v>585.337611686951</v>
      </c>
      <c r="I495" s="21" t="n">
        <f aca="false">Stock_Seguridad!S495</f>
        <v>1771.53761168695</v>
      </c>
      <c r="J495" s="21" t="n">
        <f aca="false">Stock_Seguridad!U495</f>
        <v>537.6</v>
      </c>
      <c r="K495" s="22" t="n">
        <v>46317</v>
      </c>
      <c r="L495" s="23" t="n">
        <v>0</v>
      </c>
      <c r="M495" s="23" t="n">
        <v>0</v>
      </c>
      <c r="N495" s="23" t="n">
        <v>0</v>
      </c>
      <c r="O495" s="24" t="n">
        <v>0</v>
      </c>
      <c r="P495" s="24" t="str">
        <f aca="false">IF(ISNUMBER(Stock_Seguridad!N495),Stock_Seguridad!N495,"")</f>
        <v/>
      </c>
      <c r="Q495" s="24" t="str">
        <f aca="false">IF(AND(ISNUMBER(O495),ISNUMBER(P495)),P495-O495,"")</f>
        <v/>
      </c>
      <c r="R495" s="23" t="n">
        <f aca="false">MAX(0,G495-N(L495))</f>
        <v>0</v>
      </c>
      <c r="S495" s="23" t="n">
        <f aca="false">SUMIFS(Cadenas_vs_FCST!$D$17:$D$2437,Cadenas_vs_FCST!$A$17:$A$2437,A495)</f>
        <v>0</v>
      </c>
      <c r="T495" s="23" t="n">
        <f aca="false">SUMIFS(Cadenas_vs_FCST!$E$17:$E$2437,Cadenas_vs_FCST!$A$17:$A$2437,A495)</f>
        <v>0</v>
      </c>
      <c r="U495" s="24" t="str">
        <f aca="false">IF(T495&gt;0,S495/T495-1,"")</f>
        <v/>
      </c>
      <c r="V495" s="3" t="str">
        <f aca="false">IF(OR(E495="BAJO SS",E495="BAJO SS (XLIB CUBRE)"),"SÍ","")</f>
        <v>SÍ</v>
      </c>
      <c r="W495" s="3" t="str">
        <f aca="false">IF(AND(V495="",N(L495)&gt;=Parametros!$B$17,G495&gt;=H495,R495&lt;H495),"SÍ","")</f>
        <v/>
      </c>
      <c r="X495" s="3" t="str">
        <f aca="false">IF(OR(E495="SOBRE MAX VENDIBLE",N(N495)&gt;=Parametros!$B$17,N(M495)&gt;=Parametros!$B$17),"SÍ","")</f>
        <v/>
      </c>
      <c r="Y495" s="3" t="str">
        <f aca="false">IF(AND(ISNUMBER(U495),MAX(S495,T495)&gt;=Parametros!$B$15,ABS(N(U495))&gt;Parametros!$B$14),"SÍ","")</f>
        <v/>
      </c>
      <c r="Z495" s="3" t="n">
        <f aca="false">COUNTIF(V495:Y495,"SÍ")</f>
        <v>1</v>
      </c>
      <c r="AA495" s="3" t="n">
        <f aca="false">(3*(V495="SÍ")+2*(W495="SÍ")+2*(X495="SÍ")+(Y495="SÍ"))*IF(LEFT(D495,1)="A",3,IF(OR(LEFT(D495,1)="B",D495="SIN HIST"),2,1))</f>
        <v>6</v>
      </c>
      <c r="AB495" s="3" t="str">
        <f aca="false">IF(AA495&gt;=9,"1-ALTA",IF(AA495&gt;=4,"2-MEDIA",IF(AA495&gt;0,"3-BAJA","")))</f>
        <v>2-MEDIA</v>
      </c>
      <c r="AC495" s="3" t="str">
        <f aca="false">IF(E495="BAJO SS","Stock + XLIB bajo el SS: riesgo real de quiebre, adelantar producción. ","")&amp;IF(E495="BAJO SS (XLIB CUBRE)","Disponible bajo el SS; depende de liberar "&amp;TEXT(J495,"#,##0")&amp;" kg"&amp;IF(ISNUMBER(K495)," el "&amp;TEXT(K495,"dd-mm"),"")&amp;". ","")&amp;IF(W495="SÍ","Stock parece sano pero "&amp;TEXT(L495,"#,##0")&amp;" kg no pasan filtro "&amp;Stock_Seguridad!O495&amp;": sin ellos queda bajo el SS para esa cadena. ","")&amp;IF(E495="SOBRE MAX VENDIBLE","Sobrestock vs vida útil: frenar producción/activar venta. ","")&amp;IF(N(N495)&gt;=Parametros!$B$17,TEXT(N495,"#,##0")&amp;" kg ya no los acepta ninguna cadena: venta intermedia/liquidación. ","")&amp;IF(N(M495)&gt;=Parametros!$B$17,TEXT(M495,"#,##0")&amp;" kg a punto de salir del filtro: despachar primero (FEFO). ","")&amp;IF(Y495="SÍ","Pedidos "&amp;IF(N(U495)&gt;0,"sobre","bajo")&amp;" FCST "&amp;TEXT(ABS(N(U495)),"0%")&amp;": revisar forecast con KAM.","")</f>
        <v>Stock + XLIB bajo el SS: riesgo real de quiebre, adelantar producción. </v>
      </c>
    </row>
    <row r="496" customFormat="false" ht="15" hidden="false" customHeight="false" outlineLevel="0" collapsed="false">
      <c r="A496" s="18" t="n">
        <f aca="false">Stock_Seguridad!A496</f>
        <v>30000612</v>
      </c>
      <c r="B496" s="18" t="str">
        <f aca="false">Stock_Seguridad!B496</f>
        <v>CHAMPIÑON ENTERO WSL 24X400GR</v>
      </c>
      <c r="C496" s="18" t="str">
        <f aca="false">Stock_Seguridad!C496</f>
        <v>CONSERVAS Y PLATOS LISTOS</v>
      </c>
      <c r="D496" s="18" t="str">
        <f aca="false">Stock_Seguridad!F496</f>
        <v>CY</v>
      </c>
      <c r="E496" s="19" t="str">
        <f aca="false">Stock_Seguridad!X496</f>
        <v>OK</v>
      </c>
      <c r="F496" s="20" t="n">
        <f aca="false">Stock_Seguridad!W496</f>
        <v>42.5666497719209</v>
      </c>
      <c r="G496" s="21" t="n">
        <f aca="false">Stock_Seguridad!T496</f>
        <v>50390.4</v>
      </c>
      <c r="H496" s="21" t="n">
        <f aca="false">Stock_Seguridad!R496</f>
        <v>1261.73827615479</v>
      </c>
      <c r="I496" s="21" t="n">
        <f aca="false">Stock_Seguridad!S496</f>
        <v>2445.53827615479</v>
      </c>
      <c r="J496" s="21" t="n">
        <f aca="false">Stock_Seguridad!U496</f>
        <v>0</v>
      </c>
      <c r="K496" s="22"/>
      <c r="L496" s="23" t="n">
        <v>220.8</v>
      </c>
      <c r="M496" s="23" t="n">
        <v>0</v>
      </c>
      <c r="N496" s="23" t="n">
        <v>0</v>
      </c>
      <c r="O496" s="24" t="n">
        <v>0.397530958277767</v>
      </c>
      <c r="P496" s="24" t="n">
        <f aca="false">IF(ISNUMBER(Stock_Seguridad!N496),Stock_Seguridad!N496,"")</f>
        <v>0.480365296803653</v>
      </c>
      <c r="Q496" s="24" t="n">
        <f aca="false">IF(AND(ISNUMBER(O496),ISNUMBER(P496)),P496-O496,"")</f>
        <v>0.0828343385258858</v>
      </c>
      <c r="R496" s="23" t="n">
        <f aca="false">MAX(0,G496-N(L496))</f>
        <v>50169.6</v>
      </c>
      <c r="S496" s="23" t="n">
        <f aca="false">SUMIFS(Cadenas_vs_FCST!$D$17:$D$2437,Cadenas_vs_FCST!$A$17:$A$2437,A496)</f>
        <v>3984</v>
      </c>
      <c r="T496" s="23" t="n">
        <f aca="false">SUMIFS(Cadenas_vs_FCST!$E$17:$E$2437,Cadenas_vs_FCST!$A$17:$A$2437,A496)</f>
        <v>2486</v>
      </c>
      <c r="U496" s="24" t="n">
        <f aca="false">IF(T496&gt;0,S496/T496-1,"")</f>
        <v>0.602574416733709</v>
      </c>
      <c r="V496" s="3" t="str">
        <f aca="false">IF(OR(E496="BAJO SS",E496="BAJO SS (XLIB CUBRE)"),"SÍ","")</f>
        <v/>
      </c>
      <c r="W496" s="3" t="str">
        <f aca="false">IF(AND(V496="",N(L496)&gt;=Parametros!$B$17,G496&gt;=H496,R496&lt;H496),"SÍ","")</f>
        <v/>
      </c>
      <c r="X496" s="3" t="str">
        <f aca="false">IF(OR(E496="SOBRE MAX VENDIBLE",N(N496)&gt;=Parametros!$B$17,N(M496)&gt;=Parametros!$B$17),"SÍ","")</f>
        <v/>
      </c>
      <c r="Y496" s="3" t="str">
        <f aca="false">IF(AND(ISNUMBER(U496),MAX(S496,T496)&gt;=Parametros!$B$15,ABS(N(U496))&gt;Parametros!$B$14),"SÍ","")</f>
        <v>SÍ</v>
      </c>
      <c r="Z496" s="3" t="n">
        <f aca="false">COUNTIF(V496:Y496,"SÍ")</f>
        <v>1</v>
      </c>
      <c r="AA496" s="3" t="n">
        <f aca="false">(3*(V496="SÍ")+2*(W496="SÍ")+2*(X496="SÍ")+(Y496="SÍ"))*IF(LEFT(D496,1)="A",3,IF(OR(LEFT(D496,1)="B",D496="SIN HIST"),2,1))</f>
        <v>1</v>
      </c>
      <c r="AB496" s="3" t="str">
        <f aca="false">IF(AA496&gt;=9,"1-ALTA",IF(AA496&gt;=4,"2-MEDIA",IF(AA496&gt;0,"3-BAJA","")))</f>
        <v>3-BAJA</v>
      </c>
      <c r="AC496" s="3" t="str">
        <f aca="false">IF(E496="BAJO SS","Stock + XLIB bajo el SS: riesgo real de quiebre, adelantar producción. ","")&amp;IF(E496="BAJO SS (XLIB CUBRE)","Disponible bajo el SS; depende de liberar "&amp;TEXT(J496,"#,##0")&amp;" kg"&amp;IF(ISNUMBER(K496)," el "&amp;TEXT(K496,"dd-mm"),"")&amp;". ","")&amp;IF(W496="SÍ","Stock parece sano pero "&amp;TEXT(L496,"#,##0")&amp;" kg no pasan filtro "&amp;Stock_Seguridad!O496&amp;": sin ellos queda bajo el SS para esa cadena. ","")&amp;IF(E496="SOBRE MAX VENDIBLE","Sobrestock vs vida útil: frenar producción/activar venta. ","")&amp;IF(N(N496)&gt;=Parametros!$B$17,TEXT(N496,"#,##0")&amp;" kg ya no los acepta ninguna cadena: venta intermedia/liquidación. ","")&amp;IF(N(M496)&gt;=Parametros!$B$17,TEXT(M496,"#,##0")&amp;" kg a punto de salir del filtro: despachar primero (FEFO). ","")&amp;IF(Y496="SÍ","Pedidos "&amp;IF(N(U496)&gt;0,"sobre","bajo")&amp;" FCST "&amp;TEXT(ABS(N(U496)),"0%")&amp;": revisar forecast con KAM.","")</f>
        <v>Pedidos sobre FCST 60%: revisar forecast con KAM.</v>
      </c>
    </row>
    <row r="497" customFormat="false" ht="15" hidden="false" customHeight="false" outlineLevel="0" collapsed="false">
      <c r="A497" s="18" t="n">
        <f aca="false">Stock_Seguridad!A497</f>
        <v>30002367</v>
      </c>
      <c r="B497" s="18" t="str">
        <f aca="false">Stock_Seguridad!B497</f>
        <v>SALTEADO THAI WOK 15X400GR</v>
      </c>
      <c r="C497" s="18" t="str">
        <f aca="false">Stock_Seguridad!C497</f>
        <v>FRUTAS Y HORTALIZAS CONGELADAS</v>
      </c>
      <c r="D497" s="18" t="str">
        <f aca="false">Stock_Seguridad!F497</f>
        <v>SIN HIST</v>
      </c>
      <c r="E497" s="19" t="str">
        <f aca="false">Stock_Seguridad!X497</f>
        <v>OK</v>
      </c>
      <c r="F497" s="20" t="n">
        <f aca="false">Stock_Seguridad!W497</f>
        <v>13.635211624567</v>
      </c>
      <c r="G497" s="21" t="n">
        <f aca="false">Stock_Seguridad!T497</f>
        <v>16140</v>
      </c>
      <c r="H497" s="21" t="n">
        <f aca="false">Stock_Seguridad!R497</f>
        <v>584.103971466737</v>
      </c>
      <c r="I497" s="21" t="n">
        <f aca="false">Stock_Seguridad!S497</f>
        <v>1767.80397146674</v>
      </c>
      <c r="J497" s="21" t="n">
        <f aca="false">Stock_Seguridad!U497</f>
        <v>0</v>
      </c>
      <c r="K497" s="22"/>
      <c r="L497" s="23" t="n">
        <v>0</v>
      </c>
      <c r="M497" s="23" t="n">
        <v>0</v>
      </c>
      <c r="N497" s="23" t="n">
        <v>0</v>
      </c>
      <c r="O497" s="24" t="n">
        <v>0.0173159851301115</v>
      </c>
      <c r="P497" s="24" t="str">
        <f aca="false">IF(ISNUMBER(Stock_Seguridad!N497),Stock_Seguridad!N497,"")</f>
        <v/>
      </c>
      <c r="Q497" s="24" t="str">
        <f aca="false">IF(AND(ISNUMBER(O497),ISNUMBER(P497)),P497-O497,"")</f>
        <v/>
      </c>
      <c r="R497" s="23" t="n">
        <f aca="false">MAX(0,G497-N(L497))</f>
        <v>16140</v>
      </c>
      <c r="S497" s="23" t="n">
        <f aca="false">SUMIFS(Cadenas_vs_FCST!$D$17:$D$2437,Cadenas_vs_FCST!$A$17:$A$2437,A497)</f>
        <v>0</v>
      </c>
      <c r="T497" s="23" t="n">
        <f aca="false">SUMIFS(Cadenas_vs_FCST!$E$17:$E$2437,Cadenas_vs_FCST!$A$17:$A$2437,A497)</f>
        <v>0</v>
      </c>
      <c r="U497" s="24" t="str">
        <f aca="false">IF(T497&gt;0,S497/T497-1,"")</f>
        <v/>
      </c>
      <c r="V497" s="3" t="str">
        <f aca="false">IF(OR(E497="BAJO SS",E497="BAJO SS (XLIB CUBRE)"),"SÍ","")</f>
        <v/>
      </c>
      <c r="W497" s="3" t="str">
        <f aca="false">IF(AND(V497="",N(L497)&gt;=Parametros!$B$17,G497&gt;=H497,R497&lt;H497),"SÍ","")</f>
        <v/>
      </c>
      <c r="X497" s="3" t="str">
        <f aca="false">IF(OR(E497="SOBRE MAX VENDIBLE",N(N497)&gt;=Parametros!$B$17,N(M497)&gt;=Parametros!$B$17),"SÍ","")</f>
        <v/>
      </c>
      <c r="Y497" s="3" t="str">
        <f aca="false">IF(AND(ISNUMBER(U497),MAX(S497,T497)&gt;=Parametros!$B$15,ABS(N(U497))&gt;Parametros!$B$14),"SÍ","")</f>
        <v/>
      </c>
      <c r="Z497" s="3" t="n">
        <f aca="false">COUNTIF(V497:Y497,"SÍ")</f>
        <v>0</v>
      </c>
      <c r="AA497" s="3" t="n">
        <f aca="false">(3*(V497="SÍ")+2*(W497="SÍ")+2*(X497="SÍ")+(Y497="SÍ"))*IF(LEFT(D497,1)="A",3,IF(OR(LEFT(D497,1)="B",D497="SIN HIST"),2,1))</f>
        <v>0</v>
      </c>
      <c r="AB497" s="3" t="str">
        <f aca="false">IF(AA497&gt;=9,"1-ALTA",IF(AA497&gt;=4,"2-MEDIA",IF(AA497&gt;0,"3-BAJA","")))</f>
        <v/>
      </c>
      <c r="AC497" s="3" t="str">
        <f aca="false">IF(E497="BAJO SS","Stock + XLIB bajo el SS: riesgo real de quiebre, adelantar producción. ","")&amp;IF(E497="BAJO SS (XLIB CUBRE)","Disponible bajo el SS; depende de liberar "&amp;TEXT(J497,"#,##0")&amp;" kg"&amp;IF(ISNUMBER(K497)," el "&amp;TEXT(K497,"dd-mm"),"")&amp;". ","")&amp;IF(W497="SÍ","Stock parece sano pero "&amp;TEXT(L497,"#,##0")&amp;" kg no pasan filtro "&amp;Stock_Seguridad!O497&amp;": sin ellos queda bajo el SS para esa cadena. ","")&amp;IF(E497="SOBRE MAX VENDIBLE","Sobrestock vs vida útil: frenar producción/activar venta. ","")&amp;IF(N(N497)&gt;=Parametros!$B$17,TEXT(N497,"#,##0")&amp;" kg ya no los acepta ninguna cadena: venta intermedia/liquidación. ","")&amp;IF(N(M497)&gt;=Parametros!$B$17,TEXT(M497,"#,##0")&amp;" kg a punto de salir del filtro: despachar primero (FEFO). ","")&amp;IF(Y497="SÍ","Pedidos "&amp;IF(N(U497)&gt;0,"sobre","bajo")&amp;" FCST "&amp;TEXT(ABS(N(U497)),"0%")&amp;": revisar forecast con KAM.","")</f>
        <v/>
      </c>
    </row>
    <row r="498" customFormat="false" ht="15" hidden="false" customHeight="false" outlineLevel="0" collapsed="false">
      <c r="A498" s="18" t="n">
        <f aca="false">Stock_Seguridad!A498</f>
        <v>30001828</v>
      </c>
      <c r="B498" s="18" t="str">
        <f aca="false">Stock_Seguridad!B498</f>
        <v>LONCO L VEGETAL SOYA TRZO FLLA 12X130GR</v>
      </c>
      <c r="C498" s="18" t="str">
        <f aca="false">Stock_Seguridad!C498</f>
        <v>YOGURT</v>
      </c>
      <c r="D498" s="18" t="str">
        <f aca="false">Stock_Seguridad!F498</f>
        <v>CX</v>
      </c>
      <c r="E498" s="19" t="str">
        <f aca="false">Stock_Seguridad!X498</f>
        <v>BAJO SS</v>
      </c>
      <c r="F498" s="20" t="n">
        <f aca="false">Stock_Seguridad!W498</f>
        <v>0.51419878296146</v>
      </c>
      <c r="G498" s="21" t="n">
        <f aca="false">Stock_Seguridad!T498</f>
        <v>608.4</v>
      </c>
      <c r="H498" s="21" t="n">
        <f aca="false">Stock_Seguridad!R498</f>
        <v>973.114119683975</v>
      </c>
      <c r="I498" s="21" t="n">
        <f aca="false">Stock_Seguridad!S498</f>
        <v>2156.31411968398</v>
      </c>
      <c r="J498" s="21" t="n">
        <f aca="false">Stock_Seguridad!U498</f>
        <v>0</v>
      </c>
      <c r="K498" s="22"/>
      <c r="L498" s="23" t="n">
        <v>23.4</v>
      </c>
      <c r="M498" s="23" t="n">
        <v>0</v>
      </c>
      <c r="N498" s="23" t="n">
        <v>9.36</v>
      </c>
      <c r="O498" s="24" t="n">
        <v>0.0737209302325581</v>
      </c>
      <c r="P498" s="24" t="n">
        <f aca="false">IF(ISNUMBER(Stock_Seguridad!N498),Stock_Seguridad!N498,"")</f>
        <v>0.323943661971831</v>
      </c>
      <c r="Q498" s="24" t="n">
        <f aca="false">IF(AND(ISNUMBER(O498),ISNUMBER(P498)),P498-O498,"")</f>
        <v>0.250222731739273</v>
      </c>
      <c r="R498" s="23" t="n">
        <f aca="false">MAX(0,G498-N(L498))</f>
        <v>585</v>
      </c>
      <c r="S498" s="23" t="n">
        <f aca="false">SUMIFS(Cadenas_vs_FCST!$D$17:$D$2437,Cadenas_vs_FCST!$A$17:$A$2437,A498)</f>
        <v>8155.68</v>
      </c>
      <c r="T498" s="23" t="n">
        <f aca="false">SUMIFS(Cadenas_vs_FCST!$E$17:$E$2437,Cadenas_vs_FCST!$A$17:$A$2437,A498)</f>
        <v>6489.83999101686</v>
      </c>
      <c r="U498" s="24" t="n">
        <f aca="false">IF(T498&gt;0,S498/T498-1,"")</f>
        <v>0.256684295959373</v>
      </c>
      <c r="V498" s="3" t="str">
        <f aca="false">IF(OR(E498="BAJO SS",E498="BAJO SS (XLIB CUBRE)"),"SÍ","")</f>
        <v>SÍ</v>
      </c>
      <c r="W498" s="3" t="str">
        <f aca="false">IF(AND(V498="",N(L498)&gt;=Parametros!$B$17,G498&gt;=H498,R498&lt;H498),"SÍ","")</f>
        <v/>
      </c>
      <c r="X498" s="3" t="str">
        <f aca="false">IF(OR(E498="SOBRE MAX VENDIBLE",N(N498)&gt;=Parametros!$B$17,N(M498)&gt;=Parametros!$B$17),"SÍ","")</f>
        <v/>
      </c>
      <c r="Y498" s="3" t="str">
        <f aca="false">IF(AND(ISNUMBER(U498),MAX(S498,T498)&gt;=Parametros!$B$15,ABS(N(U498))&gt;Parametros!$B$14),"SÍ","")</f>
        <v>SÍ</v>
      </c>
      <c r="Z498" s="3" t="n">
        <f aca="false">COUNTIF(V498:Y498,"SÍ")</f>
        <v>2</v>
      </c>
      <c r="AA498" s="3" t="n">
        <f aca="false">(3*(V498="SÍ")+2*(W498="SÍ")+2*(X498="SÍ")+(Y498="SÍ"))*IF(LEFT(D498,1)="A",3,IF(OR(LEFT(D498,1)="B",D498="SIN HIST"),2,1))</f>
        <v>4</v>
      </c>
      <c r="AB498" s="3" t="str">
        <f aca="false">IF(AA498&gt;=9,"1-ALTA",IF(AA498&gt;=4,"2-MEDIA",IF(AA498&gt;0,"3-BAJA","")))</f>
        <v>2-MEDIA</v>
      </c>
      <c r="AC498" s="3" t="str">
        <f aca="false">IF(E498="BAJO SS","Stock + XLIB bajo el SS: riesgo real de quiebre, adelantar producción. ","")&amp;IF(E498="BAJO SS (XLIB CUBRE)","Disponible bajo el SS; depende de liberar "&amp;TEXT(J498,"#,##0")&amp;" kg"&amp;IF(ISNUMBER(K498)," el "&amp;TEXT(K498,"dd-mm"),"")&amp;". ","")&amp;IF(W498="SÍ","Stock parece sano pero "&amp;TEXT(L498,"#,##0")&amp;" kg no pasan filtro "&amp;Stock_Seguridad!O498&amp;": sin ellos queda bajo el SS para esa cadena. ","")&amp;IF(E498="SOBRE MAX VENDIBLE","Sobrestock vs vida útil: frenar producción/activar venta. ","")&amp;IF(N(N498)&gt;=Parametros!$B$17,TEXT(N498,"#,##0")&amp;" kg ya no los acepta ninguna cadena: venta intermedia/liquidación. ","")&amp;IF(N(M498)&gt;=Parametros!$B$17,TEXT(M498,"#,##0")&amp;" kg a punto de salir del filtro: despachar primero (FEFO). ","")&amp;IF(Y498="SÍ","Pedidos "&amp;IF(N(U498)&gt;0,"sobre","bajo")&amp;" FCST "&amp;TEXT(ABS(N(U498)),"0%")&amp;": revisar forecast con KAM.","")</f>
        <v>Stock + XLIB bajo el SS: riesgo real de quiebre, adelantar producción. Pedidos sobre FCST 26%: revisar forecast con KAM.</v>
      </c>
    </row>
    <row r="499" customFormat="false" ht="15" hidden="false" customHeight="false" outlineLevel="0" collapsed="false">
      <c r="A499" s="18" t="n">
        <f aca="false">Stock_Seguridad!A499</f>
        <v>30002217</v>
      </c>
      <c r="B499" s="18" t="str">
        <f aca="false">Stock_Seguridad!B499</f>
        <v>LECHE PLATANO LONCOLECHE 30X115ML</v>
      </c>
      <c r="C499" s="18" t="str">
        <f aca="false">Stock_Seguridad!C499</f>
        <v>LECHES LIQUIDAS</v>
      </c>
      <c r="D499" s="18" t="str">
        <f aca="false">Stock_Seguridad!F499</f>
        <v>CZ</v>
      </c>
      <c r="E499" s="19" t="str">
        <f aca="false">Stock_Seguridad!X499</f>
        <v>SOBRE MAX VENDIBLE</v>
      </c>
      <c r="F499" s="20" t="n">
        <f aca="false">Stock_Seguridad!W499</f>
        <v>12.6854180829368</v>
      </c>
      <c r="G499" s="21" t="n">
        <f aca="false">Stock_Seguridad!T499</f>
        <v>14928.2</v>
      </c>
      <c r="H499" s="21" t="n">
        <f aca="false">Stock_Seguridad!R499</f>
        <v>2266.53471032312</v>
      </c>
      <c r="I499" s="21" t="n">
        <f aca="false">Stock_Seguridad!S499</f>
        <v>3443.33471032312</v>
      </c>
      <c r="J499" s="21" t="n">
        <f aca="false">Stock_Seguridad!U499</f>
        <v>0</v>
      </c>
      <c r="K499" s="22"/>
      <c r="L499" s="23" t="n">
        <v>1304.1</v>
      </c>
      <c r="M499" s="23" t="n">
        <v>13624.05</v>
      </c>
      <c r="N499" s="23" t="n">
        <v>1304.1</v>
      </c>
      <c r="O499" s="24" t="n">
        <v>0.263461982898082</v>
      </c>
      <c r="P499" s="24" t="n">
        <f aca="false">IF(ISNUMBER(Stock_Seguridad!N499),Stock_Seguridad!N499,"")</f>
        <v>0.266355140186916</v>
      </c>
      <c r="Q499" s="24" t="n">
        <f aca="false">IF(AND(ISNUMBER(O499),ISNUMBER(P499)),P499-O499,"")</f>
        <v>0.0028931572888341</v>
      </c>
      <c r="R499" s="23" t="n">
        <f aca="false">MAX(0,G499-N(L499))</f>
        <v>13624.1</v>
      </c>
      <c r="S499" s="23" t="n">
        <f aca="false">SUMIFS(Cadenas_vs_FCST!$D$17:$D$2437,Cadenas_vs_FCST!$A$17:$A$2437,A499)</f>
        <v>3418.95</v>
      </c>
      <c r="T499" s="23" t="n">
        <f aca="false">SUMIFS(Cadenas_vs_FCST!$E$17:$E$2437,Cadenas_vs_FCST!$A$17:$A$2437,A499)</f>
        <v>6968.13798089256</v>
      </c>
      <c r="U499" s="24" t="n">
        <f aca="false">IF(T499&gt;0,S499/T499-1,"")</f>
        <v>-0.509345249853669</v>
      </c>
      <c r="V499" s="3" t="str">
        <f aca="false">IF(OR(E499="BAJO SS",E499="BAJO SS (XLIB CUBRE)"),"SÍ","")</f>
        <v/>
      </c>
      <c r="W499" s="3" t="str">
        <f aca="false">IF(AND(V499="",N(L499)&gt;=Parametros!$B$17,G499&gt;=H499,R499&lt;H499),"SÍ","")</f>
        <v/>
      </c>
      <c r="X499" s="3" t="str">
        <f aca="false">IF(OR(E499="SOBRE MAX VENDIBLE",N(N499)&gt;=Parametros!$B$17,N(M499)&gt;=Parametros!$B$17),"SÍ","")</f>
        <v>SÍ</v>
      </c>
      <c r="Y499" s="3" t="str">
        <f aca="false">IF(AND(ISNUMBER(U499),MAX(S499,T499)&gt;=Parametros!$B$15,ABS(N(U499))&gt;Parametros!$B$14),"SÍ","")</f>
        <v>SÍ</v>
      </c>
      <c r="Z499" s="3" t="n">
        <f aca="false">COUNTIF(V499:Y499,"SÍ")</f>
        <v>2</v>
      </c>
      <c r="AA499" s="3" t="n">
        <f aca="false">(3*(V499="SÍ")+2*(W499="SÍ")+2*(X499="SÍ")+(Y499="SÍ"))*IF(LEFT(D499,1)="A",3,IF(OR(LEFT(D499,1)="B",D499="SIN HIST"),2,1))</f>
        <v>3</v>
      </c>
      <c r="AB499" s="3" t="str">
        <f aca="false">IF(AA499&gt;=9,"1-ALTA",IF(AA499&gt;=4,"2-MEDIA",IF(AA499&gt;0,"3-BAJA","")))</f>
        <v>3-BAJA</v>
      </c>
      <c r="AC499" s="3" t="str">
        <f aca="false">IF(E499="BAJO SS","Stock + XLIB bajo el SS: riesgo real de quiebre, adelantar producción. ","")&amp;IF(E499="BAJO SS (XLIB CUBRE)","Disponible bajo el SS; depende de liberar "&amp;TEXT(J499,"#,##0")&amp;" kg"&amp;IF(ISNUMBER(K499)," el "&amp;TEXT(K499,"dd-mm"),"")&amp;". ","")&amp;IF(W499="SÍ","Stock parece sano pero "&amp;TEXT(L499,"#,##0")&amp;" kg no pasan filtro "&amp;Stock_Seguridad!O499&amp;": sin ellos queda bajo el SS para esa cadena. ","")&amp;IF(E499="SOBRE MAX VENDIBLE","Sobrestock vs vida útil: frenar producción/activar venta. ","")&amp;IF(N(N499)&gt;=Parametros!$B$17,TEXT(N499,"#,##0")&amp;" kg ya no los acepta ninguna cadena: venta intermedia/liquidación. ","")&amp;IF(N(M499)&gt;=Parametros!$B$17,TEXT(M499,"#,##0")&amp;" kg a punto de salir del filtro: despachar primero (FEFO). ","")&amp;IF(Y499="SÍ","Pedidos "&amp;IF(N(U499)&gt;0,"sobre","bajo")&amp;" FCST "&amp;TEXT(ABS(N(U499)),"0%")&amp;": revisar forecast con KAM.","")</f>
        <v>Sobrestock vs vida útil: frenar producción/activar venta. 1,304 kg ya no los acepta ninguna cadena: venta intermedia/liquidación. 13,624 kg a punto de salir del filtro: despachar primero (FEFO). Pedidos bajo FCST 51%: revisar forecast con KAM.</v>
      </c>
    </row>
    <row r="500" customFormat="false" ht="15" hidden="false" customHeight="false" outlineLevel="0" collapsed="false">
      <c r="A500" s="18" t="n">
        <f aca="false">Stock_Seguridad!A500</f>
        <v>30000794</v>
      </c>
      <c r="B500" s="18" t="str">
        <f aca="false">Stock_Seguridad!B500</f>
        <v>FRUTILLA CONV IQF DOY PACK 12X450GR</v>
      </c>
      <c r="C500" s="18" t="str">
        <f aca="false">Stock_Seguridad!C500</f>
        <v>FRUTAS Y HORTALIZAS CONGELADAS</v>
      </c>
      <c r="D500" s="18" t="str">
        <f aca="false">Stock_Seguridad!F500</f>
        <v>SIN HIST</v>
      </c>
      <c r="E500" s="19" t="str">
        <f aca="false">Stock_Seguridad!X500</f>
        <v>BAJO P.REORDEN</v>
      </c>
      <c r="F500" s="20" t="n">
        <f aca="false">Stock_Seguridad!W500</f>
        <v>1.47108712413261</v>
      </c>
      <c r="G500" s="21" t="n">
        <f aca="false">Stock_Seguridad!T500</f>
        <v>1717.2</v>
      </c>
      <c r="H500" s="21" t="n">
        <f aca="false">Stock_Seguridad!R500</f>
        <v>576.011291622136</v>
      </c>
      <c r="I500" s="21" t="n">
        <f aca="false">Stock_Seguridad!S500</f>
        <v>1743.31129162214</v>
      </c>
      <c r="J500" s="21" t="n">
        <f aca="false">Stock_Seguridad!U500</f>
        <v>0</v>
      </c>
      <c r="K500" s="22"/>
      <c r="L500" s="23" t="n">
        <v>0</v>
      </c>
      <c r="M500" s="23" t="n">
        <v>0</v>
      </c>
      <c r="N500" s="23" t="n">
        <v>0</v>
      </c>
      <c r="O500" s="24" t="n">
        <v>0.0823270440251572</v>
      </c>
      <c r="P500" s="24" t="str">
        <f aca="false">IF(ISNUMBER(Stock_Seguridad!N500),Stock_Seguridad!N500,"")</f>
        <v/>
      </c>
      <c r="Q500" s="24" t="str">
        <f aca="false">IF(AND(ISNUMBER(O500),ISNUMBER(P500)),P500-O500,"")</f>
        <v/>
      </c>
      <c r="R500" s="23" t="n">
        <f aca="false">MAX(0,G500-N(L500))</f>
        <v>1717.2</v>
      </c>
      <c r="S500" s="23" t="n">
        <f aca="false">SUMIFS(Cadenas_vs_FCST!$D$17:$D$2437,Cadenas_vs_FCST!$A$17:$A$2437,A500)</f>
        <v>0</v>
      </c>
      <c r="T500" s="23" t="n">
        <f aca="false">SUMIFS(Cadenas_vs_FCST!$E$17:$E$2437,Cadenas_vs_FCST!$A$17:$A$2437,A500)</f>
        <v>0</v>
      </c>
      <c r="U500" s="24" t="str">
        <f aca="false">IF(T500&gt;0,S500/T500-1,"")</f>
        <v/>
      </c>
      <c r="V500" s="3" t="str">
        <f aca="false">IF(OR(E500="BAJO SS",E500="BAJO SS (XLIB CUBRE)"),"SÍ","")</f>
        <v/>
      </c>
      <c r="W500" s="3" t="str">
        <f aca="false">IF(AND(V500="",N(L500)&gt;=Parametros!$B$17,G500&gt;=H500,R500&lt;H500),"SÍ","")</f>
        <v/>
      </c>
      <c r="X500" s="3" t="str">
        <f aca="false">IF(OR(E500="SOBRE MAX VENDIBLE",N(N500)&gt;=Parametros!$B$17,N(M500)&gt;=Parametros!$B$17),"SÍ","")</f>
        <v/>
      </c>
      <c r="Y500" s="3" t="str">
        <f aca="false">IF(AND(ISNUMBER(U500),MAX(S500,T500)&gt;=Parametros!$B$15,ABS(N(U500))&gt;Parametros!$B$14),"SÍ","")</f>
        <v/>
      </c>
      <c r="Z500" s="3" t="n">
        <f aca="false">COUNTIF(V500:Y500,"SÍ")</f>
        <v>0</v>
      </c>
      <c r="AA500" s="3" t="n">
        <f aca="false">(3*(V500="SÍ")+2*(W500="SÍ")+2*(X500="SÍ")+(Y500="SÍ"))*IF(LEFT(D500,1)="A",3,IF(OR(LEFT(D500,1)="B",D500="SIN HIST"),2,1))</f>
        <v>0</v>
      </c>
      <c r="AB500" s="3" t="str">
        <f aca="false">IF(AA500&gt;=9,"1-ALTA",IF(AA500&gt;=4,"2-MEDIA",IF(AA500&gt;0,"3-BAJA","")))</f>
        <v/>
      </c>
      <c r="AC500" s="3" t="str">
        <f aca="false">IF(E500="BAJO SS","Stock + XLIB bajo el SS: riesgo real de quiebre, adelantar producción. ","")&amp;IF(E500="BAJO SS (XLIB CUBRE)","Disponible bajo el SS; depende de liberar "&amp;TEXT(J500,"#,##0")&amp;" kg"&amp;IF(ISNUMBER(K500)," el "&amp;TEXT(K500,"dd-mm"),"")&amp;". ","")&amp;IF(W500="SÍ","Stock parece sano pero "&amp;TEXT(L500,"#,##0")&amp;" kg no pasan filtro "&amp;Stock_Seguridad!O500&amp;": sin ellos queda bajo el SS para esa cadena. ","")&amp;IF(E500="SOBRE MAX VENDIBLE","Sobrestock vs vida útil: frenar producción/activar venta. ","")&amp;IF(N(N500)&gt;=Parametros!$B$17,TEXT(N500,"#,##0")&amp;" kg ya no los acepta ninguna cadena: venta intermedia/liquidación. ","")&amp;IF(N(M500)&gt;=Parametros!$B$17,TEXT(M500,"#,##0")&amp;" kg a punto de salir del filtro: despachar primero (FEFO). ","")&amp;IF(Y500="SÍ","Pedidos "&amp;IF(N(U500)&gt;0,"sobre","bajo")&amp;" FCST "&amp;TEXT(ABS(N(U500)),"0%")&amp;": revisar forecast con KAM.","")</f>
        <v/>
      </c>
    </row>
    <row r="501" customFormat="false" ht="15" hidden="false" customHeight="false" outlineLevel="0" collapsed="false">
      <c r="A501" s="18" t="n">
        <f aca="false">Stock_Seguridad!A501</f>
        <v>30001665</v>
      </c>
      <c r="B501" s="18" t="str">
        <f aca="false">Stock_Seguridad!B501</f>
        <v>LECHE POLVO EXTRA CALCIO LONCO 10X800GR</v>
      </c>
      <c r="C501" s="18" t="str">
        <f aca="false">Stock_Seguridad!C501</f>
        <v>LECHES EN POLVO</v>
      </c>
      <c r="D501" s="18" t="str">
        <f aca="false">Stock_Seguridad!F501</f>
        <v>CX</v>
      </c>
      <c r="E501" s="19" t="str">
        <f aca="false">Stock_Seguridad!X501</f>
        <v>OK</v>
      </c>
      <c r="F501" s="20" t="n">
        <f aca="false">Stock_Seguridad!W501</f>
        <v>3.83467672783399</v>
      </c>
      <c r="G501" s="21" t="n">
        <f aca="false">Stock_Seguridad!T501</f>
        <v>4472</v>
      </c>
      <c r="H501" s="21" t="n">
        <f aca="false">Stock_Seguridad!R501</f>
        <v>365.078644189246</v>
      </c>
      <c r="I501" s="21" t="n">
        <f aca="false">Stock_Seguridad!S501</f>
        <v>1531.27864418925</v>
      </c>
      <c r="J501" s="21" t="n">
        <f aca="false">Stock_Seguridad!U501</f>
        <v>0</v>
      </c>
      <c r="K501" s="22"/>
      <c r="L501" s="23" t="n">
        <v>0</v>
      </c>
      <c r="M501" s="23" t="n">
        <v>0</v>
      </c>
      <c r="N501" s="23" t="n">
        <v>0</v>
      </c>
      <c r="O501" s="24" t="n">
        <v>0.0466666666666667</v>
      </c>
      <c r="P501" s="24" t="n">
        <f aca="false">IF(ISNUMBER(Stock_Seguridad!N501),Stock_Seguridad!N501,"")</f>
        <v>0.328467153284672</v>
      </c>
      <c r="Q501" s="24" t="n">
        <f aca="false">IF(AND(ISNUMBER(O501),ISNUMBER(P501)),P501-O501,"")</f>
        <v>0.281800486618005</v>
      </c>
      <c r="R501" s="23" t="n">
        <f aca="false">MAX(0,G501-N(L501))</f>
        <v>4472</v>
      </c>
      <c r="S501" s="23" t="n">
        <f aca="false">SUMIFS(Cadenas_vs_FCST!$D$17:$D$2437,Cadenas_vs_FCST!$A$17:$A$2437,A501)</f>
        <v>3824</v>
      </c>
      <c r="T501" s="23" t="n">
        <f aca="false">SUMIFS(Cadenas_vs_FCST!$E$17:$E$2437,Cadenas_vs_FCST!$A$17:$A$2437,A501)</f>
        <v>4914.15523754267</v>
      </c>
      <c r="U501" s="24" t="n">
        <f aca="false">IF(T501&gt;0,S501/T501-1,"")</f>
        <v>-0.221839804573981</v>
      </c>
      <c r="V501" s="3" t="str">
        <f aca="false">IF(OR(E501="BAJO SS",E501="BAJO SS (XLIB CUBRE)"),"SÍ","")</f>
        <v/>
      </c>
      <c r="W501" s="3" t="str">
        <f aca="false">IF(AND(V501="",N(L501)&gt;=Parametros!$B$17,G501&gt;=H501,R501&lt;H501),"SÍ","")</f>
        <v/>
      </c>
      <c r="X501" s="3" t="str">
        <f aca="false">IF(OR(E501="SOBRE MAX VENDIBLE",N(N501)&gt;=Parametros!$B$17,N(M501)&gt;=Parametros!$B$17),"SÍ","")</f>
        <v/>
      </c>
      <c r="Y501" s="3" t="str">
        <f aca="false">IF(AND(ISNUMBER(U501),MAX(S501,T501)&gt;=Parametros!$B$15,ABS(N(U501))&gt;Parametros!$B$14),"SÍ","")</f>
        <v>SÍ</v>
      </c>
      <c r="Z501" s="3" t="n">
        <f aca="false">COUNTIF(V501:Y501,"SÍ")</f>
        <v>1</v>
      </c>
      <c r="AA501" s="3" t="n">
        <f aca="false">(3*(V501="SÍ")+2*(W501="SÍ")+2*(X501="SÍ")+(Y501="SÍ"))*IF(LEFT(D501,1)="A",3,IF(OR(LEFT(D501,1)="B",D501="SIN HIST"),2,1))</f>
        <v>1</v>
      </c>
      <c r="AB501" s="3" t="str">
        <f aca="false">IF(AA501&gt;=9,"1-ALTA",IF(AA501&gt;=4,"2-MEDIA",IF(AA501&gt;0,"3-BAJA","")))</f>
        <v>3-BAJA</v>
      </c>
      <c r="AC501" s="3" t="str">
        <f aca="false">IF(E501="BAJO SS","Stock + XLIB bajo el SS: riesgo real de quiebre, adelantar producción. ","")&amp;IF(E501="BAJO SS (XLIB CUBRE)","Disponible bajo el SS; depende de liberar "&amp;TEXT(J501,"#,##0")&amp;" kg"&amp;IF(ISNUMBER(K501)," el "&amp;TEXT(K501,"dd-mm"),"")&amp;". ","")&amp;IF(W501="SÍ","Stock parece sano pero "&amp;TEXT(L501,"#,##0")&amp;" kg no pasan filtro "&amp;Stock_Seguridad!O501&amp;": sin ellos queda bajo el SS para esa cadena. ","")&amp;IF(E501="SOBRE MAX VENDIBLE","Sobrestock vs vida útil: frenar producción/activar venta. ","")&amp;IF(N(N501)&gt;=Parametros!$B$17,TEXT(N501,"#,##0")&amp;" kg ya no los acepta ninguna cadena: venta intermedia/liquidación. ","")&amp;IF(N(M501)&gt;=Parametros!$B$17,TEXT(M501,"#,##0")&amp;" kg a punto de salir del filtro: despachar primero (FEFO). ","")&amp;IF(Y501="SÍ","Pedidos "&amp;IF(N(U501)&gt;0,"sobre","bajo")&amp;" FCST "&amp;TEXT(ABS(N(U501)),"0%")&amp;": revisar forecast con KAM.","")</f>
        <v>Pedidos bajo FCST 22%: revisar forecast con KAM.</v>
      </c>
    </row>
    <row r="502" customFormat="false" ht="15" hidden="false" customHeight="false" outlineLevel="0" collapsed="false">
      <c r="A502" s="18" t="n">
        <f aca="false">Stock_Seguridad!A502</f>
        <v>30001568</v>
      </c>
      <c r="B502" s="18" t="str">
        <f aca="false">Stock_Seguridad!B502</f>
        <v>PAPAS DUQUESA BBQ 26X500GR</v>
      </c>
      <c r="C502" s="18" t="str">
        <f aca="false">Stock_Seguridad!C502</f>
        <v>FRUTAS Y HORTALIZAS CONGELADAS</v>
      </c>
      <c r="D502" s="18" t="str">
        <f aca="false">Stock_Seguridad!F502</f>
        <v>SIN HIST</v>
      </c>
      <c r="E502" s="19" t="str">
        <f aca="false">Stock_Seguridad!X502</f>
        <v>OK</v>
      </c>
      <c r="F502" s="20" t="n">
        <f aca="false">Stock_Seguridad!W502</f>
        <v>4.21513124034997</v>
      </c>
      <c r="G502" s="21" t="n">
        <f aca="false">Stock_Seguridad!T502</f>
        <v>4914</v>
      </c>
      <c r="H502" s="21" t="n">
        <f aca="false">Stock_Seguridad!R502</f>
        <v>575.271107490008</v>
      </c>
      <c r="I502" s="21" t="n">
        <f aca="false">Stock_Seguridad!S502</f>
        <v>1741.07110749001</v>
      </c>
      <c r="J502" s="21" t="n">
        <f aca="false">Stock_Seguridad!U502</f>
        <v>0</v>
      </c>
      <c r="K502" s="22"/>
      <c r="L502" s="23" t="n">
        <v>0</v>
      </c>
      <c r="M502" s="23" t="n">
        <v>0</v>
      </c>
      <c r="N502" s="23" t="n">
        <v>0</v>
      </c>
      <c r="O502" s="24" t="n">
        <v>0.606381322957199</v>
      </c>
      <c r="P502" s="24" t="str">
        <f aca="false">IF(ISNUMBER(Stock_Seguridad!N502),Stock_Seguridad!N502,"")</f>
        <v/>
      </c>
      <c r="Q502" s="24" t="str">
        <f aca="false">IF(AND(ISNUMBER(O502),ISNUMBER(P502)),P502-O502,"")</f>
        <v/>
      </c>
      <c r="R502" s="23" t="n">
        <f aca="false">MAX(0,G502-N(L502))</f>
        <v>4914</v>
      </c>
      <c r="S502" s="23" t="n">
        <f aca="false">SUMIFS(Cadenas_vs_FCST!$D$17:$D$2437,Cadenas_vs_FCST!$A$17:$A$2437,A502)</f>
        <v>0</v>
      </c>
      <c r="T502" s="23" t="n">
        <f aca="false">SUMIFS(Cadenas_vs_FCST!$E$17:$E$2437,Cadenas_vs_FCST!$A$17:$A$2437,A502)</f>
        <v>0</v>
      </c>
      <c r="U502" s="24" t="str">
        <f aca="false">IF(T502&gt;0,S502/T502-1,"")</f>
        <v/>
      </c>
      <c r="V502" s="3" t="str">
        <f aca="false">IF(OR(E502="BAJO SS",E502="BAJO SS (XLIB CUBRE)"),"SÍ","")</f>
        <v/>
      </c>
      <c r="W502" s="3" t="str">
        <f aca="false">IF(AND(V502="",N(L502)&gt;=Parametros!$B$17,G502&gt;=H502,R502&lt;H502),"SÍ","")</f>
        <v/>
      </c>
      <c r="X502" s="3" t="str">
        <f aca="false">IF(OR(E502="SOBRE MAX VENDIBLE",N(N502)&gt;=Parametros!$B$17,N(M502)&gt;=Parametros!$B$17),"SÍ","")</f>
        <v/>
      </c>
      <c r="Y502" s="3" t="str">
        <f aca="false">IF(AND(ISNUMBER(U502),MAX(S502,T502)&gt;=Parametros!$B$15,ABS(N(U502))&gt;Parametros!$B$14),"SÍ","")</f>
        <v/>
      </c>
      <c r="Z502" s="3" t="n">
        <f aca="false">COUNTIF(V502:Y502,"SÍ")</f>
        <v>0</v>
      </c>
      <c r="AA502" s="3" t="n">
        <f aca="false">(3*(V502="SÍ")+2*(W502="SÍ")+2*(X502="SÍ")+(Y502="SÍ"))*IF(LEFT(D502,1)="A",3,IF(OR(LEFT(D502,1)="B",D502="SIN HIST"),2,1))</f>
        <v>0</v>
      </c>
      <c r="AB502" s="3" t="str">
        <f aca="false">IF(AA502&gt;=9,"1-ALTA",IF(AA502&gt;=4,"2-MEDIA",IF(AA502&gt;0,"3-BAJA","")))</f>
        <v/>
      </c>
      <c r="AC502" s="3" t="str">
        <f aca="false">IF(E502="BAJO SS","Stock + XLIB bajo el SS: riesgo real de quiebre, adelantar producción. ","")&amp;IF(E502="BAJO SS (XLIB CUBRE)","Disponible bajo el SS; depende de liberar "&amp;TEXT(J502,"#,##0")&amp;" kg"&amp;IF(ISNUMBER(K502)," el "&amp;TEXT(K502,"dd-mm"),"")&amp;". ","")&amp;IF(W502="SÍ","Stock parece sano pero "&amp;TEXT(L502,"#,##0")&amp;" kg no pasan filtro "&amp;Stock_Seguridad!O502&amp;": sin ellos queda bajo el SS para esa cadena. ","")&amp;IF(E502="SOBRE MAX VENDIBLE","Sobrestock vs vida útil: frenar producción/activar venta. ","")&amp;IF(N(N502)&gt;=Parametros!$B$17,TEXT(N502,"#,##0")&amp;" kg ya no los acepta ninguna cadena: venta intermedia/liquidación. ","")&amp;IF(N(M502)&gt;=Parametros!$B$17,TEXT(M502,"#,##0")&amp;" kg a punto de salir del filtro: despachar primero (FEFO). ","")&amp;IF(Y502="SÍ","Pedidos "&amp;IF(N(U502)&gt;0,"sobre","bajo")&amp;" FCST "&amp;TEXT(ABS(N(U502)),"0%")&amp;": revisar forecast con KAM.","")</f>
        <v/>
      </c>
    </row>
    <row r="503" customFormat="false" ht="15" hidden="false" customHeight="false" outlineLevel="0" collapsed="false">
      <c r="A503" s="18" t="n">
        <f aca="false">Stock_Seguridad!A503</f>
        <v>30000106</v>
      </c>
      <c r="B503" s="18" t="str">
        <f aca="false">Stock_Seguridad!B503</f>
        <v>MARGARINA CONDESA HORNEO VEGETAL 20X1KG</v>
      </c>
      <c r="C503" s="18" t="str">
        <f aca="false">Stock_Seguridad!C503</f>
        <v>MARGARINAS</v>
      </c>
      <c r="D503" s="18" t="str">
        <f aca="false">Stock_Seguridad!F503</f>
        <v>SIN HIST</v>
      </c>
      <c r="E503" s="19" t="str">
        <f aca="false">Stock_Seguridad!X503</f>
        <v>SOBRE MAX VENDIBLE</v>
      </c>
      <c r="F503" s="20" t="n">
        <f aca="false">Stock_Seguridad!W503</f>
        <v>9.94152046783626</v>
      </c>
      <c r="G503" s="21" t="n">
        <f aca="false">Stock_Seguridad!T503</f>
        <v>11560</v>
      </c>
      <c r="H503" s="21" t="n">
        <f aca="false">Stock_Seguridad!R503</f>
        <v>573.790739225751</v>
      </c>
      <c r="I503" s="21" t="n">
        <f aca="false">Stock_Seguridad!S503</f>
        <v>1736.59073922575</v>
      </c>
      <c r="J503" s="21" t="n">
        <f aca="false">Stock_Seguridad!U503</f>
        <v>0</v>
      </c>
      <c r="K503" s="22"/>
      <c r="L503" s="23" t="n">
        <v>11560</v>
      </c>
      <c r="M503" s="23" t="n">
        <v>0</v>
      </c>
      <c r="N503" s="23" t="n">
        <v>2300</v>
      </c>
      <c r="O503" s="24" t="n">
        <v>0.30659169550173</v>
      </c>
      <c r="P503" s="24" t="n">
        <f aca="false">IF(ISNUMBER(Stock_Seguridad!N503),Stock_Seguridad!N503,"")</f>
        <v>0.220408163265306</v>
      </c>
      <c r="Q503" s="24" t="n">
        <f aca="false">IF(AND(ISNUMBER(O503),ISNUMBER(P503)),P503-O503,"")</f>
        <v>-0.086183532236424</v>
      </c>
      <c r="R503" s="23" t="n">
        <f aca="false">MAX(0,G503-N(L503))</f>
        <v>0</v>
      </c>
      <c r="S503" s="23" t="n">
        <f aca="false">SUMIFS(Cadenas_vs_FCST!$D$17:$D$2437,Cadenas_vs_FCST!$A$17:$A$2437,A503)</f>
        <v>0</v>
      </c>
      <c r="T503" s="23" t="n">
        <f aca="false">SUMIFS(Cadenas_vs_FCST!$E$17:$E$2437,Cadenas_vs_FCST!$A$17:$A$2437,A503)</f>
        <v>0</v>
      </c>
      <c r="U503" s="24" t="str">
        <f aca="false">IF(T503&gt;0,S503/T503-1,"")</f>
        <v/>
      </c>
      <c r="V503" s="3" t="str">
        <f aca="false">IF(OR(E503="BAJO SS",E503="BAJO SS (XLIB CUBRE)"),"SÍ","")</f>
        <v/>
      </c>
      <c r="W503" s="3" t="str">
        <f aca="false">IF(AND(V503="",N(L503)&gt;=Parametros!$B$17,G503&gt;=H503,R503&lt;H503),"SÍ","")</f>
        <v>SÍ</v>
      </c>
      <c r="X503" s="3" t="str">
        <f aca="false">IF(OR(E503="SOBRE MAX VENDIBLE",N(N503)&gt;=Parametros!$B$17,N(M503)&gt;=Parametros!$B$17),"SÍ","")</f>
        <v>SÍ</v>
      </c>
      <c r="Y503" s="3" t="str">
        <f aca="false">IF(AND(ISNUMBER(U503),MAX(S503,T503)&gt;=Parametros!$B$15,ABS(N(U503))&gt;Parametros!$B$14),"SÍ","")</f>
        <v/>
      </c>
      <c r="Z503" s="3" t="n">
        <f aca="false">COUNTIF(V503:Y503,"SÍ")</f>
        <v>2</v>
      </c>
      <c r="AA503" s="3" t="n">
        <f aca="false">(3*(V503="SÍ")+2*(W503="SÍ")+2*(X503="SÍ")+(Y503="SÍ"))*IF(LEFT(D503,1)="A",3,IF(OR(LEFT(D503,1)="B",D503="SIN HIST"),2,1))</f>
        <v>8</v>
      </c>
      <c r="AB503" s="3" t="str">
        <f aca="false">IF(AA503&gt;=9,"1-ALTA",IF(AA503&gt;=4,"2-MEDIA",IF(AA503&gt;0,"3-BAJA","")))</f>
        <v>2-MEDIA</v>
      </c>
      <c r="AC503" s="3" t="str">
        <f aca="false">IF(E503="BAJO SS","Stock + XLIB bajo el SS: riesgo real de quiebre, adelantar producción. ","")&amp;IF(E503="BAJO SS (XLIB CUBRE)","Disponible bajo el SS; depende de liberar "&amp;TEXT(J503,"#,##0")&amp;" kg"&amp;IF(ISNUMBER(K503)," el "&amp;TEXT(K503,"dd-mm"),"")&amp;". ","")&amp;IF(W503="SÍ","Stock parece sano pero "&amp;TEXT(L503,"#,##0")&amp;" kg no pasan filtro "&amp;Stock_Seguridad!O503&amp;": sin ellos queda bajo el SS para esa cadena. ","")&amp;IF(E503="SOBRE MAX VENDIBLE","Sobrestock vs vida útil: frenar producción/activar venta. ","")&amp;IF(N(N503)&gt;=Parametros!$B$17,TEXT(N503,"#,##0")&amp;" kg ya no los acepta ninguna cadena: venta intermedia/liquidación. ","")&amp;IF(N(M503)&gt;=Parametros!$B$17,TEXT(M503,"#,##0")&amp;" kg a punto de salir del filtro: despachar primero (FEFO). ","")&amp;IF(Y503="SÍ","Pedidos "&amp;IF(N(U503)&gt;0,"sobre","bajo")&amp;" FCST "&amp;TEXT(ABS(N(U503)),"0%")&amp;": revisar forecast con KAM.","")</f>
        <v>Stock parece sano pero 11,560 kg no pasan filtro WALMART: sin ellos queda bajo el SS para esa cadena. Sobrestock vs vida útil: frenar producción/activar venta. 2,300 kg ya no los acepta ninguna cadena: venta intermedia/liquidación. </v>
      </c>
    </row>
    <row r="504" customFormat="false" ht="15" hidden="false" customHeight="false" outlineLevel="0" collapsed="false">
      <c r="A504" s="18" t="n">
        <f aca="false">Stock_Seguridad!A504</f>
        <v>30002003</v>
      </c>
      <c r="B504" s="18" t="str">
        <f aca="false">Stock_Seguridad!B504</f>
        <v>CHOCLO GRANO 32X260G</v>
      </c>
      <c r="C504" s="18" t="str">
        <f aca="false">Stock_Seguridad!C504</f>
        <v>FRUTAS Y HORTALIZAS CONGELADAS</v>
      </c>
      <c r="D504" s="18" t="str">
        <f aca="false">Stock_Seguridad!F504</f>
        <v>SIN HIST</v>
      </c>
      <c r="E504" s="19" t="str">
        <f aca="false">Stock_Seguridad!X504</f>
        <v>BAJO P.REORDEN</v>
      </c>
      <c r="F504" s="20" t="n">
        <f aca="false">Stock_Seguridad!W504</f>
        <v>1.1734606123151</v>
      </c>
      <c r="G504" s="21" t="n">
        <f aca="false">Stock_Seguridad!T504</f>
        <v>1364.5</v>
      </c>
      <c r="H504" s="21" t="n">
        <f aca="false">Stock_Seguridad!R504</f>
        <v>573.790739225751</v>
      </c>
      <c r="I504" s="21" t="n">
        <f aca="false">Stock_Seguridad!S504</f>
        <v>1736.59073922575</v>
      </c>
      <c r="J504" s="21" t="n">
        <f aca="false">Stock_Seguridad!U504</f>
        <v>0</v>
      </c>
      <c r="K504" s="22"/>
      <c r="L504" s="23" t="n">
        <v>0</v>
      </c>
      <c r="M504" s="23" t="n">
        <v>0</v>
      </c>
      <c r="N504" s="23" t="n">
        <v>0</v>
      </c>
      <c r="O504" s="24" t="n">
        <v>0.509146341463415</v>
      </c>
      <c r="P504" s="24" t="str">
        <f aca="false">IF(ISNUMBER(Stock_Seguridad!N504),Stock_Seguridad!N504,"")</f>
        <v/>
      </c>
      <c r="Q504" s="24" t="str">
        <f aca="false">IF(AND(ISNUMBER(O504),ISNUMBER(P504)),P504-O504,"")</f>
        <v/>
      </c>
      <c r="R504" s="23" t="n">
        <f aca="false">MAX(0,G504-N(L504))</f>
        <v>1364.5</v>
      </c>
      <c r="S504" s="23" t="n">
        <f aca="false">SUMIFS(Cadenas_vs_FCST!$D$17:$D$2437,Cadenas_vs_FCST!$A$17:$A$2437,A504)</f>
        <v>0</v>
      </c>
      <c r="T504" s="23" t="n">
        <f aca="false">SUMIFS(Cadenas_vs_FCST!$E$17:$E$2437,Cadenas_vs_FCST!$A$17:$A$2437,A504)</f>
        <v>0</v>
      </c>
      <c r="U504" s="24" t="str">
        <f aca="false">IF(T504&gt;0,S504/T504-1,"")</f>
        <v/>
      </c>
      <c r="V504" s="3" t="str">
        <f aca="false">IF(OR(E504="BAJO SS",E504="BAJO SS (XLIB CUBRE)"),"SÍ","")</f>
        <v/>
      </c>
      <c r="W504" s="3" t="str">
        <f aca="false">IF(AND(V504="",N(L504)&gt;=Parametros!$B$17,G504&gt;=H504,R504&lt;H504),"SÍ","")</f>
        <v/>
      </c>
      <c r="X504" s="3" t="str">
        <f aca="false">IF(OR(E504="SOBRE MAX VENDIBLE",N(N504)&gt;=Parametros!$B$17,N(M504)&gt;=Parametros!$B$17),"SÍ","")</f>
        <v/>
      </c>
      <c r="Y504" s="3" t="str">
        <f aca="false">IF(AND(ISNUMBER(U504),MAX(S504,T504)&gt;=Parametros!$B$15,ABS(N(U504))&gt;Parametros!$B$14),"SÍ","")</f>
        <v/>
      </c>
      <c r="Z504" s="3" t="n">
        <f aca="false">COUNTIF(V504:Y504,"SÍ")</f>
        <v>0</v>
      </c>
      <c r="AA504" s="3" t="n">
        <f aca="false">(3*(V504="SÍ")+2*(W504="SÍ")+2*(X504="SÍ")+(Y504="SÍ"))*IF(LEFT(D504,1)="A",3,IF(OR(LEFT(D504,1)="B",D504="SIN HIST"),2,1))</f>
        <v>0</v>
      </c>
      <c r="AB504" s="3" t="str">
        <f aca="false">IF(AA504&gt;=9,"1-ALTA",IF(AA504&gt;=4,"2-MEDIA",IF(AA504&gt;0,"3-BAJA","")))</f>
        <v/>
      </c>
      <c r="AC504" s="3" t="str">
        <f aca="false">IF(E504="BAJO SS","Stock + XLIB bajo el SS: riesgo real de quiebre, adelantar producción. ","")&amp;IF(E504="BAJO SS (XLIB CUBRE)","Disponible bajo el SS; depende de liberar "&amp;TEXT(J504,"#,##0")&amp;" kg"&amp;IF(ISNUMBER(K504)," el "&amp;TEXT(K504,"dd-mm"),"")&amp;". ","")&amp;IF(W504="SÍ","Stock parece sano pero "&amp;TEXT(L504,"#,##0")&amp;" kg no pasan filtro "&amp;Stock_Seguridad!O504&amp;": sin ellos queda bajo el SS para esa cadena. ","")&amp;IF(E504="SOBRE MAX VENDIBLE","Sobrestock vs vida útil: frenar producción/activar venta. ","")&amp;IF(N(N504)&gt;=Parametros!$B$17,TEXT(N504,"#,##0")&amp;" kg ya no los acepta ninguna cadena: venta intermedia/liquidación. ","")&amp;IF(N(M504)&gt;=Parametros!$B$17,TEXT(M504,"#,##0")&amp;" kg a punto de salir del filtro: despachar primero (FEFO). ","")&amp;IF(Y504="SÍ","Pedidos "&amp;IF(N(U504)&gt;0,"sobre","bajo")&amp;" FCST "&amp;TEXT(ABS(N(U504)),"0%")&amp;": revisar forecast con KAM.","")</f>
        <v/>
      </c>
    </row>
    <row r="505" customFormat="false" ht="15" hidden="false" customHeight="false" outlineLevel="0" collapsed="false">
      <c r="A505" s="18" t="n">
        <f aca="false">Stock_Seguridad!A505</f>
        <v>30000885</v>
      </c>
      <c r="B505" s="18" t="str">
        <f aca="false">Stock_Seguridad!B505</f>
        <v>HUMITA HOJA 1X30UN</v>
      </c>
      <c r="C505" s="18" t="str">
        <f aca="false">Stock_Seguridad!C505</f>
        <v>FRUTAS Y HORTALIZAS CONGELADAS</v>
      </c>
      <c r="D505" s="18" t="str">
        <f aca="false">Stock_Seguridad!F505</f>
        <v>SIN HIST</v>
      </c>
      <c r="E505" s="19" t="str">
        <f aca="false">Stock_Seguridad!X505</f>
        <v>BAJO P.REORDEN</v>
      </c>
      <c r="F505" s="20" t="n">
        <f aca="false">Stock_Seguridad!W505</f>
        <v>1.36996904024768</v>
      </c>
      <c r="G505" s="21" t="n">
        <f aca="false">Stock_Seguridad!T505</f>
        <v>1593</v>
      </c>
      <c r="H505" s="21" t="n">
        <f aca="false">Stock_Seguridad!R505</f>
        <v>573.790739225751</v>
      </c>
      <c r="I505" s="21" t="n">
        <f aca="false">Stock_Seguridad!S505</f>
        <v>1736.59073922575</v>
      </c>
      <c r="J505" s="21" t="n">
        <f aca="false">Stock_Seguridad!U505</f>
        <v>0</v>
      </c>
      <c r="K505" s="22"/>
      <c r="L505" s="23" t="n">
        <v>0</v>
      </c>
      <c r="M505" s="23" t="n">
        <v>0</v>
      </c>
      <c r="N505" s="23" t="n">
        <v>0</v>
      </c>
      <c r="O505" s="24" t="n">
        <v>0.535988700564972</v>
      </c>
      <c r="P505" s="24" t="str">
        <f aca="false">IF(ISNUMBER(Stock_Seguridad!N505),Stock_Seguridad!N505,"")</f>
        <v/>
      </c>
      <c r="Q505" s="24" t="str">
        <f aca="false">IF(AND(ISNUMBER(O505),ISNUMBER(P505)),P505-O505,"")</f>
        <v/>
      </c>
      <c r="R505" s="23" t="n">
        <f aca="false">MAX(0,G505-N(L505))</f>
        <v>1593</v>
      </c>
      <c r="S505" s="23" t="n">
        <f aca="false">SUMIFS(Cadenas_vs_FCST!$D$17:$D$2437,Cadenas_vs_FCST!$A$17:$A$2437,A505)</f>
        <v>0</v>
      </c>
      <c r="T505" s="23" t="n">
        <f aca="false">SUMIFS(Cadenas_vs_FCST!$E$17:$E$2437,Cadenas_vs_FCST!$A$17:$A$2437,A505)</f>
        <v>0</v>
      </c>
      <c r="U505" s="24" t="str">
        <f aca="false">IF(T505&gt;0,S505/T505-1,"")</f>
        <v/>
      </c>
      <c r="V505" s="3" t="str">
        <f aca="false">IF(OR(E505="BAJO SS",E505="BAJO SS (XLIB CUBRE)"),"SÍ","")</f>
        <v/>
      </c>
      <c r="W505" s="3" t="str">
        <f aca="false">IF(AND(V505="",N(L505)&gt;=Parametros!$B$17,G505&gt;=H505,R505&lt;H505),"SÍ","")</f>
        <v/>
      </c>
      <c r="X505" s="3" t="str">
        <f aca="false">IF(OR(E505="SOBRE MAX VENDIBLE",N(N505)&gt;=Parametros!$B$17,N(M505)&gt;=Parametros!$B$17),"SÍ","")</f>
        <v/>
      </c>
      <c r="Y505" s="3" t="str">
        <f aca="false">IF(AND(ISNUMBER(U505),MAX(S505,T505)&gt;=Parametros!$B$15,ABS(N(U505))&gt;Parametros!$B$14),"SÍ","")</f>
        <v/>
      </c>
      <c r="Z505" s="3" t="n">
        <f aca="false">COUNTIF(V505:Y505,"SÍ")</f>
        <v>0</v>
      </c>
      <c r="AA505" s="3" t="n">
        <f aca="false">(3*(V505="SÍ")+2*(W505="SÍ")+2*(X505="SÍ")+(Y505="SÍ"))*IF(LEFT(D505,1)="A",3,IF(OR(LEFT(D505,1)="B",D505="SIN HIST"),2,1))</f>
        <v>0</v>
      </c>
      <c r="AB505" s="3" t="str">
        <f aca="false">IF(AA505&gt;=9,"1-ALTA",IF(AA505&gt;=4,"2-MEDIA",IF(AA505&gt;0,"3-BAJA","")))</f>
        <v/>
      </c>
      <c r="AC505" s="3" t="str">
        <f aca="false">IF(E505="BAJO SS","Stock + XLIB bajo el SS: riesgo real de quiebre, adelantar producción. ","")&amp;IF(E505="BAJO SS (XLIB CUBRE)","Disponible bajo el SS; depende de liberar "&amp;TEXT(J505,"#,##0")&amp;" kg"&amp;IF(ISNUMBER(K505)," el "&amp;TEXT(K505,"dd-mm"),"")&amp;". ","")&amp;IF(W505="SÍ","Stock parece sano pero "&amp;TEXT(L505,"#,##0")&amp;" kg no pasan filtro "&amp;Stock_Seguridad!O505&amp;": sin ellos queda bajo el SS para esa cadena. ","")&amp;IF(E505="SOBRE MAX VENDIBLE","Sobrestock vs vida útil: frenar producción/activar venta. ","")&amp;IF(N(N505)&gt;=Parametros!$B$17,TEXT(N505,"#,##0")&amp;" kg ya no los acepta ninguna cadena: venta intermedia/liquidación. ","")&amp;IF(N(M505)&gt;=Parametros!$B$17,TEXT(M505,"#,##0")&amp;" kg a punto de salir del filtro: despachar primero (FEFO). ","")&amp;IF(Y505="SÍ","Pedidos "&amp;IF(N(U505)&gt;0,"sobre","bajo")&amp;" FCST "&amp;TEXT(ABS(N(U505)),"0%")&amp;": revisar forecast con KAM.","")</f>
        <v/>
      </c>
    </row>
    <row r="506" customFormat="false" ht="15" hidden="false" customHeight="false" outlineLevel="0" collapsed="false">
      <c r="A506" s="18" t="n">
        <f aca="false">Stock_Seguridad!A506</f>
        <v>30002231</v>
      </c>
      <c r="B506" s="18" t="str">
        <f aca="false">Stock_Seguridad!B506</f>
        <v>QUESO CREMA 6X1,36KG</v>
      </c>
      <c r="C506" s="18" t="str">
        <f aca="false">Stock_Seguridad!C506</f>
        <v>QUESOS</v>
      </c>
      <c r="D506" s="18" t="str">
        <f aca="false">Stock_Seguridad!F506</f>
        <v>SIN HIST</v>
      </c>
      <c r="E506" s="19" t="str">
        <f aca="false">Stock_Seguridad!X506</f>
        <v>BAJO SS</v>
      </c>
      <c r="F506" s="20" t="n">
        <f aca="false">Stock_Seguridad!W506</f>
        <v>0</v>
      </c>
      <c r="G506" s="21" t="n">
        <f aca="false">Stock_Seguridad!T506</f>
        <v>0</v>
      </c>
      <c r="H506" s="21" t="n">
        <f aca="false">Stock_Seguridad!R506</f>
        <v>573.790739225751</v>
      </c>
      <c r="I506" s="21" t="n">
        <f aca="false">Stock_Seguridad!S506</f>
        <v>1736.59073922575</v>
      </c>
      <c r="J506" s="21" t="n">
        <f aca="false">Stock_Seguridad!U506</f>
        <v>0</v>
      </c>
      <c r="K506" s="22"/>
      <c r="L506" s="23"/>
      <c r="M506" s="23"/>
      <c r="N506" s="23"/>
      <c r="O506" s="24"/>
      <c r="P506" s="24" t="str">
        <f aca="false">IF(ISNUMBER(Stock_Seguridad!N506),Stock_Seguridad!N506,"")</f>
        <v/>
      </c>
      <c r="Q506" s="24" t="str">
        <f aca="false">IF(AND(ISNUMBER(O506),ISNUMBER(P506)),P506-O506,"")</f>
        <v/>
      </c>
      <c r="R506" s="23" t="n">
        <f aca="false">MAX(0,G506-N(L506))</f>
        <v>0</v>
      </c>
      <c r="S506" s="23" t="n">
        <f aca="false">SUMIFS(Cadenas_vs_FCST!$D$17:$D$2437,Cadenas_vs_FCST!$A$17:$A$2437,A506)</f>
        <v>0</v>
      </c>
      <c r="T506" s="23" t="n">
        <f aca="false">SUMIFS(Cadenas_vs_FCST!$E$17:$E$2437,Cadenas_vs_FCST!$A$17:$A$2437,A506)</f>
        <v>0</v>
      </c>
      <c r="U506" s="24" t="str">
        <f aca="false">IF(T506&gt;0,S506/T506-1,"")</f>
        <v/>
      </c>
      <c r="V506" s="3" t="str">
        <f aca="false">IF(OR(E506="BAJO SS",E506="BAJO SS (XLIB CUBRE)"),"SÍ","")</f>
        <v>SÍ</v>
      </c>
      <c r="W506" s="3" t="str">
        <f aca="false">IF(AND(V506="",N(L506)&gt;=Parametros!$B$17,G506&gt;=H506,R506&lt;H506),"SÍ","")</f>
        <v/>
      </c>
      <c r="X506" s="3" t="str">
        <f aca="false">IF(OR(E506="SOBRE MAX VENDIBLE",N(N506)&gt;=Parametros!$B$17,N(M506)&gt;=Parametros!$B$17),"SÍ","")</f>
        <v/>
      </c>
      <c r="Y506" s="3" t="str">
        <f aca="false">IF(AND(ISNUMBER(U506),MAX(S506,T506)&gt;=Parametros!$B$15,ABS(N(U506))&gt;Parametros!$B$14),"SÍ","")</f>
        <v/>
      </c>
      <c r="Z506" s="3" t="n">
        <f aca="false">COUNTIF(V506:Y506,"SÍ")</f>
        <v>1</v>
      </c>
      <c r="AA506" s="3" t="n">
        <f aca="false">(3*(V506="SÍ")+2*(W506="SÍ")+2*(X506="SÍ")+(Y506="SÍ"))*IF(LEFT(D506,1)="A",3,IF(OR(LEFT(D506,1)="B",D506="SIN HIST"),2,1))</f>
        <v>6</v>
      </c>
      <c r="AB506" s="3" t="str">
        <f aca="false">IF(AA506&gt;=9,"1-ALTA",IF(AA506&gt;=4,"2-MEDIA",IF(AA506&gt;0,"3-BAJA","")))</f>
        <v>2-MEDIA</v>
      </c>
      <c r="AC506" s="3" t="str">
        <f aca="false">IF(E506="BAJO SS","Stock + XLIB bajo el SS: riesgo real de quiebre, adelantar producción. ","")&amp;IF(E506="BAJO SS (XLIB CUBRE)","Disponible bajo el SS; depende de liberar "&amp;TEXT(J506,"#,##0")&amp;" kg"&amp;IF(ISNUMBER(K506)," el "&amp;TEXT(K506,"dd-mm"),"")&amp;". ","")&amp;IF(W506="SÍ","Stock parece sano pero "&amp;TEXT(L506,"#,##0")&amp;" kg no pasan filtro "&amp;Stock_Seguridad!O506&amp;": sin ellos queda bajo el SS para esa cadena. ","")&amp;IF(E506="SOBRE MAX VENDIBLE","Sobrestock vs vida útil: frenar producción/activar venta. ","")&amp;IF(N(N506)&gt;=Parametros!$B$17,TEXT(N506,"#,##0")&amp;" kg ya no los acepta ninguna cadena: venta intermedia/liquidación. ","")&amp;IF(N(M506)&gt;=Parametros!$B$17,TEXT(M506,"#,##0")&amp;" kg a punto de salir del filtro: despachar primero (FEFO). ","")&amp;IF(Y506="SÍ","Pedidos "&amp;IF(N(U506)&gt;0,"sobre","bajo")&amp;" FCST "&amp;TEXT(ABS(N(U506)),"0%")&amp;": revisar forecast con KAM.","")</f>
        <v>Stock + XLIB bajo el SS: riesgo real de quiebre, adelantar producción. </v>
      </c>
    </row>
    <row r="507" customFormat="false" ht="15" hidden="false" customHeight="false" outlineLevel="0" collapsed="false">
      <c r="A507" s="18" t="n">
        <f aca="false">Stock_Seguridad!A507</f>
        <v>30000386</v>
      </c>
      <c r="B507" s="18" t="str">
        <f aca="false">Stock_Seguridad!B507</f>
        <v>SALSA HELADERIA MANJAR 10X1KG</v>
      </c>
      <c r="C507" s="18" t="str">
        <f aca="false">Stock_Seguridad!C507</f>
        <v>TOPPINGS</v>
      </c>
      <c r="D507" s="18" t="str">
        <f aca="false">Stock_Seguridad!F507</f>
        <v>SIN HIST</v>
      </c>
      <c r="E507" s="19" t="str">
        <f aca="false">Stock_Seguridad!X507</f>
        <v>OK</v>
      </c>
      <c r="F507" s="20" t="n">
        <f aca="false">Stock_Seguridad!W507</f>
        <v>5.89095287237702</v>
      </c>
      <c r="G507" s="21" t="n">
        <f aca="false">Stock_Seguridad!T507</f>
        <v>6850</v>
      </c>
      <c r="H507" s="21" t="n">
        <f aca="false">Stock_Seguridad!R507</f>
        <v>573.790739225751</v>
      </c>
      <c r="I507" s="21" t="n">
        <f aca="false">Stock_Seguridad!S507</f>
        <v>1736.59073922575</v>
      </c>
      <c r="J507" s="21" t="n">
        <f aca="false">Stock_Seguridad!U507</f>
        <v>0</v>
      </c>
      <c r="K507" s="22"/>
      <c r="L507" s="23" t="n">
        <v>820</v>
      </c>
      <c r="M507" s="23" t="n">
        <v>0</v>
      </c>
      <c r="N507" s="23" t="n">
        <v>820</v>
      </c>
      <c r="O507" s="24" t="n">
        <v>0.145862573099415</v>
      </c>
      <c r="P507" s="24" t="n">
        <f aca="false">IF(ISNUMBER(Stock_Seguridad!N507),Stock_Seguridad!N507,"")</f>
        <v>0.271739130434783</v>
      </c>
      <c r="Q507" s="24" t="n">
        <f aca="false">IF(AND(ISNUMBER(O507),ISNUMBER(P507)),P507-O507,"")</f>
        <v>0.125876557335367</v>
      </c>
      <c r="R507" s="23" t="n">
        <f aca="false">MAX(0,G507-N(L507))</f>
        <v>6030</v>
      </c>
      <c r="S507" s="23" t="n">
        <f aca="false">SUMIFS(Cadenas_vs_FCST!$D$17:$D$2437,Cadenas_vs_FCST!$A$17:$A$2437,A507)</f>
        <v>0</v>
      </c>
      <c r="T507" s="23" t="n">
        <f aca="false">SUMIFS(Cadenas_vs_FCST!$E$17:$E$2437,Cadenas_vs_FCST!$A$17:$A$2437,A507)</f>
        <v>0</v>
      </c>
      <c r="U507" s="24" t="str">
        <f aca="false">IF(T507&gt;0,S507/T507-1,"")</f>
        <v/>
      </c>
      <c r="V507" s="3" t="str">
        <f aca="false">IF(OR(E507="BAJO SS",E507="BAJO SS (XLIB CUBRE)"),"SÍ","")</f>
        <v/>
      </c>
      <c r="W507" s="3" t="str">
        <f aca="false">IF(AND(V507="",N(L507)&gt;=Parametros!$B$17,G507&gt;=H507,R507&lt;H507),"SÍ","")</f>
        <v/>
      </c>
      <c r="X507" s="3" t="str">
        <f aca="false">IF(OR(E507="SOBRE MAX VENDIBLE",N(N507)&gt;=Parametros!$B$17,N(M507)&gt;=Parametros!$B$17),"SÍ","")</f>
        <v>SÍ</v>
      </c>
      <c r="Y507" s="3" t="str">
        <f aca="false">IF(AND(ISNUMBER(U507),MAX(S507,T507)&gt;=Parametros!$B$15,ABS(N(U507))&gt;Parametros!$B$14),"SÍ","")</f>
        <v/>
      </c>
      <c r="Z507" s="3" t="n">
        <f aca="false">COUNTIF(V507:Y507,"SÍ")</f>
        <v>1</v>
      </c>
      <c r="AA507" s="3" t="n">
        <f aca="false">(3*(V507="SÍ")+2*(W507="SÍ")+2*(X507="SÍ")+(Y507="SÍ"))*IF(LEFT(D507,1)="A",3,IF(OR(LEFT(D507,1)="B",D507="SIN HIST"),2,1))</f>
        <v>4</v>
      </c>
      <c r="AB507" s="3" t="str">
        <f aca="false">IF(AA507&gt;=9,"1-ALTA",IF(AA507&gt;=4,"2-MEDIA",IF(AA507&gt;0,"3-BAJA","")))</f>
        <v>2-MEDIA</v>
      </c>
      <c r="AC507" s="3" t="str">
        <f aca="false">IF(E507="BAJO SS","Stock + XLIB bajo el SS: riesgo real de quiebre, adelantar producción. ","")&amp;IF(E507="BAJO SS (XLIB CUBRE)","Disponible bajo el SS; depende de liberar "&amp;TEXT(J507,"#,##0")&amp;" kg"&amp;IF(ISNUMBER(K507)," el "&amp;TEXT(K507,"dd-mm"),"")&amp;". ","")&amp;IF(W507="SÍ","Stock parece sano pero "&amp;TEXT(L507,"#,##0")&amp;" kg no pasan filtro "&amp;Stock_Seguridad!O507&amp;": sin ellos queda bajo el SS para esa cadena. ","")&amp;IF(E507="SOBRE MAX VENDIBLE","Sobrestock vs vida útil: frenar producción/activar venta. ","")&amp;IF(N(N507)&gt;=Parametros!$B$17,TEXT(N507,"#,##0")&amp;" kg ya no los acepta ninguna cadena: venta intermedia/liquidación. ","")&amp;IF(N(M507)&gt;=Parametros!$B$17,TEXT(M507,"#,##0")&amp;" kg a punto de salir del filtro: despachar primero (FEFO). ","")&amp;IF(Y507="SÍ","Pedidos "&amp;IF(N(U507)&gt;0,"sobre","bajo")&amp;" FCST "&amp;TEXT(ABS(N(U507)),"0%")&amp;": revisar forecast con KAM.","")</f>
        <v>820 kg ya no los acepta ninguna cadena: venta intermedia/liquidación. </v>
      </c>
    </row>
    <row r="508" customFormat="false" ht="15" hidden="false" customHeight="false" outlineLevel="0" collapsed="false">
      <c r="A508" s="18" t="n">
        <f aca="false">Stock_Seguridad!A508</f>
        <v>30000804</v>
      </c>
      <c r="B508" s="18" t="str">
        <f aca="false">Stock_Seguridad!B508</f>
        <v>FRAMBUESA CONVENCIONAL IQF 6X2KG</v>
      </c>
      <c r="C508" s="18" t="str">
        <f aca="false">Stock_Seguridad!C508</f>
        <v>FRUTAS Y HORTALIZAS CONGELADAS</v>
      </c>
      <c r="D508" s="18" t="str">
        <f aca="false">Stock_Seguridad!F508</f>
        <v>SIN HIST</v>
      </c>
      <c r="E508" s="19" t="str">
        <f aca="false">Stock_Seguridad!X508</f>
        <v>OK</v>
      </c>
      <c r="F508" s="20" t="n">
        <f aca="false">Stock_Seguridad!W508</f>
        <v>3.41589267285862</v>
      </c>
      <c r="G508" s="21" t="n">
        <f aca="false">Stock_Seguridad!T508</f>
        <v>3972</v>
      </c>
      <c r="H508" s="21" t="n">
        <f aca="false">Stock_Seguridad!R508</f>
        <v>573.790739225751</v>
      </c>
      <c r="I508" s="21" t="n">
        <f aca="false">Stock_Seguridad!S508</f>
        <v>1736.59073922575</v>
      </c>
      <c r="J508" s="21" t="n">
        <f aca="false">Stock_Seguridad!U508</f>
        <v>0</v>
      </c>
      <c r="K508" s="22"/>
      <c r="L508" s="23" t="n">
        <v>0</v>
      </c>
      <c r="M508" s="23" t="n">
        <v>0</v>
      </c>
      <c r="N508" s="23" t="n">
        <v>0</v>
      </c>
      <c r="O508" s="24" t="n">
        <v>0.089214501510574</v>
      </c>
      <c r="P508" s="24" t="str">
        <f aca="false">IF(ISNUMBER(Stock_Seguridad!N508),Stock_Seguridad!N508,"")</f>
        <v/>
      </c>
      <c r="Q508" s="24" t="str">
        <f aca="false">IF(AND(ISNUMBER(O508),ISNUMBER(P508)),P508-O508,"")</f>
        <v/>
      </c>
      <c r="R508" s="23" t="n">
        <f aca="false">MAX(0,G508-N(L508))</f>
        <v>3972</v>
      </c>
      <c r="S508" s="23" t="n">
        <f aca="false">SUMIFS(Cadenas_vs_FCST!$D$17:$D$2437,Cadenas_vs_FCST!$A$17:$A$2437,A508)</f>
        <v>0</v>
      </c>
      <c r="T508" s="23" t="n">
        <f aca="false">SUMIFS(Cadenas_vs_FCST!$E$17:$E$2437,Cadenas_vs_FCST!$A$17:$A$2437,A508)</f>
        <v>0</v>
      </c>
      <c r="U508" s="24" t="str">
        <f aca="false">IF(T508&gt;0,S508/T508-1,"")</f>
        <v/>
      </c>
      <c r="V508" s="3" t="str">
        <f aca="false">IF(OR(E508="BAJO SS",E508="BAJO SS (XLIB CUBRE)"),"SÍ","")</f>
        <v/>
      </c>
      <c r="W508" s="3" t="str">
        <f aca="false">IF(AND(V508="",N(L508)&gt;=Parametros!$B$17,G508&gt;=H508,R508&lt;H508),"SÍ","")</f>
        <v/>
      </c>
      <c r="X508" s="3" t="str">
        <f aca="false">IF(OR(E508="SOBRE MAX VENDIBLE",N(N508)&gt;=Parametros!$B$17,N(M508)&gt;=Parametros!$B$17),"SÍ","")</f>
        <v/>
      </c>
      <c r="Y508" s="3" t="str">
        <f aca="false">IF(AND(ISNUMBER(U508),MAX(S508,T508)&gt;=Parametros!$B$15,ABS(N(U508))&gt;Parametros!$B$14),"SÍ","")</f>
        <v/>
      </c>
      <c r="Z508" s="3" t="n">
        <f aca="false">COUNTIF(V508:Y508,"SÍ")</f>
        <v>0</v>
      </c>
      <c r="AA508" s="3" t="n">
        <f aca="false">(3*(V508="SÍ")+2*(W508="SÍ")+2*(X508="SÍ")+(Y508="SÍ"))*IF(LEFT(D508,1)="A",3,IF(OR(LEFT(D508,1)="B",D508="SIN HIST"),2,1))</f>
        <v>0</v>
      </c>
      <c r="AB508" s="3" t="str">
        <f aca="false">IF(AA508&gt;=9,"1-ALTA",IF(AA508&gt;=4,"2-MEDIA",IF(AA508&gt;0,"3-BAJA","")))</f>
        <v/>
      </c>
      <c r="AC508" s="3" t="str">
        <f aca="false">IF(E508="BAJO SS","Stock + XLIB bajo el SS: riesgo real de quiebre, adelantar producción. ","")&amp;IF(E508="BAJO SS (XLIB CUBRE)","Disponible bajo el SS; depende de liberar "&amp;TEXT(J508,"#,##0")&amp;" kg"&amp;IF(ISNUMBER(K508)," el "&amp;TEXT(K508,"dd-mm"),"")&amp;". ","")&amp;IF(W508="SÍ","Stock parece sano pero "&amp;TEXT(L508,"#,##0")&amp;" kg no pasan filtro "&amp;Stock_Seguridad!O508&amp;": sin ellos queda bajo el SS para esa cadena. ","")&amp;IF(E508="SOBRE MAX VENDIBLE","Sobrestock vs vida útil: frenar producción/activar venta. ","")&amp;IF(N(N508)&gt;=Parametros!$B$17,TEXT(N508,"#,##0")&amp;" kg ya no los acepta ninguna cadena: venta intermedia/liquidación. ","")&amp;IF(N(M508)&gt;=Parametros!$B$17,TEXT(M508,"#,##0")&amp;" kg a punto de salir del filtro: despachar primero (FEFO). ","")&amp;IF(Y508="SÍ","Pedidos "&amp;IF(N(U508)&gt;0,"sobre","bajo")&amp;" FCST "&amp;TEXT(ABS(N(U508)),"0%")&amp;": revisar forecast con KAM.","")</f>
        <v/>
      </c>
    </row>
    <row r="509" customFormat="false" ht="15" hidden="false" customHeight="false" outlineLevel="0" collapsed="false">
      <c r="A509" s="18" t="n">
        <f aca="false">Stock_Seguridad!A509</f>
        <v>30002355</v>
      </c>
      <c r="B509" s="18" t="str">
        <f aca="false">Stock_Seguridad!B509</f>
        <v>QUESO GAUDA CALO BARRA 2x2,5KG</v>
      </c>
      <c r="C509" s="18" t="str">
        <f aca="false">Stock_Seguridad!C509</f>
        <v>QUESOS</v>
      </c>
      <c r="D509" s="18" t="str">
        <f aca="false">Stock_Seguridad!F509</f>
        <v>SIN HIST</v>
      </c>
      <c r="E509" s="19" t="str">
        <f aca="false">Stock_Seguridad!X509</f>
        <v>OK</v>
      </c>
      <c r="F509" s="20" t="n">
        <f aca="false">Stock_Seguridad!W509</f>
        <v>6.45424836601307</v>
      </c>
      <c r="G509" s="21" t="n">
        <f aca="false">Stock_Seguridad!T509</f>
        <v>6905</v>
      </c>
      <c r="H509" s="21" t="n">
        <f aca="false">Stock_Seguridad!R509</f>
        <v>573.790739225751</v>
      </c>
      <c r="I509" s="21" t="n">
        <f aca="false">Stock_Seguridad!S509</f>
        <v>1736.59073922575</v>
      </c>
      <c r="J509" s="21" t="n">
        <f aca="false">Stock_Seguridad!U509</f>
        <v>600</v>
      </c>
      <c r="K509" s="22" t="n">
        <v>46332</v>
      </c>
      <c r="L509" s="23" t="n">
        <v>0</v>
      </c>
      <c r="M509" s="23" t="n">
        <v>0</v>
      </c>
      <c r="N509" s="23" t="n">
        <v>0</v>
      </c>
      <c r="O509" s="24" t="n">
        <v>0.105522984676882</v>
      </c>
      <c r="P509" s="24" t="str">
        <f aca="false">IF(ISNUMBER(Stock_Seguridad!N509),Stock_Seguridad!N509,"")</f>
        <v/>
      </c>
      <c r="Q509" s="24" t="str">
        <f aca="false">IF(AND(ISNUMBER(O509),ISNUMBER(P509)),P509-O509,"")</f>
        <v/>
      </c>
      <c r="R509" s="23" t="n">
        <f aca="false">MAX(0,G509-N(L509))</f>
        <v>6905</v>
      </c>
      <c r="S509" s="23" t="n">
        <f aca="false">SUMIFS(Cadenas_vs_FCST!$D$17:$D$2437,Cadenas_vs_FCST!$A$17:$A$2437,A509)</f>
        <v>0</v>
      </c>
      <c r="T509" s="23" t="n">
        <f aca="false">SUMIFS(Cadenas_vs_FCST!$E$17:$E$2437,Cadenas_vs_FCST!$A$17:$A$2437,A509)</f>
        <v>0</v>
      </c>
      <c r="U509" s="24" t="str">
        <f aca="false">IF(T509&gt;0,S509/T509-1,"")</f>
        <v/>
      </c>
      <c r="V509" s="3" t="str">
        <f aca="false">IF(OR(E509="BAJO SS",E509="BAJO SS (XLIB CUBRE)"),"SÍ","")</f>
        <v/>
      </c>
      <c r="W509" s="3" t="str">
        <f aca="false">IF(AND(V509="",N(L509)&gt;=Parametros!$B$17,G509&gt;=H509,R509&lt;H509),"SÍ","")</f>
        <v/>
      </c>
      <c r="X509" s="3" t="str">
        <f aca="false">IF(OR(E509="SOBRE MAX VENDIBLE",N(N509)&gt;=Parametros!$B$17,N(M509)&gt;=Parametros!$B$17),"SÍ","")</f>
        <v/>
      </c>
      <c r="Y509" s="3" t="str">
        <f aca="false">IF(AND(ISNUMBER(U509),MAX(S509,T509)&gt;=Parametros!$B$15,ABS(N(U509))&gt;Parametros!$B$14),"SÍ","")</f>
        <v/>
      </c>
      <c r="Z509" s="3" t="n">
        <f aca="false">COUNTIF(V509:Y509,"SÍ")</f>
        <v>0</v>
      </c>
      <c r="AA509" s="3" t="n">
        <f aca="false">(3*(V509="SÍ")+2*(W509="SÍ")+2*(X509="SÍ")+(Y509="SÍ"))*IF(LEFT(D509,1)="A",3,IF(OR(LEFT(D509,1)="B",D509="SIN HIST"),2,1))</f>
        <v>0</v>
      </c>
      <c r="AB509" s="3" t="str">
        <f aca="false">IF(AA509&gt;=9,"1-ALTA",IF(AA509&gt;=4,"2-MEDIA",IF(AA509&gt;0,"3-BAJA","")))</f>
        <v/>
      </c>
      <c r="AC509" s="3" t="str">
        <f aca="false">IF(E509="BAJO SS","Stock + XLIB bajo el SS: riesgo real de quiebre, adelantar producción. ","")&amp;IF(E509="BAJO SS (XLIB CUBRE)","Disponible bajo el SS; depende de liberar "&amp;TEXT(J509,"#,##0")&amp;" kg"&amp;IF(ISNUMBER(K509)," el "&amp;TEXT(K509,"dd-mm"),"")&amp;". ","")&amp;IF(W509="SÍ","Stock parece sano pero "&amp;TEXT(L509,"#,##0")&amp;" kg no pasan filtro "&amp;Stock_Seguridad!O509&amp;": sin ellos queda bajo el SS para esa cadena. ","")&amp;IF(E509="SOBRE MAX VENDIBLE","Sobrestock vs vida útil: frenar producción/activar venta. ","")&amp;IF(N(N509)&gt;=Parametros!$B$17,TEXT(N509,"#,##0")&amp;" kg ya no los acepta ninguna cadena: venta intermedia/liquidación. ","")&amp;IF(N(M509)&gt;=Parametros!$B$17,TEXT(M509,"#,##0")&amp;" kg a punto de salir del filtro: despachar primero (FEFO). ","")&amp;IF(Y509="SÍ","Pedidos "&amp;IF(N(U509)&gt;0,"sobre","bajo")&amp;" FCST "&amp;TEXT(ABS(N(U509)),"0%")&amp;": revisar forecast con KAM.","")</f>
        <v/>
      </c>
    </row>
    <row r="510" customFormat="false" ht="15" hidden="false" customHeight="false" outlineLevel="0" collapsed="false">
      <c r="A510" s="18" t="n">
        <f aca="false">Stock_Seguridad!A510</f>
        <v>30000620</v>
      </c>
      <c r="B510" s="18" t="str">
        <f aca="false">Stock_Seguridad!B510</f>
        <v>PIÑAS RODAJAS SUDAF WSL 06XA10</v>
      </c>
      <c r="C510" s="18" t="str">
        <f aca="false">Stock_Seguridad!C510</f>
        <v>CONSERVAS Y PLATOS LISTOS</v>
      </c>
      <c r="D510" s="18" t="str">
        <f aca="false">Stock_Seguridad!F510</f>
        <v>SIN HIST</v>
      </c>
      <c r="E510" s="19" t="str">
        <f aca="false">Stock_Seguridad!X510</f>
        <v>OK</v>
      </c>
      <c r="F510" s="20" t="n">
        <f aca="false">Stock_Seguridad!W510</f>
        <v>12.4303405572755</v>
      </c>
      <c r="G510" s="21" t="n">
        <f aca="false">Stock_Seguridad!T510</f>
        <v>14454</v>
      </c>
      <c r="H510" s="21" t="n">
        <f aca="false">Stock_Seguridad!R510</f>
        <v>573.790739225751</v>
      </c>
      <c r="I510" s="21" t="n">
        <f aca="false">Stock_Seguridad!S510</f>
        <v>1736.59073922575</v>
      </c>
      <c r="J510" s="21" t="n">
        <f aca="false">Stock_Seguridad!U510</f>
        <v>0</v>
      </c>
      <c r="K510" s="22"/>
      <c r="L510" s="23" t="n">
        <v>396</v>
      </c>
      <c r="M510" s="23" t="n">
        <v>0</v>
      </c>
      <c r="N510" s="23" t="n">
        <v>0</v>
      </c>
      <c r="O510" s="24" t="n">
        <v>0.15958904109589</v>
      </c>
      <c r="P510" s="24" t="n">
        <f aca="false">IF(ISNUMBER(Stock_Seguridad!N510),Stock_Seguridad!N510,"")</f>
        <v>0.480365296803653</v>
      </c>
      <c r="Q510" s="24" t="n">
        <f aca="false">IF(AND(ISNUMBER(O510),ISNUMBER(P510)),P510-O510,"")</f>
        <v>0.320776255707763</v>
      </c>
      <c r="R510" s="23" t="n">
        <f aca="false">MAX(0,G510-N(L510))</f>
        <v>14058</v>
      </c>
      <c r="S510" s="23" t="n">
        <f aca="false">SUMIFS(Cadenas_vs_FCST!$D$17:$D$2437,Cadenas_vs_FCST!$A$17:$A$2437,A510)</f>
        <v>0</v>
      </c>
      <c r="T510" s="23" t="n">
        <f aca="false">SUMIFS(Cadenas_vs_FCST!$E$17:$E$2437,Cadenas_vs_FCST!$A$17:$A$2437,A510)</f>
        <v>0</v>
      </c>
      <c r="U510" s="24" t="str">
        <f aca="false">IF(T510&gt;0,S510/T510-1,"")</f>
        <v/>
      </c>
      <c r="V510" s="3" t="str">
        <f aca="false">IF(OR(E510="BAJO SS",E510="BAJO SS (XLIB CUBRE)"),"SÍ","")</f>
        <v/>
      </c>
      <c r="W510" s="3" t="str">
        <f aca="false">IF(AND(V510="",N(L510)&gt;=Parametros!$B$17,G510&gt;=H510,R510&lt;H510),"SÍ","")</f>
        <v/>
      </c>
      <c r="X510" s="3" t="str">
        <f aca="false">IF(OR(E510="SOBRE MAX VENDIBLE",N(N510)&gt;=Parametros!$B$17,N(M510)&gt;=Parametros!$B$17),"SÍ","")</f>
        <v/>
      </c>
      <c r="Y510" s="3" t="str">
        <f aca="false">IF(AND(ISNUMBER(U510),MAX(S510,T510)&gt;=Parametros!$B$15,ABS(N(U510))&gt;Parametros!$B$14),"SÍ","")</f>
        <v/>
      </c>
      <c r="Z510" s="3" t="n">
        <f aca="false">COUNTIF(V510:Y510,"SÍ")</f>
        <v>0</v>
      </c>
      <c r="AA510" s="3" t="n">
        <f aca="false">(3*(V510="SÍ")+2*(W510="SÍ")+2*(X510="SÍ")+(Y510="SÍ"))*IF(LEFT(D510,1)="A",3,IF(OR(LEFT(D510,1)="B",D510="SIN HIST"),2,1))</f>
        <v>0</v>
      </c>
      <c r="AB510" s="3" t="str">
        <f aca="false">IF(AA510&gt;=9,"1-ALTA",IF(AA510&gt;=4,"2-MEDIA",IF(AA510&gt;0,"3-BAJA","")))</f>
        <v/>
      </c>
      <c r="AC510" s="3" t="str">
        <f aca="false">IF(E510="BAJO SS","Stock + XLIB bajo el SS: riesgo real de quiebre, adelantar producción. ","")&amp;IF(E510="BAJO SS (XLIB CUBRE)","Disponible bajo el SS; depende de liberar "&amp;TEXT(J510,"#,##0")&amp;" kg"&amp;IF(ISNUMBER(K510)," el "&amp;TEXT(K510,"dd-mm"),"")&amp;". ","")&amp;IF(W510="SÍ","Stock parece sano pero "&amp;TEXT(L510,"#,##0")&amp;" kg no pasan filtro "&amp;Stock_Seguridad!O510&amp;": sin ellos queda bajo el SS para esa cadena. ","")&amp;IF(E510="SOBRE MAX VENDIBLE","Sobrestock vs vida útil: frenar producción/activar venta. ","")&amp;IF(N(N510)&gt;=Parametros!$B$17,TEXT(N510,"#,##0")&amp;" kg ya no los acepta ninguna cadena: venta intermedia/liquidación. ","")&amp;IF(N(M510)&gt;=Parametros!$B$17,TEXT(M510,"#,##0")&amp;" kg a punto de salir del filtro: despachar primero (FEFO). ","")&amp;IF(Y510="SÍ","Pedidos "&amp;IF(N(U510)&gt;0,"sobre","bajo")&amp;" FCST "&amp;TEXT(ABS(N(U510)),"0%")&amp;": revisar forecast con KAM.","")</f>
        <v/>
      </c>
    </row>
    <row r="511" customFormat="false" ht="15" hidden="false" customHeight="false" outlineLevel="0" collapsed="false">
      <c r="A511" s="18" t="n">
        <f aca="false">Stock_Seguridad!A511</f>
        <v>30000607</v>
      </c>
      <c r="B511" s="18" t="str">
        <f aca="false">Stock_Seguridad!B511</f>
        <v>DURAZNOS TROCITOS WASIL 06XA10</v>
      </c>
      <c r="C511" s="18" t="str">
        <f aca="false">Stock_Seguridad!C511</f>
        <v>CONSERVAS Y PLATOS LISTOS</v>
      </c>
      <c r="D511" s="18" t="str">
        <f aca="false">Stock_Seguridad!F511</f>
        <v>SIN HIST</v>
      </c>
      <c r="E511" s="19" t="str">
        <f aca="false">Stock_Seguridad!X511</f>
        <v>OK</v>
      </c>
      <c r="F511" s="20" t="n">
        <f aca="false">Stock_Seguridad!W511</f>
        <v>39.0866873065016</v>
      </c>
      <c r="G511" s="21" t="n">
        <f aca="false">Stock_Seguridad!T511</f>
        <v>45450</v>
      </c>
      <c r="H511" s="21" t="n">
        <f aca="false">Stock_Seguridad!R511</f>
        <v>573.790739225751</v>
      </c>
      <c r="I511" s="21" t="n">
        <f aca="false">Stock_Seguridad!S511</f>
        <v>1736.59073922575</v>
      </c>
      <c r="J511" s="21" t="n">
        <f aca="false">Stock_Seguridad!U511</f>
        <v>0</v>
      </c>
      <c r="K511" s="22"/>
      <c r="L511" s="23" t="n">
        <v>12528</v>
      </c>
      <c r="M511" s="23" t="n">
        <v>0</v>
      </c>
      <c r="N511" s="23" t="n">
        <v>0</v>
      </c>
      <c r="O511" s="24" t="n">
        <v>0.362226624405705</v>
      </c>
      <c r="P511" s="24" t="n">
        <f aca="false">IF(ISNUMBER(Stock_Seguridad!N511),Stock_Seguridad!N511,"")</f>
        <v>0.49041095890411</v>
      </c>
      <c r="Q511" s="24" t="n">
        <f aca="false">IF(AND(ISNUMBER(O511),ISNUMBER(P511)),P511-O511,"")</f>
        <v>0.128184334498404</v>
      </c>
      <c r="R511" s="23" t="n">
        <f aca="false">MAX(0,G511-N(L511))</f>
        <v>32922</v>
      </c>
      <c r="S511" s="23" t="n">
        <f aca="false">SUMIFS(Cadenas_vs_FCST!$D$17:$D$2437,Cadenas_vs_FCST!$A$17:$A$2437,A511)</f>
        <v>0</v>
      </c>
      <c r="T511" s="23" t="n">
        <f aca="false">SUMIFS(Cadenas_vs_FCST!$E$17:$E$2437,Cadenas_vs_FCST!$A$17:$A$2437,A511)</f>
        <v>0</v>
      </c>
      <c r="U511" s="24" t="str">
        <f aca="false">IF(T511&gt;0,S511/T511-1,"")</f>
        <v/>
      </c>
      <c r="V511" s="3" t="str">
        <f aca="false">IF(OR(E511="BAJO SS",E511="BAJO SS (XLIB CUBRE)"),"SÍ","")</f>
        <v/>
      </c>
      <c r="W511" s="3" t="str">
        <f aca="false">IF(AND(V511="",N(L511)&gt;=Parametros!$B$17,G511&gt;=H511,R511&lt;H511),"SÍ","")</f>
        <v/>
      </c>
      <c r="X511" s="3" t="str">
        <f aca="false">IF(OR(E511="SOBRE MAX VENDIBLE",N(N511)&gt;=Parametros!$B$17,N(M511)&gt;=Parametros!$B$17),"SÍ","")</f>
        <v/>
      </c>
      <c r="Y511" s="3" t="str">
        <f aca="false">IF(AND(ISNUMBER(U511),MAX(S511,T511)&gt;=Parametros!$B$15,ABS(N(U511))&gt;Parametros!$B$14),"SÍ","")</f>
        <v/>
      </c>
      <c r="Z511" s="3" t="n">
        <f aca="false">COUNTIF(V511:Y511,"SÍ")</f>
        <v>0</v>
      </c>
      <c r="AA511" s="3" t="n">
        <f aca="false">(3*(V511="SÍ")+2*(W511="SÍ")+2*(X511="SÍ")+(Y511="SÍ"))*IF(LEFT(D511,1)="A",3,IF(OR(LEFT(D511,1)="B",D511="SIN HIST"),2,1))</f>
        <v>0</v>
      </c>
      <c r="AB511" s="3" t="str">
        <f aca="false">IF(AA511&gt;=9,"1-ALTA",IF(AA511&gt;=4,"2-MEDIA",IF(AA511&gt;0,"3-BAJA","")))</f>
        <v/>
      </c>
      <c r="AC511" s="3" t="str">
        <f aca="false">IF(E511="BAJO SS","Stock + XLIB bajo el SS: riesgo real de quiebre, adelantar producción. ","")&amp;IF(E511="BAJO SS (XLIB CUBRE)","Disponible bajo el SS; depende de liberar "&amp;TEXT(J511,"#,##0")&amp;" kg"&amp;IF(ISNUMBER(K511)," el "&amp;TEXT(K511,"dd-mm"),"")&amp;". ","")&amp;IF(W511="SÍ","Stock parece sano pero "&amp;TEXT(L511,"#,##0")&amp;" kg no pasan filtro "&amp;Stock_Seguridad!O511&amp;": sin ellos queda bajo el SS para esa cadena. ","")&amp;IF(E511="SOBRE MAX VENDIBLE","Sobrestock vs vida útil: frenar producción/activar venta. ","")&amp;IF(N(N511)&gt;=Parametros!$B$17,TEXT(N511,"#,##0")&amp;" kg ya no los acepta ninguna cadena: venta intermedia/liquidación. ","")&amp;IF(N(M511)&gt;=Parametros!$B$17,TEXT(M511,"#,##0")&amp;" kg a punto de salir del filtro: despachar primero (FEFO). ","")&amp;IF(Y511="SÍ","Pedidos "&amp;IF(N(U511)&gt;0,"sobre","bajo")&amp;" FCST "&amp;TEXT(ABS(N(U511)),"0%")&amp;": revisar forecast con KAM.","")</f>
        <v/>
      </c>
    </row>
    <row r="512" customFormat="false" ht="15" hidden="false" customHeight="false" outlineLevel="0" collapsed="false">
      <c r="A512" s="18" t="n">
        <f aca="false">Stock_Seguridad!A512</f>
        <v>30001377</v>
      </c>
      <c r="B512" s="18" t="str">
        <f aca="false">Stock_Seguridad!B512</f>
        <v>PREPARADO LACTEO CALO 3LECHES1X10LT</v>
      </c>
      <c r="C512" s="18" t="str">
        <f aca="false">Stock_Seguridad!C512</f>
        <v>CREMA</v>
      </c>
      <c r="D512" s="18" t="str">
        <f aca="false">Stock_Seguridad!F512</f>
        <v>SIN HIST</v>
      </c>
      <c r="E512" s="19" t="str">
        <f aca="false">Stock_Seguridad!X512</f>
        <v>BAJO SS</v>
      </c>
      <c r="F512" s="20" t="n">
        <f aca="false">Stock_Seguridad!W512</f>
        <v>0.180598555211558</v>
      </c>
      <c r="G512" s="21" t="n">
        <f aca="false">Stock_Seguridad!T512</f>
        <v>210</v>
      </c>
      <c r="H512" s="21" t="n">
        <f aca="false">Stock_Seguridad!R512</f>
        <v>573.790739225751</v>
      </c>
      <c r="I512" s="21" t="n">
        <f aca="false">Stock_Seguridad!S512</f>
        <v>1736.59073922575</v>
      </c>
      <c r="J512" s="21" t="n">
        <f aca="false">Stock_Seguridad!U512</f>
        <v>0</v>
      </c>
      <c r="K512" s="22"/>
      <c r="L512" s="23" t="n">
        <v>210</v>
      </c>
      <c r="M512" s="23" t="n">
        <v>0</v>
      </c>
      <c r="N512" s="23" t="n">
        <v>210</v>
      </c>
      <c r="O512" s="24" t="n">
        <v>0.51</v>
      </c>
      <c r="P512" s="24" t="n">
        <f aca="false">IF(ISNUMBER(Stock_Seguridad!N512),Stock_Seguridad!N512,"")</f>
        <v>0.271739130434783</v>
      </c>
      <c r="Q512" s="24" t="n">
        <f aca="false">IF(AND(ISNUMBER(O512),ISNUMBER(P512)),P512-O512,"")</f>
        <v>-0.238260869565217</v>
      </c>
      <c r="R512" s="23" t="n">
        <f aca="false">MAX(0,G512-N(L512))</f>
        <v>0</v>
      </c>
      <c r="S512" s="23" t="n">
        <f aca="false">SUMIFS(Cadenas_vs_FCST!$D$17:$D$2437,Cadenas_vs_FCST!$A$17:$A$2437,A512)</f>
        <v>0</v>
      </c>
      <c r="T512" s="23" t="n">
        <f aca="false">SUMIFS(Cadenas_vs_FCST!$E$17:$E$2437,Cadenas_vs_FCST!$A$17:$A$2437,A512)</f>
        <v>0</v>
      </c>
      <c r="U512" s="24" t="str">
        <f aca="false">IF(T512&gt;0,S512/T512-1,"")</f>
        <v/>
      </c>
      <c r="V512" s="3" t="str">
        <f aca="false">IF(OR(E512="BAJO SS",E512="BAJO SS (XLIB CUBRE)"),"SÍ","")</f>
        <v>SÍ</v>
      </c>
      <c r="W512" s="3" t="str">
        <f aca="false">IF(AND(V512="",N(L512)&gt;=Parametros!$B$17,G512&gt;=H512,R512&lt;H512),"SÍ","")</f>
        <v/>
      </c>
      <c r="X512" s="3" t="str">
        <f aca="false">IF(OR(E512="SOBRE MAX VENDIBLE",N(N512)&gt;=Parametros!$B$17,N(M512)&gt;=Parametros!$B$17),"SÍ","")</f>
        <v/>
      </c>
      <c r="Y512" s="3" t="str">
        <f aca="false">IF(AND(ISNUMBER(U512),MAX(S512,T512)&gt;=Parametros!$B$15,ABS(N(U512))&gt;Parametros!$B$14),"SÍ","")</f>
        <v/>
      </c>
      <c r="Z512" s="3" t="n">
        <f aca="false">COUNTIF(V512:Y512,"SÍ")</f>
        <v>1</v>
      </c>
      <c r="AA512" s="3" t="n">
        <f aca="false">(3*(V512="SÍ")+2*(W512="SÍ")+2*(X512="SÍ")+(Y512="SÍ"))*IF(LEFT(D512,1)="A",3,IF(OR(LEFT(D512,1)="B",D512="SIN HIST"),2,1))</f>
        <v>6</v>
      </c>
      <c r="AB512" s="3" t="str">
        <f aca="false">IF(AA512&gt;=9,"1-ALTA",IF(AA512&gt;=4,"2-MEDIA",IF(AA512&gt;0,"3-BAJA","")))</f>
        <v>2-MEDIA</v>
      </c>
      <c r="AC512" s="3" t="str">
        <f aca="false">IF(E512="BAJO SS","Stock + XLIB bajo el SS: riesgo real de quiebre, adelantar producción. ","")&amp;IF(E512="BAJO SS (XLIB CUBRE)","Disponible bajo el SS; depende de liberar "&amp;TEXT(J512,"#,##0")&amp;" kg"&amp;IF(ISNUMBER(K512)," el "&amp;TEXT(K512,"dd-mm"),"")&amp;". ","")&amp;IF(W512="SÍ","Stock parece sano pero "&amp;TEXT(L512,"#,##0")&amp;" kg no pasan filtro "&amp;Stock_Seguridad!O512&amp;": sin ellos queda bajo el SS para esa cadena. ","")&amp;IF(E512="SOBRE MAX VENDIBLE","Sobrestock vs vida útil: frenar producción/activar venta. ","")&amp;IF(N(N512)&gt;=Parametros!$B$17,TEXT(N512,"#,##0")&amp;" kg ya no los acepta ninguna cadena: venta intermedia/liquidación. ","")&amp;IF(N(M512)&gt;=Parametros!$B$17,TEXT(M512,"#,##0")&amp;" kg a punto de salir del filtro: despachar primero (FEFO). ","")&amp;IF(Y512="SÍ","Pedidos "&amp;IF(N(U512)&gt;0,"sobre","bajo")&amp;" FCST "&amp;TEXT(ABS(N(U512)),"0%")&amp;": revisar forecast con KAM.","")</f>
        <v>Stock + XLIB bajo el SS: riesgo real de quiebre, adelantar producción. </v>
      </c>
    </row>
    <row r="513" customFormat="false" ht="15" hidden="false" customHeight="false" outlineLevel="0" collapsed="false">
      <c r="A513" s="18" t="n">
        <f aca="false">Stock_Seguridad!A513</f>
        <v>30000088</v>
      </c>
      <c r="B513" s="18" t="str">
        <f aca="false">Stock_Seguridad!B513</f>
        <v>MARGARINA C/LECHE S/LACT LONCO 12X500GR</v>
      </c>
      <c r="C513" s="18" t="str">
        <f aca="false">Stock_Seguridad!C513</f>
        <v>MARGARINAS</v>
      </c>
      <c r="D513" s="18" t="str">
        <f aca="false">Stock_Seguridad!F513</f>
        <v>CX</v>
      </c>
      <c r="E513" s="19" t="str">
        <f aca="false">Stock_Seguridad!X513</f>
        <v>OK</v>
      </c>
      <c r="F513" s="20" t="n">
        <f aca="false">Stock_Seguridad!W513</f>
        <v>2.7704347826087</v>
      </c>
      <c r="G513" s="21" t="n">
        <f aca="false">Stock_Seguridad!T513</f>
        <v>3186</v>
      </c>
      <c r="H513" s="21" t="n">
        <f aca="false">Stock_Seguridad!R513</f>
        <v>1605.47537102779</v>
      </c>
      <c r="I513" s="21" t="n">
        <f aca="false">Stock_Seguridad!S513</f>
        <v>2755.47537102779</v>
      </c>
      <c r="J513" s="21" t="n">
        <f aca="false">Stock_Seguridad!U513</f>
        <v>0</v>
      </c>
      <c r="K513" s="22"/>
      <c r="L513" s="23" t="n">
        <v>36</v>
      </c>
      <c r="M513" s="23" t="n">
        <v>306</v>
      </c>
      <c r="N513" s="23" t="n">
        <v>36</v>
      </c>
      <c r="O513" s="24" t="n">
        <v>0.106162570888469</v>
      </c>
      <c r="P513" s="24" t="n">
        <f aca="false">IF(ISNUMBER(Stock_Seguridad!N513),Stock_Seguridad!N513,"")</f>
        <v>0.244565217391304</v>
      </c>
      <c r="Q513" s="24" t="n">
        <f aca="false">IF(AND(ISNUMBER(O513),ISNUMBER(P513)),P513-O513,"")</f>
        <v>0.138402646502836</v>
      </c>
      <c r="R513" s="23" t="n">
        <f aca="false">MAX(0,G513-N(L513))</f>
        <v>3150</v>
      </c>
      <c r="S513" s="23" t="n">
        <f aca="false">SUMIFS(Cadenas_vs_FCST!$D$17:$D$2437,Cadenas_vs_FCST!$A$17:$A$2437,A513)</f>
        <v>9072</v>
      </c>
      <c r="T513" s="23" t="n">
        <f aca="false">SUMIFS(Cadenas_vs_FCST!$E$17:$E$2437,Cadenas_vs_FCST!$A$17:$A$2437,A513)</f>
        <v>7037.79766286615</v>
      </c>
      <c r="U513" s="24" t="n">
        <f aca="false">IF(T513&gt;0,S513/T513-1,"")</f>
        <v>0.289039616450898</v>
      </c>
      <c r="V513" s="3" t="str">
        <f aca="false">IF(OR(E513="BAJO SS",E513="BAJO SS (XLIB CUBRE)"),"SÍ","")</f>
        <v/>
      </c>
      <c r="W513" s="3" t="str">
        <f aca="false">IF(AND(V513="",N(L513)&gt;=Parametros!$B$17,G513&gt;=H513,R513&lt;H513),"SÍ","")</f>
        <v/>
      </c>
      <c r="X513" s="3" t="str">
        <f aca="false">IF(OR(E513="SOBRE MAX VENDIBLE",N(N513)&gt;=Parametros!$B$17,N(M513)&gt;=Parametros!$B$17),"SÍ","")</f>
        <v/>
      </c>
      <c r="Y513" s="3" t="str">
        <f aca="false">IF(AND(ISNUMBER(U513),MAX(S513,T513)&gt;=Parametros!$B$15,ABS(N(U513))&gt;Parametros!$B$14),"SÍ","")</f>
        <v>SÍ</v>
      </c>
      <c r="Z513" s="3" t="n">
        <f aca="false">COUNTIF(V513:Y513,"SÍ")</f>
        <v>1</v>
      </c>
      <c r="AA513" s="3" t="n">
        <f aca="false">(3*(V513="SÍ")+2*(W513="SÍ")+2*(X513="SÍ")+(Y513="SÍ"))*IF(LEFT(D513,1)="A",3,IF(OR(LEFT(D513,1)="B",D513="SIN HIST"),2,1))</f>
        <v>1</v>
      </c>
      <c r="AB513" s="3" t="str">
        <f aca="false">IF(AA513&gt;=9,"1-ALTA",IF(AA513&gt;=4,"2-MEDIA",IF(AA513&gt;0,"3-BAJA","")))</f>
        <v>3-BAJA</v>
      </c>
      <c r="AC513" s="3" t="str">
        <f aca="false">IF(E513="BAJO SS","Stock + XLIB bajo el SS: riesgo real de quiebre, adelantar producción. ","")&amp;IF(E513="BAJO SS (XLIB CUBRE)","Disponible bajo el SS; depende de liberar "&amp;TEXT(J513,"#,##0")&amp;" kg"&amp;IF(ISNUMBER(K513)," el "&amp;TEXT(K513,"dd-mm"),"")&amp;". ","")&amp;IF(W513="SÍ","Stock parece sano pero "&amp;TEXT(L513,"#,##0")&amp;" kg no pasan filtro "&amp;Stock_Seguridad!O513&amp;": sin ellos queda bajo el SS para esa cadena. ","")&amp;IF(E513="SOBRE MAX VENDIBLE","Sobrestock vs vida útil: frenar producción/activar venta. ","")&amp;IF(N(N513)&gt;=Parametros!$B$17,TEXT(N513,"#,##0")&amp;" kg ya no los acepta ninguna cadena: venta intermedia/liquidación. ","")&amp;IF(N(M513)&gt;=Parametros!$B$17,TEXT(M513,"#,##0")&amp;" kg a punto de salir del filtro: despachar primero (FEFO). ","")&amp;IF(Y513="SÍ","Pedidos "&amp;IF(N(U513)&gt;0,"sobre","bajo")&amp;" FCST "&amp;TEXT(ABS(N(U513)),"0%")&amp;": revisar forecast con KAM.","")</f>
        <v>Pedidos sobre FCST 29%: revisar forecast con KAM.</v>
      </c>
    </row>
    <row r="514" customFormat="false" ht="15" hidden="false" customHeight="false" outlineLevel="0" collapsed="false">
      <c r="A514" s="18" t="n">
        <f aca="false">Stock_Seguridad!A514</f>
        <v>30001899</v>
      </c>
      <c r="B514" s="18" t="str">
        <f aca="false">Stock_Seguridad!B514</f>
        <v>YOG LONCOLECHE SL PACK 6X8X120GR</v>
      </c>
      <c r="C514" s="18" t="str">
        <f aca="false">Stock_Seguridad!C514</f>
        <v>YOGURT</v>
      </c>
      <c r="D514" s="18" t="str">
        <f aca="false">Stock_Seguridad!F514</f>
        <v>CX</v>
      </c>
      <c r="E514" s="19" t="str">
        <f aca="false">Stock_Seguridad!X514</f>
        <v>OK</v>
      </c>
      <c r="F514" s="20" t="n">
        <f aca="false">Stock_Seguridad!W514</f>
        <v>2.55940637276299</v>
      </c>
      <c r="G514" s="21" t="n">
        <f aca="false">Stock_Seguridad!T514</f>
        <v>2931.8</v>
      </c>
      <c r="H514" s="21" t="n">
        <f aca="false">Stock_Seguridad!R514</f>
        <v>911.447570844222</v>
      </c>
      <c r="I514" s="21" t="n">
        <f aca="false">Stock_Seguridad!S514</f>
        <v>2056.94757084422</v>
      </c>
      <c r="J514" s="21" t="n">
        <f aca="false">Stock_Seguridad!U514</f>
        <v>0</v>
      </c>
      <c r="K514" s="22"/>
      <c r="L514" s="23" t="n">
        <v>2931.84</v>
      </c>
      <c r="M514" s="23" t="n">
        <v>0</v>
      </c>
      <c r="N514" s="23" t="n">
        <v>23.04</v>
      </c>
      <c r="O514" s="24" t="n">
        <v>0.302200392927308</v>
      </c>
      <c r="P514" s="24" t="n">
        <f aca="false">IF(ISNUMBER(Stock_Seguridad!N514),Stock_Seguridad!N514,"")</f>
        <v>0.295774647887324</v>
      </c>
      <c r="Q514" s="24" t="n">
        <f aca="false">IF(AND(ISNUMBER(O514),ISNUMBER(P514)),P514-O514,"")</f>
        <v>-0.00642574503998439</v>
      </c>
      <c r="R514" s="23" t="n">
        <f aca="false">MAX(0,G514-N(L514))</f>
        <v>0</v>
      </c>
      <c r="S514" s="23" t="n">
        <f aca="false">SUMIFS(Cadenas_vs_FCST!$D$17:$D$2437,Cadenas_vs_FCST!$A$17:$A$2437,A514)</f>
        <v>4705.92</v>
      </c>
      <c r="T514" s="23" t="n">
        <f aca="false">SUMIFS(Cadenas_vs_FCST!$E$17:$E$2437,Cadenas_vs_FCST!$A$17:$A$2437,A514)</f>
        <v>4383.59251354398</v>
      </c>
      <c r="U514" s="24" t="n">
        <f aca="false">IF(T514&gt;0,S514/T514-1,"")</f>
        <v>0.073530440035229</v>
      </c>
      <c r="V514" s="3" t="str">
        <f aca="false">IF(OR(E514="BAJO SS",E514="BAJO SS (XLIB CUBRE)"),"SÍ","")</f>
        <v/>
      </c>
      <c r="W514" s="3" t="str">
        <f aca="false">IF(AND(V514="",N(L514)&gt;=Parametros!$B$17,G514&gt;=H514,R514&lt;H514),"SÍ","")</f>
        <v>SÍ</v>
      </c>
      <c r="X514" s="3" t="str">
        <f aca="false">IF(OR(E514="SOBRE MAX VENDIBLE",N(N514)&gt;=Parametros!$B$17,N(M514)&gt;=Parametros!$B$17),"SÍ","")</f>
        <v/>
      </c>
      <c r="Y514" s="3" t="str">
        <f aca="false">IF(AND(ISNUMBER(U514),MAX(S514,T514)&gt;=Parametros!$B$15,ABS(N(U514))&gt;Parametros!$B$14),"SÍ","")</f>
        <v/>
      </c>
      <c r="Z514" s="3" t="n">
        <f aca="false">COUNTIF(V514:Y514,"SÍ")</f>
        <v>1</v>
      </c>
      <c r="AA514" s="3" t="n">
        <f aca="false">(3*(V514="SÍ")+2*(W514="SÍ")+2*(X514="SÍ")+(Y514="SÍ"))*IF(LEFT(D514,1)="A",3,IF(OR(LEFT(D514,1)="B",D514="SIN HIST"),2,1))</f>
        <v>2</v>
      </c>
      <c r="AB514" s="3" t="str">
        <f aca="false">IF(AA514&gt;=9,"1-ALTA",IF(AA514&gt;=4,"2-MEDIA",IF(AA514&gt;0,"3-BAJA","")))</f>
        <v>3-BAJA</v>
      </c>
      <c r="AC514" s="3" t="str">
        <f aca="false">IF(E514="BAJO SS","Stock + XLIB bajo el SS: riesgo real de quiebre, adelantar producción. ","")&amp;IF(E514="BAJO SS (XLIB CUBRE)","Disponible bajo el SS; depende de liberar "&amp;TEXT(J514,"#,##0")&amp;" kg"&amp;IF(ISNUMBER(K514)," el "&amp;TEXT(K514,"dd-mm"),"")&amp;". ","")&amp;IF(W514="SÍ","Stock parece sano pero "&amp;TEXT(L514,"#,##0")&amp;" kg no pasan filtro "&amp;Stock_Seguridad!O514&amp;": sin ellos queda bajo el SS para esa cadena. ","")&amp;IF(E514="SOBRE MAX VENDIBLE","Sobrestock vs vida útil: frenar producción/activar venta. ","")&amp;IF(N(N514)&gt;=Parametros!$B$17,TEXT(N514,"#,##0")&amp;" kg ya no los acepta ninguna cadena: venta intermedia/liquidación. ","")&amp;IF(N(M514)&gt;=Parametros!$B$17,TEXT(M514,"#,##0")&amp;" kg a punto de salir del filtro: despachar primero (FEFO). ","")&amp;IF(Y514="SÍ","Pedidos "&amp;IF(N(U514)&gt;0,"sobre","bajo")&amp;" FCST "&amp;TEXT(ABS(N(U514)),"0%")&amp;": revisar forecast con KAM.","")</f>
        <v>Stock parece sano pero 2,932 kg no pasan filtro TOTTUS: sin ellos queda bajo el SS para esa cadena. </v>
      </c>
    </row>
    <row r="515" customFormat="false" ht="15" hidden="false" customHeight="false" outlineLevel="0" collapsed="false">
      <c r="A515" s="18" t="n">
        <f aca="false">Stock_Seguridad!A515</f>
        <v>30002362</v>
      </c>
      <c r="B515" s="18" t="str">
        <f aca="false">Stock_Seguridad!B515</f>
        <v>QUESO CHANCO LAS PARCELAS 32X99G</v>
      </c>
      <c r="C515" s="18" t="n">
        <f aca="false">Stock_Seguridad!C515</f>
        <v>0</v>
      </c>
      <c r="D515" s="18" t="str">
        <f aca="false">Stock_Seguridad!F515</f>
        <v>SIN HIST</v>
      </c>
      <c r="E515" s="19" t="str">
        <f aca="false">Stock_Seguridad!X515</f>
        <v>BAJO SS</v>
      </c>
      <c r="F515" s="20" t="n">
        <f aca="false">Stock_Seguridad!W515</f>
        <v>0</v>
      </c>
      <c r="G515" s="21" t="n">
        <f aca="false">Stock_Seguridad!T515</f>
        <v>0</v>
      </c>
      <c r="H515" s="21" t="n">
        <f aca="false">Stock_Seguridad!R515</f>
        <v>555.138099096122</v>
      </c>
      <c r="I515" s="21" t="n">
        <f aca="false">Stock_Seguridad!S515</f>
        <v>1680.13809909612</v>
      </c>
      <c r="J515" s="21" t="n">
        <f aca="false">Stock_Seguridad!U515</f>
        <v>0</v>
      </c>
      <c r="K515" s="22"/>
      <c r="L515" s="23"/>
      <c r="M515" s="23"/>
      <c r="N515" s="23"/>
      <c r="O515" s="24"/>
      <c r="P515" s="24" t="str">
        <f aca="false">IF(ISNUMBER(Stock_Seguridad!N515),Stock_Seguridad!N515,"")</f>
        <v/>
      </c>
      <c r="Q515" s="24" t="str">
        <f aca="false">IF(AND(ISNUMBER(O515),ISNUMBER(P515)),P515-O515,"")</f>
        <v/>
      </c>
      <c r="R515" s="23" t="n">
        <f aca="false">MAX(0,G515-N(L515))</f>
        <v>0</v>
      </c>
      <c r="S515" s="23" t="n">
        <f aca="false">SUMIFS(Cadenas_vs_FCST!$D$17:$D$2437,Cadenas_vs_FCST!$A$17:$A$2437,A515)</f>
        <v>0</v>
      </c>
      <c r="T515" s="23" t="n">
        <f aca="false">SUMIFS(Cadenas_vs_FCST!$E$17:$E$2437,Cadenas_vs_FCST!$A$17:$A$2437,A515)</f>
        <v>0</v>
      </c>
      <c r="U515" s="24" t="str">
        <f aca="false">IF(T515&gt;0,S515/T515-1,"")</f>
        <v/>
      </c>
      <c r="V515" s="3" t="str">
        <f aca="false">IF(OR(E515="BAJO SS",E515="BAJO SS (XLIB CUBRE)"),"SÍ","")</f>
        <v>SÍ</v>
      </c>
      <c r="W515" s="3" t="str">
        <f aca="false">IF(AND(V515="",N(L515)&gt;=Parametros!$B$17,G515&gt;=H515,R515&lt;H515),"SÍ","")</f>
        <v/>
      </c>
      <c r="X515" s="3" t="str">
        <f aca="false">IF(OR(E515="SOBRE MAX VENDIBLE",N(N515)&gt;=Parametros!$B$17,N(M515)&gt;=Parametros!$B$17),"SÍ","")</f>
        <v/>
      </c>
      <c r="Y515" s="3" t="str">
        <f aca="false">IF(AND(ISNUMBER(U515),MAX(S515,T515)&gt;=Parametros!$B$15,ABS(N(U515))&gt;Parametros!$B$14),"SÍ","")</f>
        <v/>
      </c>
      <c r="Z515" s="3" t="n">
        <f aca="false">COUNTIF(V515:Y515,"SÍ")</f>
        <v>1</v>
      </c>
      <c r="AA515" s="3" t="n">
        <f aca="false">(3*(V515="SÍ")+2*(W515="SÍ")+2*(X515="SÍ")+(Y515="SÍ"))*IF(LEFT(D515,1)="A",3,IF(OR(LEFT(D515,1)="B",D515="SIN HIST"),2,1))</f>
        <v>6</v>
      </c>
      <c r="AB515" s="3" t="str">
        <f aca="false">IF(AA515&gt;=9,"1-ALTA",IF(AA515&gt;=4,"2-MEDIA",IF(AA515&gt;0,"3-BAJA","")))</f>
        <v>2-MEDIA</v>
      </c>
      <c r="AC515" s="3" t="str">
        <f aca="false">IF(E515="BAJO SS","Stock + XLIB bajo el SS: riesgo real de quiebre, adelantar producción. ","")&amp;IF(E515="BAJO SS (XLIB CUBRE)","Disponible bajo el SS; depende de liberar "&amp;TEXT(J515,"#,##0")&amp;" kg"&amp;IF(ISNUMBER(K515)," el "&amp;TEXT(K515,"dd-mm"),"")&amp;". ","")&amp;IF(W515="SÍ","Stock parece sano pero "&amp;TEXT(L515,"#,##0")&amp;" kg no pasan filtro "&amp;Stock_Seguridad!O515&amp;": sin ellos queda bajo el SS para esa cadena. ","")&amp;IF(E515="SOBRE MAX VENDIBLE","Sobrestock vs vida útil: frenar producción/activar venta. ","")&amp;IF(N(N515)&gt;=Parametros!$B$17,TEXT(N515,"#,##0")&amp;" kg ya no los acepta ninguna cadena: venta intermedia/liquidación. ","")&amp;IF(N(M515)&gt;=Parametros!$B$17,TEXT(M515,"#,##0")&amp;" kg a punto de salir del filtro: despachar primero (FEFO). ","")&amp;IF(Y515="SÍ","Pedidos "&amp;IF(N(U515)&gt;0,"sobre","bajo")&amp;" FCST "&amp;TEXT(ABS(N(U515)),"0%")&amp;": revisar forecast con KAM.","")</f>
        <v>Stock + XLIB bajo el SS: riesgo real de quiebre, adelantar producción. </v>
      </c>
    </row>
    <row r="516" customFormat="false" ht="15" hidden="false" customHeight="false" outlineLevel="0" collapsed="false">
      <c r="A516" s="18" t="n">
        <f aca="false">Stock_Seguridad!A516</f>
        <v>30001988</v>
      </c>
      <c r="B516" s="18" t="str">
        <f aca="false">Stock_Seguridad!B516</f>
        <v>LECHE FRUTILLA LONCO LECHE 30X115ML</v>
      </c>
      <c r="C516" s="18" t="str">
        <f aca="false">Stock_Seguridad!C516</f>
        <v>LECHES LIQUIDAS</v>
      </c>
      <c r="D516" s="18" t="str">
        <f aca="false">Stock_Seguridad!F516</f>
        <v>CY</v>
      </c>
      <c r="E516" s="19" t="str">
        <f aca="false">Stock_Seguridad!X516</f>
        <v>SOBRE MAX VENDIBLE</v>
      </c>
      <c r="F516" s="20" t="n">
        <f aca="false">Stock_Seguridad!W516</f>
        <v>11.6472</v>
      </c>
      <c r="G516" s="21" t="n">
        <f aca="false">Stock_Seguridad!T516</f>
        <v>13103.1</v>
      </c>
      <c r="H516" s="21" t="n">
        <f aca="false">Stock_Seguridad!R516</f>
        <v>1976.61759060406</v>
      </c>
      <c r="I516" s="21" t="n">
        <f aca="false">Stock_Seguridad!S516</f>
        <v>3101.61759060406</v>
      </c>
      <c r="J516" s="21" t="n">
        <f aca="false">Stock_Seguridad!U516</f>
        <v>0</v>
      </c>
      <c r="K516" s="22"/>
      <c r="L516" s="23" t="n">
        <v>1079.85</v>
      </c>
      <c r="M516" s="23" t="n">
        <v>12023.25</v>
      </c>
      <c r="N516" s="23" t="n">
        <v>0</v>
      </c>
      <c r="O516" s="24" t="n">
        <v>0.232738283307004</v>
      </c>
      <c r="P516" s="24" t="n">
        <f aca="false">IF(ISNUMBER(Stock_Seguridad!N516),Stock_Seguridad!N516,"")</f>
        <v>0.266355140186916</v>
      </c>
      <c r="Q516" s="24" t="n">
        <f aca="false">IF(AND(ISNUMBER(O516),ISNUMBER(P516)),P516-O516,"")</f>
        <v>0.0336168568799122</v>
      </c>
      <c r="R516" s="23" t="n">
        <f aca="false">MAX(0,G516-N(L516))</f>
        <v>12023.25</v>
      </c>
      <c r="S516" s="23" t="n">
        <f aca="false">SUMIFS(Cadenas_vs_FCST!$D$17:$D$2437,Cadenas_vs_FCST!$A$17:$A$2437,A516)</f>
        <v>3243</v>
      </c>
      <c r="T516" s="23" t="n">
        <f aca="false">SUMIFS(Cadenas_vs_FCST!$E$17:$E$2437,Cadenas_vs_FCST!$A$17:$A$2437,A516)</f>
        <v>6873.605</v>
      </c>
      <c r="U516" s="24" t="n">
        <f aca="false">IF(T516&gt;0,S516/T516-1,"")</f>
        <v>-0.528195175602904</v>
      </c>
      <c r="V516" s="3" t="str">
        <f aca="false">IF(OR(E516="BAJO SS",E516="BAJO SS (XLIB CUBRE)"),"SÍ","")</f>
        <v/>
      </c>
      <c r="W516" s="3" t="str">
        <f aca="false">IF(AND(V516="",N(L516)&gt;=Parametros!$B$17,G516&gt;=H516,R516&lt;H516),"SÍ","")</f>
        <v/>
      </c>
      <c r="X516" s="3" t="str">
        <f aca="false">IF(OR(E516="SOBRE MAX VENDIBLE",N(N516)&gt;=Parametros!$B$17,N(M516)&gt;=Parametros!$B$17),"SÍ","")</f>
        <v>SÍ</v>
      </c>
      <c r="Y516" s="3" t="str">
        <f aca="false">IF(AND(ISNUMBER(U516),MAX(S516,T516)&gt;=Parametros!$B$15,ABS(N(U516))&gt;Parametros!$B$14),"SÍ","")</f>
        <v>SÍ</v>
      </c>
      <c r="Z516" s="3" t="n">
        <f aca="false">COUNTIF(V516:Y516,"SÍ")</f>
        <v>2</v>
      </c>
      <c r="AA516" s="3" t="n">
        <f aca="false">(3*(V516="SÍ")+2*(W516="SÍ")+2*(X516="SÍ")+(Y516="SÍ"))*IF(LEFT(D516,1)="A",3,IF(OR(LEFT(D516,1)="B",D516="SIN HIST"),2,1))</f>
        <v>3</v>
      </c>
      <c r="AB516" s="3" t="str">
        <f aca="false">IF(AA516&gt;=9,"1-ALTA",IF(AA516&gt;=4,"2-MEDIA",IF(AA516&gt;0,"3-BAJA","")))</f>
        <v>3-BAJA</v>
      </c>
      <c r="AC516" s="3" t="str">
        <f aca="false">IF(E516="BAJO SS","Stock + XLIB bajo el SS: riesgo real de quiebre, adelantar producción. ","")&amp;IF(E516="BAJO SS (XLIB CUBRE)","Disponible bajo el SS; depende de liberar "&amp;TEXT(J516,"#,##0")&amp;" kg"&amp;IF(ISNUMBER(K516)," el "&amp;TEXT(K516,"dd-mm"),"")&amp;". ","")&amp;IF(W516="SÍ","Stock parece sano pero "&amp;TEXT(L516,"#,##0")&amp;" kg no pasan filtro "&amp;Stock_Seguridad!O516&amp;": sin ellos queda bajo el SS para esa cadena. ","")&amp;IF(E516="SOBRE MAX VENDIBLE","Sobrestock vs vida útil: frenar producción/activar venta. ","")&amp;IF(N(N516)&gt;=Parametros!$B$17,TEXT(N516,"#,##0")&amp;" kg ya no los acepta ninguna cadena: venta intermedia/liquidación. ","")&amp;IF(N(M516)&gt;=Parametros!$B$17,TEXT(M516,"#,##0")&amp;" kg a punto de salir del filtro: despachar primero (FEFO). ","")&amp;IF(Y516="SÍ","Pedidos "&amp;IF(N(U516)&gt;0,"sobre","bajo")&amp;" FCST "&amp;TEXT(ABS(N(U516)),"0%")&amp;": revisar forecast con KAM.","")</f>
        <v>Sobrestock vs vida útil: frenar producción/activar venta. 12,023 kg a punto de salir del filtro: despachar primero (FEFO). Pedidos bajo FCST 53%: revisar forecast con KAM.</v>
      </c>
    </row>
    <row r="517" customFormat="false" ht="15" hidden="false" customHeight="false" outlineLevel="0" collapsed="false">
      <c r="A517" s="18" t="n">
        <f aca="false">Stock_Seguridad!A517</f>
        <v>30000499</v>
      </c>
      <c r="B517" s="18" t="str">
        <f aca="false">Stock_Seguridad!B517</f>
        <v>LECHE CULTIVADA LONCO VLLA LIGHT 6X900ML</v>
      </c>
      <c r="C517" s="18" t="str">
        <f aca="false">Stock_Seguridad!C517</f>
        <v>LECHES LIQUIDAS</v>
      </c>
      <c r="D517" s="18" t="str">
        <f aca="false">Stock_Seguridad!F517</f>
        <v>CX</v>
      </c>
      <c r="E517" s="19" t="str">
        <f aca="false">Stock_Seguridad!X517</f>
        <v>BAJO P.REORDEN</v>
      </c>
      <c r="F517" s="20" t="n">
        <f aca="false">Stock_Seguridad!W517</f>
        <v>1.11121052160687</v>
      </c>
      <c r="G517" s="21" t="n">
        <f aca="false">Stock_Seguridad!T517</f>
        <v>1242</v>
      </c>
      <c r="H517" s="21" t="n">
        <f aca="false">Stock_Seguridad!R517</f>
        <v>536.555824401952</v>
      </c>
      <c r="I517" s="21" t="n">
        <f aca="false">Stock_Seguridad!S517</f>
        <v>1654.25582440195</v>
      </c>
      <c r="J517" s="21" t="n">
        <f aca="false">Stock_Seguridad!U517</f>
        <v>0</v>
      </c>
      <c r="K517" s="22"/>
      <c r="L517" s="23" t="n">
        <v>367.2</v>
      </c>
      <c r="M517" s="23" t="n">
        <v>858.6</v>
      </c>
      <c r="N517" s="23" t="n">
        <v>367.2</v>
      </c>
      <c r="O517" s="24" t="n">
        <v>0.287356828193833</v>
      </c>
      <c r="P517" s="24" t="n">
        <f aca="false">IF(ISNUMBER(Stock_Seguridad!N517),Stock_Seguridad!N517,"")</f>
        <v>0.23943661971831</v>
      </c>
      <c r="Q517" s="24" t="n">
        <f aca="false">IF(AND(ISNUMBER(O517),ISNUMBER(P517)),P517-O517,"")</f>
        <v>-0.0479202084755227</v>
      </c>
      <c r="R517" s="23" t="n">
        <f aca="false">MAX(0,G517-N(L517))</f>
        <v>874.8</v>
      </c>
      <c r="S517" s="23" t="n">
        <f aca="false">SUMIFS(Cadenas_vs_FCST!$D$17:$D$2437,Cadenas_vs_FCST!$A$17:$A$2437,A517)</f>
        <v>5113.8</v>
      </c>
      <c r="T517" s="23" t="n">
        <f aca="false">SUMIFS(Cadenas_vs_FCST!$E$17:$E$2437,Cadenas_vs_FCST!$A$17:$A$2437,A517)</f>
        <v>4057.58916741219</v>
      </c>
      <c r="U517" s="24" t="n">
        <f aca="false">IF(T517&gt;0,S517/T517-1,"")</f>
        <v>0.2603050207918</v>
      </c>
      <c r="V517" s="3" t="str">
        <f aca="false">IF(OR(E517="BAJO SS",E517="BAJO SS (XLIB CUBRE)"),"SÍ","")</f>
        <v/>
      </c>
      <c r="W517" s="3" t="str">
        <f aca="false">IF(AND(V517="",N(L517)&gt;=Parametros!$B$17,G517&gt;=H517,R517&lt;H517),"SÍ","")</f>
        <v/>
      </c>
      <c r="X517" s="3" t="str">
        <f aca="false">IF(OR(E517="SOBRE MAX VENDIBLE",N(N517)&gt;=Parametros!$B$17,N(M517)&gt;=Parametros!$B$17),"SÍ","")</f>
        <v>SÍ</v>
      </c>
      <c r="Y517" s="3" t="str">
        <f aca="false">IF(AND(ISNUMBER(U517),MAX(S517,T517)&gt;=Parametros!$B$15,ABS(N(U517))&gt;Parametros!$B$14),"SÍ","")</f>
        <v>SÍ</v>
      </c>
      <c r="Z517" s="3" t="n">
        <f aca="false">COUNTIF(V517:Y517,"SÍ")</f>
        <v>2</v>
      </c>
      <c r="AA517" s="3" t="n">
        <f aca="false">(3*(V517="SÍ")+2*(W517="SÍ")+2*(X517="SÍ")+(Y517="SÍ"))*IF(LEFT(D517,1)="A",3,IF(OR(LEFT(D517,1)="B",D517="SIN HIST"),2,1))</f>
        <v>3</v>
      </c>
      <c r="AB517" s="3" t="str">
        <f aca="false">IF(AA517&gt;=9,"1-ALTA",IF(AA517&gt;=4,"2-MEDIA",IF(AA517&gt;0,"3-BAJA","")))</f>
        <v>3-BAJA</v>
      </c>
      <c r="AC517" s="3" t="str">
        <f aca="false">IF(E517="BAJO SS","Stock + XLIB bajo el SS: riesgo real de quiebre, adelantar producción. ","")&amp;IF(E517="BAJO SS (XLIB CUBRE)","Disponible bajo el SS; depende de liberar "&amp;TEXT(J517,"#,##0")&amp;" kg"&amp;IF(ISNUMBER(K517)," el "&amp;TEXT(K517,"dd-mm"),"")&amp;". ","")&amp;IF(W517="SÍ","Stock parece sano pero "&amp;TEXT(L517,"#,##0")&amp;" kg no pasan filtro "&amp;Stock_Seguridad!O517&amp;": sin ellos queda bajo el SS para esa cadena. ","")&amp;IF(E517="SOBRE MAX VENDIBLE","Sobrestock vs vida útil: frenar producción/activar venta. ","")&amp;IF(N(N517)&gt;=Parametros!$B$17,TEXT(N517,"#,##0")&amp;" kg ya no los acepta ninguna cadena: venta intermedia/liquidación. ","")&amp;IF(N(M517)&gt;=Parametros!$B$17,TEXT(M517,"#,##0")&amp;" kg a punto de salir del filtro: despachar primero (FEFO). ","")&amp;IF(Y517="SÍ","Pedidos "&amp;IF(N(U517)&gt;0,"sobre","bajo")&amp;" FCST "&amp;TEXT(ABS(N(U517)),"0%")&amp;": revisar forecast con KAM.","")</f>
        <v>859 kg a punto de salir del filtro: despachar primero (FEFO). Pedidos sobre FCST 26%: revisar forecast con KAM.</v>
      </c>
    </row>
    <row r="518" customFormat="false" ht="15" hidden="false" customHeight="false" outlineLevel="0" collapsed="false">
      <c r="A518" s="18" t="n">
        <f aca="false">Stock_Seguridad!A518</f>
        <v>30001686</v>
      </c>
      <c r="B518" s="18" t="str">
        <f aca="false">Stock_Seguridad!B518</f>
        <v>AJO EN CUBO 20X100GR</v>
      </c>
      <c r="C518" s="18" t="str">
        <f aca="false">Stock_Seguridad!C518</f>
        <v>FRUTAS Y HORTALIZAS CONGELADAS</v>
      </c>
      <c r="D518" s="18" t="str">
        <f aca="false">Stock_Seguridad!F518</f>
        <v>SIN HIST</v>
      </c>
      <c r="E518" s="19" t="str">
        <f aca="false">Stock_Seguridad!X518</f>
        <v>OK</v>
      </c>
      <c r="F518" s="20" t="n">
        <f aca="false">Stock_Seguridad!W518</f>
        <v>14.6554682561185</v>
      </c>
      <c r="G518" s="21" t="n">
        <f aca="false">Stock_Seguridad!T518</f>
        <v>16228</v>
      </c>
      <c r="H518" s="21" t="n">
        <f aca="false">Stock_Seguridad!R518</f>
        <v>546.403926337009</v>
      </c>
      <c r="I518" s="21" t="n">
        <f aca="false">Stock_Seguridad!S518</f>
        <v>1653.70392633701</v>
      </c>
      <c r="J518" s="21" t="n">
        <f aca="false">Stock_Seguridad!U518</f>
        <v>0</v>
      </c>
      <c r="K518" s="22"/>
      <c r="L518" s="23" t="n">
        <v>0</v>
      </c>
      <c r="M518" s="23" t="n">
        <v>0</v>
      </c>
      <c r="N518" s="23" t="n">
        <v>0</v>
      </c>
      <c r="O518" s="24" t="n">
        <v>0.131464325737766</v>
      </c>
      <c r="P518" s="24" t="str">
        <f aca="false">IF(ISNUMBER(Stock_Seguridad!N518),Stock_Seguridad!N518,"")</f>
        <v/>
      </c>
      <c r="Q518" s="24" t="str">
        <f aca="false">IF(AND(ISNUMBER(O518),ISNUMBER(P518)),P518-O518,"")</f>
        <v/>
      </c>
      <c r="R518" s="23" t="n">
        <f aca="false">MAX(0,G518-N(L518))</f>
        <v>16228</v>
      </c>
      <c r="S518" s="23" t="n">
        <f aca="false">SUMIFS(Cadenas_vs_FCST!$D$17:$D$2437,Cadenas_vs_FCST!$A$17:$A$2437,A518)</f>
        <v>0</v>
      </c>
      <c r="T518" s="23" t="n">
        <f aca="false">SUMIFS(Cadenas_vs_FCST!$E$17:$E$2437,Cadenas_vs_FCST!$A$17:$A$2437,A518)</f>
        <v>0</v>
      </c>
      <c r="U518" s="24" t="str">
        <f aca="false">IF(T518&gt;0,S518/T518-1,"")</f>
        <v/>
      </c>
      <c r="V518" s="3" t="str">
        <f aca="false">IF(OR(E518="BAJO SS",E518="BAJO SS (XLIB CUBRE)"),"SÍ","")</f>
        <v/>
      </c>
      <c r="W518" s="3" t="str">
        <f aca="false">IF(AND(V518="",N(L518)&gt;=Parametros!$B$17,G518&gt;=H518,R518&lt;H518),"SÍ","")</f>
        <v/>
      </c>
      <c r="X518" s="3" t="str">
        <f aca="false">IF(OR(E518="SOBRE MAX VENDIBLE",N(N518)&gt;=Parametros!$B$17,N(M518)&gt;=Parametros!$B$17),"SÍ","")</f>
        <v/>
      </c>
      <c r="Y518" s="3" t="str">
        <f aca="false">IF(AND(ISNUMBER(U518),MAX(S518,T518)&gt;=Parametros!$B$15,ABS(N(U518))&gt;Parametros!$B$14),"SÍ","")</f>
        <v/>
      </c>
      <c r="Z518" s="3" t="n">
        <f aca="false">COUNTIF(V518:Y518,"SÍ")</f>
        <v>0</v>
      </c>
      <c r="AA518" s="3" t="n">
        <f aca="false">(3*(V518="SÍ")+2*(W518="SÍ")+2*(X518="SÍ")+(Y518="SÍ"))*IF(LEFT(D518,1)="A",3,IF(OR(LEFT(D518,1)="B",D518="SIN HIST"),2,1))</f>
        <v>0</v>
      </c>
      <c r="AB518" s="3" t="str">
        <f aca="false">IF(AA518&gt;=9,"1-ALTA",IF(AA518&gt;=4,"2-MEDIA",IF(AA518&gt;0,"3-BAJA","")))</f>
        <v/>
      </c>
      <c r="AC518" s="3" t="str">
        <f aca="false">IF(E518="BAJO SS","Stock + XLIB bajo el SS: riesgo real de quiebre, adelantar producción. ","")&amp;IF(E518="BAJO SS (XLIB CUBRE)","Disponible bajo el SS; depende de liberar "&amp;TEXT(J518,"#,##0")&amp;" kg"&amp;IF(ISNUMBER(K518)," el "&amp;TEXT(K518,"dd-mm"),"")&amp;". ","")&amp;IF(W518="SÍ","Stock parece sano pero "&amp;TEXT(L518,"#,##0")&amp;" kg no pasan filtro "&amp;Stock_Seguridad!O518&amp;": sin ellos queda bajo el SS para esa cadena. ","")&amp;IF(E518="SOBRE MAX VENDIBLE","Sobrestock vs vida útil: frenar producción/activar venta. ","")&amp;IF(N(N518)&gt;=Parametros!$B$17,TEXT(N518,"#,##0")&amp;" kg ya no los acepta ninguna cadena: venta intermedia/liquidación. ","")&amp;IF(N(M518)&gt;=Parametros!$B$17,TEXT(M518,"#,##0")&amp;" kg a punto de salir del filtro: despachar primero (FEFO). ","")&amp;IF(Y518="SÍ","Pedidos "&amp;IF(N(U518)&gt;0,"sobre","bajo")&amp;" FCST "&amp;TEXT(ABS(N(U518)),"0%")&amp;": revisar forecast con KAM.","")</f>
        <v/>
      </c>
    </row>
    <row r="519" customFormat="false" ht="15" hidden="false" customHeight="false" outlineLevel="0" collapsed="false">
      <c r="A519" s="18" t="n">
        <f aca="false">Stock_Seguridad!A519</f>
        <v>30000459</v>
      </c>
      <c r="B519" s="18" t="str">
        <f aca="false">Stock_Seguridad!B519</f>
        <v>DESPUNTES LACTEOS VALDIVIA</v>
      </c>
      <c r="C519" s="18" t="str">
        <f aca="false">Stock_Seguridad!C519</f>
        <v>QUESOS</v>
      </c>
      <c r="D519" s="18" t="str">
        <f aca="false">Stock_Seguridad!F519</f>
        <v>CZ</v>
      </c>
      <c r="E519" s="19" t="str">
        <f aca="false">Stock_Seguridad!X519</f>
        <v>OK</v>
      </c>
      <c r="F519" s="20" t="n">
        <f aca="false">Stock_Seguridad!W519</f>
        <v>12.31</v>
      </c>
      <c r="G519" s="21" t="n">
        <f aca="false">Stock_Seguridad!T519</f>
        <v>13541</v>
      </c>
      <c r="H519" s="21" t="n">
        <f aca="false">Stock_Seguridad!R519</f>
        <v>1564.39015192581</v>
      </c>
      <c r="I519" s="21" t="n">
        <f aca="false">Stock_Seguridad!S519</f>
        <v>2664.39015192581</v>
      </c>
      <c r="J519" s="21" t="n">
        <f aca="false">Stock_Seguridad!U519</f>
        <v>0</v>
      </c>
      <c r="K519" s="22"/>
      <c r="L519" s="23" t="n">
        <v>0</v>
      </c>
      <c r="M519" s="23" t="n">
        <v>0</v>
      </c>
      <c r="N519" s="23" t="n">
        <v>0</v>
      </c>
      <c r="O519" s="24" t="n">
        <v>0.467961745809024</v>
      </c>
      <c r="P519" s="24" t="str">
        <f aca="false">IF(ISNUMBER(Stock_Seguridad!N519),Stock_Seguridad!N519,"")</f>
        <v/>
      </c>
      <c r="Q519" s="24" t="str">
        <f aca="false">IF(AND(ISNUMBER(O519),ISNUMBER(P519)),P519-O519,"")</f>
        <v/>
      </c>
      <c r="R519" s="23" t="n">
        <f aca="false">MAX(0,G519-N(L519))</f>
        <v>13541</v>
      </c>
      <c r="S519" s="23" t="n">
        <f aca="false">SUMIFS(Cadenas_vs_FCST!$D$17:$D$2437,Cadenas_vs_FCST!$A$17:$A$2437,A519)</f>
        <v>0</v>
      </c>
      <c r="T519" s="23" t="n">
        <f aca="false">SUMIFS(Cadenas_vs_FCST!$E$17:$E$2437,Cadenas_vs_FCST!$A$17:$A$2437,A519)</f>
        <v>4744.16286022655</v>
      </c>
      <c r="U519" s="24" t="n">
        <f aca="false">IF(T519&gt;0,S519/T519-1,"")</f>
        <v>-1</v>
      </c>
      <c r="V519" s="3" t="str">
        <f aca="false">IF(OR(E519="BAJO SS",E519="BAJO SS (XLIB CUBRE)"),"SÍ","")</f>
        <v/>
      </c>
      <c r="W519" s="3" t="str">
        <f aca="false">IF(AND(V519="",N(L519)&gt;=Parametros!$B$17,G519&gt;=H519,R519&lt;H519),"SÍ","")</f>
        <v/>
      </c>
      <c r="X519" s="3" t="str">
        <f aca="false">IF(OR(E519="SOBRE MAX VENDIBLE",N(N519)&gt;=Parametros!$B$17,N(M519)&gt;=Parametros!$B$17),"SÍ","")</f>
        <v/>
      </c>
      <c r="Y519" s="3" t="str">
        <f aca="false">IF(AND(ISNUMBER(U519),MAX(S519,T519)&gt;=Parametros!$B$15,ABS(N(U519))&gt;Parametros!$B$14),"SÍ","")</f>
        <v>SÍ</v>
      </c>
      <c r="Z519" s="3" t="n">
        <f aca="false">COUNTIF(V519:Y519,"SÍ")</f>
        <v>1</v>
      </c>
      <c r="AA519" s="3" t="n">
        <f aca="false">(3*(V519="SÍ")+2*(W519="SÍ")+2*(X519="SÍ")+(Y519="SÍ"))*IF(LEFT(D519,1)="A",3,IF(OR(LEFT(D519,1)="B",D519="SIN HIST"),2,1))</f>
        <v>1</v>
      </c>
      <c r="AB519" s="3" t="str">
        <f aca="false">IF(AA519&gt;=9,"1-ALTA",IF(AA519&gt;=4,"2-MEDIA",IF(AA519&gt;0,"3-BAJA","")))</f>
        <v>3-BAJA</v>
      </c>
      <c r="AC519" s="3" t="str">
        <f aca="false">IF(E519="BAJO SS","Stock + XLIB bajo el SS: riesgo real de quiebre, adelantar producción. ","")&amp;IF(E519="BAJO SS (XLIB CUBRE)","Disponible bajo el SS; depende de liberar "&amp;TEXT(J519,"#,##0")&amp;" kg"&amp;IF(ISNUMBER(K519)," el "&amp;TEXT(K519,"dd-mm"),"")&amp;". ","")&amp;IF(W519="SÍ","Stock parece sano pero "&amp;TEXT(L519,"#,##0")&amp;" kg no pasan filtro "&amp;Stock_Seguridad!O519&amp;": sin ellos queda bajo el SS para esa cadena. ","")&amp;IF(E519="SOBRE MAX VENDIBLE","Sobrestock vs vida útil: frenar producción/activar venta. ","")&amp;IF(N(N519)&gt;=Parametros!$B$17,TEXT(N519,"#,##0")&amp;" kg ya no los acepta ninguna cadena: venta intermedia/liquidación. ","")&amp;IF(N(M519)&gt;=Parametros!$B$17,TEXT(M519,"#,##0")&amp;" kg a punto de salir del filtro: despachar primero (FEFO). ","")&amp;IF(Y519="SÍ","Pedidos "&amp;IF(N(U519)&gt;0,"sobre","bajo")&amp;" FCST "&amp;TEXT(ABS(N(U519)),"0%")&amp;": revisar forecast con KAM.","")</f>
        <v>Pedidos bajo FCST 100%: revisar forecast con KAM.</v>
      </c>
    </row>
    <row r="520" customFormat="false" ht="15" hidden="false" customHeight="false" outlineLevel="0" collapsed="false">
      <c r="A520" s="18" t="n">
        <f aca="false">Stock_Seguridad!A520</f>
        <v>30001707</v>
      </c>
      <c r="B520" s="18" t="str">
        <f aca="false">Stock_Seguridad!B520</f>
        <v>YOGURT LONCO S/LACT CHIRIMOYA POT24X140G</v>
      </c>
      <c r="C520" s="18" t="str">
        <f aca="false">Stock_Seguridad!C520</f>
        <v>YOGURT</v>
      </c>
      <c r="D520" s="18" t="str">
        <f aca="false">Stock_Seguridad!F520</f>
        <v>CX</v>
      </c>
      <c r="E520" s="19" t="str">
        <f aca="false">Stock_Seguridad!X520</f>
        <v>OK</v>
      </c>
      <c r="F520" s="20" t="n">
        <f aca="false">Stock_Seguridad!W520</f>
        <v>1.87362186788155</v>
      </c>
      <c r="G520" s="21" t="n">
        <f aca="false">Stock_Seguridad!T520</f>
        <v>2056.3</v>
      </c>
      <c r="H520" s="21" t="n">
        <f aca="false">Stock_Seguridad!R520</f>
        <v>612.391167430226</v>
      </c>
      <c r="I520" s="21" t="n">
        <f aca="false">Stock_Seguridad!S520</f>
        <v>1709.89116743023</v>
      </c>
      <c r="J520" s="21" t="n">
        <f aca="false">Stock_Seguridad!U520</f>
        <v>0</v>
      </c>
      <c r="K520" s="22"/>
      <c r="L520" s="23" t="n">
        <v>50.4</v>
      </c>
      <c r="M520" s="23" t="n">
        <v>0</v>
      </c>
      <c r="N520" s="23" t="n">
        <v>50.4</v>
      </c>
      <c r="O520" s="24" t="n">
        <v>0.131428571428571</v>
      </c>
      <c r="P520" s="24" t="n">
        <f aca="false">IF(ISNUMBER(Stock_Seguridad!N520),Stock_Seguridad!N520,"")</f>
        <v>0.295774647887324</v>
      </c>
      <c r="Q520" s="24" t="n">
        <f aca="false">IF(AND(ISNUMBER(O520),ISNUMBER(P520)),P520-O520,"")</f>
        <v>0.164346076458753</v>
      </c>
      <c r="R520" s="23" t="n">
        <f aca="false">MAX(0,G520-N(L520))</f>
        <v>2005.9</v>
      </c>
      <c r="S520" s="23" t="n">
        <f aca="false">SUMIFS(Cadenas_vs_FCST!$D$17:$D$2437,Cadenas_vs_FCST!$A$17:$A$2437,A520)</f>
        <v>5587.68</v>
      </c>
      <c r="T520" s="23" t="n">
        <f aca="false">SUMIFS(Cadenas_vs_FCST!$E$17:$E$2437,Cadenas_vs_FCST!$A$17:$A$2437,A520)</f>
        <v>4820.91003421683</v>
      </c>
      <c r="U520" s="24" t="n">
        <f aca="false">IF(T520&gt;0,S520/T520-1,"")</f>
        <v>0.159050876357566</v>
      </c>
      <c r="V520" s="3" t="str">
        <f aca="false">IF(OR(E520="BAJO SS",E520="BAJO SS (XLIB CUBRE)"),"SÍ","")</f>
        <v/>
      </c>
      <c r="W520" s="3" t="str">
        <f aca="false">IF(AND(V520="",N(L520)&gt;=Parametros!$B$17,G520&gt;=H520,R520&lt;H520),"SÍ","")</f>
        <v/>
      </c>
      <c r="X520" s="3" t="str">
        <f aca="false">IF(OR(E520="SOBRE MAX VENDIBLE",N(N520)&gt;=Parametros!$B$17,N(M520)&gt;=Parametros!$B$17),"SÍ","")</f>
        <v/>
      </c>
      <c r="Y520" s="3" t="str">
        <f aca="false">IF(AND(ISNUMBER(U520),MAX(S520,T520)&gt;=Parametros!$B$15,ABS(N(U520))&gt;Parametros!$B$14),"SÍ","")</f>
        <v/>
      </c>
      <c r="Z520" s="3" t="n">
        <f aca="false">COUNTIF(V520:Y520,"SÍ")</f>
        <v>0</v>
      </c>
      <c r="AA520" s="3" t="n">
        <f aca="false">(3*(V520="SÍ")+2*(W520="SÍ")+2*(X520="SÍ")+(Y520="SÍ"))*IF(LEFT(D520,1)="A",3,IF(OR(LEFT(D520,1)="B",D520="SIN HIST"),2,1))</f>
        <v>0</v>
      </c>
      <c r="AB520" s="3" t="str">
        <f aca="false">IF(AA520&gt;=9,"1-ALTA",IF(AA520&gt;=4,"2-MEDIA",IF(AA520&gt;0,"3-BAJA","")))</f>
        <v/>
      </c>
      <c r="AC520" s="3" t="str">
        <f aca="false">IF(E520="BAJO SS","Stock + XLIB bajo el SS: riesgo real de quiebre, adelantar producción. ","")&amp;IF(E520="BAJO SS (XLIB CUBRE)","Disponible bajo el SS; depende de liberar "&amp;TEXT(J520,"#,##0")&amp;" kg"&amp;IF(ISNUMBER(K520)," el "&amp;TEXT(K520,"dd-mm"),"")&amp;". ","")&amp;IF(W520="SÍ","Stock parece sano pero "&amp;TEXT(L520,"#,##0")&amp;" kg no pasan filtro "&amp;Stock_Seguridad!O520&amp;": sin ellos queda bajo el SS para esa cadena. ","")&amp;IF(E520="SOBRE MAX VENDIBLE","Sobrestock vs vida útil: frenar producción/activar venta. ","")&amp;IF(N(N520)&gt;=Parametros!$B$17,TEXT(N520,"#,##0")&amp;" kg ya no los acepta ninguna cadena: venta intermedia/liquidación. ","")&amp;IF(N(M520)&gt;=Parametros!$B$17,TEXT(M520,"#,##0")&amp;" kg a punto de salir del filtro: despachar primero (FEFO). ","")&amp;IF(Y520="SÍ","Pedidos "&amp;IF(N(U520)&gt;0,"sobre","bajo")&amp;" FCST "&amp;TEXT(ABS(N(U520)),"0%")&amp;": revisar forecast con KAM.","")</f>
        <v/>
      </c>
    </row>
    <row r="521" customFormat="false" ht="15" hidden="false" customHeight="false" outlineLevel="0" collapsed="false">
      <c r="A521" s="18" t="n">
        <f aca="false">Stock_Seguridad!A521</f>
        <v>30001701</v>
      </c>
      <c r="B521" s="18" t="str">
        <f aca="false">Stock_Seguridad!B521</f>
        <v>CHAMPINON 16X350GR</v>
      </c>
      <c r="C521" s="18" t="str">
        <f aca="false">Stock_Seguridad!C521</f>
        <v>FRUTAS Y HORTALIZAS CONGELADAS</v>
      </c>
      <c r="D521" s="18" t="str">
        <f aca="false">Stock_Seguridad!F521</f>
        <v>SIN HIST</v>
      </c>
      <c r="E521" s="19" t="str">
        <f aca="false">Stock_Seguridad!X521</f>
        <v>OK</v>
      </c>
      <c r="F521" s="20" t="n">
        <f aca="false">Stock_Seguridad!W521</f>
        <v>2.36353691886964</v>
      </c>
      <c r="G521" s="21" t="n">
        <f aca="false">Stock_Seguridad!T521</f>
        <v>2592.8</v>
      </c>
      <c r="H521" s="21" t="n">
        <f aca="false">Stock_Seguridad!R521</f>
        <v>541.321328629729</v>
      </c>
      <c r="I521" s="21" t="n">
        <f aca="false">Stock_Seguridad!S521</f>
        <v>1638.32132862973</v>
      </c>
      <c r="J521" s="21" t="n">
        <f aca="false">Stock_Seguridad!U521</f>
        <v>0</v>
      </c>
      <c r="K521" s="22"/>
      <c r="L521" s="23" t="n">
        <v>0</v>
      </c>
      <c r="M521" s="23" t="n">
        <v>0</v>
      </c>
      <c r="N521" s="23" t="n">
        <v>0</v>
      </c>
      <c r="O521" s="24" t="n">
        <v>0.0315550755939525</v>
      </c>
      <c r="P521" s="24" t="str">
        <f aca="false">IF(ISNUMBER(Stock_Seguridad!N521),Stock_Seguridad!N521,"")</f>
        <v/>
      </c>
      <c r="Q521" s="24" t="str">
        <f aca="false">IF(AND(ISNUMBER(O521),ISNUMBER(P521)),P521-O521,"")</f>
        <v/>
      </c>
      <c r="R521" s="23" t="n">
        <f aca="false">MAX(0,G521-N(L521))</f>
        <v>2592.8</v>
      </c>
      <c r="S521" s="23" t="n">
        <f aca="false">SUMIFS(Cadenas_vs_FCST!$D$17:$D$2437,Cadenas_vs_FCST!$A$17:$A$2437,A521)</f>
        <v>0</v>
      </c>
      <c r="T521" s="23" t="n">
        <f aca="false">SUMIFS(Cadenas_vs_FCST!$E$17:$E$2437,Cadenas_vs_FCST!$A$17:$A$2437,A521)</f>
        <v>0</v>
      </c>
      <c r="U521" s="24" t="str">
        <f aca="false">IF(T521&gt;0,S521/T521-1,"")</f>
        <v/>
      </c>
      <c r="V521" s="3" t="str">
        <f aca="false">IF(OR(E521="BAJO SS",E521="BAJO SS (XLIB CUBRE)"),"SÍ","")</f>
        <v/>
      </c>
      <c r="W521" s="3" t="str">
        <f aca="false">IF(AND(V521="",N(L521)&gt;=Parametros!$B$17,G521&gt;=H521,R521&lt;H521),"SÍ","")</f>
        <v/>
      </c>
      <c r="X521" s="3" t="str">
        <f aca="false">IF(OR(E521="SOBRE MAX VENDIBLE",N(N521)&gt;=Parametros!$B$17,N(M521)&gt;=Parametros!$B$17),"SÍ","")</f>
        <v/>
      </c>
      <c r="Y521" s="3" t="str">
        <f aca="false">IF(AND(ISNUMBER(U521),MAX(S521,T521)&gt;=Parametros!$B$15,ABS(N(U521))&gt;Parametros!$B$14),"SÍ","")</f>
        <v/>
      </c>
      <c r="Z521" s="3" t="n">
        <f aca="false">COUNTIF(V521:Y521,"SÍ")</f>
        <v>0</v>
      </c>
      <c r="AA521" s="3" t="n">
        <f aca="false">(3*(V521="SÍ")+2*(W521="SÍ")+2*(X521="SÍ")+(Y521="SÍ"))*IF(LEFT(D521,1)="A",3,IF(OR(LEFT(D521,1)="B",D521="SIN HIST"),2,1))</f>
        <v>0</v>
      </c>
      <c r="AB521" s="3" t="str">
        <f aca="false">IF(AA521&gt;=9,"1-ALTA",IF(AA521&gt;=4,"2-MEDIA",IF(AA521&gt;0,"3-BAJA","")))</f>
        <v/>
      </c>
      <c r="AC521" s="3" t="str">
        <f aca="false">IF(E521="BAJO SS","Stock + XLIB bajo el SS: riesgo real de quiebre, adelantar producción. ","")&amp;IF(E521="BAJO SS (XLIB CUBRE)","Disponible bajo el SS; depende de liberar "&amp;TEXT(J521,"#,##0")&amp;" kg"&amp;IF(ISNUMBER(K521)," el "&amp;TEXT(K521,"dd-mm"),"")&amp;". ","")&amp;IF(W521="SÍ","Stock parece sano pero "&amp;TEXT(L521,"#,##0")&amp;" kg no pasan filtro "&amp;Stock_Seguridad!O521&amp;": sin ellos queda bajo el SS para esa cadena. ","")&amp;IF(E521="SOBRE MAX VENDIBLE","Sobrestock vs vida útil: frenar producción/activar venta. ","")&amp;IF(N(N521)&gt;=Parametros!$B$17,TEXT(N521,"#,##0")&amp;" kg ya no los acepta ninguna cadena: venta intermedia/liquidación. ","")&amp;IF(N(M521)&gt;=Parametros!$B$17,TEXT(M521,"#,##0")&amp;" kg a punto de salir del filtro: despachar primero (FEFO). ","")&amp;IF(Y521="SÍ","Pedidos "&amp;IF(N(U521)&gt;0,"sobre","bajo")&amp;" FCST "&amp;TEXT(ABS(N(U521)),"0%")&amp;": revisar forecast con KAM.","")</f>
        <v/>
      </c>
    </row>
    <row r="522" customFormat="false" ht="15" hidden="false" customHeight="false" outlineLevel="0" collapsed="false">
      <c r="A522" s="18" t="n">
        <f aca="false">Stock_Seguridad!A522</f>
        <v>30000711</v>
      </c>
      <c r="B522" s="18" t="str">
        <f aca="false">Stock_Seguridad!B522</f>
        <v>BASE ARVEJADO FDM 30X400GR</v>
      </c>
      <c r="C522" s="18" t="str">
        <f aca="false">Stock_Seguridad!C522</f>
        <v>FRUTAS Y HORTALIZAS CONGELADAS</v>
      </c>
      <c r="D522" s="18" t="str">
        <f aca="false">Stock_Seguridad!F522</f>
        <v>SIN HIST</v>
      </c>
      <c r="E522" s="19" t="str">
        <f aca="false">Stock_Seguridad!X522</f>
        <v>OK</v>
      </c>
      <c r="F522" s="20" t="n">
        <f aca="false">Stock_Seguridad!W522</f>
        <v>6.64755387034126</v>
      </c>
      <c r="G522" s="21" t="n">
        <f aca="false">Stock_Seguridad!T522</f>
        <v>7188</v>
      </c>
      <c r="H522" s="21" t="n">
        <f aca="false">Stock_Seguridad!R522</f>
        <v>533.574068046788</v>
      </c>
      <c r="I522" s="21" t="n">
        <f aca="false">Stock_Seguridad!S522</f>
        <v>1614.87406804679</v>
      </c>
      <c r="J522" s="21" t="n">
        <f aca="false">Stock_Seguridad!U522</f>
        <v>0</v>
      </c>
      <c r="K522" s="22"/>
      <c r="L522" s="23" t="n">
        <v>0</v>
      </c>
      <c r="M522" s="23" t="n">
        <v>0</v>
      </c>
      <c r="N522" s="23" t="n">
        <v>0</v>
      </c>
      <c r="O522" s="24" t="n">
        <v>0.0249081803005008</v>
      </c>
      <c r="P522" s="24" t="str">
        <f aca="false">IF(ISNUMBER(Stock_Seguridad!N522),Stock_Seguridad!N522,"")</f>
        <v/>
      </c>
      <c r="Q522" s="24" t="str">
        <f aca="false">IF(AND(ISNUMBER(O522),ISNUMBER(P522)),P522-O522,"")</f>
        <v/>
      </c>
      <c r="R522" s="23" t="n">
        <f aca="false">MAX(0,G522-N(L522))</f>
        <v>7188</v>
      </c>
      <c r="S522" s="23" t="n">
        <f aca="false">SUMIFS(Cadenas_vs_FCST!$D$17:$D$2437,Cadenas_vs_FCST!$A$17:$A$2437,A522)</f>
        <v>0</v>
      </c>
      <c r="T522" s="23" t="n">
        <f aca="false">SUMIFS(Cadenas_vs_FCST!$E$17:$E$2437,Cadenas_vs_FCST!$A$17:$A$2437,A522)</f>
        <v>0</v>
      </c>
      <c r="U522" s="24" t="str">
        <f aca="false">IF(T522&gt;0,S522/T522-1,"")</f>
        <v/>
      </c>
      <c r="V522" s="3" t="str">
        <f aca="false">IF(OR(E522="BAJO SS",E522="BAJO SS (XLIB CUBRE)"),"SÍ","")</f>
        <v/>
      </c>
      <c r="W522" s="3" t="str">
        <f aca="false">IF(AND(V522="",N(L522)&gt;=Parametros!$B$17,G522&gt;=H522,R522&lt;H522),"SÍ","")</f>
        <v/>
      </c>
      <c r="X522" s="3" t="str">
        <f aca="false">IF(OR(E522="SOBRE MAX VENDIBLE",N(N522)&gt;=Parametros!$B$17,N(M522)&gt;=Parametros!$B$17),"SÍ","")</f>
        <v/>
      </c>
      <c r="Y522" s="3" t="str">
        <f aca="false">IF(AND(ISNUMBER(U522),MAX(S522,T522)&gt;=Parametros!$B$15,ABS(N(U522))&gt;Parametros!$B$14),"SÍ","")</f>
        <v/>
      </c>
      <c r="Z522" s="3" t="n">
        <f aca="false">COUNTIF(V522:Y522,"SÍ")</f>
        <v>0</v>
      </c>
      <c r="AA522" s="3" t="n">
        <f aca="false">(3*(V522="SÍ")+2*(W522="SÍ")+2*(X522="SÍ")+(Y522="SÍ"))*IF(LEFT(D522,1)="A",3,IF(OR(LEFT(D522,1)="B",D522="SIN HIST"),2,1))</f>
        <v>0</v>
      </c>
      <c r="AB522" s="3" t="str">
        <f aca="false">IF(AA522&gt;=9,"1-ALTA",IF(AA522&gt;=4,"2-MEDIA",IF(AA522&gt;0,"3-BAJA","")))</f>
        <v/>
      </c>
      <c r="AC522" s="3" t="str">
        <f aca="false">IF(E522="BAJO SS","Stock + XLIB bajo el SS: riesgo real de quiebre, adelantar producción. ","")&amp;IF(E522="BAJO SS (XLIB CUBRE)","Disponible bajo el SS; depende de liberar "&amp;TEXT(J522,"#,##0")&amp;" kg"&amp;IF(ISNUMBER(K522)," el "&amp;TEXT(K522,"dd-mm"),"")&amp;". ","")&amp;IF(W522="SÍ","Stock parece sano pero "&amp;TEXT(L522,"#,##0")&amp;" kg no pasan filtro "&amp;Stock_Seguridad!O522&amp;": sin ellos queda bajo el SS para esa cadena. ","")&amp;IF(E522="SOBRE MAX VENDIBLE","Sobrestock vs vida útil: frenar producción/activar venta. ","")&amp;IF(N(N522)&gt;=Parametros!$B$17,TEXT(N522,"#,##0")&amp;" kg ya no los acepta ninguna cadena: venta intermedia/liquidación. ","")&amp;IF(N(M522)&gt;=Parametros!$B$17,TEXT(M522,"#,##0")&amp;" kg a punto de salir del filtro: despachar primero (FEFO). ","")&amp;IF(Y522="SÍ","Pedidos "&amp;IF(N(U522)&gt;0,"sobre","bajo")&amp;" FCST "&amp;TEXT(ABS(N(U522)),"0%")&amp;": revisar forecast con KAM.","")</f>
        <v/>
      </c>
    </row>
    <row r="523" customFormat="false" ht="15" hidden="false" customHeight="false" outlineLevel="0" collapsed="false">
      <c r="A523" s="18" t="n">
        <f aca="false">Stock_Seguridad!A523</f>
        <v>30002241</v>
      </c>
      <c r="B523" s="18" t="str">
        <f aca="false">Stock_Seguridad!B523</f>
        <v>BITES FRUTILLA POTE 12X150G</v>
      </c>
      <c r="C523" s="18" t="str">
        <f aca="false">Stock_Seguridad!C523</f>
        <v>FRUTAS Y HORTALIZAS CONGELADAS</v>
      </c>
      <c r="D523" s="18" t="str">
        <f aca="false">Stock_Seguridad!F523</f>
        <v>SIN HIST</v>
      </c>
      <c r="E523" s="19" t="str">
        <f aca="false">Stock_Seguridad!X523</f>
        <v>OK</v>
      </c>
      <c r="F523" s="20" t="n">
        <f aca="false">Stock_Seguridad!W523</f>
        <v>3.13628715647785</v>
      </c>
      <c r="G523" s="21" t="n">
        <f aca="false">Stock_Seguridad!T523</f>
        <v>3355.2</v>
      </c>
      <c r="H523" s="21" t="n">
        <f aca="false">Stock_Seguridad!R523</f>
        <v>527.899323033805</v>
      </c>
      <c r="I523" s="21" t="n">
        <f aca="false">Stock_Seguridad!S523</f>
        <v>1597.69932303381</v>
      </c>
      <c r="J523" s="21" t="n">
        <f aca="false">Stock_Seguridad!U523</f>
        <v>0</v>
      </c>
      <c r="K523" s="22"/>
      <c r="L523" s="23" t="n">
        <v>0</v>
      </c>
      <c r="M523" s="23" t="n">
        <v>0</v>
      </c>
      <c r="N523" s="23" t="n">
        <v>0</v>
      </c>
      <c r="O523" s="24" t="n">
        <v>0.191378755364807</v>
      </c>
      <c r="P523" s="24" t="str">
        <f aca="false">IF(ISNUMBER(Stock_Seguridad!N523),Stock_Seguridad!N523,"")</f>
        <v/>
      </c>
      <c r="Q523" s="24" t="str">
        <f aca="false">IF(AND(ISNUMBER(O523),ISNUMBER(P523)),P523-O523,"")</f>
        <v/>
      </c>
      <c r="R523" s="23" t="n">
        <f aca="false">MAX(0,G523-N(L523))</f>
        <v>3355.2</v>
      </c>
      <c r="S523" s="23" t="n">
        <f aca="false">SUMIFS(Cadenas_vs_FCST!$D$17:$D$2437,Cadenas_vs_FCST!$A$17:$A$2437,A523)</f>
        <v>0</v>
      </c>
      <c r="T523" s="23" t="n">
        <f aca="false">SUMIFS(Cadenas_vs_FCST!$E$17:$E$2437,Cadenas_vs_FCST!$A$17:$A$2437,A523)</f>
        <v>0</v>
      </c>
      <c r="U523" s="24" t="str">
        <f aca="false">IF(T523&gt;0,S523/T523-1,"")</f>
        <v/>
      </c>
      <c r="V523" s="3" t="str">
        <f aca="false">IF(OR(E523="BAJO SS",E523="BAJO SS (XLIB CUBRE)"),"SÍ","")</f>
        <v/>
      </c>
      <c r="W523" s="3" t="str">
        <f aca="false">IF(AND(V523="",N(L523)&gt;=Parametros!$B$17,G523&gt;=H523,R523&lt;H523),"SÍ","")</f>
        <v/>
      </c>
      <c r="X523" s="3" t="str">
        <f aca="false">IF(OR(E523="SOBRE MAX VENDIBLE",N(N523)&gt;=Parametros!$B$17,N(M523)&gt;=Parametros!$B$17),"SÍ","")</f>
        <v/>
      </c>
      <c r="Y523" s="3" t="str">
        <f aca="false">IF(AND(ISNUMBER(U523),MAX(S523,T523)&gt;=Parametros!$B$15,ABS(N(U523))&gt;Parametros!$B$14),"SÍ","")</f>
        <v/>
      </c>
      <c r="Z523" s="3" t="n">
        <f aca="false">COUNTIF(V523:Y523,"SÍ")</f>
        <v>0</v>
      </c>
      <c r="AA523" s="3" t="n">
        <f aca="false">(3*(V523="SÍ")+2*(W523="SÍ")+2*(X523="SÍ")+(Y523="SÍ"))*IF(LEFT(D523,1)="A",3,IF(OR(LEFT(D523,1)="B",D523="SIN HIST"),2,1))</f>
        <v>0</v>
      </c>
      <c r="AB523" s="3" t="str">
        <f aca="false">IF(AA523&gt;=9,"1-ALTA",IF(AA523&gt;=4,"2-MEDIA",IF(AA523&gt;0,"3-BAJA","")))</f>
        <v/>
      </c>
      <c r="AC523" s="3" t="str">
        <f aca="false">IF(E523="BAJO SS","Stock + XLIB bajo el SS: riesgo real de quiebre, adelantar producción. ","")&amp;IF(E523="BAJO SS (XLIB CUBRE)","Disponible bajo el SS; depende de liberar "&amp;TEXT(J523,"#,##0")&amp;" kg"&amp;IF(ISNUMBER(K523)," el "&amp;TEXT(K523,"dd-mm"),"")&amp;". ","")&amp;IF(W523="SÍ","Stock parece sano pero "&amp;TEXT(L523,"#,##0")&amp;" kg no pasan filtro "&amp;Stock_Seguridad!O523&amp;": sin ellos queda bajo el SS para esa cadena. ","")&amp;IF(E523="SOBRE MAX VENDIBLE","Sobrestock vs vida útil: frenar producción/activar venta. ","")&amp;IF(N(N523)&gt;=Parametros!$B$17,TEXT(N523,"#,##0")&amp;" kg ya no los acepta ninguna cadena: venta intermedia/liquidación. ","")&amp;IF(N(M523)&gt;=Parametros!$B$17,TEXT(M523,"#,##0")&amp;" kg a punto de salir del filtro: despachar primero (FEFO). ","")&amp;IF(Y523="SÍ","Pedidos "&amp;IF(N(U523)&gt;0,"sobre","bajo")&amp;" FCST "&amp;TEXT(ABS(N(U523)),"0%")&amp;": revisar forecast con KAM.","")</f>
        <v/>
      </c>
    </row>
    <row r="524" customFormat="false" ht="15" hidden="false" customHeight="false" outlineLevel="0" collapsed="false">
      <c r="A524" s="18" t="n">
        <f aca="false">Stock_Seguridad!A524</f>
        <v>30000713</v>
      </c>
      <c r="B524" s="18" t="str">
        <f aca="false">Stock_Seguridad!B524</f>
        <v>TORTILLA PAPAS FDM 20X600GR</v>
      </c>
      <c r="C524" s="18" t="str">
        <f aca="false">Stock_Seguridad!C524</f>
        <v>FRUTAS Y HORTALIZAS CONGELADAS</v>
      </c>
      <c r="D524" s="18" t="str">
        <f aca="false">Stock_Seguridad!F524</f>
        <v>SIN HIST</v>
      </c>
      <c r="E524" s="19" t="str">
        <f aca="false">Stock_Seguridad!X524</f>
        <v>OK</v>
      </c>
      <c r="F524" s="20" t="n">
        <f aca="false">Stock_Seguridad!W524</f>
        <v>19.832096837173</v>
      </c>
      <c r="G524" s="21" t="n">
        <f aca="false">Stock_Seguridad!T524</f>
        <v>20148</v>
      </c>
      <c r="H524" s="21" t="n">
        <f aca="false">Stock_Seguridad!R524</f>
        <v>505.496416634726</v>
      </c>
      <c r="I524" s="21" t="n">
        <f aca="false">Stock_Seguridad!S524</f>
        <v>1529.89641663473</v>
      </c>
      <c r="J524" s="21" t="n">
        <f aca="false">Stock_Seguridad!U524</f>
        <v>168</v>
      </c>
      <c r="K524" s="22"/>
      <c r="L524" s="23" t="n">
        <v>0</v>
      </c>
      <c r="M524" s="23" t="n">
        <v>0</v>
      </c>
      <c r="N524" s="23" t="n">
        <v>0</v>
      </c>
      <c r="O524" s="24" t="n">
        <v>0.230038759689923</v>
      </c>
      <c r="P524" s="24" t="str">
        <f aca="false">IF(ISNUMBER(Stock_Seguridad!N524),Stock_Seguridad!N524,"")</f>
        <v/>
      </c>
      <c r="Q524" s="24" t="str">
        <f aca="false">IF(AND(ISNUMBER(O524),ISNUMBER(P524)),P524-O524,"")</f>
        <v/>
      </c>
      <c r="R524" s="23" t="n">
        <f aca="false">MAX(0,G524-N(L524))</f>
        <v>20148</v>
      </c>
      <c r="S524" s="23" t="n">
        <f aca="false">SUMIFS(Cadenas_vs_FCST!$D$17:$D$2437,Cadenas_vs_FCST!$A$17:$A$2437,A524)</f>
        <v>0</v>
      </c>
      <c r="T524" s="23" t="n">
        <f aca="false">SUMIFS(Cadenas_vs_FCST!$E$17:$E$2437,Cadenas_vs_FCST!$A$17:$A$2437,A524)</f>
        <v>0</v>
      </c>
      <c r="U524" s="24" t="str">
        <f aca="false">IF(T524&gt;0,S524/T524-1,"")</f>
        <v/>
      </c>
      <c r="V524" s="3" t="str">
        <f aca="false">IF(OR(E524="BAJO SS",E524="BAJO SS (XLIB CUBRE)"),"SÍ","")</f>
        <v/>
      </c>
      <c r="W524" s="3" t="str">
        <f aca="false">IF(AND(V524="",N(L524)&gt;=Parametros!$B$17,G524&gt;=H524,R524&lt;H524),"SÍ","")</f>
        <v/>
      </c>
      <c r="X524" s="3" t="str">
        <f aca="false">IF(OR(E524="SOBRE MAX VENDIBLE",N(N524)&gt;=Parametros!$B$17,N(M524)&gt;=Parametros!$B$17),"SÍ","")</f>
        <v/>
      </c>
      <c r="Y524" s="3" t="str">
        <f aca="false">IF(AND(ISNUMBER(U524),MAX(S524,T524)&gt;=Parametros!$B$15,ABS(N(U524))&gt;Parametros!$B$14),"SÍ","")</f>
        <v/>
      </c>
      <c r="Z524" s="3" t="n">
        <f aca="false">COUNTIF(V524:Y524,"SÍ")</f>
        <v>0</v>
      </c>
      <c r="AA524" s="3" t="n">
        <f aca="false">(3*(V524="SÍ")+2*(W524="SÍ")+2*(X524="SÍ")+(Y524="SÍ"))*IF(LEFT(D524,1)="A",3,IF(OR(LEFT(D524,1)="B",D524="SIN HIST"),2,1))</f>
        <v>0</v>
      </c>
      <c r="AB524" s="3" t="str">
        <f aca="false">IF(AA524&gt;=9,"1-ALTA",IF(AA524&gt;=4,"2-MEDIA",IF(AA524&gt;0,"3-BAJA","")))</f>
        <v/>
      </c>
      <c r="AC524" s="3" t="str">
        <f aca="false">IF(E524="BAJO SS","Stock + XLIB bajo el SS: riesgo real de quiebre, adelantar producción. ","")&amp;IF(E524="BAJO SS (XLIB CUBRE)","Disponible bajo el SS; depende de liberar "&amp;TEXT(J524,"#,##0")&amp;" kg"&amp;IF(ISNUMBER(K524)," el "&amp;TEXT(K524,"dd-mm"),"")&amp;". ","")&amp;IF(W524="SÍ","Stock parece sano pero "&amp;TEXT(L524,"#,##0")&amp;" kg no pasan filtro "&amp;Stock_Seguridad!O524&amp;": sin ellos queda bajo el SS para esa cadena. ","")&amp;IF(E524="SOBRE MAX VENDIBLE","Sobrestock vs vida útil: frenar producción/activar venta. ","")&amp;IF(N(N524)&gt;=Parametros!$B$17,TEXT(N524,"#,##0")&amp;" kg ya no los acepta ninguna cadena: venta intermedia/liquidación. ","")&amp;IF(N(M524)&gt;=Parametros!$B$17,TEXT(M524,"#,##0")&amp;" kg a punto de salir del filtro: despachar primero (FEFO). ","")&amp;IF(Y524="SÍ","Pedidos "&amp;IF(N(U524)&gt;0,"sobre","bajo")&amp;" FCST "&amp;TEXT(ABS(N(U524)),"0%")&amp;": revisar forecast con KAM.","")</f>
        <v/>
      </c>
    </row>
    <row r="525" customFormat="false" ht="15" hidden="false" customHeight="false" outlineLevel="0" collapsed="false">
      <c r="A525" s="18" t="n">
        <f aca="false">Stock_Seguridad!A525</f>
        <v>30001999</v>
      </c>
      <c r="B525" s="18" t="str">
        <f aca="false">Stock_Seguridad!B525</f>
        <v>DUQUESAS PASTELERA FDM 25X350GR</v>
      </c>
      <c r="C525" s="18" t="str">
        <f aca="false">Stock_Seguridad!C525</f>
        <v>FRUTAS Y HORTALIZAS CONGELADAS</v>
      </c>
      <c r="D525" s="18" t="str">
        <f aca="false">Stock_Seguridad!F525</f>
        <v>SIN HIST</v>
      </c>
      <c r="E525" s="19" t="str">
        <f aca="false">Stock_Seguridad!X525</f>
        <v>OK</v>
      </c>
      <c r="F525" s="20" t="n">
        <f aca="false">Stock_Seguridad!W525</f>
        <v>8.38520055325035</v>
      </c>
      <c r="G525" s="21" t="n">
        <f aca="false">Stock_Seguridad!T525</f>
        <v>8487.5</v>
      </c>
      <c r="H525" s="21" t="n">
        <f aca="false">Stock_Seguridad!R525</f>
        <v>499.476252360084</v>
      </c>
      <c r="I525" s="21" t="n">
        <f aca="false">Stock_Seguridad!S525</f>
        <v>1511.67625236008</v>
      </c>
      <c r="J525" s="21" t="n">
        <f aca="false">Stock_Seguridad!U525</f>
        <v>0</v>
      </c>
      <c r="K525" s="22"/>
      <c r="L525" s="23" t="n">
        <v>0</v>
      </c>
      <c r="M525" s="23" t="n">
        <v>0</v>
      </c>
      <c r="N525" s="23" t="n">
        <v>0</v>
      </c>
      <c r="O525" s="24" t="n">
        <v>0.131226804123711</v>
      </c>
      <c r="P525" s="24" t="str">
        <f aca="false">IF(ISNUMBER(Stock_Seguridad!N525),Stock_Seguridad!N525,"")</f>
        <v/>
      </c>
      <c r="Q525" s="24" t="str">
        <f aca="false">IF(AND(ISNUMBER(O525),ISNUMBER(P525)),P525-O525,"")</f>
        <v/>
      </c>
      <c r="R525" s="23" t="n">
        <f aca="false">MAX(0,G525-N(L525))</f>
        <v>8487.5</v>
      </c>
      <c r="S525" s="23" t="n">
        <f aca="false">SUMIFS(Cadenas_vs_FCST!$D$17:$D$2437,Cadenas_vs_FCST!$A$17:$A$2437,A525)</f>
        <v>0</v>
      </c>
      <c r="T525" s="23" t="n">
        <f aca="false">SUMIFS(Cadenas_vs_FCST!$E$17:$E$2437,Cadenas_vs_FCST!$A$17:$A$2437,A525)</f>
        <v>0</v>
      </c>
      <c r="U525" s="24" t="str">
        <f aca="false">IF(T525&gt;0,S525/T525-1,"")</f>
        <v/>
      </c>
      <c r="V525" s="3" t="str">
        <f aca="false">IF(OR(E525="BAJO SS",E525="BAJO SS (XLIB CUBRE)"),"SÍ","")</f>
        <v/>
      </c>
      <c r="W525" s="3" t="str">
        <f aca="false">IF(AND(V525="",N(L525)&gt;=Parametros!$B$17,G525&gt;=H525,R525&lt;H525),"SÍ","")</f>
        <v/>
      </c>
      <c r="X525" s="3" t="str">
        <f aca="false">IF(OR(E525="SOBRE MAX VENDIBLE",N(N525)&gt;=Parametros!$B$17,N(M525)&gt;=Parametros!$B$17),"SÍ","")</f>
        <v/>
      </c>
      <c r="Y525" s="3" t="str">
        <f aca="false">IF(AND(ISNUMBER(U525),MAX(S525,T525)&gt;=Parametros!$B$15,ABS(N(U525))&gt;Parametros!$B$14),"SÍ","")</f>
        <v/>
      </c>
      <c r="Z525" s="3" t="n">
        <f aca="false">COUNTIF(V525:Y525,"SÍ")</f>
        <v>0</v>
      </c>
      <c r="AA525" s="3" t="n">
        <f aca="false">(3*(V525="SÍ")+2*(W525="SÍ")+2*(X525="SÍ")+(Y525="SÍ"))*IF(LEFT(D525,1)="A",3,IF(OR(LEFT(D525,1)="B",D525="SIN HIST"),2,1))</f>
        <v>0</v>
      </c>
      <c r="AB525" s="3" t="str">
        <f aca="false">IF(AA525&gt;=9,"1-ALTA",IF(AA525&gt;=4,"2-MEDIA",IF(AA525&gt;0,"3-BAJA","")))</f>
        <v/>
      </c>
      <c r="AC525" s="3" t="str">
        <f aca="false">IF(E525="BAJO SS","Stock + XLIB bajo el SS: riesgo real de quiebre, adelantar producción. ","")&amp;IF(E525="BAJO SS (XLIB CUBRE)","Disponible bajo el SS; depende de liberar "&amp;TEXT(J525,"#,##0")&amp;" kg"&amp;IF(ISNUMBER(K525)," el "&amp;TEXT(K525,"dd-mm"),"")&amp;". ","")&amp;IF(W525="SÍ","Stock parece sano pero "&amp;TEXT(L525,"#,##0")&amp;" kg no pasan filtro "&amp;Stock_Seguridad!O525&amp;": sin ellos queda bajo el SS para esa cadena. ","")&amp;IF(E525="SOBRE MAX VENDIBLE","Sobrestock vs vida útil: frenar producción/activar venta. ","")&amp;IF(N(N525)&gt;=Parametros!$B$17,TEXT(N525,"#,##0")&amp;" kg ya no los acepta ninguna cadena: venta intermedia/liquidación. ","")&amp;IF(N(M525)&gt;=Parametros!$B$17,TEXT(M525,"#,##0")&amp;" kg a punto de salir del filtro: despachar primero (FEFO). ","")&amp;IF(Y525="SÍ","Pedidos "&amp;IF(N(U525)&gt;0,"sobre","bajo")&amp;" FCST "&amp;TEXT(ABS(N(U525)),"0%")&amp;": revisar forecast con KAM.","")</f>
        <v/>
      </c>
    </row>
    <row r="526" customFormat="false" ht="15" hidden="false" customHeight="false" outlineLevel="0" collapsed="false">
      <c r="A526" s="18" t="n">
        <f aca="false">Stock_Seguridad!A526</f>
        <v>30001748</v>
      </c>
      <c r="B526" s="18" t="str">
        <f aca="false">Stock_Seguridad!B526</f>
        <v>MERMELADA WATTS CIRUELA 24X225GR</v>
      </c>
      <c r="C526" s="18" t="str">
        <f aca="false">Stock_Seguridad!C526</f>
        <v>MERMELADAS</v>
      </c>
      <c r="D526" s="18" t="str">
        <f aca="false">Stock_Seguridad!F526</f>
        <v>CX</v>
      </c>
      <c r="E526" s="19" t="str">
        <f aca="false">Stock_Seguridad!X526</f>
        <v>OK</v>
      </c>
      <c r="F526" s="20" t="n">
        <f aca="false">Stock_Seguridad!W526</f>
        <v>2.87898601750327</v>
      </c>
      <c r="G526" s="21" t="n">
        <f aca="false">Stock_Seguridad!T526</f>
        <v>2862</v>
      </c>
      <c r="H526" s="21" t="n">
        <f aca="false">Stock_Seguridad!R526</f>
        <v>524.960762932493</v>
      </c>
      <c r="I526" s="21" t="n">
        <f aca="false">Stock_Seguridad!S526</f>
        <v>1519.06076293249</v>
      </c>
      <c r="J526" s="21" t="n">
        <f aca="false">Stock_Seguridad!U526</f>
        <v>0</v>
      </c>
      <c r="K526" s="22"/>
      <c r="L526" s="23" t="n">
        <v>0</v>
      </c>
      <c r="M526" s="23" t="n">
        <v>0</v>
      </c>
      <c r="N526" s="23" t="n">
        <v>0</v>
      </c>
      <c r="O526" s="24" t="n">
        <v>0.03</v>
      </c>
      <c r="P526" s="24" t="n">
        <f aca="false">IF(ISNUMBER(Stock_Seguridad!N526),Stock_Seguridad!N526,"")</f>
        <v>0.273972602739726</v>
      </c>
      <c r="Q526" s="24" t="n">
        <f aca="false">IF(AND(ISNUMBER(O526),ISNUMBER(P526)),P526-O526,"")</f>
        <v>0.243972602739726</v>
      </c>
      <c r="R526" s="23" t="n">
        <f aca="false">MAX(0,G526-N(L526))</f>
        <v>2862</v>
      </c>
      <c r="S526" s="23" t="n">
        <f aca="false">SUMIFS(Cadenas_vs_FCST!$D$17:$D$2437,Cadenas_vs_FCST!$A$17:$A$2437,A526)</f>
        <v>4293</v>
      </c>
      <c r="T526" s="23" t="n">
        <f aca="false">SUMIFS(Cadenas_vs_FCST!$E$17:$E$2437,Cadenas_vs_FCST!$A$17:$A$2437,A526)</f>
        <v>4477.4</v>
      </c>
      <c r="U526" s="24" t="n">
        <f aca="false">IF(T526&gt;0,S526/T526-1,"")</f>
        <v>-0.0411846160718273</v>
      </c>
      <c r="V526" s="3" t="str">
        <f aca="false">IF(OR(E526="BAJO SS",E526="BAJO SS (XLIB CUBRE)"),"SÍ","")</f>
        <v/>
      </c>
      <c r="W526" s="3" t="str">
        <f aca="false">IF(AND(V526="",N(L526)&gt;=Parametros!$B$17,G526&gt;=H526,R526&lt;H526),"SÍ","")</f>
        <v/>
      </c>
      <c r="X526" s="3" t="str">
        <f aca="false">IF(OR(E526="SOBRE MAX VENDIBLE",N(N526)&gt;=Parametros!$B$17,N(M526)&gt;=Parametros!$B$17),"SÍ","")</f>
        <v/>
      </c>
      <c r="Y526" s="3" t="str">
        <f aca="false">IF(AND(ISNUMBER(U526),MAX(S526,T526)&gt;=Parametros!$B$15,ABS(N(U526))&gt;Parametros!$B$14),"SÍ","")</f>
        <v/>
      </c>
      <c r="Z526" s="3" t="n">
        <f aca="false">COUNTIF(V526:Y526,"SÍ")</f>
        <v>0</v>
      </c>
      <c r="AA526" s="3" t="n">
        <f aca="false">(3*(V526="SÍ")+2*(W526="SÍ")+2*(X526="SÍ")+(Y526="SÍ"))*IF(LEFT(D526,1)="A",3,IF(OR(LEFT(D526,1)="B",D526="SIN HIST"),2,1))</f>
        <v>0</v>
      </c>
      <c r="AB526" s="3" t="str">
        <f aca="false">IF(AA526&gt;=9,"1-ALTA",IF(AA526&gt;=4,"2-MEDIA",IF(AA526&gt;0,"3-BAJA","")))</f>
        <v/>
      </c>
      <c r="AC526" s="3" t="str">
        <f aca="false">IF(E526="BAJO SS","Stock + XLIB bajo el SS: riesgo real de quiebre, adelantar producción. ","")&amp;IF(E526="BAJO SS (XLIB CUBRE)","Disponible bajo el SS; depende de liberar "&amp;TEXT(J526,"#,##0")&amp;" kg"&amp;IF(ISNUMBER(K526)," el "&amp;TEXT(K526,"dd-mm"),"")&amp;". ","")&amp;IF(W526="SÍ","Stock parece sano pero "&amp;TEXT(L526,"#,##0")&amp;" kg no pasan filtro "&amp;Stock_Seguridad!O526&amp;": sin ellos queda bajo el SS para esa cadena. ","")&amp;IF(E526="SOBRE MAX VENDIBLE","Sobrestock vs vida útil: frenar producción/activar venta. ","")&amp;IF(N(N526)&gt;=Parametros!$B$17,TEXT(N526,"#,##0")&amp;" kg ya no los acepta ninguna cadena: venta intermedia/liquidación. ","")&amp;IF(N(M526)&gt;=Parametros!$B$17,TEXT(M526,"#,##0")&amp;" kg a punto de salir del filtro: despachar primero (FEFO). ","")&amp;IF(Y526="SÍ","Pedidos "&amp;IF(N(U526)&gt;0,"sobre","bajo")&amp;" FCST "&amp;TEXT(ABS(N(U526)),"0%")&amp;": revisar forecast con KAM.","")</f>
        <v/>
      </c>
    </row>
    <row r="527" customFormat="false" ht="15" hidden="false" customHeight="false" outlineLevel="0" collapsed="false">
      <c r="A527" s="18" t="n">
        <f aca="false">Stock_Seguridad!A527</f>
        <v>30001572</v>
      </c>
      <c r="B527" s="18" t="str">
        <f aca="false">Stock_Seguridad!B527</f>
        <v>JUGO 100% LIMON 10X1KG</v>
      </c>
      <c r="C527" s="18" t="str">
        <f aca="false">Stock_Seguridad!C527</f>
        <v>FRUTAS Y HORTALIZAS CONGELADAS</v>
      </c>
      <c r="D527" s="18" t="str">
        <f aca="false">Stock_Seguridad!F527</f>
        <v>SIN HIST</v>
      </c>
      <c r="E527" s="19" t="str">
        <f aca="false">Stock_Seguridad!X527</f>
        <v>OK</v>
      </c>
      <c r="F527" s="20" t="n">
        <f aca="false">Stock_Seguridad!W527</f>
        <v>32.8757444231352</v>
      </c>
      <c r="G527" s="21" t="n">
        <f aca="false">Stock_Seguridad!T527</f>
        <v>32570</v>
      </c>
      <c r="H527" s="21" t="n">
        <f aca="false">Stock_Seguridad!R527</f>
        <v>488.866946466247</v>
      </c>
      <c r="I527" s="21" t="n">
        <f aca="false">Stock_Seguridad!S527</f>
        <v>1479.56694646625</v>
      </c>
      <c r="J527" s="21" t="n">
        <f aca="false">Stock_Seguridad!U527</f>
        <v>0</v>
      </c>
      <c r="K527" s="22"/>
      <c r="L527" s="23" t="n">
        <v>0</v>
      </c>
      <c r="M527" s="23" t="n">
        <v>0</v>
      </c>
      <c r="N527" s="23" t="n">
        <v>0</v>
      </c>
      <c r="O527" s="24" t="n">
        <v>0.632761310452418</v>
      </c>
      <c r="P527" s="24" t="str">
        <f aca="false">IF(ISNUMBER(Stock_Seguridad!N527),Stock_Seguridad!N527,"")</f>
        <v/>
      </c>
      <c r="Q527" s="24" t="str">
        <f aca="false">IF(AND(ISNUMBER(O527),ISNUMBER(P527)),P527-O527,"")</f>
        <v/>
      </c>
      <c r="R527" s="23" t="n">
        <f aca="false">MAX(0,G527-N(L527))</f>
        <v>32570</v>
      </c>
      <c r="S527" s="23" t="n">
        <f aca="false">SUMIFS(Cadenas_vs_FCST!$D$17:$D$2437,Cadenas_vs_FCST!$A$17:$A$2437,A527)</f>
        <v>0</v>
      </c>
      <c r="T527" s="23" t="n">
        <f aca="false">SUMIFS(Cadenas_vs_FCST!$E$17:$E$2437,Cadenas_vs_FCST!$A$17:$A$2437,A527)</f>
        <v>0</v>
      </c>
      <c r="U527" s="24" t="str">
        <f aca="false">IF(T527&gt;0,S527/T527-1,"")</f>
        <v/>
      </c>
      <c r="V527" s="3" t="str">
        <f aca="false">IF(OR(E527="BAJO SS",E527="BAJO SS (XLIB CUBRE)"),"SÍ","")</f>
        <v/>
      </c>
      <c r="W527" s="3" t="str">
        <f aca="false">IF(AND(V527="",N(L527)&gt;=Parametros!$B$17,G527&gt;=H527,R527&lt;H527),"SÍ","")</f>
        <v/>
      </c>
      <c r="X527" s="3" t="str">
        <f aca="false">IF(OR(E527="SOBRE MAX VENDIBLE",N(N527)&gt;=Parametros!$B$17,N(M527)&gt;=Parametros!$B$17),"SÍ","")</f>
        <v/>
      </c>
      <c r="Y527" s="3" t="str">
        <f aca="false">IF(AND(ISNUMBER(U527),MAX(S527,T527)&gt;=Parametros!$B$15,ABS(N(U527))&gt;Parametros!$B$14),"SÍ","")</f>
        <v/>
      </c>
      <c r="Z527" s="3" t="n">
        <f aca="false">COUNTIF(V527:Y527,"SÍ")</f>
        <v>0</v>
      </c>
      <c r="AA527" s="3" t="n">
        <f aca="false">(3*(V527="SÍ")+2*(W527="SÍ")+2*(X527="SÍ")+(Y527="SÍ"))*IF(LEFT(D527,1)="A",3,IF(OR(LEFT(D527,1)="B",D527="SIN HIST"),2,1))</f>
        <v>0</v>
      </c>
      <c r="AB527" s="3" t="str">
        <f aca="false">IF(AA527&gt;=9,"1-ALTA",IF(AA527&gt;=4,"2-MEDIA",IF(AA527&gt;0,"3-BAJA","")))</f>
        <v/>
      </c>
      <c r="AC527" s="3" t="str">
        <f aca="false">IF(E527="BAJO SS","Stock + XLIB bajo el SS: riesgo real de quiebre, adelantar producción. ","")&amp;IF(E527="BAJO SS (XLIB CUBRE)","Disponible bajo el SS; depende de liberar "&amp;TEXT(J527,"#,##0")&amp;" kg"&amp;IF(ISNUMBER(K527)," el "&amp;TEXT(K527,"dd-mm"),"")&amp;". ","")&amp;IF(W527="SÍ","Stock parece sano pero "&amp;TEXT(L527,"#,##0")&amp;" kg no pasan filtro "&amp;Stock_Seguridad!O527&amp;": sin ellos queda bajo el SS para esa cadena. ","")&amp;IF(E527="SOBRE MAX VENDIBLE","Sobrestock vs vida útil: frenar producción/activar venta. ","")&amp;IF(N(N527)&gt;=Parametros!$B$17,TEXT(N527,"#,##0")&amp;" kg ya no los acepta ninguna cadena: venta intermedia/liquidación. ","")&amp;IF(N(M527)&gt;=Parametros!$B$17,TEXT(M527,"#,##0")&amp;" kg a punto de salir del filtro: despachar primero (FEFO). ","")&amp;IF(Y527="SÍ","Pedidos "&amp;IF(N(U527)&gt;0,"sobre","bajo")&amp;" FCST "&amp;TEXT(ABS(N(U527)),"0%")&amp;": revisar forecast con KAM.","")</f>
        <v/>
      </c>
    </row>
    <row r="528" customFormat="false" ht="15" hidden="false" customHeight="false" outlineLevel="0" collapsed="false">
      <c r="A528" s="18" t="n">
        <f aca="false">Stock_Seguridad!A528</f>
        <v>30001913</v>
      </c>
      <c r="B528" s="18" t="str">
        <f aca="false">Stock_Seguridad!B528</f>
        <v>PULPA MARACUYA CON PEPAS 16X400GR</v>
      </c>
      <c r="C528" s="18" t="str">
        <f aca="false">Stock_Seguridad!C528</f>
        <v>FRUTAS Y HORTALIZAS CONGELADAS</v>
      </c>
      <c r="D528" s="18" t="str">
        <f aca="false">Stock_Seguridad!F528</f>
        <v>SIN HIST</v>
      </c>
      <c r="E528" s="19" t="str">
        <f aca="false">Stock_Seguridad!X528</f>
        <v>OK</v>
      </c>
      <c r="F528" s="20" t="n">
        <f aca="false">Stock_Seguridad!W528</f>
        <v>4.07849484118956</v>
      </c>
      <c r="G528" s="21" t="n">
        <f aca="false">Stock_Seguridad!T528</f>
        <v>4032</v>
      </c>
      <c r="H528" s="21" t="n">
        <f aca="false">Stock_Seguridad!R528</f>
        <v>487.830688681267</v>
      </c>
      <c r="I528" s="21" t="n">
        <f aca="false">Stock_Seguridad!S528</f>
        <v>1476.43068868127</v>
      </c>
      <c r="J528" s="21" t="n">
        <f aca="false">Stock_Seguridad!U528</f>
        <v>0</v>
      </c>
      <c r="K528" s="22"/>
      <c r="L528" s="23" t="n">
        <v>0</v>
      </c>
      <c r="M528" s="23" t="n">
        <v>0</v>
      </c>
      <c r="N528" s="23" t="n">
        <v>0</v>
      </c>
      <c r="O528" s="24" t="n">
        <v>0.18</v>
      </c>
      <c r="P528" s="24" t="str">
        <f aca="false">IF(ISNUMBER(Stock_Seguridad!N528),Stock_Seguridad!N528,"")</f>
        <v/>
      </c>
      <c r="Q528" s="24" t="str">
        <f aca="false">IF(AND(ISNUMBER(O528),ISNUMBER(P528)),P528-O528,"")</f>
        <v/>
      </c>
      <c r="R528" s="23" t="n">
        <f aca="false">MAX(0,G528-N(L528))</f>
        <v>4032</v>
      </c>
      <c r="S528" s="23" t="n">
        <f aca="false">SUMIFS(Cadenas_vs_FCST!$D$17:$D$2437,Cadenas_vs_FCST!$A$17:$A$2437,A528)</f>
        <v>0</v>
      </c>
      <c r="T528" s="23" t="n">
        <f aca="false">SUMIFS(Cadenas_vs_FCST!$E$17:$E$2437,Cadenas_vs_FCST!$A$17:$A$2437,A528)</f>
        <v>0</v>
      </c>
      <c r="U528" s="24" t="str">
        <f aca="false">IF(T528&gt;0,S528/T528-1,"")</f>
        <v/>
      </c>
      <c r="V528" s="3" t="str">
        <f aca="false">IF(OR(E528="BAJO SS",E528="BAJO SS (XLIB CUBRE)"),"SÍ","")</f>
        <v/>
      </c>
      <c r="W528" s="3" t="str">
        <f aca="false">IF(AND(V528="",N(L528)&gt;=Parametros!$B$17,G528&gt;=H528,R528&lt;H528),"SÍ","")</f>
        <v/>
      </c>
      <c r="X528" s="3" t="str">
        <f aca="false">IF(OR(E528="SOBRE MAX VENDIBLE",N(N528)&gt;=Parametros!$B$17,N(M528)&gt;=Parametros!$B$17),"SÍ","")</f>
        <v/>
      </c>
      <c r="Y528" s="3" t="str">
        <f aca="false">IF(AND(ISNUMBER(U528),MAX(S528,T528)&gt;=Parametros!$B$15,ABS(N(U528))&gt;Parametros!$B$14),"SÍ","")</f>
        <v/>
      </c>
      <c r="Z528" s="3" t="n">
        <f aca="false">COUNTIF(V528:Y528,"SÍ")</f>
        <v>0</v>
      </c>
      <c r="AA528" s="3" t="n">
        <f aca="false">(3*(V528="SÍ")+2*(W528="SÍ")+2*(X528="SÍ")+(Y528="SÍ"))*IF(LEFT(D528,1)="A",3,IF(OR(LEFT(D528,1)="B",D528="SIN HIST"),2,1))</f>
        <v>0</v>
      </c>
      <c r="AB528" s="3" t="str">
        <f aca="false">IF(AA528&gt;=9,"1-ALTA",IF(AA528&gt;=4,"2-MEDIA",IF(AA528&gt;0,"3-BAJA","")))</f>
        <v/>
      </c>
      <c r="AC528" s="3" t="str">
        <f aca="false">IF(E528="BAJO SS","Stock + XLIB bajo el SS: riesgo real de quiebre, adelantar producción. ","")&amp;IF(E528="BAJO SS (XLIB CUBRE)","Disponible bajo el SS; depende de liberar "&amp;TEXT(J528,"#,##0")&amp;" kg"&amp;IF(ISNUMBER(K528)," el "&amp;TEXT(K528,"dd-mm"),"")&amp;". ","")&amp;IF(W528="SÍ","Stock parece sano pero "&amp;TEXT(L528,"#,##0")&amp;" kg no pasan filtro "&amp;Stock_Seguridad!O528&amp;": sin ellos queda bajo el SS para esa cadena. ","")&amp;IF(E528="SOBRE MAX VENDIBLE","Sobrestock vs vida útil: frenar producción/activar venta. ","")&amp;IF(N(N528)&gt;=Parametros!$B$17,TEXT(N528,"#,##0")&amp;" kg ya no los acepta ninguna cadena: venta intermedia/liquidación. ","")&amp;IF(N(M528)&gt;=Parametros!$B$17,TEXT(M528,"#,##0")&amp;" kg a punto de salir del filtro: despachar primero (FEFO). ","")&amp;IF(Y528="SÍ","Pedidos "&amp;IF(N(U528)&gt;0,"sobre","bajo")&amp;" FCST "&amp;TEXT(ABS(N(U528)),"0%")&amp;": revisar forecast con KAM.","")</f>
        <v/>
      </c>
    </row>
    <row r="529" customFormat="false" ht="15" hidden="false" customHeight="false" outlineLevel="0" collapsed="false">
      <c r="A529" s="18" t="n">
        <f aca="false">Stock_Seguridad!A529</f>
        <v>30001152</v>
      </c>
      <c r="B529" s="18" t="str">
        <f aca="false">Stock_Seguridad!B529</f>
        <v>TOMATE CUBITO WASIL 16X380GR</v>
      </c>
      <c r="C529" s="18" t="str">
        <f aca="false">Stock_Seguridad!C529</f>
        <v>CONSERVAS Y PLATOS LISTOS</v>
      </c>
      <c r="D529" s="18" t="str">
        <f aca="false">Stock_Seguridad!F529</f>
        <v>CX</v>
      </c>
      <c r="E529" s="19" t="str">
        <f aca="false">Stock_Seguridad!X529</f>
        <v>OK</v>
      </c>
      <c r="F529" s="20" t="n">
        <f aca="false">Stock_Seguridad!W529</f>
        <v>18.0141475826972</v>
      </c>
      <c r="G529" s="21" t="n">
        <f aca="false">Stock_Seguridad!T529</f>
        <v>17698.9</v>
      </c>
      <c r="H529" s="21" t="n">
        <f aca="false">Stock_Seguridad!R529</f>
        <v>651.945070613112</v>
      </c>
      <c r="I529" s="21" t="n">
        <f aca="false">Stock_Seguridad!S529</f>
        <v>1634.44507061311</v>
      </c>
      <c r="J529" s="21" t="n">
        <f aca="false">Stock_Seguridad!U529</f>
        <v>0</v>
      </c>
      <c r="K529" s="22"/>
      <c r="L529" s="23" t="n">
        <v>832.96</v>
      </c>
      <c r="M529" s="23" t="n">
        <v>2596.16</v>
      </c>
      <c r="N529" s="23" t="n">
        <v>0</v>
      </c>
      <c r="O529" s="24" t="n">
        <v>0.0717622810030917</v>
      </c>
      <c r="P529" s="24" t="n">
        <f aca="false">IF(ISNUMBER(Stock_Seguridad!N529),Stock_Seguridad!N529,"")</f>
        <v>0.197260273972603</v>
      </c>
      <c r="Q529" s="24" t="n">
        <f aca="false">IF(AND(ISNUMBER(O529),ISNUMBER(P529)),P529-O529,"")</f>
        <v>0.125497992969511</v>
      </c>
      <c r="R529" s="23" t="n">
        <f aca="false">MAX(0,G529-N(L529))</f>
        <v>16865.94</v>
      </c>
      <c r="S529" s="23" t="n">
        <f aca="false">SUMIFS(Cadenas_vs_FCST!$D$17:$D$2437,Cadenas_vs_FCST!$A$17:$A$2437,A529)</f>
        <v>4791.04</v>
      </c>
      <c r="T529" s="23" t="n">
        <f aca="false">SUMIFS(Cadenas_vs_FCST!$E$17:$E$2437,Cadenas_vs_FCST!$A$17:$A$2437,A529)</f>
        <v>4010</v>
      </c>
      <c r="U529" s="24" t="n">
        <f aca="false">IF(T529&gt;0,S529/T529-1,"")</f>
        <v>0.194773067331671</v>
      </c>
      <c r="V529" s="3" t="str">
        <f aca="false">IF(OR(E529="BAJO SS",E529="BAJO SS (XLIB CUBRE)"),"SÍ","")</f>
        <v/>
      </c>
      <c r="W529" s="3" t="str">
        <f aca="false">IF(AND(V529="",N(L529)&gt;=Parametros!$B$17,G529&gt;=H529,R529&lt;H529),"SÍ","")</f>
        <v/>
      </c>
      <c r="X529" s="3" t="str">
        <f aca="false">IF(OR(E529="SOBRE MAX VENDIBLE",N(N529)&gt;=Parametros!$B$17,N(M529)&gt;=Parametros!$B$17),"SÍ","")</f>
        <v>SÍ</v>
      </c>
      <c r="Y529" s="3" t="str">
        <f aca="false">IF(AND(ISNUMBER(U529),MAX(S529,T529)&gt;=Parametros!$B$15,ABS(N(U529))&gt;Parametros!$B$14),"SÍ","")</f>
        <v/>
      </c>
      <c r="Z529" s="3" t="n">
        <f aca="false">COUNTIF(V529:Y529,"SÍ")</f>
        <v>1</v>
      </c>
      <c r="AA529" s="3" t="n">
        <f aca="false">(3*(V529="SÍ")+2*(W529="SÍ")+2*(X529="SÍ")+(Y529="SÍ"))*IF(LEFT(D529,1)="A",3,IF(OR(LEFT(D529,1)="B",D529="SIN HIST"),2,1))</f>
        <v>2</v>
      </c>
      <c r="AB529" s="3" t="str">
        <f aca="false">IF(AA529&gt;=9,"1-ALTA",IF(AA529&gt;=4,"2-MEDIA",IF(AA529&gt;0,"3-BAJA","")))</f>
        <v>3-BAJA</v>
      </c>
      <c r="AC529" s="3" t="str">
        <f aca="false">IF(E529="BAJO SS","Stock + XLIB bajo el SS: riesgo real de quiebre, adelantar producción. ","")&amp;IF(E529="BAJO SS (XLIB CUBRE)","Disponible bajo el SS; depende de liberar "&amp;TEXT(J529,"#,##0")&amp;" kg"&amp;IF(ISNUMBER(K529)," el "&amp;TEXT(K529,"dd-mm"),"")&amp;". ","")&amp;IF(W529="SÍ","Stock parece sano pero "&amp;TEXT(L529,"#,##0")&amp;" kg no pasan filtro "&amp;Stock_Seguridad!O529&amp;": sin ellos queda bajo el SS para esa cadena. ","")&amp;IF(E529="SOBRE MAX VENDIBLE","Sobrestock vs vida útil: frenar producción/activar venta. ","")&amp;IF(N(N529)&gt;=Parametros!$B$17,TEXT(N529,"#,##0")&amp;" kg ya no los acepta ninguna cadena: venta intermedia/liquidación. ","")&amp;IF(N(M529)&gt;=Parametros!$B$17,TEXT(M529,"#,##0")&amp;" kg a punto de salir del filtro: despachar primero (FEFO). ","")&amp;IF(Y529="SÍ","Pedidos "&amp;IF(N(U529)&gt;0,"sobre","bajo")&amp;" FCST "&amp;TEXT(ABS(N(U529)),"0%")&amp;": revisar forecast con KAM.","")</f>
        <v>2,596 kg a punto de salir del filtro: despachar primero (FEFO). </v>
      </c>
    </row>
    <row r="530" customFormat="false" ht="15" hidden="false" customHeight="false" outlineLevel="0" collapsed="false">
      <c r="A530" s="18" t="n">
        <f aca="false">Stock_Seguridad!A530</f>
        <v>30000164</v>
      </c>
      <c r="B530" s="18" t="str">
        <f aca="false">Stock_Seguridad!B530</f>
        <v>MERMELADA WATTS IND GUINDA 6X1KG</v>
      </c>
      <c r="C530" s="18" t="str">
        <f aca="false">Stock_Seguridad!C530</f>
        <v>MERMELADAS</v>
      </c>
      <c r="D530" s="18" t="str">
        <f aca="false">Stock_Seguridad!F530</f>
        <v>SIN HIST</v>
      </c>
      <c r="E530" s="19" t="str">
        <f aca="false">Stock_Seguridad!X530</f>
        <v>OK</v>
      </c>
      <c r="F530" s="20" t="n">
        <f aca="false">Stock_Seguridad!W530</f>
        <v>2.59852216748768</v>
      </c>
      <c r="G530" s="21" t="n">
        <f aca="false">Stock_Seguridad!T530</f>
        <v>2532</v>
      </c>
      <c r="H530" s="21" t="n">
        <f aca="false">Stock_Seguridad!R530</f>
        <v>480.823612230454</v>
      </c>
      <c r="I530" s="21" t="n">
        <f aca="false">Stock_Seguridad!S530</f>
        <v>1455.22361223045</v>
      </c>
      <c r="J530" s="21" t="n">
        <f aca="false">Stock_Seguridad!U530</f>
        <v>0</v>
      </c>
      <c r="K530" s="22"/>
      <c r="L530" s="23" t="n">
        <v>0</v>
      </c>
      <c r="M530" s="23" t="n">
        <v>54</v>
      </c>
      <c r="N530" s="23" t="n">
        <v>0</v>
      </c>
      <c r="O530" s="24" t="n">
        <v>0.038854415274463</v>
      </c>
      <c r="P530" s="24" t="n">
        <f aca="false">IF(ISNUMBER(Stock_Seguridad!N530),Stock_Seguridad!N530,"")</f>
        <v>0.273972602739726</v>
      </c>
      <c r="Q530" s="24" t="n">
        <f aca="false">IF(AND(ISNUMBER(O530),ISNUMBER(P530)),P530-O530,"")</f>
        <v>0.235118187465263</v>
      </c>
      <c r="R530" s="23" t="n">
        <f aca="false">MAX(0,G530-N(L530))</f>
        <v>2532</v>
      </c>
      <c r="S530" s="23" t="n">
        <f aca="false">SUMIFS(Cadenas_vs_FCST!$D$17:$D$2437,Cadenas_vs_FCST!$A$17:$A$2437,A530)</f>
        <v>0</v>
      </c>
      <c r="T530" s="23" t="n">
        <f aca="false">SUMIFS(Cadenas_vs_FCST!$E$17:$E$2437,Cadenas_vs_FCST!$A$17:$A$2437,A530)</f>
        <v>0</v>
      </c>
      <c r="U530" s="24" t="str">
        <f aca="false">IF(T530&gt;0,S530/T530-1,"")</f>
        <v/>
      </c>
      <c r="V530" s="3" t="str">
        <f aca="false">IF(OR(E530="BAJO SS",E530="BAJO SS (XLIB CUBRE)"),"SÍ","")</f>
        <v/>
      </c>
      <c r="W530" s="3" t="str">
        <f aca="false">IF(AND(V530="",N(L530)&gt;=Parametros!$B$17,G530&gt;=H530,R530&lt;H530),"SÍ","")</f>
        <v/>
      </c>
      <c r="X530" s="3" t="str">
        <f aca="false">IF(OR(E530="SOBRE MAX VENDIBLE",N(N530)&gt;=Parametros!$B$17,N(M530)&gt;=Parametros!$B$17),"SÍ","")</f>
        <v/>
      </c>
      <c r="Y530" s="3" t="str">
        <f aca="false">IF(AND(ISNUMBER(U530),MAX(S530,T530)&gt;=Parametros!$B$15,ABS(N(U530))&gt;Parametros!$B$14),"SÍ","")</f>
        <v/>
      </c>
      <c r="Z530" s="3" t="n">
        <f aca="false">COUNTIF(V530:Y530,"SÍ")</f>
        <v>0</v>
      </c>
      <c r="AA530" s="3" t="n">
        <f aca="false">(3*(V530="SÍ")+2*(W530="SÍ")+2*(X530="SÍ")+(Y530="SÍ"))*IF(LEFT(D530,1)="A",3,IF(OR(LEFT(D530,1)="B",D530="SIN HIST"),2,1))</f>
        <v>0</v>
      </c>
      <c r="AB530" s="3" t="str">
        <f aca="false">IF(AA530&gt;=9,"1-ALTA",IF(AA530&gt;=4,"2-MEDIA",IF(AA530&gt;0,"3-BAJA","")))</f>
        <v/>
      </c>
      <c r="AC530" s="3" t="str">
        <f aca="false">IF(E530="BAJO SS","Stock + XLIB bajo el SS: riesgo real de quiebre, adelantar producción. ","")&amp;IF(E530="BAJO SS (XLIB CUBRE)","Disponible bajo el SS; depende de liberar "&amp;TEXT(J530,"#,##0")&amp;" kg"&amp;IF(ISNUMBER(K530)," el "&amp;TEXT(K530,"dd-mm"),"")&amp;". ","")&amp;IF(W530="SÍ","Stock parece sano pero "&amp;TEXT(L530,"#,##0")&amp;" kg no pasan filtro "&amp;Stock_Seguridad!O530&amp;": sin ellos queda bajo el SS para esa cadena. ","")&amp;IF(E530="SOBRE MAX VENDIBLE","Sobrestock vs vida útil: frenar producción/activar venta. ","")&amp;IF(N(N530)&gt;=Parametros!$B$17,TEXT(N530,"#,##0")&amp;" kg ya no los acepta ninguna cadena: venta intermedia/liquidación. ","")&amp;IF(N(M530)&gt;=Parametros!$B$17,TEXT(M530,"#,##0")&amp;" kg a punto de salir del filtro: despachar primero (FEFO). ","")&amp;IF(Y530="SÍ","Pedidos "&amp;IF(N(U530)&gt;0,"sobre","bajo")&amp;" FCST "&amp;TEXT(ABS(N(U530)),"0%")&amp;": revisar forecast con KAM.","")</f>
        <v/>
      </c>
    </row>
    <row r="531" customFormat="false" ht="15" hidden="false" customHeight="false" outlineLevel="0" collapsed="false">
      <c r="A531" s="18" t="n">
        <f aca="false">Stock_Seguridad!A531</f>
        <v>30000493</v>
      </c>
      <c r="B531" s="18" t="str">
        <f aca="false">Stock_Seguridad!B531</f>
        <v>YOGURT LONCO S/LACT FRUTILLA BOT 6X900GR</v>
      </c>
      <c r="C531" s="18" t="str">
        <f aca="false">Stock_Seguridad!C531</f>
        <v>YOGURT</v>
      </c>
      <c r="D531" s="18" t="str">
        <f aca="false">Stock_Seguridad!F531</f>
        <v>CX</v>
      </c>
      <c r="E531" s="19" t="str">
        <f aca="false">Stock_Seguridad!X531</f>
        <v>OK</v>
      </c>
      <c r="F531" s="20" t="n">
        <f aca="false">Stock_Seguridad!W531</f>
        <v>2.55382700684505</v>
      </c>
      <c r="G531" s="21" t="n">
        <f aca="false">Stock_Seguridad!T531</f>
        <v>2462.4</v>
      </c>
      <c r="H531" s="21" t="n">
        <f aca="false">Stock_Seguridad!R531</f>
        <v>496.390145808938</v>
      </c>
      <c r="I531" s="21" t="n">
        <f aca="false">Stock_Seguridad!S531</f>
        <v>1460.59014580894</v>
      </c>
      <c r="J531" s="21" t="n">
        <f aca="false">Stock_Seguridad!U531</f>
        <v>0</v>
      </c>
      <c r="K531" s="22"/>
      <c r="L531" s="23" t="n">
        <v>972</v>
      </c>
      <c r="M531" s="23" t="n">
        <v>0</v>
      </c>
      <c r="N531" s="23" t="n">
        <v>972</v>
      </c>
      <c r="O531" s="24" t="n">
        <v>0.226842105263158</v>
      </c>
      <c r="P531" s="24" t="n">
        <f aca="false">IF(ISNUMBER(Stock_Seguridad!N531),Stock_Seguridad!N531,"")</f>
        <v>0.295774647887324</v>
      </c>
      <c r="Q531" s="24" t="n">
        <f aca="false">IF(AND(ISNUMBER(O531),ISNUMBER(P531)),P531-O531,"")</f>
        <v>0.0689325426241661</v>
      </c>
      <c r="R531" s="23" t="n">
        <f aca="false">MAX(0,G531-N(L531))</f>
        <v>1490.4</v>
      </c>
      <c r="S531" s="23" t="n">
        <f aca="false">SUMIFS(Cadenas_vs_FCST!$D$17:$D$2437,Cadenas_vs_FCST!$A$17:$A$2437,A531)</f>
        <v>5643</v>
      </c>
      <c r="T531" s="23" t="n">
        <f aca="false">SUMIFS(Cadenas_vs_FCST!$E$17:$E$2437,Cadenas_vs_FCST!$A$17:$A$2437,A531)</f>
        <v>5230.73329548245</v>
      </c>
      <c r="U531" s="24" t="n">
        <f aca="false">IF(T531&gt;0,S531/T531-1,"")</f>
        <v>0.0788162349767692</v>
      </c>
      <c r="V531" s="3" t="str">
        <f aca="false">IF(OR(E531="BAJO SS",E531="BAJO SS (XLIB CUBRE)"),"SÍ","")</f>
        <v/>
      </c>
      <c r="W531" s="3" t="str">
        <f aca="false">IF(AND(V531="",N(L531)&gt;=Parametros!$B$17,G531&gt;=H531,R531&lt;H531),"SÍ","")</f>
        <v/>
      </c>
      <c r="X531" s="3" t="str">
        <f aca="false">IF(OR(E531="SOBRE MAX VENDIBLE",N(N531)&gt;=Parametros!$B$17,N(M531)&gt;=Parametros!$B$17),"SÍ","")</f>
        <v>SÍ</v>
      </c>
      <c r="Y531" s="3" t="str">
        <f aca="false">IF(AND(ISNUMBER(U531),MAX(S531,T531)&gt;=Parametros!$B$15,ABS(N(U531))&gt;Parametros!$B$14),"SÍ","")</f>
        <v/>
      </c>
      <c r="Z531" s="3" t="n">
        <f aca="false">COUNTIF(V531:Y531,"SÍ")</f>
        <v>1</v>
      </c>
      <c r="AA531" s="3" t="n">
        <f aca="false">(3*(V531="SÍ")+2*(W531="SÍ")+2*(X531="SÍ")+(Y531="SÍ"))*IF(LEFT(D531,1)="A",3,IF(OR(LEFT(D531,1)="B",D531="SIN HIST"),2,1))</f>
        <v>2</v>
      </c>
      <c r="AB531" s="3" t="str">
        <f aca="false">IF(AA531&gt;=9,"1-ALTA",IF(AA531&gt;=4,"2-MEDIA",IF(AA531&gt;0,"3-BAJA","")))</f>
        <v>3-BAJA</v>
      </c>
      <c r="AC531" s="3" t="str">
        <f aca="false">IF(E531="BAJO SS","Stock + XLIB bajo el SS: riesgo real de quiebre, adelantar producción. ","")&amp;IF(E531="BAJO SS (XLIB CUBRE)","Disponible bajo el SS; depende de liberar "&amp;TEXT(J531,"#,##0")&amp;" kg"&amp;IF(ISNUMBER(K531)," el "&amp;TEXT(K531,"dd-mm"),"")&amp;". ","")&amp;IF(W531="SÍ","Stock parece sano pero "&amp;TEXT(L531,"#,##0")&amp;" kg no pasan filtro "&amp;Stock_Seguridad!O531&amp;": sin ellos queda bajo el SS para esa cadena. ","")&amp;IF(E531="SOBRE MAX VENDIBLE","Sobrestock vs vida útil: frenar producción/activar venta. ","")&amp;IF(N(N531)&gt;=Parametros!$B$17,TEXT(N531,"#,##0")&amp;" kg ya no los acepta ninguna cadena: venta intermedia/liquidación. ","")&amp;IF(N(M531)&gt;=Parametros!$B$17,TEXT(M531,"#,##0")&amp;" kg a punto de salir del filtro: despachar primero (FEFO). ","")&amp;IF(Y531="SÍ","Pedidos "&amp;IF(N(U531)&gt;0,"sobre","bajo")&amp;" FCST "&amp;TEXT(ABS(N(U531)),"0%")&amp;": revisar forecast con KAM.","")</f>
        <v>972 kg ya no los acepta ninguna cadena: venta intermedia/liquidación. </v>
      </c>
    </row>
    <row r="532" customFormat="false" ht="15" hidden="false" customHeight="false" outlineLevel="0" collapsed="false">
      <c r="A532" s="18" t="n">
        <f aca="false">Stock_Seguridad!A532</f>
        <v>30000984</v>
      </c>
      <c r="B532" s="18" t="str">
        <f aca="false">Stock_Seguridad!B532</f>
        <v>BASE ESTOFADO 24X500GR</v>
      </c>
      <c r="C532" s="18" t="str">
        <f aca="false">Stock_Seguridad!C532</f>
        <v>FRUTAS Y HORTALIZAS CONGELADAS</v>
      </c>
      <c r="D532" s="18" t="str">
        <f aca="false">Stock_Seguridad!F532</f>
        <v>SIN HIST</v>
      </c>
      <c r="E532" s="19" t="str">
        <f aca="false">Stock_Seguridad!X532</f>
        <v>OK</v>
      </c>
      <c r="F532" s="20" t="n">
        <f aca="false">Stock_Seguridad!W532</f>
        <v>7.72202393449507</v>
      </c>
      <c r="G532" s="21" t="n">
        <f aca="false">Stock_Seguridad!T532</f>
        <v>7356</v>
      </c>
      <c r="H532" s="21" t="n">
        <f aca="false">Stock_Seguridad!R532</f>
        <v>470.066269510192</v>
      </c>
      <c r="I532" s="21" t="n">
        <f aca="false">Stock_Seguridad!S532</f>
        <v>1422.66626951019</v>
      </c>
      <c r="J532" s="21" t="n">
        <f aca="false">Stock_Seguridad!U532</f>
        <v>0</v>
      </c>
      <c r="K532" s="22"/>
      <c r="L532" s="23" t="n">
        <v>0</v>
      </c>
      <c r="M532" s="23" t="n">
        <v>0</v>
      </c>
      <c r="N532" s="23" t="n">
        <v>0</v>
      </c>
      <c r="O532" s="24" t="n">
        <v>0.04</v>
      </c>
      <c r="P532" s="24" t="str">
        <f aca="false">IF(ISNUMBER(Stock_Seguridad!N532),Stock_Seguridad!N532,"")</f>
        <v/>
      </c>
      <c r="Q532" s="24" t="str">
        <f aca="false">IF(AND(ISNUMBER(O532),ISNUMBER(P532)),P532-O532,"")</f>
        <v/>
      </c>
      <c r="R532" s="23" t="n">
        <f aca="false">MAX(0,G532-N(L532))</f>
        <v>7356</v>
      </c>
      <c r="S532" s="23" t="n">
        <f aca="false">SUMIFS(Cadenas_vs_FCST!$D$17:$D$2437,Cadenas_vs_FCST!$A$17:$A$2437,A532)</f>
        <v>0</v>
      </c>
      <c r="T532" s="23" t="n">
        <f aca="false">SUMIFS(Cadenas_vs_FCST!$E$17:$E$2437,Cadenas_vs_FCST!$A$17:$A$2437,A532)</f>
        <v>0</v>
      </c>
      <c r="U532" s="24" t="str">
        <f aca="false">IF(T532&gt;0,S532/T532-1,"")</f>
        <v/>
      </c>
      <c r="V532" s="3" t="str">
        <f aca="false">IF(OR(E532="BAJO SS",E532="BAJO SS (XLIB CUBRE)"),"SÍ","")</f>
        <v/>
      </c>
      <c r="W532" s="3" t="str">
        <f aca="false">IF(AND(V532="",N(L532)&gt;=Parametros!$B$17,G532&gt;=H532,R532&lt;H532),"SÍ","")</f>
        <v/>
      </c>
      <c r="X532" s="3" t="str">
        <f aca="false">IF(OR(E532="SOBRE MAX VENDIBLE",N(N532)&gt;=Parametros!$B$17,N(M532)&gt;=Parametros!$B$17),"SÍ","")</f>
        <v/>
      </c>
      <c r="Y532" s="3" t="str">
        <f aca="false">IF(AND(ISNUMBER(U532),MAX(S532,T532)&gt;=Parametros!$B$15,ABS(N(U532))&gt;Parametros!$B$14),"SÍ","")</f>
        <v/>
      </c>
      <c r="Z532" s="3" t="n">
        <f aca="false">COUNTIF(V532:Y532,"SÍ")</f>
        <v>0</v>
      </c>
      <c r="AA532" s="3" t="n">
        <f aca="false">(3*(V532="SÍ")+2*(W532="SÍ")+2*(X532="SÍ")+(Y532="SÍ"))*IF(LEFT(D532,1)="A",3,IF(OR(LEFT(D532,1)="B",D532="SIN HIST"),2,1))</f>
        <v>0</v>
      </c>
      <c r="AB532" s="3" t="str">
        <f aca="false">IF(AA532&gt;=9,"1-ALTA",IF(AA532&gt;=4,"2-MEDIA",IF(AA532&gt;0,"3-BAJA","")))</f>
        <v/>
      </c>
      <c r="AC532" s="3" t="str">
        <f aca="false">IF(E532="BAJO SS","Stock + XLIB bajo el SS: riesgo real de quiebre, adelantar producción. ","")&amp;IF(E532="BAJO SS (XLIB CUBRE)","Disponible bajo el SS; depende de liberar "&amp;TEXT(J532,"#,##0")&amp;" kg"&amp;IF(ISNUMBER(K532)," el "&amp;TEXT(K532,"dd-mm"),"")&amp;". ","")&amp;IF(W532="SÍ","Stock parece sano pero "&amp;TEXT(L532,"#,##0")&amp;" kg no pasan filtro "&amp;Stock_Seguridad!O532&amp;": sin ellos queda bajo el SS para esa cadena. ","")&amp;IF(E532="SOBRE MAX VENDIBLE","Sobrestock vs vida útil: frenar producción/activar venta. ","")&amp;IF(N(N532)&gt;=Parametros!$B$17,TEXT(N532,"#,##0")&amp;" kg ya no los acepta ninguna cadena: venta intermedia/liquidación. ","")&amp;IF(N(M532)&gt;=Parametros!$B$17,TEXT(M532,"#,##0")&amp;" kg a punto de salir del filtro: despachar primero (FEFO). ","")&amp;IF(Y532="SÍ","Pedidos "&amp;IF(N(U532)&gt;0,"sobre","bajo")&amp;" FCST "&amp;TEXT(ABS(N(U532)),"0%")&amp;": revisar forecast con KAM.","")</f>
        <v/>
      </c>
    </row>
    <row r="533" customFormat="false" ht="15" hidden="false" customHeight="false" outlineLevel="0" collapsed="false">
      <c r="A533" s="18" t="n">
        <f aca="false">Stock_Seguridad!A533</f>
        <v>30002325</v>
      </c>
      <c r="B533" s="18" t="str">
        <f aca="false">Stock_Seguridad!B533</f>
        <v>NECTAR WTS PROTEIN CIRU-BERRIES 18X250ML</v>
      </c>
      <c r="C533" s="18" t="str">
        <f aca="false">Stock_Seguridad!C533</f>
        <v>JUGOS Y NECTARES</v>
      </c>
      <c r="D533" s="18" t="str">
        <f aca="false">Stock_Seguridad!F533</f>
        <v>CX</v>
      </c>
      <c r="E533" s="19" t="str">
        <f aca="false">Stock_Seguridad!X533</f>
        <v>OK</v>
      </c>
      <c r="F533" s="20" t="n">
        <f aca="false">Stock_Seguridad!W533</f>
        <v>9.92583037729765</v>
      </c>
      <c r="G533" s="21" t="n">
        <f aca="false">Stock_Seguridad!T533</f>
        <v>9234</v>
      </c>
      <c r="H533" s="21" t="n">
        <f aca="false">Stock_Seguridad!R533</f>
        <v>1830.9839663482</v>
      </c>
      <c r="I533" s="21" t="n">
        <f aca="false">Stock_Seguridad!S533</f>
        <v>2761.2839663482</v>
      </c>
      <c r="J533" s="21" t="n">
        <f aca="false">Stock_Seguridad!U533</f>
        <v>0</v>
      </c>
      <c r="K533" s="22"/>
      <c r="L533" s="23" t="n">
        <v>0</v>
      </c>
      <c r="M533" s="23" t="n">
        <v>0</v>
      </c>
      <c r="N533" s="23" t="n">
        <v>0</v>
      </c>
      <c r="O533" s="24" t="n">
        <v>0.136968810916179</v>
      </c>
      <c r="P533" s="24" t="str">
        <f aca="false">IF(ISNUMBER(Stock_Seguridad!N533),Stock_Seguridad!N533,"")</f>
        <v/>
      </c>
      <c r="Q533" s="24" t="str">
        <f aca="false">IF(AND(ISNUMBER(O533),ISNUMBER(P533)),P533-O533,"")</f>
        <v/>
      </c>
      <c r="R533" s="23" t="n">
        <f aca="false">MAX(0,G533-N(L533))</f>
        <v>9234</v>
      </c>
      <c r="S533" s="23" t="n">
        <f aca="false">SUMIFS(Cadenas_vs_FCST!$D$17:$D$2437,Cadenas_vs_FCST!$A$17:$A$2437,A533)</f>
        <v>8100</v>
      </c>
      <c r="T533" s="23" t="n">
        <f aca="false">SUMIFS(Cadenas_vs_FCST!$E$17:$E$2437,Cadenas_vs_FCST!$A$17:$A$2437,A533)</f>
        <v>5477.87533222102</v>
      </c>
      <c r="U533" s="24" t="n">
        <f aca="false">IF(T533&gt;0,S533/T533-1,"")</f>
        <v>0.478675491637344</v>
      </c>
      <c r="V533" s="3" t="str">
        <f aca="false">IF(OR(E533="BAJO SS",E533="BAJO SS (XLIB CUBRE)"),"SÍ","")</f>
        <v/>
      </c>
      <c r="W533" s="3" t="str">
        <f aca="false">IF(AND(V533="",N(L533)&gt;=Parametros!$B$17,G533&gt;=H533,R533&lt;H533),"SÍ","")</f>
        <v/>
      </c>
      <c r="X533" s="3" t="str">
        <f aca="false">IF(OR(E533="SOBRE MAX VENDIBLE",N(N533)&gt;=Parametros!$B$17,N(M533)&gt;=Parametros!$B$17),"SÍ","")</f>
        <v/>
      </c>
      <c r="Y533" s="3" t="str">
        <f aca="false">IF(AND(ISNUMBER(U533),MAX(S533,T533)&gt;=Parametros!$B$15,ABS(N(U533))&gt;Parametros!$B$14),"SÍ","")</f>
        <v>SÍ</v>
      </c>
      <c r="Z533" s="3" t="n">
        <f aca="false">COUNTIF(V533:Y533,"SÍ")</f>
        <v>1</v>
      </c>
      <c r="AA533" s="3" t="n">
        <f aca="false">(3*(V533="SÍ")+2*(W533="SÍ")+2*(X533="SÍ")+(Y533="SÍ"))*IF(LEFT(D533,1)="A",3,IF(OR(LEFT(D533,1)="B",D533="SIN HIST"),2,1))</f>
        <v>1</v>
      </c>
      <c r="AB533" s="3" t="str">
        <f aca="false">IF(AA533&gt;=9,"1-ALTA",IF(AA533&gt;=4,"2-MEDIA",IF(AA533&gt;0,"3-BAJA","")))</f>
        <v>3-BAJA</v>
      </c>
      <c r="AC533" s="3" t="str">
        <f aca="false">IF(E533="BAJO SS","Stock + XLIB bajo el SS: riesgo real de quiebre, adelantar producción. ","")&amp;IF(E533="BAJO SS (XLIB CUBRE)","Disponible bajo el SS; depende de liberar "&amp;TEXT(J533,"#,##0")&amp;" kg"&amp;IF(ISNUMBER(K533)," el "&amp;TEXT(K533,"dd-mm"),"")&amp;". ","")&amp;IF(W533="SÍ","Stock parece sano pero "&amp;TEXT(L533,"#,##0")&amp;" kg no pasan filtro "&amp;Stock_Seguridad!O533&amp;": sin ellos queda bajo el SS para esa cadena. ","")&amp;IF(E533="SOBRE MAX VENDIBLE","Sobrestock vs vida útil: frenar producción/activar venta. ","")&amp;IF(N(N533)&gt;=Parametros!$B$17,TEXT(N533,"#,##0")&amp;" kg ya no los acepta ninguna cadena: venta intermedia/liquidación. ","")&amp;IF(N(M533)&gt;=Parametros!$B$17,TEXT(M533,"#,##0")&amp;" kg a punto de salir del filtro: despachar primero (FEFO). ","")&amp;IF(Y533="SÍ","Pedidos "&amp;IF(N(U533)&gt;0,"sobre","bajo")&amp;" FCST "&amp;TEXT(ABS(N(U533)),"0%")&amp;": revisar forecast con KAM.","")</f>
        <v>Pedidos sobre FCST 48%: revisar forecast con KAM.</v>
      </c>
    </row>
    <row r="534" customFormat="false" ht="15" hidden="false" customHeight="false" outlineLevel="0" collapsed="false">
      <c r="A534" s="18" t="n">
        <f aca="false">Stock_Seguridad!A534</f>
        <v>30000619</v>
      </c>
      <c r="B534" s="18" t="str">
        <f aca="false">Stock_Seguridad!B534</f>
        <v>COCTEL WSL 06XA10</v>
      </c>
      <c r="C534" s="18" t="str">
        <f aca="false">Stock_Seguridad!C534</f>
        <v>CONSERVAS Y PLATOS LISTOS</v>
      </c>
      <c r="D534" s="18" t="str">
        <f aca="false">Stock_Seguridad!F534</f>
        <v>SIN HIST</v>
      </c>
      <c r="E534" s="19" t="str">
        <f aca="false">Stock_Seguridad!X534</f>
        <v>OK</v>
      </c>
      <c r="F534" s="20" t="n">
        <f aca="false">Stock_Seguridad!W534</f>
        <v>3.07675768651903</v>
      </c>
      <c r="G534" s="21" t="n">
        <f aca="false">Stock_Seguridad!T534</f>
        <v>2862</v>
      </c>
      <c r="H534" s="21" t="n">
        <f aca="false">Stock_Seguridad!R534</f>
        <v>459.012853137078</v>
      </c>
      <c r="I534" s="21" t="n">
        <f aca="false">Stock_Seguridad!S534</f>
        <v>1389.21285313708</v>
      </c>
      <c r="J534" s="21" t="n">
        <f aca="false">Stock_Seguridad!U534</f>
        <v>0</v>
      </c>
      <c r="K534" s="22"/>
      <c r="L534" s="23" t="n">
        <v>306</v>
      </c>
      <c r="M534" s="23" t="n">
        <v>0</v>
      </c>
      <c r="N534" s="23" t="n">
        <v>0</v>
      </c>
      <c r="O534" s="24" t="n">
        <v>0.251698113207547</v>
      </c>
      <c r="P534" s="24" t="n">
        <f aca="false">IF(ISNUMBER(Stock_Seguridad!N534),Stock_Seguridad!N534,"")</f>
        <v>0.480365296803653</v>
      </c>
      <c r="Q534" s="24" t="n">
        <f aca="false">IF(AND(ISNUMBER(O534),ISNUMBER(P534)),P534-O534,"")</f>
        <v>0.228667183596106</v>
      </c>
      <c r="R534" s="23" t="n">
        <f aca="false">MAX(0,G534-N(L534))</f>
        <v>2556</v>
      </c>
      <c r="S534" s="23" t="n">
        <f aca="false">SUMIFS(Cadenas_vs_FCST!$D$17:$D$2437,Cadenas_vs_FCST!$A$17:$A$2437,A534)</f>
        <v>0</v>
      </c>
      <c r="T534" s="23" t="n">
        <f aca="false">SUMIFS(Cadenas_vs_FCST!$E$17:$E$2437,Cadenas_vs_FCST!$A$17:$A$2437,A534)</f>
        <v>0</v>
      </c>
      <c r="U534" s="24" t="str">
        <f aca="false">IF(T534&gt;0,S534/T534-1,"")</f>
        <v/>
      </c>
      <c r="V534" s="3" t="str">
        <f aca="false">IF(OR(E534="BAJO SS",E534="BAJO SS (XLIB CUBRE)"),"SÍ","")</f>
        <v/>
      </c>
      <c r="W534" s="3" t="str">
        <f aca="false">IF(AND(V534="",N(L534)&gt;=Parametros!$B$17,G534&gt;=H534,R534&lt;H534),"SÍ","")</f>
        <v/>
      </c>
      <c r="X534" s="3" t="str">
        <f aca="false">IF(OR(E534="SOBRE MAX VENDIBLE",N(N534)&gt;=Parametros!$B$17,N(M534)&gt;=Parametros!$B$17),"SÍ","")</f>
        <v/>
      </c>
      <c r="Y534" s="3" t="str">
        <f aca="false">IF(AND(ISNUMBER(U534),MAX(S534,T534)&gt;=Parametros!$B$15,ABS(N(U534))&gt;Parametros!$B$14),"SÍ","")</f>
        <v/>
      </c>
      <c r="Z534" s="3" t="n">
        <f aca="false">COUNTIF(V534:Y534,"SÍ")</f>
        <v>0</v>
      </c>
      <c r="AA534" s="3" t="n">
        <f aca="false">(3*(V534="SÍ")+2*(W534="SÍ")+2*(X534="SÍ")+(Y534="SÍ"))*IF(LEFT(D534,1)="A",3,IF(OR(LEFT(D534,1)="B",D534="SIN HIST"),2,1))</f>
        <v>0</v>
      </c>
      <c r="AB534" s="3" t="str">
        <f aca="false">IF(AA534&gt;=9,"1-ALTA",IF(AA534&gt;=4,"2-MEDIA",IF(AA534&gt;0,"3-BAJA","")))</f>
        <v/>
      </c>
      <c r="AC534" s="3" t="str">
        <f aca="false">IF(E534="BAJO SS","Stock + XLIB bajo el SS: riesgo real de quiebre, adelantar producción. ","")&amp;IF(E534="BAJO SS (XLIB CUBRE)","Disponible bajo el SS; depende de liberar "&amp;TEXT(J534,"#,##0")&amp;" kg"&amp;IF(ISNUMBER(K534)," el "&amp;TEXT(K534,"dd-mm"),"")&amp;". ","")&amp;IF(W534="SÍ","Stock parece sano pero "&amp;TEXT(L534,"#,##0")&amp;" kg no pasan filtro "&amp;Stock_Seguridad!O534&amp;": sin ellos queda bajo el SS para esa cadena. ","")&amp;IF(E534="SOBRE MAX VENDIBLE","Sobrestock vs vida útil: frenar producción/activar venta. ","")&amp;IF(N(N534)&gt;=Parametros!$B$17,TEXT(N534,"#,##0")&amp;" kg ya no los acepta ninguna cadena: venta intermedia/liquidación. ","")&amp;IF(N(M534)&gt;=Parametros!$B$17,TEXT(M534,"#,##0")&amp;" kg a punto de salir del filtro: despachar primero (FEFO). ","")&amp;IF(Y534="SÍ","Pedidos "&amp;IF(N(U534)&gt;0,"sobre","bajo")&amp;" FCST "&amp;TEXT(ABS(N(U534)),"0%")&amp;": revisar forecast con KAM.","")</f>
        <v/>
      </c>
    </row>
    <row r="535" customFormat="false" ht="15" hidden="false" customHeight="false" outlineLevel="0" collapsed="false">
      <c r="A535" s="18" t="n">
        <f aca="false">Stock_Seguridad!A535</f>
        <v>30002363</v>
      </c>
      <c r="B535" s="18" t="str">
        <f aca="false">Stock_Seguridad!B535</f>
        <v>BITES FRUTILLA FDM 14X250G</v>
      </c>
      <c r="C535" s="18" t="str">
        <f aca="false">Stock_Seguridad!C535</f>
        <v>FRUTAS Y HORTALIZAS CONGELADAS</v>
      </c>
      <c r="D535" s="18" t="str">
        <f aca="false">Stock_Seguridad!F535</f>
        <v>SIN HIST</v>
      </c>
      <c r="E535" s="19" t="str">
        <f aca="false">Stock_Seguridad!X535</f>
        <v>BAJO P.REORDEN</v>
      </c>
      <c r="F535" s="20" t="n">
        <f aca="false">Stock_Seguridad!W535</f>
        <v>0.974521608256289</v>
      </c>
      <c r="G535" s="21" t="n">
        <f aca="false">Stock_Seguridad!T535</f>
        <v>906.5</v>
      </c>
      <c r="H535" s="21" t="n">
        <f aca="false">Stock_Seguridad!R535</f>
        <v>459.012853137078</v>
      </c>
      <c r="I535" s="21" t="n">
        <f aca="false">Stock_Seguridad!S535</f>
        <v>1389.21285313708</v>
      </c>
      <c r="J535" s="21" t="n">
        <f aca="false">Stock_Seguridad!U535</f>
        <v>0</v>
      </c>
      <c r="K535" s="22"/>
      <c r="L535" s="23" t="n">
        <v>0</v>
      </c>
      <c r="M535" s="23" t="n">
        <v>0</v>
      </c>
      <c r="N535" s="23" t="n">
        <v>0</v>
      </c>
      <c r="O535" s="24" t="n">
        <v>0.118725868725869</v>
      </c>
      <c r="P535" s="24" t="str">
        <f aca="false">IF(ISNUMBER(Stock_Seguridad!N535),Stock_Seguridad!N535,"")</f>
        <v/>
      </c>
      <c r="Q535" s="24" t="str">
        <f aca="false">IF(AND(ISNUMBER(O535),ISNUMBER(P535)),P535-O535,"")</f>
        <v/>
      </c>
      <c r="R535" s="23" t="n">
        <f aca="false">MAX(0,G535-N(L535))</f>
        <v>906.5</v>
      </c>
      <c r="S535" s="23" t="n">
        <f aca="false">SUMIFS(Cadenas_vs_FCST!$D$17:$D$2437,Cadenas_vs_FCST!$A$17:$A$2437,A535)</f>
        <v>0</v>
      </c>
      <c r="T535" s="23" t="n">
        <f aca="false">SUMIFS(Cadenas_vs_FCST!$E$17:$E$2437,Cadenas_vs_FCST!$A$17:$A$2437,A535)</f>
        <v>0</v>
      </c>
      <c r="U535" s="24" t="str">
        <f aca="false">IF(T535&gt;0,S535/T535-1,"")</f>
        <v/>
      </c>
      <c r="V535" s="3" t="str">
        <f aca="false">IF(OR(E535="BAJO SS",E535="BAJO SS (XLIB CUBRE)"),"SÍ","")</f>
        <v/>
      </c>
      <c r="W535" s="3" t="str">
        <f aca="false">IF(AND(V535="",N(L535)&gt;=Parametros!$B$17,G535&gt;=H535,R535&lt;H535),"SÍ","")</f>
        <v/>
      </c>
      <c r="X535" s="3" t="str">
        <f aca="false">IF(OR(E535="SOBRE MAX VENDIBLE",N(N535)&gt;=Parametros!$B$17,N(M535)&gt;=Parametros!$B$17),"SÍ","")</f>
        <v/>
      </c>
      <c r="Y535" s="3" t="str">
        <f aca="false">IF(AND(ISNUMBER(U535),MAX(S535,T535)&gt;=Parametros!$B$15,ABS(N(U535))&gt;Parametros!$B$14),"SÍ","")</f>
        <v/>
      </c>
      <c r="Z535" s="3" t="n">
        <f aca="false">COUNTIF(V535:Y535,"SÍ")</f>
        <v>0</v>
      </c>
      <c r="AA535" s="3" t="n">
        <f aca="false">(3*(V535="SÍ")+2*(W535="SÍ")+2*(X535="SÍ")+(Y535="SÍ"))*IF(LEFT(D535,1)="A",3,IF(OR(LEFT(D535,1)="B",D535="SIN HIST"),2,1))</f>
        <v>0</v>
      </c>
      <c r="AB535" s="3" t="str">
        <f aca="false">IF(AA535&gt;=9,"1-ALTA",IF(AA535&gt;=4,"2-MEDIA",IF(AA535&gt;0,"3-BAJA","")))</f>
        <v/>
      </c>
      <c r="AC535" s="3" t="str">
        <f aca="false">IF(E535="BAJO SS","Stock + XLIB bajo el SS: riesgo real de quiebre, adelantar producción. ","")&amp;IF(E535="BAJO SS (XLIB CUBRE)","Disponible bajo el SS; depende de liberar "&amp;TEXT(J535,"#,##0")&amp;" kg"&amp;IF(ISNUMBER(K535)," el "&amp;TEXT(K535,"dd-mm"),"")&amp;". ","")&amp;IF(W535="SÍ","Stock parece sano pero "&amp;TEXT(L535,"#,##0")&amp;" kg no pasan filtro "&amp;Stock_Seguridad!O535&amp;": sin ellos queda bajo el SS para esa cadena. ","")&amp;IF(E535="SOBRE MAX VENDIBLE","Sobrestock vs vida útil: frenar producción/activar venta. ","")&amp;IF(N(N535)&gt;=Parametros!$B$17,TEXT(N535,"#,##0")&amp;" kg ya no los acepta ninguna cadena: venta intermedia/liquidación. ","")&amp;IF(N(M535)&gt;=Parametros!$B$17,TEXT(M535,"#,##0")&amp;" kg a punto de salir del filtro: despachar primero (FEFO). ","")&amp;IF(Y535="SÍ","Pedidos "&amp;IF(N(U535)&gt;0,"sobre","bajo")&amp;" FCST "&amp;TEXT(ABS(N(U535)),"0%")&amp;": revisar forecast con KAM.","")</f>
        <v/>
      </c>
    </row>
    <row r="536" customFormat="false" ht="15" hidden="false" customHeight="false" outlineLevel="0" collapsed="false">
      <c r="A536" s="18" t="n">
        <f aca="false">Stock_Seguridad!A536</f>
        <v>30001002</v>
      </c>
      <c r="B536" s="18" t="str">
        <f aca="false">Stock_Seguridad!B536</f>
        <v>PULPA DE CHIRIMOYA S/AZUCAR 10X1KG</v>
      </c>
      <c r="C536" s="18" t="str">
        <f aca="false">Stock_Seguridad!C536</f>
        <v>FRUTAS Y HORTALIZAS CONGELADAS</v>
      </c>
      <c r="D536" s="18" t="str">
        <f aca="false">Stock_Seguridad!F536</f>
        <v>SIN HIST</v>
      </c>
      <c r="E536" s="19" t="str">
        <f aca="false">Stock_Seguridad!X536</f>
        <v>OK</v>
      </c>
      <c r="F536" s="20" t="n">
        <f aca="false">Stock_Seguridad!W536</f>
        <v>45.3343367017846</v>
      </c>
      <c r="G536" s="21" t="n">
        <f aca="false">Stock_Seguridad!T536</f>
        <v>20170</v>
      </c>
      <c r="H536" s="21" t="n">
        <f aca="false">Stock_Seguridad!R536</f>
        <v>459.012853137078</v>
      </c>
      <c r="I536" s="21" t="n">
        <f aca="false">Stock_Seguridad!S536</f>
        <v>1389.21285313708</v>
      </c>
      <c r="J536" s="21" t="n">
        <f aca="false">Stock_Seguridad!U536</f>
        <v>22000</v>
      </c>
      <c r="K536" s="22"/>
      <c r="L536" s="23" t="n">
        <v>0</v>
      </c>
      <c r="M536" s="23" t="n">
        <v>0</v>
      </c>
      <c r="N536" s="23" t="n">
        <v>0</v>
      </c>
      <c r="O536" s="24" t="n">
        <v>0.426075471698113</v>
      </c>
      <c r="P536" s="24" t="str">
        <f aca="false">IF(ISNUMBER(Stock_Seguridad!N536),Stock_Seguridad!N536,"")</f>
        <v/>
      </c>
      <c r="Q536" s="24" t="str">
        <f aca="false">IF(AND(ISNUMBER(O536),ISNUMBER(P536)),P536-O536,"")</f>
        <v/>
      </c>
      <c r="R536" s="23" t="n">
        <f aca="false">MAX(0,G536-N(L536))</f>
        <v>20170</v>
      </c>
      <c r="S536" s="23" t="n">
        <f aca="false">SUMIFS(Cadenas_vs_FCST!$D$17:$D$2437,Cadenas_vs_FCST!$A$17:$A$2437,A536)</f>
        <v>0</v>
      </c>
      <c r="T536" s="23" t="n">
        <f aca="false">SUMIFS(Cadenas_vs_FCST!$E$17:$E$2437,Cadenas_vs_FCST!$A$17:$A$2437,A536)</f>
        <v>0</v>
      </c>
      <c r="U536" s="24" t="str">
        <f aca="false">IF(T536&gt;0,S536/T536-1,"")</f>
        <v/>
      </c>
      <c r="V536" s="3" t="str">
        <f aca="false">IF(OR(E536="BAJO SS",E536="BAJO SS (XLIB CUBRE)"),"SÍ","")</f>
        <v/>
      </c>
      <c r="W536" s="3" t="str">
        <f aca="false">IF(AND(V536="",N(L536)&gt;=Parametros!$B$17,G536&gt;=H536,R536&lt;H536),"SÍ","")</f>
        <v/>
      </c>
      <c r="X536" s="3" t="str">
        <f aca="false">IF(OR(E536="SOBRE MAX VENDIBLE",N(N536)&gt;=Parametros!$B$17,N(M536)&gt;=Parametros!$B$17),"SÍ","")</f>
        <v/>
      </c>
      <c r="Y536" s="3" t="str">
        <f aca="false">IF(AND(ISNUMBER(U536),MAX(S536,T536)&gt;=Parametros!$B$15,ABS(N(U536))&gt;Parametros!$B$14),"SÍ","")</f>
        <v/>
      </c>
      <c r="Z536" s="3" t="n">
        <f aca="false">COUNTIF(V536:Y536,"SÍ")</f>
        <v>0</v>
      </c>
      <c r="AA536" s="3" t="n">
        <f aca="false">(3*(V536="SÍ")+2*(W536="SÍ")+2*(X536="SÍ")+(Y536="SÍ"))*IF(LEFT(D536,1)="A",3,IF(OR(LEFT(D536,1)="B",D536="SIN HIST"),2,1))</f>
        <v>0</v>
      </c>
      <c r="AB536" s="3" t="str">
        <f aca="false">IF(AA536&gt;=9,"1-ALTA",IF(AA536&gt;=4,"2-MEDIA",IF(AA536&gt;0,"3-BAJA","")))</f>
        <v/>
      </c>
      <c r="AC536" s="3" t="str">
        <f aca="false">IF(E536="BAJO SS","Stock + XLIB bajo el SS: riesgo real de quiebre, adelantar producción. ","")&amp;IF(E536="BAJO SS (XLIB CUBRE)","Disponible bajo el SS; depende de liberar "&amp;TEXT(J536,"#,##0")&amp;" kg"&amp;IF(ISNUMBER(K536)," el "&amp;TEXT(K536,"dd-mm"),"")&amp;". ","")&amp;IF(W536="SÍ","Stock parece sano pero "&amp;TEXT(L536,"#,##0")&amp;" kg no pasan filtro "&amp;Stock_Seguridad!O536&amp;": sin ellos queda bajo el SS para esa cadena. ","")&amp;IF(E536="SOBRE MAX VENDIBLE","Sobrestock vs vida útil: frenar producción/activar venta. ","")&amp;IF(N(N536)&gt;=Parametros!$B$17,TEXT(N536,"#,##0")&amp;" kg ya no los acepta ninguna cadena: venta intermedia/liquidación. ","")&amp;IF(N(M536)&gt;=Parametros!$B$17,TEXT(M536,"#,##0")&amp;" kg a punto de salir del filtro: despachar primero (FEFO). ","")&amp;IF(Y536="SÍ","Pedidos "&amp;IF(N(U536)&gt;0,"sobre","bajo")&amp;" FCST "&amp;TEXT(ABS(N(U536)),"0%")&amp;": revisar forecast con KAM.","")</f>
        <v/>
      </c>
    </row>
    <row r="537" customFormat="false" ht="15" hidden="false" customHeight="false" outlineLevel="0" collapsed="false">
      <c r="A537" s="18" t="n">
        <f aca="false">Stock_Seguridad!A537</f>
        <v>30000827</v>
      </c>
      <c r="B537" s="18" t="str">
        <f aca="false">Stock_Seguridad!B537</f>
        <v>ONION RINGS FDM 6X1KG</v>
      </c>
      <c r="C537" s="18" t="str">
        <f aca="false">Stock_Seguridad!C537</f>
        <v>FRUTAS Y HORTALIZAS CONGELADAS</v>
      </c>
      <c r="D537" s="18" t="str">
        <f aca="false">Stock_Seguridad!F537</f>
        <v>SIN HIST</v>
      </c>
      <c r="E537" s="19" t="str">
        <f aca="false">Stock_Seguridad!X537</f>
        <v>OK</v>
      </c>
      <c r="F537" s="20" t="n">
        <f aca="false">Stock_Seguridad!W537</f>
        <v>4.27004945173081</v>
      </c>
      <c r="G537" s="21" t="n">
        <f aca="false">Stock_Seguridad!T537</f>
        <v>3972</v>
      </c>
      <c r="H537" s="21" t="n">
        <f aca="false">Stock_Seguridad!R537</f>
        <v>459.012853137078</v>
      </c>
      <c r="I537" s="21" t="n">
        <f aca="false">Stock_Seguridad!S537</f>
        <v>1389.21285313708</v>
      </c>
      <c r="J537" s="21" t="n">
        <f aca="false">Stock_Seguridad!U537</f>
        <v>0</v>
      </c>
      <c r="K537" s="22"/>
      <c r="L537" s="23" t="n">
        <v>0</v>
      </c>
      <c r="M537" s="23" t="n">
        <v>0</v>
      </c>
      <c r="N537" s="23" t="n">
        <v>0</v>
      </c>
      <c r="O537" s="24" t="n">
        <v>0.31</v>
      </c>
      <c r="P537" s="24" t="str">
        <f aca="false">IF(ISNUMBER(Stock_Seguridad!N537),Stock_Seguridad!N537,"")</f>
        <v/>
      </c>
      <c r="Q537" s="24" t="str">
        <f aca="false">IF(AND(ISNUMBER(O537),ISNUMBER(P537)),P537-O537,"")</f>
        <v/>
      </c>
      <c r="R537" s="23" t="n">
        <f aca="false">MAX(0,G537-N(L537))</f>
        <v>3972</v>
      </c>
      <c r="S537" s="23" t="n">
        <f aca="false">SUMIFS(Cadenas_vs_FCST!$D$17:$D$2437,Cadenas_vs_FCST!$A$17:$A$2437,A537)</f>
        <v>0</v>
      </c>
      <c r="T537" s="23" t="n">
        <f aca="false">SUMIFS(Cadenas_vs_FCST!$E$17:$E$2437,Cadenas_vs_FCST!$A$17:$A$2437,A537)</f>
        <v>0</v>
      </c>
      <c r="U537" s="24" t="str">
        <f aca="false">IF(T537&gt;0,S537/T537-1,"")</f>
        <v/>
      </c>
      <c r="V537" s="3" t="str">
        <f aca="false">IF(OR(E537="BAJO SS",E537="BAJO SS (XLIB CUBRE)"),"SÍ","")</f>
        <v/>
      </c>
      <c r="W537" s="3" t="str">
        <f aca="false">IF(AND(V537="",N(L537)&gt;=Parametros!$B$17,G537&gt;=H537,R537&lt;H537),"SÍ","")</f>
        <v/>
      </c>
      <c r="X537" s="3" t="str">
        <f aca="false">IF(OR(E537="SOBRE MAX VENDIBLE",N(N537)&gt;=Parametros!$B$17,N(M537)&gt;=Parametros!$B$17),"SÍ","")</f>
        <v/>
      </c>
      <c r="Y537" s="3" t="str">
        <f aca="false">IF(AND(ISNUMBER(U537),MAX(S537,T537)&gt;=Parametros!$B$15,ABS(N(U537))&gt;Parametros!$B$14),"SÍ","")</f>
        <v/>
      </c>
      <c r="Z537" s="3" t="n">
        <f aca="false">COUNTIF(V537:Y537,"SÍ")</f>
        <v>0</v>
      </c>
      <c r="AA537" s="3" t="n">
        <f aca="false">(3*(V537="SÍ")+2*(W537="SÍ")+2*(X537="SÍ")+(Y537="SÍ"))*IF(LEFT(D537,1)="A",3,IF(OR(LEFT(D537,1)="B",D537="SIN HIST"),2,1))</f>
        <v>0</v>
      </c>
      <c r="AB537" s="3" t="str">
        <f aca="false">IF(AA537&gt;=9,"1-ALTA",IF(AA537&gt;=4,"2-MEDIA",IF(AA537&gt;0,"3-BAJA","")))</f>
        <v/>
      </c>
      <c r="AC537" s="3" t="str">
        <f aca="false">IF(E537="BAJO SS","Stock + XLIB bajo el SS: riesgo real de quiebre, adelantar producción. ","")&amp;IF(E537="BAJO SS (XLIB CUBRE)","Disponible bajo el SS; depende de liberar "&amp;TEXT(J537,"#,##0")&amp;" kg"&amp;IF(ISNUMBER(K537)," el "&amp;TEXT(K537,"dd-mm"),"")&amp;". ","")&amp;IF(W537="SÍ","Stock parece sano pero "&amp;TEXT(L537,"#,##0")&amp;" kg no pasan filtro "&amp;Stock_Seguridad!O537&amp;": sin ellos queda bajo el SS para esa cadena. ","")&amp;IF(E537="SOBRE MAX VENDIBLE","Sobrestock vs vida útil: frenar producción/activar venta. ","")&amp;IF(N(N537)&gt;=Parametros!$B$17,TEXT(N537,"#,##0")&amp;" kg ya no los acepta ninguna cadena: venta intermedia/liquidación. ","")&amp;IF(N(M537)&gt;=Parametros!$B$17,TEXT(M537,"#,##0")&amp;" kg a punto de salir del filtro: despachar primero (FEFO). ","")&amp;IF(Y537="SÍ","Pedidos "&amp;IF(N(U537)&gt;0,"sobre","bajo")&amp;" FCST "&amp;TEXT(ABS(N(U537)),"0%")&amp;": revisar forecast con KAM.","")</f>
        <v/>
      </c>
    </row>
    <row r="538" customFormat="false" ht="15" hidden="false" customHeight="false" outlineLevel="0" collapsed="false">
      <c r="A538" s="18" t="n">
        <f aca="false">Stock_Seguridad!A538</f>
        <v>30001916</v>
      </c>
      <c r="B538" s="18" t="str">
        <f aca="false">Stock_Seguridad!B538</f>
        <v>PREPARADO HELADO BLUE ICE TETRA 12X1LT</v>
      </c>
      <c r="C538" s="18" t="str">
        <f aca="false">Stock_Seguridad!C538</f>
        <v>PREPARADOS DE HELADO</v>
      </c>
      <c r="D538" s="18" t="str">
        <f aca="false">Stock_Seguridad!F538</f>
        <v>SIN HIST</v>
      </c>
      <c r="E538" s="19" t="str">
        <f aca="false">Stock_Seguridad!X538</f>
        <v>BAJO SS</v>
      </c>
      <c r="F538" s="20" t="n">
        <f aca="false">Stock_Seguridad!W538</f>
        <v>0</v>
      </c>
      <c r="G538" s="21" t="n">
        <f aca="false">Stock_Seguridad!T538</f>
        <v>0</v>
      </c>
      <c r="H538" s="21" t="n">
        <f aca="false">Stock_Seguridad!R538</f>
        <v>459.012853137078</v>
      </c>
      <c r="I538" s="21" t="n">
        <f aca="false">Stock_Seguridad!S538</f>
        <v>1389.21285313708</v>
      </c>
      <c r="J538" s="21" t="n">
        <f aca="false">Stock_Seguridad!U538</f>
        <v>0</v>
      </c>
      <c r="K538" s="22"/>
      <c r="L538" s="23"/>
      <c r="M538" s="23"/>
      <c r="N538" s="23"/>
      <c r="O538" s="24"/>
      <c r="P538" s="24" t="n">
        <f aca="false">IF(ISNUMBER(Stock_Seguridad!N538),Stock_Seguridad!N538,"")</f>
        <v>0.257142857142857</v>
      </c>
      <c r="Q538" s="24" t="str">
        <f aca="false">IF(AND(ISNUMBER(O538),ISNUMBER(P538)),P538-O538,"")</f>
        <v/>
      </c>
      <c r="R538" s="23" t="n">
        <f aca="false">MAX(0,G538-N(L538))</f>
        <v>0</v>
      </c>
      <c r="S538" s="23" t="n">
        <f aca="false">SUMIFS(Cadenas_vs_FCST!$D$17:$D$2437,Cadenas_vs_FCST!$A$17:$A$2437,A538)</f>
        <v>0</v>
      </c>
      <c r="T538" s="23" t="n">
        <f aca="false">SUMIFS(Cadenas_vs_FCST!$E$17:$E$2437,Cadenas_vs_FCST!$A$17:$A$2437,A538)</f>
        <v>0</v>
      </c>
      <c r="U538" s="24" t="str">
        <f aca="false">IF(T538&gt;0,S538/T538-1,"")</f>
        <v/>
      </c>
      <c r="V538" s="3" t="str">
        <f aca="false">IF(OR(E538="BAJO SS",E538="BAJO SS (XLIB CUBRE)"),"SÍ","")</f>
        <v>SÍ</v>
      </c>
      <c r="W538" s="3" t="str">
        <f aca="false">IF(AND(V538="",N(L538)&gt;=Parametros!$B$17,G538&gt;=H538,R538&lt;H538),"SÍ","")</f>
        <v/>
      </c>
      <c r="X538" s="3" t="str">
        <f aca="false">IF(OR(E538="SOBRE MAX VENDIBLE",N(N538)&gt;=Parametros!$B$17,N(M538)&gt;=Parametros!$B$17),"SÍ","")</f>
        <v/>
      </c>
      <c r="Y538" s="3" t="str">
        <f aca="false">IF(AND(ISNUMBER(U538),MAX(S538,T538)&gt;=Parametros!$B$15,ABS(N(U538))&gt;Parametros!$B$14),"SÍ","")</f>
        <v/>
      </c>
      <c r="Z538" s="3" t="n">
        <f aca="false">COUNTIF(V538:Y538,"SÍ")</f>
        <v>1</v>
      </c>
      <c r="AA538" s="3" t="n">
        <f aca="false">(3*(V538="SÍ")+2*(W538="SÍ")+2*(X538="SÍ")+(Y538="SÍ"))*IF(LEFT(D538,1)="A",3,IF(OR(LEFT(D538,1)="B",D538="SIN HIST"),2,1))</f>
        <v>6</v>
      </c>
      <c r="AB538" s="3" t="str">
        <f aca="false">IF(AA538&gt;=9,"1-ALTA",IF(AA538&gt;=4,"2-MEDIA",IF(AA538&gt;0,"3-BAJA","")))</f>
        <v>2-MEDIA</v>
      </c>
      <c r="AC538" s="3" t="str">
        <f aca="false">IF(E538="BAJO SS","Stock + XLIB bajo el SS: riesgo real de quiebre, adelantar producción. ","")&amp;IF(E538="BAJO SS (XLIB CUBRE)","Disponible bajo el SS; depende de liberar "&amp;TEXT(J538,"#,##0")&amp;" kg"&amp;IF(ISNUMBER(K538)," el "&amp;TEXT(K538,"dd-mm"),"")&amp;". ","")&amp;IF(W538="SÍ","Stock parece sano pero "&amp;TEXT(L538,"#,##0")&amp;" kg no pasan filtro "&amp;Stock_Seguridad!O538&amp;": sin ellos queda bajo el SS para esa cadena. ","")&amp;IF(E538="SOBRE MAX VENDIBLE","Sobrestock vs vida útil: frenar producción/activar venta. ","")&amp;IF(N(N538)&gt;=Parametros!$B$17,TEXT(N538,"#,##0")&amp;" kg ya no los acepta ninguna cadena: venta intermedia/liquidación. ","")&amp;IF(N(M538)&gt;=Parametros!$B$17,TEXT(M538,"#,##0")&amp;" kg a punto de salir del filtro: despachar primero (FEFO). ","")&amp;IF(Y538="SÍ","Pedidos "&amp;IF(N(U538)&gt;0,"sobre","bajo")&amp;" FCST "&amp;TEXT(ABS(N(U538)),"0%")&amp;": revisar forecast con KAM.","")</f>
        <v>Stock + XLIB bajo el SS: riesgo real de quiebre, adelantar producción. </v>
      </c>
    </row>
    <row r="539" customFormat="false" ht="15" hidden="false" customHeight="false" outlineLevel="0" collapsed="false">
      <c r="A539" s="18" t="n">
        <f aca="false">Stock_Seguridad!A539</f>
        <v>30002141</v>
      </c>
      <c r="B539" s="18" t="str">
        <f aca="false">Stock_Seguridad!B539</f>
        <v>HABAS 12X200GR</v>
      </c>
      <c r="C539" s="18" t="str">
        <f aca="false">Stock_Seguridad!C539</f>
        <v>FRUTAS Y HORTALIZAS CONGELADAS</v>
      </c>
      <c r="D539" s="18" t="str">
        <f aca="false">Stock_Seguridad!F539</f>
        <v>SIN HIST</v>
      </c>
      <c r="E539" s="19" t="str">
        <f aca="false">Stock_Seguridad!X539</f>
        <v>OK</v>
      </c>
      <c r="F539" s="20" t="n">
        <f aca="false">Stock_Seguridad!W539</f>
        <v>2.36594280799828</v>
      </c>
      <c r="G539" s="21" t="n">
        <f aca="false">Stock_Seguridad!T539</f>
        <v>2200.8</v>
      </c>
      <c r="H539" s="21" t="n">
        <f aca="false">Stock_Seguridad!R539</f>
        <v>459.012853137078</v>
      </c>
      <c r="I539" s="21" t="n">
        <f aca="false">Stock_Seguridad!S539</f>
        <v>1389.21285313708</v>
      </c>
      <c r="J539" s="21" t="n">
        <f aca="false">Stock_Seguridad!U539</f>
        <v>0</v>
      </c>
      <c r="K539" s="22"/>
      <c r="L539" s="23" t="n">
        <v>0</v>
      </c>
      <c r="M539" s="23" t="n">
        <v>0</v>
      </c>
      <c r="N539" s="23" t="n">
        <v>0</v>
      </c>
      <c r="O539" s="24" t="n">
        <v>0.04</v>
      </c>
      <c r="P539" s="24" t="str">
        <f aca="false">IF(ISNUMBER(Stock_Seguridad!N539),Stock_Seguridad!N539,"")</f>
        <v/>
      </c>
      <c r="Q539" s="24" t="str">
        <f aca="false">IF(AND(ISNUMBER(O539),ISNUMBER(P539)),P539-O539,"")</f>
        <v/>
      </c>
      <c r="R539" s="23" t="n">
        <f aca="false">MAX(0,G539-N(L539))</f>
        <v>2200.8</v>
      </c>
      <c r="S539" s="23" t="n">
        <f aca="false">SUMIFS(Cadenas_vs_FCST!$D$17:$D$2437,Cadenas_vs_FCST!$A$17:$A$2437,A539)</f>
        <v>0</v>
      </c>
      <c r="T539" s="23" t="n">
        <f aca="false">SUMIFS(Cadenas_vs_FCST!$E$17:$E$2437,Cadenas_vs_FCST!$A$17:$A$2437,A539)</f>
        <v>0</v>
      </c>
      <c r="U539" s="24" t="str">
        <f aca="false">IF(T539&gt;0,S539/T539-1,"")</f>
        <v/>
      </c>
      <c r="V539" s="3" t="str">
        <f aca="false">IF(OR(E539="BAJO SS",E539="BAJO SS (XLIB CUBRE)"),"SÍ","")</f>
        <v/>
      </c>
      <c r="W539" s="3" t="str">
        <f aca="false">IF(AND(V539="",N(L539)&gt;=Parametros!$B$17,G539&gt;=H539,R539&lt;H539),"SÍ","")</f>
        <v/>
      </c>
      <c r="X539" s="3" t="str">
        <f aca="false">IF(OR(E539="SOBRE MAX VENDIBLE",N(N539)&gt;=Parametros!$B$17,N(M539)&gt;=Parametros!$B$17),"SÍ","")</f>
        <v/>
      </c>
      <c r="Y539" s="3" t="str">
        <f aca="false">IF(AND(ISNUMBER(U539),MAX(S539,T539)&gt;=Parametros!$B$15,ABS(N(U539))&gt;Parametros!$B$14),"SÍ","")</f>
        <v/>
      </c>
      <c r="Z539" s="3" t="n">
        <f aca="false">COUNTIF(V539:Y539,"SÍ")</f>
        <v>0</v>
      </c>
      <c r="AA539" s="3" t="n">
        <f aca="false">(3*(V539="SÍ")+2*(W539="SÍ")+2*(X539="SÍ")+(Y539="SÍ"))*IF(LEFT(D539,1)="A",3,IF(OR(LEFT(D539,1)="B",D539="SIN HIST"),2,1))</f>
        <v>0</v>
      </c>
      <c r="AB539" s="3" t="str">
        <f aca="false">IF(AA539&gt;=9,"1-ALTA",IF(AA539&gt;=4,"2-MEDIA",IF(AA539&gt;0,"3-BAJA","")))</f>
        <v/>
      </c>
      <c r="AC539" s="3" t="str">
        <f aca="false">IF(E539="BAJO SS","Stock + XLIB bajo el SS: riesgo real de quiebre, adelantar producción. ","")&amp;IF(E539="BAJO SS (XLIB CUBRE)","Disponible bajo el SS; depende de liberar "&amp;TEXT(J539,"#,##0")&amp;" kg"&amp;IF(ISNUMBER(K539)," el "&amp;TEXT(K539,"dd-mm"),"")&amp;". ","")&amp;IF(W539="SÍ","Stock parece sano pero "&amp;TEXT(L539,"#,##0")&amp;" kg no pasan filtro "&amp;Stock_Seguridad!O539&amp;": sin ellos queda bajo el SS para esa cadena. ","")&amp;IF(E539="SOBRE MAX VENDIBLE","Sobrestock vs vida útil: frenar producción/activar venta. ","")&amp;IF(N(N539)&gt;=Parametros!$B$17,TEXT(N539,"#,##0")&amp;" kg ya no los acepta ninguna cadena: venta intermedia/liquidación. ","")&amp;IF(N(M539)&gt;=Parametros!$B$17,TEXT(M539,"#,##0")&amp;" kg a punto de salir del filtro: despachar primero (FEFO). ","")&amp;IF(Y539="SÍ","Pedidos "&amp;IF(N(U539)&gt;0,"sobre","bajo")&amp;" FCST "&amp;TEXT(ABS(N(U539)),"0%")&amp;": revisar forecast con KAM.","")</f>
        <v/>
      </c>
    </row>
    <row r="540" customFormat="false" ht="15" hidden="false" customHeight="false" outlineLevel="0" collapsed="false">
      <c r="A540" s="18" t="n">
        <f aca="false">Stock_Seguridad!A540</f>
        <v>30002240</v>
      </c>
      <c r="B540" s="18" t="str">
        <f aca="false">Stock_Seguridad!B540</f>
        <v>BITES FRAMBUESA DARK 14X250G</v>
      </c>
      <c r="C540" s="18" t="str">
        <f aca="false">Stock_Seguridad!C540</f>
        <v>FRUTAS Y HORTALIZAS CONGELADAS</v>
      </c>
      <c r="D540" s="18" t="str">
        <f aca="false">Stock_Seguridad!F540</f>
        <v>SIN HIST</v>
      </c>
      <c r="E540" s="19" t="str">
        <f aca="false">Stock_Seguridad!X540</f>
        <v>OK</v>
      </c>
      <c r="F540" s="20" t="n">
        <f aca="false">Stock_Seguridad!W540</f>
        <v>5.59127069447431</v>
      </c>
      <c r="G540" s="21" t="n">
        <f aca="false">Stock_Seguridad!T540</f>
        <v>5201</v>
      </c>
      <c r="H540" s="21" t="n">
        <f aca="false">Stock_Seguridad!R540</f>
        <v>459.012853137078</v>
      </c>
      <c r="I540" s="21" t="n">
        <f aca="false">Stock_Seguridad!S540</f>
        <v>1389.21285313708</v>
      </c>
      <c r="J540" s="21" t="n">
        <f aca="false">Stock_Seguridad!U540</f>
        <v>0</v>
      </c>
      <c r="K540" s="22"/>
      <c r="L540" s="23" t="n">
        <v>0</v>
      </c>
      <c r="M540" s="23" t="n">
        <v>0</v>
      </c>
      <c r="N540" s="23" t="n">
        <v>0</v>
      </c>
      <c r="O540" s="24" t="n">
        <v>0.27985868102288</v>
      </c>
      <c r="P540" s="24" t="str">
        <f aca="false">IF(ISNUMBER(Stock_Seguridad!N540),Stock_Seguridad!N540,"")</f>
        <v/>
      </c>
      <c r="Q540" s="24" t="str">
        <f aca="false">IF(AND(ISNUMBER(O540),ISNUMBER(P540)),P540-O540,"")</f>
        <v/>
      </c>
      <c r="R540" s="23" t="n">
        <f aca="false">MAX(0,G540-N(L540))</f>
        <v>5201</v>
      </c>
      <c r="S540" s="23" t="n">
        <f aca="false">SUMIFS(Cadenas_vs_FCST!$D$17:$D$2437,Cadenas_vs_FCST!$A$17:$A$2437,A540)</f>
        <v>0</v>
      </c>
      <c r="T540" s="23" t="n">
        <f aca="false">SUMIFS(Cadenas_vs_FCST!$E$17:$E$2437,Cadenas_vs_FCST!$A$17:$A$2437,A540)</f>
        <v>0</v>
      </c>
      <c r="U540" s="24" t="str">
        <f aca="false">IF(T540&gt;0,S540/T540-1,"")</f>
        <v/>
      </c>
      <c r="V540" s="3" t="str">
        <f aca="false">IF(OR(E540="BAJO SS",E540="BAJO SS (XLIB CUBRE)"),"SÍ","")</f>
        <v/>
      </c>
      <c r="W540" s="3" t="str">
        <f aca="false">IF(AND(V540="",N(L540)&gt;=Parametros!$B$17,G540&gt;=H540,R540&lt;H540),"SÍ","")</f>
        <v/>
      </c>
      <c r="X540" s="3" t="str">
        <f aca="false">IF(OR(E540="SOBRE MAX VENDIBLE",N(N540)&gt;=Parametros!$B$17,N(M540)&gt;=Parametros!$B$17),"SÍ","")</f>
        <v/>
      </c>
      <c r="Y540" s="3" t="str">
        <f aca="false">IF(AND(ISNUMBER(U540),MAX(S540,T540)&gt;=Parametros!$B$15,ABS(N(U540))&gt;Parametros!$B$14),"SÍ","")</f>
        <v/>
      </c>
      <c r="Z540" s="3" t="n">
        <f aca="false">COUNTIF(V540:Y540,"SÍ")</f>
        <v>0</v>
      </c>
      <c r="AA540" s="3" t="n">
        <f aca="false">(3*(V540="SÍ")+2*(W540="SÍ")+2*(X540="SÍ")+(Y540="SÍ"))*IF(LEFT(D540,1)="A",3,IF(OR(LEFT(D540,1)="B",D540="SIN HIST"),2,1))</f>
        <v>0</v>
      </c>
      <c r="AB540" s="3" t="str">
        <f aca="false">IF(AA540&gt;=9,"1-ALTA",IF(AA540&gt;=4,"2-MEDIA",IF(AA540&gt;0,"3-BAJA","")))</f>
        <v/>
      </c>
      <c r="AC540" s="3" t="str">
        <f aca="false">IF(E540="BAJO SS","Stock + XLIB bajo el SS: riesgo real de quiebre, adelantar producción. ","")&amp;IF(E540="BAJO SS (XLIB CUBRE)","Disponible bajo el SS; depende de liberar "&amp;TEXT(J540,"#,##0")&amp;" kg"&amp;IF(ISNUMBER(K540)," el "&amp;TEXT(K540,"dd-mm"),"")&amp;". ","")&amp;IF(W540="SÍ","Stock parece sano pero "&amp;TEXT(L540,"#,##0")&amp;" kg no pasan filtro "&amp;Stock_Seguridad!O540&amp;": sin ellos queda bajo el SS para esa cadena. ","")&amp;IF(E540="SOBRE MAX VENDIBLE","Sobrestock vs vida útil: frenar producción/activar venta. ","")&amp;IF(N(N540)&gt;=Parametros!$B$17,TEXT(N540,"#,##0")&amp;" kg ya no los acepta ninguna cadena: venta intermedia/liquidación. ","")&amp;IF(N(M540)&gt;=Parametros!$B$17,TEXT(M540,"#,##0")&amp;" kg a punto de salir del filtro: despachar primero (FEFO). ","")&amp;IF(Y540="SÍ","Pedidos "&amp;IF(N(U540)&gt;0,"sobre","bajo")&amp;" FCST "&amp;TEXT(ABS(N(U540)),"0%")&amp;": revisar forecast con KAM.","")</f>
        <v/>
      </c>
    </row>
    <row r="541" customFormat="false" ht="15" hidden="false" customHeight="false" outlineLevel="0" collapsed="false">
      <c r="A541" s="18" t="n">
        <f aca="false">Stock_Seguridad!A541</f>
        <v>30002105</v>
      </c>
      <c r="B541" s="18" t="str">
        <f aca="false">Stock_Seguridad!B541</f>
        <v>PROBIOTICO CALAN FLLA TETRA 3X12X108ML</v>
      </c>
      <c r="C541" s="18" t="str">
        <f aca="false">Stock_Seguridad!C541</f>
        <v>LECHES LIQUIDAS</v>
      </c>
      <c r="D541" s="18" t="str">
        <f aca="false">Stock_Seguridad!F541</f>
        <v>CX</v>
      </c>
      <c r="E541" s="19" t="str">
        <f aca="false">Stock_Seguridad!X541</f>
        <v>SOBRE MAX VENDIBLE</v>
      </c>
      <c r="F541" s="20" t="n">
        <f aca="false">Stock_Seguridad!W541</f>
        <v>2.88912855910267</v>
      </c>
      <c r="G541" s="21" t="n">
        <f aca="false">Stock_Seguridad!T541</f>
        <v>2678.8</v>
      </c>
      <c r="H541" s="21" t="n">
        <f aca="false">Stock_Seguridad!R541</f>
        <v>1059.65714285714</v>
      </c>
      <c r="I541" s="21" t="n">
        <f aca="false">Stock_Seguridad!S541</f>
        <v>1986.85714285714</v>
      </c>
      <c r="J541" s="21" t="n">
        <f aca="false">Stock_Seguridad!U541</f>
        <v>0</v>
      </c>
      <c r="K541" s="22"/>
      <c r="L541" s="23" t="n">
        <v>7.776</v>
      </c>
      <c r="M541" s="23" t="n">
        <v>0</v>
      </c>
      <c r="N541" s="23" t="n">
        <v>0</v>
      </c>
      <c r="O541" s="24" t="n">
        <v>0.088388969521045</v>
      </c>
      <c r="P541" s="24" t="n">
        <f aca="false">IF(ISNUMBER(Stock_Seguridad!N541),Stock_Seguridad!N541,"")</f>
        <v>0.205479452054795</v>
      </c>
      <c r="Q541" s="24" t="n">
        <f aca="false">IF(AND(ISNUMBER(O541),ISNUMBER(P541)),P541-O541,"")</f>
        <v>0.11709048253375</v>
      </c>
      <c r="R541" s="23" t="n">
        <f aca="false">MAX(0,G541-N(L541))</f>
        <v>2671.024</v>
      </c>
      <c r="S541" s="23" t="n">
        <f aca="false">SUMIFS(Cadenas_vs_FCST!$D$17:$D$2437,Cadenas_vs_FCST!$A$17:$A$2437,A541)</f>
        <v>7663.248</v>
      </c>
      <c r="T541" s="23" t="n">
        <f aca="false">SUMIFS(Cadenas_vs_FCST!$E$17:$E$2437,Cadenas_vs_FCST!$A$17:$A$2437,A541)</f>
        <v>4378.0675496283</v>
      </c>
      <c r="U541" s="24" t="n">
        <f aca="false">IF(T541&gt;0,S541/T541-1,"")</f>
        <v>0.750372261992765</v>
      </c>
      <c r="V541" s="3" t="str">
        <f aca="false">IF(OR(E541="BAJO SS",E541="BAJO SS (XLIB CUBRE)"),"SÍ","")</f>
        <v/>
      </c>
      <c r="W541" s="3" t="str">
        <f aca="false">IF(AND(V541="",N(L541)&gt;=Parametros!$B$17,G541&gt;=H541,R541&lt;H541),"SÍ","")</f>
        <v/>
      </c>
      <c r="X541" s="3" t="str">
        <f aca="false">IF(OR(E541="SOBRE MAX VENDIBLE",N(N541)&gt;=Parametros!$B$17,N(M541)&gt;=Parametros!$B$17),"SÍ","")</f>
        <v>SÍ</v>
      </c>
      <c r="Y541" s="3" t="str">
        <f aca="false">IF(AND(ISNUMBER(U541),MAX(S541,T541)&gt;=Parametros!$B$15,ABS(N(U541))&gt;Parametros!$B$14),"SÍ","")</f>
        <v>SÍ</v>
      </c>
      <c r="Z541" s="3" t="n">
        <f aca="false">COUNTIF(V541:Y541,"SÍ")</f>
        <v>2</v>
      </c>
      <c r="AA541" s="3" t="n">
        <f aca="false">(3*(V541="SÍ")+2*(W541="SÍ")+2*(X541="SÍ")+(Y541="SÍ"))*IF(LEFT(D541,1)="A",3,IF(OR(LEFT(D541,1)="B",D541="SIN HIST"),2,1))</f>
        <v>3</v>
      </c>
      <c r="AB541" s="3" t="str">
        <f aca="false">IF(AA541&gt;=9,"1-ALTA",IF(AA541&gt;=4,"2-MEDIA",IF(AA541&gt;0,"3-BAJA","")))</f>
        <v>3-BAJA</v>
      </c>
      <c r="AC541" s="3" t="str">
        <f aca="false">IF(E541="BAJO SS","Stock + XLIB bajo el SS: riesgo real de quiebre, adelantar producción. ","")&amp;IF(E541="BAJO SS (XLIB CUBRE)","Disponible bajo el SS; depende de liberar "&amp;TEXT(J541,"#,##0")&amp;" kg"&amp;IF(ISNUMBER(K541)," el "&amp;TEXT(K541,"dd-mm"),"")&amp;". ","")&amp;IF(W541="SÍ","Stock parece sano pero "&amp;TEXT(L541,"#,##0")&amp;" kg no pasan filtro "&amp;Stock_Seguridad!O541&amp;": sin ellos queda bajo el SS para esa cadena. ","")&amp;IF(E541="SOBRE MAX VENDIBLE","Sobrestock vs vida útil: frenar producción/activar venta. ","")&amp;IF(N(N541)&gt;=Parametros!$B$17,TEXT(N541,"#,##0")&amp;" kg ya no los acepta ninguna cadena: venta intermedia/liquidación. ","")&amp;IF(N(M541)&gt;=Parametros!$B$17,TEXT(M541,"#,##0")&amp;" kg a punto de salir del filtro: despachar primero (FEFO). ","")&amp;IF(Y541="SÍ","Pedidos "&amp;IF(N(U541)&gt;0,"sobre","bajo")&amp;" FCST "&amp;TEXT(ABS(N(U541)),"0%")&amp;": revisar forecast con KAM.","")</f>
        <v>Sobrestock vs vida útil: frenar producción/activar venta. Pedidos sobre FCST 75%: revisar forecast con KAM.</v>
      </c>
    </row>
    <row r="542" customFormat="false" ht="15" hidden="false" customHeight="false" outlineLevel="0" collapsed="false">
      <c r="A542" s="18" t="n">
        <f aca="false">Stock_Seguridad!A542</f>
        <v>30000673</v>
      </c>
      <c r="B542" s="18" t="str">
        <f aca="false">Stock_Seguridad!B542</f>
        <v>COCTEL DE FRUTA WSL 20X820GR</v>
      </c>
      <c r="C542" s="18" t="str">
        <f aca="false">Stock_Seguridad!C542</f>
        <v>CONSERVAS Y PLATOS LISTOS</v>
      </c>
      <c r="D542" s="18" t="str">
        <f aca="false">Stock_Seguridad!F542</f>
        <v>CY</v>
      </c>
      <c r="E542" s="19" t="str">
        <f aca="false">Stock_Seguridad!X542</f>
        <v>OK</v>
      </c>
      <c r="F542" s="20" t="n">
        <f aca="false">Stock_Seguridad!W542</f>
        <v>24.1437540593202</v>
      </c>
      <c r="G542" s="21" t="n">
        <f aca="false">Stock_Seguridad!T542</f>
        <v>22304</v>
      </c>
      <c r="H542" s="21" t="n">
        <f aca="false">Stock_Seguridad!R542</f>
        <v>1811.62445318499</v>
      </c>
      <c r="I542" s="21" t="n">
        <f aca="false">Stock_Seguridad!S542</f>
        <v>2735.42445318499</v>
      </c>
      <c r="J542" s="21" t="n">
        <f aca="false">Stock_Seguridad!U542</f>
        <v>0</v>
      </c>
      <c r="K542" s="22"/>
      <c r="L542" s="23" t="n">
        <v>0</v>
      </c>
      <c r="M542" s="23" t="n">
        <v>0</v>
      </c>
      <c r="N542" s="23" t="n">
        <v>0</v>
      </c>
      <c r="O542" s="24" t="n">
        <v>0.241852941176471</v>
      </c>
      <c r="P542" s="24" t="n">
        <f aca="false">IF(ISNUMBER(Stock_Seguridad!N542),Stock_Seguridad!N542,"")</f>
        <v>0.480365296803653</v>
      </c>
      <c r="Q542" s="24" t="n">
        <f aca="false">IF(AND(ISNUMBER(O542),ISNUMBER(P542)),P542-O542,"")</f>
        <v>0.238512355627182</v>
      </c>
      <c r="R542" s="23" t="n">
        <f aca="false">MAX(0,G542-N(L542))</f>
        <v>22304</v>
      </c>
      <c r="S542" s="23" t="n">
        <f aca="false">SUMIFS(Cadenas_vs_FCST!$D$17:$D$2437,Cadenas_vs_FCST!$A$17:$A$2437,A542)</f>
        <v>5297.2</v>
      </c>
      <c r="T542" s="23" t="n">
        <f aca="false">SUMIFS(Cadenas_vs_FCST!$E$17:$E$2437,Cadenas_vs_FCST!$A$17:$A$2437,A542)</f>
        <v>4808.4</v>
      </c>
      <c r="U542" s="24" t="n">
        <f aca="false">IF(T542&gt;0,S542/T542-1,"")</f>
        <v>0.101655436319774</v>
      </c>
      <c r="V542" s="3" t="str">
        <f aca="false">IF(OR(E542="BAJO SS",E542="BAJO SS (XLIB CUBRE)"),"SÍ","")</f>
        <v/>
      </c>
      <c r="W542" s="3" t="str">
        <f aca="false">IF(AND(V542="",N(L542)&gt;=Parametros!$B$17,G542&gt;=H542,R542&lt;H542),"SÍ","")</f>
        <v/>
      </c>
      <c r="X542" s="3" t="str">
        <f aca="false">IF(OR(E542="SOBRE MAX VENDIBLE",N(N542)&gt;=Parametros!$B$17,N(M542)&gt;=Parametros!$B$17),"SÍ","")</f>
        <v/>
      </c>
      <c r="Y542" s="3" t="str">
        <f aca="false">IF(AND(ISNUMBER(U542),MAX(S542,T542)&gt;=Parametros!$B$15,ABS(N(U542))&gt;Parametros!$B$14),"SÍ","")</f>
        <v/>
      </c>
      <c r="Z542" s="3" t="n">
        <f aca="false">COUNTIF(V542:Y542,"SÍ")</f>
        <v>0</v>
      </c>
      <c r="AA542" s="3" t="n">
        <f aca="false">(3*(V542="SÍ")+2*(W542="SÍ")+2*(X542="SÍ")+(Y542="SÍ"))*IF(LEFT(D542,1)="A",3,IF(OR(LEFT(D542,1)="B",D542="SIN HIST"),2,1))</f>
        <v>0</v>
      </c>
      <c r="AB542" s="3" t="str">
        <f aca="false">IF(AA542&gt;=9,"1-ALTA",IF(AA542&gt;=4,"2-MEDIA",IF(AA542&gt;0,"3-BAJA","")))</f>
        <v/>
      </c>
      <c r="AC542" s="3" t="str">
        <f aca="false">IF(E542="BAJO SS","Stock + XLIB bajo el SS: riesgo real de quiebre, adelantar producción. ","")&amp;IF(E542="BAJO SS (XLIB CUBRE)","Disponible bajo el SS; depende de liberar "&amp;TEXT(J542,"#,##0")&amp;" kg"&amp;IF(ISNUMBER(K542)," el "&amp;TEXT(K542,"dd-mm"),"")&amp;". ","")&amp;IF(W542="SÍ","Stock parece sano pero "&amp;TEXT(L542,"#,##0")&amp;" kg no pasan filtro "&amp;Stock_Seguridad!O542&amp;": sin ellos queda bajo el SS para esa cadena. ","")&amp;IF(E542="SOBRE MAX VENDIBLE","Sobrestock vs vida útil: frenar producción/activar venta. ","")&amp;IF(N(N542)&gt;=Parametros!$B$17,TEXT(N542,"#,##0")&amp;" kg ya no los acepta ninguna cadena: venta intermedia/liquidación. ","")&amp;IF(N(M542)&gt;=Parametros!$B$17,TEXT(M542,"#,##0")&amp;" kg a punto de salir del filtro: despachar primero (FEFO). ","")&amp;IF(Y542="SÍ","Pedidos "&amp;IF(N(U542)&gt;0,"sobre","bajo")&amp;" FCST "&amp;TEXT(ABS(N(U542)),"0%")&amp;": revisar forecast con KAM.","")</f>
        <v/>
      </c>
    </row>
    <row r="543" customFormat="false" ht="15" hidden="false" customHeight="false" outlineLevel="0" collapsed="false">
      <c r="A543" s="18" t="n">
        <f aca="false">Stock_Seguridad!A543</f>
        <v>30000109</v>
      </c>
      <c r="B543" s="18" t="str">
        <f aca="false">Stock_Seguridad!B543</f>
        <v>MANTECA VEGETAL BATERKRIM 1X20KG</v>
      </c>
      <c r="C543" s="18" t="str">
        <f aca="false">Stock_Seguridad!C543</f>
        <v>MARGARINAS</v>
      </c>
      <c r="D543" s="18" t="str">
        <f aca="false">Stock_Seguridad!F543</f>
        <v>SIN HIST</v>
      </c>
      <c r="E543" s="19" t="str">
        <f aca="false">Stock_Seguridad!X543</f>
        <v>OK</v>
      </c>
      <c r="F543" s="20" t="n">
        <f aca="false">Stock_Seguridad!W543</f>
        <v>5.17503805175038</v>
      </c>
      <c r="G543" s="21" t="n">
        <f aca="false">Stock_Seguridad!T543</f>
        <v>4760</v>
      </c>
      <c r="H543" s="21" t="n">
        <f aca="false">Stock_Seguridad!R543</f>
        <v>453.880909820989</v>
      </c>
      <c r="I543" s="21" t="n">
        <f aca="false">Stock_Seguridad!S543</f>
        <v>1373.68090982099</v>
      </c>
      <c r="J543" s="21" t="n">
        <f aca="false">Stock_Seguridad!U543</f>
        <v>0</v>
      </c>
      <c r="K543" s="22"/>
      <c r="L543" s="23" t="n">
        <v>20</v>
      </c>
      <c r="M543" s="23" t="n">
        <v>460</v>
      </c>
      <c r="N543" s="23" t="n">
        <v>0</v>
      </c>
      <c r="O543" s="24" t="n">
        <v>0.0475210084033613</v>
      </c>
      <c r="P543" s="24" t="n">
        <f aca="false">IF(ISNUMBER(Stock_Seguridad!N543),Stock_Seguridad!N543,"")</f>
        <v>0.217391304347826</v>
      </c>
      <c r="Q543" s="24" t="n">
        <f aca="false">IF(AND(ISNUMBER(O543),ISNUMBER(P543)),P543-O543,"")</f>
        <v>0.169870295944465</v>
      </c>
      <c r="R543" s="23" t="n">
        <f aca="false">MAX(0,G543-N(L543))</f>
        <v>4740</v>
      </c>
      <c r="S543" s="23" t="n">
        <f aca="false">SUMIFS(Cadenas_vs_FCST!$D$17:$D$2437,Cadenas_vs_FCST!$A$17:$A$2437,A543)</f>
        <v>0</v>
      </c>
      <c r="T543" s="23" t="n">
        <f aca="false">SUMIFS(Cadenas_vs_FCST!$E$17:$E$2437,Cadenas_vs_FCST!$A$17:$A$2437,A543)</f>
        <v>0</v>
      </c>
      <c r="U543" s="24" t="str">
        <f aca="false">IF(T543&gt;0,S543/T543-1,"")</f>
        <v/>
      </c>
      <c r="V543" s="3" t="str">
        <f aca="false">IF(OR(E543="BAJO SS",E543="BAJO SS (XLIB CUBRE)"),"SÍ","")</f>
        <v/>
      </c>
      <c r="W543" s="3" t="str">
        <f aca="false">IF(AND(V543="",N(L543)&gt;=Parametros!$B$17,G543&gt;=H543,R543&lt;H543),"SÍ","")</f>
        <v/>
      </c>
      <c r="X543" s="3" t="str">
        <f aca="false">IF(OR(E543="SOBRE MAX VENDIBLE",N(N543)&gt;=Parametros!$B$17,N(M543)&gt;=Parametros!$B$17),"SÍ","")</f>
        <v/>
      </c>
      <c r="Y543" s="3" t="str">
        <f aca="false">IF(AND(ISNUMBER(U543),MAX(S543,T543)&gt;=Parametros!$B$15,ABS(N(U543))&gt;Parametros!$B$14),"SÍ","")</f>
        <v/>
      </c>
      <c r="Z543" s="3" t="n">
        <f aca="false">COUNTIF(V543:Y543,"SÍ")</f>
        <v>0</v>
      </c>
      <c r="AA543" s="3" t="n">
        <f aca="false">(3*(V543="SÍ")+2*(W543="SÍ")+2*(X543="SÍ")+(Y543="SÍ"))*IF(LEFT(D543,1)="A",3,IF(OR(LEFT(D543,1)="B",D543="SIN HIST"),2,1))</f>
        <v>0</v>
      </c>
      <c r="AB543" s="3" t="str">
        <f aca="false">IF(AA543&gt;=9,"1-ALTA",IF(AA543&gt;=4,"2-MEDIA",IF(AA543&gt;0,"3-BAJA","")))</f>
        <v/>
      </c>
      <c r="AC543" s="3" t="str">
        <f aca="false">IF(E543="BAJO SS","Stock + XLIB bajo el SS: riesgo real de quiebre, adelantar producción. ","")&amp;IF(E543="BAJO SS (XLIB CUBRE)","Disponible bajo el SS; depende de liberar "&amp;TEXT(J543,"#,##0")&amp;" kg"&amp;IF(ISNUMBER(K543)," el "&amp;TEXT(K543,"dd-mm"),"")&amp;". ","")&amp;IF(W543="SÍ","Stock parece sano pero "&amp;TEXT(L543,"#,##0")&amp;" kg no pasan filtro "&amp;Stock_Seguridad!O543&amp;": sin ellos queda bajo el SS para esa cadena. ","")&amp;IF(E543="SOBRE MAX VENDIBLE","Sobrestock vs vida útil: frenar producción/activar venta. ","")&amp;IF(N(N543)&gt;=Parametros!$B$17,TEXT(N543,"#,##0")&amp;" kg ya no los acepta ninguna cadena: venta intermedia/liquidación. ","")&amp;IF(N(M543)&gt;=Parametros!$B$17,TEXT(M543,"#,##0")&amp;" kg a punto de salir del filtro: despachar primero (FEFO). ","")&amp;IF(Y543="SÍ","Pedidos "&amp;IF(N(U543)&gt;0,"sobre","bajo")&amp;" FCST "&amp;TEXT(ABS(N(U543)),"0%")&amp;": revisar forecast con KAM.","")</f>
        <v/>
      </c>
    </row>
    <row r="544" customFormat="false" ht="15" hidden="false" customHeight="false" outlineLevel="0" collapsed="false">
      <c r="A544" s="18" t="n">
        <f aca="false">Stock_Seguridad!A544</f>
        <v>30000057</v>
      </c>
      <c r="B544" s="18" t="str">
        <f aca="false">Stock_Seguridad!B544</f>
        <v>ACEITE CHEF MARAVILLA 4X5LT</v>
      </c>
      <c r="C544" s="18" t="str">
        <f aca="false">Stock_Seguridad!C544</f>
        <v>ACEITES</v>
      </c>
      <c r="D544" s="18" t="str">
        <f aca="false">Stock_Seguridad!F544</f>
        <v>CY</v>
      </c>
      <c r="E544" s="19" t="str">
        <f aca="false">Stock_Seguridad!X544</f>
        <v>OK</v>
      </c>
      <c r="F544" s="20" t="n">
        <f aca="false">Stock_Seguridad!W544</f>
        <v>14.0736692534703</v>
      </c>
      <c r="G544" s="21" t="n">
        <f aca="false">Stock_Seguridad!T544</f>
        <v>12876</v>
      </c>
      <c r="H544" s="21" t="n">
        <f aca="false">Stock_Seguridad!R544</f>
        <v>1822.76793090778</v>
      </c>
      <c r="I544" s="21" t="n">
        <f aca="false">Stock_Seguridad!S544</f>
        <v>2737.66793090778</v>
      </c>
      <c r="J544" s="21" t="n">
        <f aca="false">Stock_Seguridad!U544</f>
        <v>0</v>
      </c>
      <c r="K544" s="22"/>
      <c r="L544" s="23" t="n">
        <v>444</v>
      </c>
      <c r="M544" s="23" t="n">
        <v>0</v>
      </c>
      <c r="N544" s="23" t="n">
        <v>0</v>
      </c>
      <c r="O544" s="24" t="n">
        <v>0.0365611510791367</v>
      </c>
      <c r="P544" s="24" t="n">
        <f aca="false">IF(ISNUMBER(Stock_Seguridad!N544),Stock_Seguridad!N544,"")</f>
        <v>0.197080291970803</v>
      </c>
      <c r="Q544" s="24" t="n">
        <f aca="false">IF(AND(ISNUMBER(O544),ISNUMBER(P544)),P544-O544,"")</f>
        <v>0.160519140891666</v>
      </c>
      <c r="R544" s="23" t="n">
        <f aca="false">MAX(0,G544-N(L544))</f>
        <v>12432</v>
      </c>
      <c r="S544" s="23" t="n">
        <f aca="false">SUMIFS(Cadenas_vs_FCST!$D$17:$D$2437,Cadenas_vs_FCST!$A$17:$A$2437,A544)</f>
        <v>2719.5</v>
      </c>
      <c r="T544" s="23" t="n">
        <f aca="false">SUMIFS(Cadenas_vs_FCST!$E$17:$E$2437,Cadenas_vs_FCST!$A$17:$A$2437,A544)</f>
        <v>5299.5</v>
      </c>
      <c r="U544" s="24" t="n">
        <f aca="false">IF(T544&gt;0,S544/T544-1,"")</f>
        <v>-0.486838380979338</v>
      </c>
      <c r="V544" s="3" t="str">
        <f aca="false">IF(OR(E544="BAJO SS",E544="BAJO SS (XLIB CUBRE)"),"SÍ","")</f>
        <v/>
      </c>
      <c r="W544" s="3" t="str">
        <f aca="false">IF(AND(V544="",N(L544)&gt;=Parametros!$B$17,G544&gt;=H544,R544&lt;H544),"SÍ","")</f>
        <v/>
      </c>
      <c r="X544" s="3" t="str">
        <f aca="false">IF(OR(E544="SOBRE MAX VENDIBLE",N(N544)&gt;=Parametros!$B$17,N(M544)&gt;=Parametros!$B$17),"SÍ","")</f>
        <v/>
      </c>
      <c r="Y544" s="3" t="str">
        <f aca="false">IF(AND(ISNUMBER(U544),MAX(S544,T544)&gt;=Parametros!$B$15,ABS(N(U544))&gt;Parametros!$B$14),"SÍ","")</f>
        <v>SÍ</v>
      </c>
      <c r="Z544" s="3" t="n">
        <f aca="false">COUNTIF(V544:Y544,"SÍ")</f>
        <v>1</v>
      </c>
      <c r="AA544" s="3" t="n">
        <f aca="false">(3*(V544="SÍ")+2*(W544="SÍ")+2*(X544="SÍ")+(Y544="SÍ"))*IF(LEFT(D544,1)="A",3,IF(OR(LEFT(D544,1)="B",D544="SIN HIST"),2,1))</f>
        <v>1</v>
      </c>
      <c r="AB544" s="3" t="str">
        <f aca="false">IF(AA544&gt;=9,"1-ALTA",IF(AA544&gt;=4,"2-MEDIA",IF(AA544&gt;0,"3-BAJA","")))</f>
        <v>3-BAJA</v>
      </c>
      <c r="AC544" s="3" t="str">
        <f aca="false">IF(E544="BAJO SS","Stock + XLIB bajo el SS: riesgo real de quiebre, adelantar producción. ","")&amp;IF(E544="BAJO SS (XLIB CUBRE)","Disponible bajo el SS; depende de liberar "&amp;TEXT(J544,"#,##0")&amp;" kg"&amp;IF(ISNUMBER(K544)," el "&amp;TEXT(K544,"dd-mm"),"")&amp;". ","")&amp;IF(W544="SÍ","Stock parece sano pero "&amp;TEXT(L544,"#,##0")&amp;" kg no pasan filtro "&amp;Stock_Seguridad!O544&amp;": sin ellos queda bajo el SS para esa cadena. ","")&amp;IF(E544="SOBRE MAX VENDIBLE","Sobrestock vs vida útil: frenar producción/activar venta. ","")&amp;IF(N(N544)&gt;=Parametros!$B$17,TEXT(N544,"#,##0")&amp;" kg ya no los acepta ninguna cadena: venta intermedia/liquidación. ","")&amp;IF(N(M544)&gt;=Parametros!$B$17,TEXT(M544,"#,##0")&amp;" kg a punto de salir del filtro: despachar primero (FEFO). ","")&amp;IF(Y544="SÍ","Pedidos "&amp;IF(N(U544)&gt;0,"sobre","bajo")&amp;" FCST "&amp;TEXT(ABS(N(U544)),"0%")&amp;": revisar forecast con KAM.","")</f>
        <v>Pedidos bajo FCST 49%: revisar forecast con KAM.</v>
      </c>
    </row>
    <row r="545" customFormat="false" ht="15" hidden="false" customHeight="false" outlineLevel="0" collapsed="false">
      <c r="A545" s="18" t="n">
        <f aca="false">Stock_Seguridad!A545</f>
        <v>30000826</v>
      </c>
      <c r="B545" s="18" t="str">
        <f aca="false">Stock_Seguridad!B545</f>
        <v>TORTILLA PAPAS FM 4X2,5KG</v>
      </c>
      <c r="C545" s="18" t="str">
        <f aca="false">Stock_Seguridad!C545</f>
        <v>FRUTAS Y HORTALIZAS CONGELADAS</v>
      </c>
      <c r="D545" s="18" t="str">
        <f aca="false">Stock_Seguridad!F545</f>
        <v>SIN HIST</v>
      </c>
      <c r="E545" s="19" t="str">
        <f aca="false">Stock_Seguridad!X545</f>
        <v>BAJO SS</v>
      </c>
      <c r="F545" s="20" t="n">
        <f aca="false">Stock_Seguridad!W545</f>
        <v>0.0330542089026003</v>
      </c>
      <c r="G545" s="21" t="n">
        <f aca="false">Stock_Seguridad!T545</f>
        <v>30</v>
      </c>
      <c r="H545" s="21" t="n">
        <f aca="false">Stock_Seguridad!R545</f>
        <v>447.860745546347</v>
      </c>
      <c r="I545" s="21" t="n">
        <f aca="false">Stock_Seguridad!S545</f>
        <v>1355.46074554635</v>
      </c>
      <c r="J545" s="21" t="n">
        <f aca="false">Stock_Seguridad!U545</f>
        <v>0</v>
      </c>
      <c r="K545" s="22"/>
      <c r="L545" s="23" t="n">
        <v>0</v>
      </c>
      <c r="M545" s="23" t="n">
        <v>0</v>
      </c>
      <c r="N545" s="23" t="n">
        <v>0</v>
      </c>
      <c r="O545" s="24" t="n">
        <v>0.39</v>
      </c>
      <c r="P545" s="24" t="str">
        <f aca="false">IF(ISNUMBER(Stock_Seguridad!N545),Stock_Seguridad!N545,"")</f>
        <v/>
      </c>
      <c r="Q545" s="24" t="str">
        <f aca="false">IF(AND(ISNUMBER(O545),ISNUMBER(P545)),P545-O545,"")</f>
        <v/>
      </c>
      <c r="R545" s="23" t="n">
        <f aca="false">MAX(0,G545-N(L545))</f>
        <v>30</v>
      </c>
      <c r="S545" s="23" t="n">
        <f aca="false">SUMIFS(Cadenas_vs_FCST!$D$17:$D$2437,Cadenas_vs_FCST!$A$17:$A$2437,A545)</f>
        <v>0</v>
      </c>
      <c r="T545" s="23" t="n">
        <f aca="false">SUMIFS(Cadenas_vs_FCST!$E$17:$E$2437,Cadenas_vs_FCST!$A$17:$A$2437,A545)</f>
        <v>0</v>
      </c>
      <c r="U545" s="24" t="str">
        <f aca="false">IF(T545&gt;0,S545/T545-1,"")</f>
        <v/>
      </c>
      <c r="V545" s="3" t="str">
        <f aca="false">IF(OR(E545="BAJO SS",E545="BAJO SS (XLIB CUBRE)"),"SÍ","")</f>
        <v>SÍ</v>
      </c>
      <c r="W545" s="3" t="str">
        <f aca="false">IF(AND(V545="",N(L545)&gt;=Parametros!$B$17,G545&gt;=H545,R545&lt;H545),"SÍ","")</f>
        <v/>
      </c>
      <c r="X545" s="3" t="str">
        <f aca="false">IF(OR(E545="SOBRE MAX VENDIBLE",N(N545)&gt;=Parametros!$B$17,N(M545)&gt;=Parametros!$B$17),"SÍ","")</f>
        <v/>
      </c>
      <c r="Y545" s="3" t="str">
        <f aca="false">IF(AND(ISNUMBER(U545),MAX(S545,T545)&gt;=Parametros!$B$15,ABS(N(U545))&gt;Parametros!$B$14),"SÍ","")</f>
        <v/>
      </c>
      <c r="Z545" s="3" t="n">
        <f aca="false">COUNTIF(V545:Y545,"SÍ")</f>
        <v>1</v>
      </c>
      <c r="AA545" s="3" t="n">
        <f aca="false">(3*(V545="SÍ")+2*(W545="SÍ")+2*(X545="SÍ")+(Y545="SÍ"))*IF(LEFT(D545,1)="A",3,IF(OR(LEFT(D545,1)="B",D545="SIN HIST"),2,1))</f>
        <v>6</v>
      </c>
      <c r="AB545" s="3" t="str">
        <f aca="false">IF(AA545&gt;=9,"1-ALTA",IF(AA545&gt;=4,"2-MEDIA",IF(AA545&gt;0,"3-BAJA","")))</f>
        <v>2-MEDIA</v>
      </c>
      <c r="AC545" s="3" t="str">
        <f aca="false">IF(E545="BAJO SS","Stock + XLIB bajo el SS: riesgo real de quiebre, adelantar producción. ","")&amp;IF(E545="BAJO SS (XLIB CUBRE)","Disponible bajo el SS; depende de liberar "&amp;TEXT(J545,"#,##0")&amp;" kg"&amp;IF(ISNUMBER(K545)," el "&amp;TEXT(K545,"dd-mm"),"")&amp;". ","")&amp;IF(W545="SÍ","Stock parece sano pero "&amp;TEXT(L545,"#,##0")&amp;" kg no pasan filtro "&amp;Stock_Seguridad!O545&amp;": sin ellos queda bajo el SS para esa cadena. ","")&amp;IF(E545="SOBRE MAX VENDIBLE","Sobrestock vs vida útil: frenar producción/activar venta. ","")&amp;IF(N(N545)&gt;=Parametros!$B$17,TEXT(N545,"#,##0")&amp;" kg ya no los acepta ninguna cadena: venta intermedia/liquidación. ","")&amp;IF(N(M545)&gt;=Parametros!$B$17,TEXT(M545,"#,##0")&amp;" kg a punto de salir del filtro: despachar primero (FEFO). ","")&amp;IF(Y545="SÍ","Pedidos "&amp;IF(N(U545)&gt;0,"sobre","bajo")&amp;" FCST "&amp;TEXT(ABS(N(U545)),"0%")&amp;": revisar forecast con KAM.","")</f>
        <v>Stock + XLIB bajo el SS: riesgo real de quiebre, adelantar producción. </v>
      </c>
    </row>
    <row r="546" customFormat="false" ht="15" hidden="false" customHeight="false" outlineLevel="0" collapsed="false">
      <c r="A546" s="18" t="n">
        <f aca="false">Stock_Seguridad!A546</f>
        <v>30000666</v>
      </c>
      <c r="B546" s="18" t="str">
        <f aca="false">Stock_Seguridad!B546</f>
        <v>CREMA DE ZAPALLO WASIL 16X380GR</v>
      </c>
      <c r="C546" s="18" t="str">
        <f aca="false">Stock_Seguridad!C546</f>
        <v>CONSERVAS Y PLATOS LISTOS</v>
      </c>
      <c r="D546" s="18" t="str">
        <f aca="false">Stock_Seguridad!F546</f>
        <v>CX</v>
      </c>
      <c r="E546" s="19" t="str">
        <f aca="false">Stock_Seguridad!X546</f>
        <v>OK</v>
      </c>
      <c r="F546" s="20" t="n">
        <f aca="false">Stock_Seguridad!W546</f>
        <v>15.3173395102581</v>
      </c>
      <c r="G546" s="21" t="n">
        <f aca="false">Stock_Seguridad!T546</f>
        <v>13886.7</v>
      </c>
      <c r="H546" s="21" t="n">
        <f aca="false">Stock_Seguridad!R546</f>
        <v>327.543339268201</v>
      </c>
      <c r="I546" s="21" t="n">
        <f aca="false">Stock_Seguridad!S546</f>
        <v>1234.1433392682</v>
      </c>
      <c r="J546" s="21" t="n">
        <f aca="false">Stock_Seguridad!U546</f>
        <v>0</v>
      </c>
      <c r="K546" s="22"/>
      <c r="L546" s="23" t="n">
        <v>0</v>
      </c>
      <c r="M546" s="23" t="n">
        <v>0</v>
      </c>
      <c r="N546" s="23" t="n">
        <v>0</v>
      </c>
      <c r="O546" s="24" t="n">
        <v>0.0502803328953132</v>
      </c>
      <c r="P546" s="24" t="n">
        <f aca="false">IF(ISNUMBER(Stock_Seguridad!N546),Stock_Seguridad!N546,"")</f>
        <v>0.328767123287671</v>
      </c>
      <c r="Q546" s="24" t="n">
        <f aca="false">IF(AND(ISNUMBER(O546),ISNUMBER(P546)),P546-O546,"")</f>
        <v>0.278486790392358</v>
      </c>
      <c r="R546" s="23" t="n">
        <f aca="false">MAX(0,G546-N(L546))</f>
        <v>13886.7</v>
      </c>
      <c r="S546" s="23" t="n">
        <f aca="false">SUMIFS(Cadenas_vs_FCST!$D$17:$D$2437,Cadenas_vs_FCST!$A$17:$A$2437,A546)</f>
        <v>2960.96</v>
      </c>
      <c r="T546" s="23" t="n">
        <f aca="false">SUMIFS(Cadenas_vs_FCST!$E$17:$E$2437,Cadenas_vs_FCST!$A$17:$A$2437,A546)</f>
        <v>3481.6</v>
      </c>
      <c r="U546" s="24" t="n">
        <f aca="false">IF(T546&gt;0,S546/T546-1,"")</f>
        <v>-0.149540441176471</v>
      </c>
      <c r="V546" s="3" t="str">
        <f aca="false">IF(OR(E546="BAJO SS",E546="BAJO SS (XLIB CUBRE)"),"SÍ","")</f>
        <v/>
      </c>
      <c r="W546" s="3" t="str">
        <f aca="false">IF(AND(V546="",N(L546)&gt;=Parametros!$B$17,G546&gt;=H546,R546&lt;H546),"SÍ","")</f>
        <v/>
      </c>
      <c r="X546" s="3" t="str">
        <f aca="false">IF(OR(E546="SOBRE MAX VENDIBLE",N(N546)&gt;=Parametros!$B$17,N(M546)&gt;=Parametros!$B$17),"SÍ","")</f>
        <v/>
      </c>
      <c r="Y546" s="3" t="str">
        <f aca="false">IF(AND(ISNUMBER(U546),MAX(S546,T546)&gt;=Parametros!$B$15,ABS(N(U546))&gt;Parametros!$B$14),"SÍ","")</f>
        <v/>
      </c>
      <c r="Z546" s="3" t="n">
        <f aca="false">COUNTIF(V546:Y546,"SÍ")</f>
        <v>0</v>
      </c>
      <c r="AA546" s="3" t="n">
        <f aca="false">(3*(V546="SÍ")+2*(W546="SÍ")+2*(X546="SÍ")+(Y546="SÍ"))*IF(LEFT(D546,1)="A",3,IF(OR(LEFT(D546,1)="B",D546="SIN HIST"),2,1))</f>
        <v>0</v>
      </c>
      <c r="AB546" s="3" t="str">
        <f aca="false">IF(AA546&gt;=9,"1-ALTA",IF(AA546&gt;=4,"2-MEDIA",IF(AA546&gt;0,"3-BAJA","")))</f>
        <v/>
      </c>
      <c r="AC546" s="3" t="str">
        <f aca="false">IF(E546="BAJO SS","Stock + XLIB bajo el SS: riesgo real de quiebre, adelantar producción. ","")&amp;IF(E546="BAJO SS (XLIB CUBRE)","Disponible bajo el SS; depende de liberar "&amp;TEXT(J546,"#,##0")&amp;" kg"&amp;IF(ISNUMBER(K546)," el "&amp;TEXT(K546,"dd-mm"),"")&amp;". ","")&amp;IF(W546="SÍ","Stock parece sano pero "&amp;TEXT(L546,"#,##0")&amp;" kg no pasan filtro "&amp;Stock_Seguridad!O546&amp;": sin ellos queda bajo el SS para esa cadena. ","")&amp;IF(E546="SOBRE MAX VENDIBLE","Sobrestock vs vida útil: frenar producción/activar venta. ","")&amp;IF(N(N546)&gt;=Parametros!$B$17,TEXT(N546,"#,##0")&amp;" kg ya no los acepta ninguna cadena: venta intermedia/liquidación. ","")&amp;IF(N(M546)&gt;=Parametros!$B$17,TEXT(M546,"#,##0")&amp;" kg a punto de salir del filtro: despachar primero (FEFO). ","")&amp;IF(Y546="SÍ","Pedidos "&amp;IF(N(U546)&gt;0,"sobre","bajo")&amp;" FCST "&amp;TEXT(ABS(N(U546)),"0%")&amp;": revisar forecast con KAM.","")</f>
        <v/>
      </c>
    </row>
    <row r="547" customFormat="false" ht="15" hidden="false" customHeight="false" outlineLevel="0" collapsed="false">
      <c r="A547" s="18" t="n">
        <f aca="false">Stock_Seguridad!A547</f>
        <v>30001342</v>
      </c>
      <c r="B547" s="18" t="str">
        <f aca="false">Stock_Seguridad!B547</f>
        <v>MARGARINA SUREÑA MIX PAN 40X200</v>
      </c>
      <c r="C547" s="18" t="str">
        <f aca="false">Stock_Seguridad!C547</f>
        <v>MARGARINAS</v>
      </c>
      <c r="D547" s="18" t="str">
        <f aca="false">Stock_Seguridad!F547</f>
        <v>CX</v>
      </c>
      <c r="E547" s="19" t="str">
        <f aca="false">Stock_Seguridad!X547</f>
        <v>OK</v>
      </c>
      <c r="F547" s="20" t="n">
        <f aca="false">Stock_Seguridad!W547</f>
        <v>5.98222222222222</v>
      </c>
      <c r="G547" s="21" t="n">
        <f aca="false">Stock_Seguridad!T547</f>
        <v>5384</v>
      </c>
      <c r="H547" s="21" t="n">
        <f aca="false">Stock_Seguridad!R547</f>
        <v>479.777685974341</v>
      </c>
      <c r="I547" s="21" t="n">
        <f aca="false">Stock_Seguridad!S547</f>
        <v>1379.77768597434</v>
      </c>
      <c r="J547" s="21" t="n">
        <f aca="false">Stock_Seguridad!U547</f>
        <v>0</v>
      </c>
      <c r="K547" s="22"/>
      <c r="L547" s="23" t="n">
        <v>792</v>
      </c>
      <c r="M547" s="23" t="n">
        <v>0</v>
      </c>
      <c r="N547" s="23" t="n">
        <v>0</v>
      </c>
      <c r="O547" s="24" t="n">
        <v>0.138511904761905</v>
      </c>
      <c r="P547" s="24" t="n">
        <f aca="false">IF(ISNUMBER(Stock_Seguridad!N547),Stock_Seguridad!N547,"")</f>
        <v>0.244565217391304</v>
      </c>
      <c r="Q547" s="24" t="n">
        <f aca="false">IF(AND(ISNUMBER(O547),ISNUMBER(P547)),P547-O547,"")</f>
        <v>0.106053312629399</v>
      </c>
      <c r="R547" s="23" t="n">
        <f aca="false">MAX(0,G547-N(L547))</f>
        <v>4592</v>
      </c>
      <c r="S547" s="23" t="n">
        <f aca="false">SUMIFS(Cadenas_vs_FCST!$D$17:$D$2437,Cadenas_vs_FCST!$A$17:$A$2437,A547)</f>
        <v>2768</v>
      </c>
      <c r="T547" s="23" t="n">
        <f aca="false">SUMIFS(Cadenas_vs_FCST!$E$17:$E$2437,Cadenas_vs_FCST!$A$17:$A$2437,A547)</f>
        <v>3187.72519648721</v>
      </c>
      <c r="U547" s="24" t="n">
        <f aca="false">IF(T547&gt;0,S547/T547-1,"")</f>
        <v>-0.131669190603298</v>
      </c>
      <c r="V547" s="3" t="str">
        <f aca="false">IF(OR(E547="BAJO SS",E547="BAJO SS (XLIB CUBRE)"),"SÍ","")</f>
        <v/>
      </c>
      <c r="W547" s="3" t="str">
        <f aca="false">IF(AND(V547="",N(L547)&gt;=Parametros!$B$17,G547&gt;=H547,R547&lt;H547),"SÍ","")</f>
        <v/>
      </c>
      <c r="X547" s="3" t="str">
        <f aca="false">IF(OR(E547="SOBRE MAX VENDIBLE",N(N547)&gt;=Parametros!$B$17,N(M547)&gt;=Parametros!$B$17),"SÍ","")</f>
        <v/>
      </c>
      <c r="Y547" s="3" t="str">
        <f aca="false">IF(AND(ISNUMBER(U547),MAX(S547,T547)&gt;=Parametros!$B$15,ABS(N(U547))&gt;Parametros!$B$14),"SÍ","")</f>
        <v/>
      </c>
      <c r="Z547" s="3" t="n">
        <f aca="false">COUNTIF(V547:Y547,"SÍ")</f>
        <v>0</v>
      </c>
      <c r="AA547" s="3" t="n">
        <f aca="false">(3*(V547="SÍ")+2*(W547="SÍ")+2*(X547="SÍ")+(Y547="SÍ"))*IF(LEFT(D547,1)="A",3,IF(OR(LEFT(D547,1)="B",D547="SIN HIST"),2,1))</f>
        <v>0</v>
      </c>
      <c r="AB547" s="3" t="str">
        <f aca="false">IF(AA547&gt;=9,"1-ALTA",IF(AA547&gt;=4,"2-MEDIA",IF(AA547&gt;0,"3-BAJA","")))</f>
        <v/>
      </c>
      <c r="AC547" s="3" t="str">
        <f aca="false">IF(E547="BAJO SS","Stock + XLIB bajo el SS: riesgo real de quiebre, adelantar producción. ","")&amp;IF(E547="BAJO SS (XLIB CUBRE)","Disponible bajo el SS; depende de liberar "&amp;TEXT(J547,"#,##0")&amp;" kg"&amp;IF(ISNUMBER(K547)," el "&amp;TEXT(K547,"dd-mm"),"")&amp;". ","")&amp;IF(W547="SÍ","Stock parece sano pero "&amp;TEXT(L547,"#,##0")&amp;" kg no pasan filtro "&amp;Stock_Seguridad!O547&amp;": sin ellos queda bajo el SS para esa cadena. ","")&amp;IF(E547="SOBRE MAX VENDIBLE","Sobrestock vs vida útil: frenar producción/activar venta. ","")&amp;IF(N(N547)&gt;=Parametros!$B$17,TEXT(N547,"#,##0")&amp;" kg ya no los acepta ninguna cadena: venta intermedia/liquidación. ","")&amp;IF(N(M547)&gt;=Parametros!$B$17,TEXT(M547,"#,##0")&amp;" kg a punto de salir del filtro: despachar primero (FEFO). ","")&amp;IF(Y547="SÍ","Pedidos "&amp;IF(N(U547)&gt;0,"sobre","bajo")&amp;" FCST "&amp;TEXT(ABS(N(U547)),"0%")&amp;": revisar forecast con KAM.","")</f>
        <v/>
      </c>
    </row>
    <row r="548" customFormat="false" ht="15" hidden="false" customHeight="false" outlineLevel="0" collapsed="false">
      <c r="A548" s="18" t="n">
        <f aca="false">Stock_Seguridad!A548</f>
        <v>30000117</v>
      </c>
      <c r="B548" s="18" t="str">
        <f aca="false">Stock_Seguridad!B548</f>
        <v>MANTECA PALMIN 40X200GR</v>
      </c>
      <c r="C548" s="18" t="str">
        <f aca="false">Stock_Seguridad!C548</f>
        <v>MANTECAS</v>
      </c>
      <c r="D548" s="18" t="str">
        <f aca="false">Stock_Seguridad!F548</f>
        <v>CX</v>
      </c>
      <c r="E548" s="19" t="str">
        <f aca="false">Stock_Seguridad!X548</f>
        <v>OK</v>
      </c>
      <c r="F548" s="20" t="n">
        <f aca="false">Stock_Seguridad!W548</f>
        <v>5.56444444444445</v>
      </c>
      <c r="G548" s="21" t="n">
        <f aca="false">Stock_Seguridad!T548</f>
        <v>5008</v>
      </c>
      <c r="H548" s="21" t="n">
        <f aca="false">Stock_Seguridad!R548</f>
        <v>2159.20403723953</v>
      </c>
      <c r="I548" s="21" t="n">
        <f aca="false">Stock_Seguridad!S548</f>
        <v>3059.20403723953</v>
      </c>
      <c r="J548" s="21" t="n">
        <f aca="false">Stock_Seguridad!U548</f>
        <v>0</v>
      </c>
      <c r="K548" s="22"/>
      <c r="L548" s="23" t="n">
        <v>312</v>
      </c>
      <c r="M548" s="23" t="n">
        <v>4696</v>
      </c>
      <c r="N548" s="23" t="n">
        <v>80</v>
      </c>
      <c r="O548" s="24" t="n">
        <v>0.199536741214058</v>
      </c>
      <c r="P548" s="24" t="n">
        <f aca="false">IF(ISNUMBER(Stock_Seguridad!N548),Stock_Seguridad!N548,"")</f>
        <v>0.211956521739131</v>
      </c>
      <c r="Q548" s="24" t="n">
        <f aca="false">IF(AND(ISNUMBER(O548),ISNUMBER(P548)),P548-O548,"")</f>
        <v>0.012419780525073</v>
      </c>
      <c r="R548" s="23" t="n">
        <f aca="false">MAX(0,G548-N(L548))</f>
        <v>4696</v>
      </c>
      <c r="S548" s="23" t="n">
        <f aca="false">SUMIFS(Cadenas_vs_FCST!$D$17:$D$2437,Cadenas_vs_FCST!$A$17:$A$2437,A548)</f>
        <v>6632</v>
      </c>
      <c r="T548" s="23" t="n">
        <f aca="false">SUMIFS(Cadenas_vs_FCST!$E$17:$E$2437,Cadenas_vs_FCST!$A$17:$A$2437,A548)</f>
        <v>8558.82573502702</v>
      </c>
      <c r="U548" s="24" t="n">
        <f aca="false">IF(T548&gt;0,S548/T548-1,"")</f>
        <v>-0.225127347451588</v>
      </c>
      <c r="V548" s="3" t="str">
        <f aca="false">IF(OR(E548="BAJO SS",E548="BAJO SS (XLIB CUBRE)"),"SÍ","")</f>
        <v/>
      </c>
      <c r="W548" s="3" t="str">
        <f aca="false">IF(AND(V548="",N(L548)&gt;=Parametros!$B$17,G548&gt;=H548,R548&lt;H548),"SÍ","")</f>
        <v/>
      </c>
      <c r="X548" s="3" t="str">
        <f aca="false">IF(OR(E548="SOBRE MAX VENDIBLE",N(N548)&gt;=Parametros!$B$17,N(M548)&gt;=Parametros!$B$17),"SÍ","")</f>
        <v>SÍ</v>
      </c>
      <c r="Y548" s="3" t="str">
        <f aca="false">IF(AND(ISNUMBER(U548),MAX(S548,T548)&gt;=Parametros!$B$15,ABS(N(U548))&gt;Parametros!$B$14),"SÍ","")</f>
        <v>SÍ</v>
      </c>
      <c r="Z548" s="3" t="n">
        <f aca="false">COUNTIF(V548:Y548,"SÍ")</f>
        <v>2</v>
      </c>
      <c r="AA548" s="3" t="n">
        <f aca="false">(3*(V548="SÍ")+2*(W548="SÍ")+2*(X548="SÍ")+(Y548="SÍ"))*IF(LEFT(D548,1)="A",3,IF(OR(LEFT(D548,1)="B",D548="SIN HIST"),2,1))</f>
        <v>3</v>
      </c>
      <c r="AB548" s="3" t="str">
        <f aca="false">IF(AA548&gt;=9,"1-ALTA",IF(AA548&gt;=4,"2-MEDIA",IF(AA548&gt;0,"3-BAJA","")))</f>
        <v>3-BAJA</v>
      </c>
      <c r="AC548" s="3" t="str">
        <f aca="false">IF(E548="BAJO SS","Stock + XLIB bajo el SS: riesgo real de quiebre, adelantar producción. ","")&amp;IF(E548="BAJO SS (XLIB CUBRE)","Disponible bajo el SS; depende de liberar "&amp;TEXT(J548,"#,##0")&amp;" kg"&amp;IF(ISNUMBER(K548)," el "&amp;TEXT(K548,"dd-mm"),"")&amp;". ","")&amp;IF(W548="SÍ","Stock parece sano pero "&amp;TEXT(L548,"#,##0")&amp;" kg no pasan filtro "&amp;Stock_Seguridad!O548&amp;": sin ellos queda bajo el SS para esa cadena. ","")&amp;IF(E548="SOBRE MAX VENDIBLE","Sobrestock vs vida útil: frenar producción/activar venta. ","")&amp;IF(N(N548)&gt;=Parametros!$B$17,TEXT(N548,"#,##0")&amp;" kg ya no los acepta ninguna cadena: venta intermedia/liquidación. ","")&amp;IF(N(M548)&gt;=Parametros!$B$17,TEXT(M548,"#,##0")&amp;" kg a punto de salir del filtro: despachar primero (FEFO). ","")&amp;IF(Y548="SÍ","Pedidos "&amp;IF(N(U548)&gt;0,"sobre","bajo")&amp;" FCST "&amp;TEXT(ABS(N(U548)),"0%")&amp;": revisar forecast con KAM.","")</f>
        <v>4,696 kg a punto de salir del filtro: despachar primero (FEFO). Pedidos bajo FCST 23%: revisar forecast con KAM.</v>
      </c>
    </row>
    <row r="549" customFormat="false" ht="15" hidden="false" customHeight="false" outlineLevel="0" collapsed="false">
      <c r="A549" s="18" t="n">
        <f aca="false">Stock_Seguridad!A549</f>
        <v>30002206</v>
      </c>
      <c r="B549" s="18" t="str">
        <f aca="false">Stock_Seguridad!B549</f>
        <v>PAPAS PRE FRITAS SMILE 15X600GR</v>
      </c>
      <c r="C549" s="18" t="str">
        <f aca="false">Stock_Seguridad!C549</f>
        <v>FRUTAS Y HORTALIZAS CONGELADAS</v>
      </c>
      <c r="D549" s="18" t="str">
        <f aca="false">Stock_Seguridad!F549</f>
        <v>SIN HIST</v>
      </c>
      <c r="E549" s="19" t="str">
        <f aca="false">Stock_Seguridad!X549</f>
        <v>OK</v>
      </c>
      <c r="F549" s="20" t="n">
        <f aca="false">Stock_Seguridad!W549</f>
        <v>20.0881814017407</v>
      </c>
      <c r="G549" s="21" t="n">
        <f aca="false">Stock_Seguridad!T549</f>
        <v>17541</v>
      </c>
      <c r="H549" s="21" t="n">
        <f aca="false">Stock_Seguridad!R549</f>
        <v>430.885856116207</v>
      </c>
      <c r="I549" s="21" t="n">
        <f aca="false">Stock_Seguridad!S549</f>
        <v>1304.08585611621</v>
      </c>
      <c r="J549" s="21" t="n">
        <f aca="false">Stock_Seguridad!U549</f>
        <v>0</v>
      </c>
      <c r="K549" s="22"/>
      <c r="L549" s="23" t="n">
        <v>0</v>
      </c>
      <c r="M549" s="23" t="n">
        <v>0</v>
      </c>
      <c r="N549" s="23" t="n">
        <v>0</v>
      </c>
      <c r="O549" s="24" t="n">
        <v>0.23</v>
      </c>
      <c r="P549" s="24" t="str">
        <f aca="false">IF(ISNUMBER(Stock_Seguridad!N549),Stock_Seguridad!N549,"")</f>
        <v/>
      </c>
      <c r="Q549" s="24" t="str">
        <f aca="false">IF(AND(ISNUMBER(O549),ISNUMBER(P549)),P549-O549,"")</f>
        <v/>
      </c>
      <c r="R549" s="23" t="n">
        <f aca="false">MAX(0,G549-N(L549))</f>
        <v>17541</v>
      </c>
      <c r="S549" s="23" t="n">
        <f aca="false">SUMIFS(Cadenas_vs_FCST!$D$17:$D$2437,Cadenas_vs_FCST!$A$17:$A$2437,A549)</f>
        <v>0</v>
      </c>
      <c r="T549" s="23" t="n">
        <f aca="false">SUMIFS(Cadenas_vs_FCST!$E$17:$E$2437,Cadenas_vs_FCST!$A$17:$A$2437,A549)</f>
        <v>0</v>
      </c>
      <c r="U549" s="24" t="str">
        <f aca="false">IF(T549&gt;0,S549/T549-1,"")</f>
        <v/>
      </c>
      <c r="V549" s="3" t="str">
        <f aca="false">IF(OR(E549="BAJO SS",E549="BAJO SS (XLIB CUBRE)"),"SÍ","")</f>
        <v/>
      </c>
      <c r="W549" s="3" t="str">
        <f aca="false">IF(AND(V549="",N(L549)&gt;=Parametros!$B$17,G549&gt;=H549,R549&lt;H549),"SÍ","")</f>
        <v/>
      </c>
      <c r="X549" s="3" t="str">
        <f aca="false">IF(OR(E549="SOBRE MAX VENDIBLE",N(N549)&gt;=Parametros!$B$17,N(M549)&gt;=Parametros!$B$17),"SÍ","")</f>
        <v/>
      </c>
      <c r="Y549" s="3" t="str">
        <f aca="false">IF(AND(ISNUMBER(U549),MAX(S549,T549)&gt;=Parametros!$B$15,ABS(N(U549))&gt;Parametros!$B$14),"SÍ","")</f>
        <v/>
      </c>
      <c r="Z549" s="3" t="n">
        <f aca="false">COUNTIF(V549:Y549,"SÍ")</f>
        <v>0</v>
      </c>
      <c r="AA549" s="3" t="n">
        <f aca="false">(3*(V549="SÍ")+2*(W549="SÍ")+2*(X549="SÍ")+(Y549="SÍ"))*IF(LEFT(D549,1)="A",3,IF(OR(LEFT(D549,1)="B",D549="SIN HIST"),2,1))</f>
        <v>0</v>
      </c>
      <c r="AB549" s="3" t="str">
        <f aca="false">IF(AA549&gt;=9,"1-ALTA",IF(AA549&gt;=4,"2-MEDIA",IF(AA549&gt;0,"3-BAJA","")))</f>
        <v/>
      </c>
      <c r="AC549" s="3" t="str">
        <f aca="false">IF(E549="BAJO SS","Stock + XLIB bajo el SS: riesgo real de quiebre, adelantar producción. ","")&amp;IF(E549="BAJO SS (XLIB CUBRE)","Disponible bajo el SS; depende de liberar "&amp;TEXT(J549,"#,##0")&amp;" kg"&amp;IF(ISNUMBER(K549)," el "&amp;TEXT(K549,"dd-mm"),"")&amp;". ","")&amp;IF(W549="SÍ","Stock parece sano pero "&amp;TEXT(L549,"#,##0")&amp;" kg no pasan filtro "&amp;Stock_Seguridad!O549&amp;": sin ellos queda bajo el SS para esa cadena. ","")&amp;IF(E549="SOBRE MAX VENDIBLE","Sobrestock vs vida útil: frenar producción/activar venta. ","")&amp;IF(N(N549)&gt;=Parametros!$B$17,TEXT(N549,"#,##0")&amp;" kg ya no los acepta ninguna cadena: venta intermedia/liquidación. ","")&amp;IF(N(M549)&gt;=Parametros!$B$17,TEXT(M549,"#,##0")&amp;" kg a punto de salir del filtro: despachar primero (FEFO). ","")&amp;IF(Y549="SÍ","Pedidos "&amp;IF(N(U549)&gt;0,"sobre","bajo")&amp;" FCST "&amp;TEXT(ABS(N(U549)),"0%")&amp;": revisar forecast con KAM.","")</f>
        <v/>
      </c>
    </row>
    <row r="550" customFormat="false" ht="15" hidden="false" customHeight="false" outlineLevel="0" collapsed="false">
      <c r="A550" s="18" t="n">
        <f aca="false">Stock_Seguridad!A550</f>
        <v>30000838</v>
      </c>
      <c r="B550" s="18" t="str">
        <f aca="false">Stock_Seguridad!B550</f>
        <v>POROTOS CON MAZAMORRA FM 9X1KG</v>
      </c>
      <c r="C550" s="18" t="str">
        <f aca="false">Stock_Seguridad!C550</f>
        <v>FRUTAS Y HORTALIZAS CONGELADAS</v>
      </c>
      <c r="D550" s="18" t="str">
        <f aca="false">Stock_Seguridad!F550</f>
        <v>SIN HIST</v>
      </c>
      <c r="E550" s="19" t="str">
        <f aca="false">Stock_Seguridad!X550</f>
        <v>OK</v>
      </c>
      <c r="F550" s="20" t="n">
        <f aca="false">Stock_Seguridad!W550</f>
        <v>14.3376534006193</v>
      </c>
      <c r="G550" s="21" t="n">
        <f aca="false">Stock_Seguridad!T550</f>
        <v>12501</v>
      </c>
      <c r="H550" s="21" t="n">
        <f aca="false">Stock_Seguridad!R550</f>
        <v>430.244363201696</v>
      </c>
      <c r="I550" s="21" t="n">
        <f aca="false">Stock_Seguridad!S550</f>
        <v>1302.1443632017</v>
      </c>
      <c r="J550" s="21" t="n">
        <f aca="false">Stock_Seguridad!U550</f>
        <v>0</v>
      </c>
      <c r="K550" s="22"/>
      <c r="L550" s="23" t="n">
        <v>0</v>
      </c>
      <c r="M550" s="23" t="n">
        <v>0</v>
      </c>
      <c r="N550" s="23" t="n">
        <v>0</v>
      </c>
      <c r="O550" s="24" t="n">
        <v>0.0245140388768899</v>
      </c>
      <c r="P550" s="24" t="str">
        <f aca="false">IF(ISNUMBER(Stock_Seguridad!N550),Stock_Seguridad!N550,"")</f>
        <v/>
      </c>
      <c r="Q550" s="24" t="str">
        <f aca="false">IF(AND(ISNUMBER(O550),ISNUMBER(P550)),P550-O550,"")</f>
        <v/>
      </c>
      <c r="R550" s="23" t="n">
        <f aca="false">MAX(0,G550-N(L550))</f>
        <v>12501</v>
      </c>
      <c r="S550" s="23" t="n">
        <f aca="false">SUMIFS(Cadenas_vs_FCST!$D$17:$D$2437,Cadenas_vs_FCST!$A$17:$A$2437,A550)</f>
        <v>0</v>
      </c>
      <c r="T550" s="23" t="n">
        <f aca="false">SUMIFS(Cadenas_vs_FCST!$E$17:$E$2437,Cadenas_vs_FCST!$A$17:$A$2437,A550)</f>
        <v>0</v>
      </c>
      <c r="U550" s="24" t="str">
        <f aca="false">IF(T550&gt;0,S550/T550-1,"")</f>
        <v/>
      </c>
      <c r="V550" s="3" t="str">
        <f aca="false">IF(OR(E550="BAJO SS",E550="BAJO SS (XLIB CUBRE)"),"SÍ","")</f>
        <v/>
      </c>
      <c r="W550" s="3" t="str">
        <f aca="false">IF(AND(V550="",N(L550)&gt;=Parametros!$B$17,G550&gt;=H550,R550&lt;H550),"SÍ","")</f>
        <v/>
      </c>
      <c r="X550" s="3" t="str">
        <f aca="false">IF(OR(E550="SOBRE MAX VENDIBLE",N(N550)&gt;=Parametros!$B$17,N(M550)&gt;=Parametros!$B$17),"SÍ","")</f>
        <v/>
      </c>
      <c r="Y550" s="3" t="str">
        <f aca="false">IF(AND(ISNUMBER(U550),MAX(S550,T550)&gt;=Parametros!$B$15,ABS(N(U550))&gt;Parametros!$B$14),"SÍ","")</f>
        <v/>
      </c>
      <c r="Z550" s="3" t="n">
        <f aca="false">COUNTIF(V550:Y550,"SÍ")</f>
        <v>0</v>
      </c>
      <c r="AA550" s="3" t="n">
        <f aca="false">(3*(V550="SÍ")+2*(W550="SÍ")+2*(X550="SÍ")+(Y550="SÍ"))*IF(LEFT(D550,1)="A",3,IF(OR(LEFT(D550,1)="B",D550="SIN HIST"),2,1))</f>
        <v>0</v>
      </c>
      <c r="AB550" s="3" t="str">
        <f aca="false">IF(AA550&gt;=9,"1-ALTA",IF(AA550&gt;=4,"2-MEDIA",IF(AA550&gt;0,"3-BAJA","")))</f>
        <v/>
      </c>
      <c r="AC550" s="3" t="str">
        <f aca="false">IF(E550="BAJO SS","Stock + XLIB bajo el SS: riesgo real de quiebre, adelantar producción. ","")&amp;IF(E550="BAJO SS (XLIB CUBRE)","Disponible bajo el SS; depende de liberar "&amp;TEXT(J550,"#,##0")&amp;" kg"&amp;IF(ISNUMBER(K550)," el "&amp;TEXT(K550,"dd-mm"),"")&amp;". ","")&amp;IF(W550="SÍ","Stock parece sano pero "&amp;TEXT(L550,"#,##0")&amp;" kg no pasan filtro "&amp;Stock_Seguridad!O550&amp;": sin ellos queda bajo el SS para esa cadena. ","")&amp;IF(E550="SOBRE MAX VENDIBLE","Sobrestock vs vida útil: frenar producción/activar venta. ","")&amp;IF(N(N550)&gt;=Parametros!$B$17,TEXT(N550,"#,##0")&amp;" kg ya no los acepta ninguna cadena: venta intermedia/liquidación. ","")&amp;IF(N(M550)&gt;=Parametros!$B$17,TEXT(M550,"#,##0")&amp;" kg a punto de salir del filtro: despachar primero (FEFO). ","")&amp;IF(Y550="SÍ","Pedidos "&amp;IF(N(U550)&gt;0,"sobre","bajo")&amp;" FCST "&amp;TEXT(ABS(N(U550)),"0%")&amp;": revisar forecast con KAM.","")</f>
        <v/>
      </c>
    </row>
    <row r="551" customFormat="false" ht="15" hidden="false" customHeight="false" outlineLevel="0" collapsed="false">
      <c r="A551" s="18" t="n">
        <f aca="false">Stock_Seguridad!A551</f>
        <v>30001046</v>
      </c>
      <c r="B551" s="18" t="str">
        <f aca="false">Stock_Seguridad!B551</f>
        <v>PROBIOTICO CALAN MZNA UNV BOT 8X6X90G</v>
      </c>
      <c r="C551" s="18" t="str">
        <f aca="false">Stock_Seguridad!C551</f>
        <v>LECHES LIQUIDAS</v>
      </c>
      <c r="D551" s="18" t="str">
        <f aca="false">Stock_Seguridad!F551</f>
        <v>CX</v>
      </c>
      <c r="E551" s="19" t="str">
        <f aca="false">Stock_Seguridad!X551</f>
        <v>BAJO SS (XLIB CUBRE)</v>
      </c>
      <c r="F551" s="20" t="n">
        <f aca="false">Stock_Seguridad!W551</f>
        <v>2.37536795007653</v>
      </c>
      <c r="G551" s="21" t="n">
        <f aca="false">Stock_Seguridad!T551</f>
        <v>73.4</v>
      </c>
      <c r="H551" s="21" t="n">
        <f aca="false">Stock_Seguridad!R551</f>
        <v>1085.26589053675</v>
      </c>
      <c r="I551" s="21" t="n">
        <f aca="false">Stock_Seguridad!S551</f>
        <v>1934.56589053675</v>
      </c>
      <c r="J551" s="21" t="n">
        <f aca="false">Stock_Seguridad!U551</f>
        <v>1944</v>
      </c>
      <c r="K551" s="22" t="n">
        <v>46318</v>
      </c>
      <c r="L551" s="23" t="n">
        <v>0</v>
      </c>
      <c r="M551" s="23" t="n">
        <v>73.44</v>
      </c>
      <c r="N551" s="23" t="n">
        <v>0</v>
      </c>
      <c r="O551" s="24" t="n">
        <v>0.0369164882226981</v>
      </c>
      <c r="P551" s="24" t="n">
        <f aca="false">IF(ISNUMBER(Stock_Seguridad!N551),Stock_Seguridad!N551,"")</f>
        <v>0.232876712328767</v>
      </c>
      <c r="Q551" s="24" t="n">
        <f aca="false">IF(AND(ISNUMBER(O551),ISNUMBER(P551)),P551-O551,"")</f>
        <v>0.195960224106069</v>
      </c>
      <c r="R551" s="23" t="n">
        <f aca="false">MAX(0,G551-N(L551))</f>
        <v>73.4</v>
      </c>
      <c r="S551" s="23" t="n">
        <f aca="false">SUMIFS(Cadenas_vs_FCST!$D$17:$D$2437,Cadenas_vs_FCST!$A$17:$A$2437,A551)</f>
        <v>6782.4</v>
      </c>
      <c r="T551" s="23" t="n">
        <f aca="false">SUMIFS(Cadenas_vs_FCST!$E$17:$E$2437,Cadenas_vs_FCST!$A$17:$A$2437,A551)</f>
        <v>3662.75945688625</v>
      </c>
      <c r="U551" s="24" t="n">
        <f aca="false">IF(T551&gt;0,S551/T551-1,"")</f>
        <v>0.851718650879078</v>
      </c>
      <c r="V551" s="3" t="str">
        <f aca="false">IF(OR(E551="BAJO SS",E551="BAJO SS (XLIB CUBRE)"),"SÍ","")</f>
        <v>SÍ</v>
      </c>
      <c r="W551" s="3" t="str">
        <f aca="false">IF(AND(V551="",N(L551)&gt;=Parametros!$B$17,G551&gt;=H551,R551&lt;H551),"SÍ","")</f>
        <v/>
      </c>
      <c r="X551" s="3" t="str">
        <f aca="false">IF(OR(E551="SOBRE MAX VENDIBLE",N(N551)&gt;=Parametros!$B$17,N(M551)&gt;=Parametros!$B$17),"SÍ","")</f>
        <v/>
      </c>
      <c r="Y551" s="3" t="str">
        <f aca="false">IF(AND(ISNUMBER(U551),MAX(S551,T551)&gt;=Parametros!$B$15,ABS(N(U551))&gt;Parametros!$B$14),"SÍ","")</f>
        <v>SÍ</v>
      </c>
      <c r="Z551" s="3" t="n">
        <f aca="false">COUNTIF(V551:Y551,"SÍ")</f>
        <v>2</v>
      </c>
      <c r="AA551" s="3" t="n">
        <f aca="false">(3*(V551="SÍ")+2*(W551="SÍ")+2*(X551="SÍ")+(Y551="SÍ"))*IF(LEFT(D551,1)="A",3,IF(OR(LEFT(D551,1)="B",D551="SIN HIST"),2,1))</f>
        <v>4</v>
      </c>
      <c r="AB551" s="3" t="str">
        <f aca="false">IF(AA551&gt;=9,"1-ALTA",IF(AA551&gt;=4,"2-MEDIA",IF(AA551&gt;0,"3-BAJA","")))</f>
        <v>2-MEDIA</v>
      </c>
      <c r="AC551" s="3" t="str">
        <f aca="false">IF(E551="BAJO SS","Stock + XLIB bajo el SS: riesgo real de quiebre, adelantar producción. ","")&amp;IF(E551="BAJO SS (XLIB CUBRE)","Disponible bajo el SS; depende de liberar "&amp;TEXT(J551,"#,##0")&amp;" kg"&amp;IF(ISNUMBER(K551)," el "&amp;TEXT(K551,"dd-mm"),"")&amp;". ","")&amp;IF(W551="SÍ","Stock parece sano pero "&amp;TEXT(L551,"#,##0")&amp;" kg no pasan filtro "&amp;Stock_Seguridad!O551&amp;": sin ellos queda bajo el SS para esa cadena. ","")&amp;IF(E551="SOBRE MAX VENDIBLE","Sobrestock vs vida útil: frenar producción/activar venta. ","")&amp;IF(N(N551)&gt;=Parametros!$B$17,TEXT(N551,"#,##0")&amp;" kg ya no los acepta ninguna cadena: venta intermedia/liquidación. ","")&amp;IF(N(M551)&gt;=Parametros!$B$17,TEXT(M551,"#,##0")&amp;" kg a punto de salir del filtro: despachar primero (FEFO). ","")&amp;IF(Y551="SÍ","Pedidos "&amp;IF(N(U551)&gt;0,"sobre","bajo")&amp;" FCST "&amp;TEXT(ABS(N(U551)),"0%")&amp;": revisar forecast con KAM.","")</f>
        <v>Disponible bajo el SS; depende de liberar 1,944 kg el 23-10. Pedidos sobre FCST 85%: revisar forecast con KAM.</v>
      </c>
    </row>
    <row r="552" customFormat="false" ht="15" hidden="false" customHeight="false" outlineLevel="0" collapsed="false">
      <c r="A552" s="18" t="n">
        <f aca="false">Stock_Seguridad!A552</f>
        <v>30000653</v>
      </c>
      <c r="B552" s="18" t="str">
        <f aca="false">Stock_Seguridad!B552</f>
        <v>TOMATICAN WSL 16X380GR</v>
      </c>
      <c r="C552" s="18" t="str">
        <f aca="false">Stock_Seguridad!C552</f>
        <v>CONSERVAS Y PLATOS LISTOS</v>
      </c>
      <c r="D552" s="18" t="str">
        <f aca="false">Stock_Seguridad!F552</f>
        <v>CX</v>
      </c>
      <c r="E552" s="19" t="str">
        <f aca="false">Stock_Seguridad!X552</f>
        <v>OK</v>
      </c>
      <c r="F552" s="20" t="n">
        <f aca="false">Stock_Seguridad!W552</f>
        <v>24.9431979215872</v>
      </c>
      <c r="G552" s="21" t="n">
        <f aca="false">Stock_Seguridad!T552</f>
        <v>21121.9</v>
      </c>
      <c r="H552" s="21" t="n">
        <f aca="false">Stock_Seguridad!R552</f>
        <v>355.158639347071</v>
      </c>
      <c r="I552" s="21" t="n">
        <f aca="false">Stock_Seguridad!S552</f>
        <v>1201.95863934707</v>
      </c>
      <c r="J552" s="21" t="n">
        <f aca="false">Stock_Seguridad!U552</f>
        <v>0</v>
      </c>
      <c r="K552" s="22"/>
      <c r="L552" s="23" t="n">
        <v>0</v>
      </c>
      <c r="M552" s="23" t="n">
        <v>0</v>
      </c>
      <c r="N552" s="23" t="n">
        <v>0</v>
      </c>
      <c r="O552" s="24" t="n">
        <v>0.0802993667242372</v>
      </c>
      <c r="P552" s="24" t="n">
        <f aca="false">IF(ISNUMBER(Stock_Seguridad!N552),Stock_Seguridad!N552,"")</f>
        <v>0.328767123287671</v>
      </c>
      <c r="Q552" s="24" t="n">
        <f aca="false">IF(AND(ISNUMBER(O552),ISNUMBER(P552)),P552-O552,"")</f>
        <v>0.248467756563434</v>
      </c>
      <c r="R552" s="23" t="n">
        <f aca="false">MAX(0,G552-N(L552))</f>
        <v>21121.9</v>
      </c>
      <c r="S552" s="23" t="n">
        <f aca="false">SUMIFS(Cadenas_vs_FCST!$D$17:$D$2437,Cadenas_vs_FCST!$A$17:$A$2437,A552)</f>
        <v>2663.04</v>
      </c>
      <c r="T552" s="23" t="n">
        <f aca="false">SUMIFS(Cadenas_vs_FCST!$E$17:$E$2437,Cadenas_vs_FCST!$A$17:$A$2437,A552)</f>
        <v>3264.4</v>
      </c>
      <c r="U552" s="24" t="n">
        <f aca="false">IF(T552&gt;0,S552/T552-1,"")</f>
        <v>-0.184217620389658</v>
      </c>
      <c r="V552" s="3" t="str">
        <f aca="false">IF(OR(E552="BAJO SS",E552="BAJO SS (XLIB CUBRE)"),"SÍ","")</f>
        <v/>
      </c>
      <c r="W552" s="3" t="str">
        <f aca="false">IF(AND(V552="",N(L552)&gt;=Parametros!$B$17,G552&gt;=H552,R552&lt;H552),"SÍ","")</f>
        <v/>
      </c>
      <c r="X552" s="3" t="str">
        <f aca="false">IF(OR(E552="SOBRE MAX VENDIBLE",N(N552)&gt;=Parametros!$B$17,N(M552)&gt;=Parametros!$B$17),"SÍ","")</f>
        <v/>
      </c>
      <c r="Y552" s="3" t="str">
        <f aca="false">IF(AND(ISNUMBER(U552),MAX(S552,T552)&gt;=Parametros!$B$15,ABS(N(U552))&gt;Parametros!$B$14),"SÍ","")</f>
        <v/>
      </c>
      <c r="Z552" s="3" t="n">
        <f aca="false">COUNTIF(V552:Y552,"SÍ")</f>
        <v>0</v>
      </c>
      <c r="AA552" s="3" t="n">
        <f aca="false">(3*(V552="SÍ")+2*(W552="SÍ")+2*(X552="SÍ")+(Y552="SÍ"))*IF(LEFT(D552,1)="A",3,IF(OR(LEFT(D552,1)="B",D552="SIN HIST"),2,1))</f>
        <v>0</v>
      </c>
      <c r="AB552" s="3" t="str">
        <f aca="false">IF(AA552&gt;=9,"1-ALTA",IF(AA552&gt;=4,"2-MEDIA",IF(AA552&gt;0,"3-BAJA","")))</f>
        <v/>
      </c>
      <c r="AC552" s="3" t="str">
        <f aca="false">IF(E552="BAJO SS","Stock + XLIB bajo el SS: riesgo real de quiebre, adelantar producción. ","")&amp;IF(E552="BAJO SS (XLIB CUBRE)","Disponible bajo el SS; depende de liberar "&amp;TEXT(J552,"#,##0")&amp;" kg"&amp;IF(ISNUMBER(K552)," el "&amp;TEXT(K552,"dd-mm"),"")&amp;". ","")&amp;IF(W552="SÍ","Stock parece sano pero "&amp;TEXT(L552,"#,##0")&amp;" kg no pasan filtro "&amp;Stock_Seguridad!O552&amp;": sin ellos queda bajo el SS para esa cadena. ","")&amp;IF(E552="SOBRE MAX VENDIBLE","Sobrestock vs vida útil: frenar producción/activar venta. ","")&amp;IF(N(N552)&gt;=Parametros!$B$17,TEXT(N552,"#,##0")&amp;" kg ya no los acepta ninguna cadena: venta intermedia/liquidación. ","")&amp;IF(N(M552)&gt;=Parametros!$B$17,TEXT(M552,"#,##0")&amp;" kg a punto de salir del filtro: despachar primero (FEFO). ","")&amp;IF(Y552="SÍ","Pedidos "&amp;IF(N(U552)&gt;0,"sobre","bajo")&amp;" FCST "&amp;TEXT(ABS(N(U552)),"0%")&amp;": revisar forecast con KAM.","")</f>
        <v/>
      </c>
    </row>
    <row r="553" customFormat="false" ht="15" hidden="false" customHeight="false" outlineLevel="0" collapsed="false">
      <c r="A553" s="18" t="n">
        <f aca="false">Stock_Seguridad!A553</f>
        <v>30002245</v>
      </c>
      <c r="B553" s="18" t="str">
        <f aca="false">Stock_Seguridad!B553</f>
        <v>BITES FRAMBUESA DARK 12X150G</v>
      </c>
      <c r="C553" s="18" t="str">
        <f aca="false">Stock_Seguridad!C553</f>
        <v>FRUTAS Y HORTALIZAS CONGELADAS</v>
      </c>
      <c r="D553" s="18" t="str">
        <f aca="false">Stock_Seguridad!F553</f>
        <v>SIN HIST</v>
      </c>
      <c r="E553" s="19" t="str">
        <f aca="false">Stock_Seguridad!X553</f>
        <v>OK</v>
      </c>
      <c r="F553" s="20" t="n">
        <f aca="false">Stock_Seguridad!W553</f>
        <v>10.7200191113235</v>
      </c>
      <c r="G553" s="21" t="n">
        <f aca="false">Stock_Seguridad!T553</f>
        <v>8974.8</v>
      </c>
      <c r="H553" s="21" t="n">
        <f aca="false">Stock_Seguridad!R553</f>
        <v>413.121436945132</v>
      </c>
      <c r="I553" s="21" t="n">
        <f aca="false">Stock_Seguridad!S553</f>
        <v>1250.32143694513</v>
      </c>
      <c r="J553" s="21" t="n">
        <f aca="false">Stock_Seguridad!U553</f>
        <v>0</v>
      </c>
      <c r="K553" s="22"/>
      <c r="L553" s="23" t="n">
        <v>0</v>
      </c>
      <c r="M553" s="23" t="n">
        <v>0</v>
      </c>
      <c r="N553" s="23" t="n">
        <v>0</v>
      </c>
      <c r="O553" s="24" t="n">
        <v>0.124336141195347</v>
      </c>
      <c r="P553" s="24" t="str">
        <f aca="false">IF(ISNUMBER(Stock_Seguridad!N553),Stock_Seguridad!N553,"")</f>
        <v/>
      </c>
      <c r="Q553" s="24" t="str">
        <f aca="false">IF(AND(ISNUMBER(O553),ISNUMBER(P553)),P553-O553,"")</f>
        <v/>
      </c>
      <c r="R553" s="23" t="n">
        <f aca="false">MAX(0,G553-N(L553))</f>
        <v>8974.8</v>
      </c>
      <c r="S553" s="23" t="n">
        <f aca="false">SUMIFS(Cadenas_vs_FCST!$D$17:$D$2437,Cadenas_vs_FCST!$A$17:$A$2437,A553)</f>
        <v>0</v>
      </c>
      <c r="T553" s="23" t="n">
        <f aca="false">SUMIFS(Cadenas_vs_FCST!$E$17:$E$2437,Cadenas_vs_FCST!$A$17:$A$2437,A553)</f>
        <v>0</v>
      </c>
      <c r="U553" s="24" t="str">
        <f aca="false">IF(T553&gt;0,S553/T553-1,"")</f>
        <v/>
      </c>
      <c r="V553" s="3" t="str">
        <f aca="false">IF(OR(E553="BAJO SS",E553="BAJO SS (XLIB CUBRE)"),"SÍ","")</f>
        <v/>
      </c>
      <c r="W553" s="3" t="str">
        <f aca="false">IF(AND(V553="",N(L553)&gt;=Parametros!$B$17,G553&gt;=H553,R553&lt;H553),"SÍ","")</f>
        <v/>
      </c>
      <c r="X553" s="3" t="str">
        <f aca="false">IF(OR(E553="SOBRE MAX VENDIBLE",N(N553)&gt;=Parametros!$B$17,N(M553)&gt;=Parametros!$B$17),"SÍ","")</f>
        <v/>
      </c>
      <c r="Y553" s="3" t="str">
        <f aca="false">IF(AND(ISNUMBER(U553),MAX(S553,T553)&gt;=Parametros!$B$15,ABS(N(U553))&gt;Parametros!$B$14),"SÍ","")</f>
        <v/>
      </c>
      <c r="Z553" s="3" t="n">
        <f aca="false">COUNTIF(V553:Y553,"SÍ")</f>
        <v>0</v>
      </c>
      <c r="AA553" s="3" t="n">
        <f aca="false">(3*(V553="SÍ")+2*(W553="SÍ")+2*(X553="SÍ")+(Y553="SÍ"))*IF(LEFT(D553,1)="A",3,IF(OR(LEFT(D553,1)="B",D553="SIN HIST"),2,1))</f>
        <v>0</v>
      </c>
      <c r="AB553" s="3" t="str">
        <f aca="false">IF(AA553&gt;=9,"1-ALTA",IF(AA553&gt;=4,"2-MEDIA",IF(AA553&gt;0,"3-BAJA","")))</f>
        <v/>
      </c>
      <c r="AC553" s="3" t="str">
        <f aca="false">IF(E553="BAJO SS","Stock + XLIB bajo el SS: riesgo real de quiebre, adelantar producción. ","")&amp;IF(E553="BAJO SS (XLIB CUBRE)","Disponible bajo el SS; depende de liberar "&amp;TEXT(J553,"#,##0")&amp;" kg"&amp;IF(ISNUMBER(K553)," el "&amp;TEXT(K553,"dd-mm"),"")&amp;". ","")&amp;IF(W553="SÍ","Stock parece sano pero "&amp;TEXT(L553,"#,##0")&amp;" kg no pasan filtro "&amp;Stock_Seguridad!O553&amp;": sin ellos queda bajo el SS para esa cadena. ","")&amp;IF(E553="SOBRE MAX VENDIBLE","Sobrestock vs vida útil: frenar producción/activar venta. ","")&amp;IF(N(N553)&gt;=Parametros!$B$17,TEXT(N553,"#,##0")&amp;" kg ya no los acepta ninguna cadena: venta intermedia/liquidación. ","")&amp;IF(N(M553)&gt;=Parametros!$B$17,TEXT(M553,"#,##0")&amp;" kg a punto de salir del filtro: despachar primero (FEFO). ","")&amp;IF(Y553="SÍ","Pedidos "&amp;IF(N(U553)&gt;0,"sobre","bajo")&amp;" FCST "&amp;TEXT(ABS(N(U553)),"0%")&amp;": revisar forecast con KAM.","")</f>
        <v/>
      </c>
    </row>
    <row r="554" customFormat="false" ht="15" hidden="false" customHeight="false" outlineLevel="0" collapsed="false">
      <c r="A554" s="18" t="n">
        <f aca="false">Stock_Seguridad!A554</f>
        <v>30000163</v>
      </c>
      <c r="B554" s="18" t="str">
        <f aca="false">Stock_Seguridad!B554</f>
        <v>MERMELADA WATTS IND DAMASCO 6X1GR</v>
      </c>
      <c r="C554" s="18" t="str">
        <f aca="false">Stock_Seguridad!C554</f>
        <v>MERMELADAS</v>
      </c>
      <c r="D554" s="18" t="str">
        <f aca="false">Stock_Seguridad!F554</f>
        <v>SIN HIST</v>
      </c>
      <c r="E554" s="19" t="str">
        <f aca="false">Stock_Seguridad!X554</f>
        <v>OK</v>
      </c>
      <c r="F554" s="20" t="n">
        <f aca="false">Stock_Seguridad!W554</f>
        <v>2.27027027027027</v>
      </c>
      <c r="G554" s="21" t="n">
        <f aca="false">Stock_Seguridad!T554</f>
        <v>1890</v>
      </c>
      <c r="H554" s="21" t="n">
        <f aca="false">Stock_Seguridad!R554</f>
        <v>410.80219333113</v>
      </c>
      <c r="I554" s="21" t="n">
        <f aca="false">Stock_Seguridad!S554</f>
        <v>1243.30219333113</v>
      </c>
      <c r="J554" s="21" t="n">
        <f aca="false">Stock_Seguridad!U554</f>
        <v>0</v>
      </c>
      <c r="K554" s="22"/>
      <c r="L554" s="23" t="n">
        <v>0</v>
      </c>
      <c r="M554" s="23" t="n">
        <v>6</v>
      </c>
      <c r="N554" s="23" t="n">
        <v>0</v>
      </c>
      <c r="O554" s="24" t="n">
        <v>0.0124358974358974</v>
      </c>
      <c r="P554" s="24" t="n">
        <f aca="false">IF(ISNUMBER(Stock_Seguridad!N554),Stock_Seguridad!N554,"")</f>
        <v>0.273972602739726</v>
      </c>
      <c r="Q554" s="24" t="n">
        <f aca="false">IF(AND(ISNUMBER(O554),ISNUMBER(P554)),P554-O554,"")</f>
        <v>0.261536705303829</v>
      </c>
      <c r="R554" s="23" t="n">
        <f aca="false">MAX(0,G554-N(L554))</f>
        <v>1890</v>
      </c>
      <c r="S554" s="23" t="n">
        <f aca="false">SUMIFS(Cadenas_vs_FCST!$D$17:$D$2437,Cadenas_vs_FCST!$A$17:$A$2437,A554)</f>
        <v>0</v>
      </c>
      <c r="T554" s="23" t="n">
        <f aca="false">SUMIFS(Cadenas_vs_FCST!$E$17:$E$2437,Cadenas_vs_FCST!$A$17:$A$2437,A554)</f>
        <v>0</v>
      </c>
      <c r="U554" s="24" t="str">
        <f aca="false">IF(T554&gt;0,S554/T554-1,"")</f>
        <v/>
      </c>
      <c r="V554" s="3" t="str">
        <f aca="false">IF(OR(E554="BAJO SS",E554="BAJO SS (XLIB CUBRE)"),"SÍ","")</f>
        <v/>
      </c>
      <c r="W554" s="3" t="str">
        <f aca="false">IF(AND(V554="",N(L554)&gt;=Parametros!$B$17,G554&gt;=H554,R554&lt;H554),"SÍ","")</f>
        <v/>
      </c>
      <c r="X554" s="3" t="str">
        <f aca="false">IF(OR(E554="SOBRE MAX VENDIBLE",N(N554)&gt;=Parametros!$B$17,N(M554)&gt;=Parametros!$B$17),"SÍ","")</f>
        <v/>
      </c>
      <c r="Y554" s="3" t="str">
        <f aca="false">IF(AND(ISNUMBER(U554),MAX(S554,T554)&gt;=Parametros!$B$15,ABS(N(U554))&gt;Parametros!$B$14),"SÍ","")</f>
        <v/>
      </c>
      <c r="Z554" s="3" t="n">
        <f aca="false">COUNTIF(V554:Y554,"SÍ")</f>
        <v>0</v>
      </c>
      <c r="AA554" s="3" t="n">
        <f aca="false">(3*(V554="SÍ")+2*(W554="SÍ")+2*(X554="SÍ")+(Y554="SÍ"))*IF(LEFT(D554,1)="A",3,IF(OR(LEFT(D554,1)="B",D554="SIN HIST"),2,1))</f>
        <v>0</v>
      </c>
      <c r="AB554" s="3" t="str">
        <f aca="false">IF(AA554&gt;=9,"1-ALTA",IF(AA554&gt;=4,"2-MEDIA",IF(AA554&gt;0,"3-BAJA","")))</f>
        <v/>
      </c>
      <c r="AC554" s="3" t="str">
        <f aca="false">IF(E554="BAJO SS","Stock + XLIB bajo el SS: riesgo real de quiebre, adelantar producción. ","")&amp;IF(E554="BAJO SS (XLIB CUBRE)","Disponible bajo el SS; depende de liberar "&amp;TEXT(J554,"#,##0")&amp;" kg"&amp;IF(ISNUMBER(K554)," el "&amp;TEXT(K554,"dd-mm"),"")&amp;". ","")&amp;IF(W554="SÍ","Stock parece sano pero "&amp;TEXT(L554,"#,##0")&amp;" kg no pasan filtro "&amp;Stock_Seguridad!O554&amp;": sin ellos queda bajo el SS para esa cadena. ","")&amp;IF(E554="SOBRE MAX VENDIBLE","Sobrestock vs vida útil: frenar producción/activar venta. ","")&amp;IF(N(N554)&gt;=Parametros!$B$17,TEXT(N554,"#,##0")&amp;" kg ya no los acepta ninguna cadena: venta intermedia/liquidación. ","")&amp;IF(N(M554)&gt;=Parametros!$B$17,TEXT(M554,"#,##0")&amp;" kg a punto de salir del filtro: despachar primero (FEFO). ","")&amp;IF(Y554="SÍ","Pedidos "&amp;IF(N(U554)&gt;0,"sobre","bajo")&amp;" FCST "&amp;TEXT(ABS(N(U554)),"0%")&amp;": revisar forecast con KAM.","")</f>
        <v/>
      </c>
    </row>
    <row r="555" customFormat="false" ht="15" hidden="false" customHeight="false" outlineLevel="0" collapsed="false">
      <c r="A555" s="18" t="n">
        <f aca="false">Stock_Seguridad!A555</f>
        <v>30001776</v>
      </c>
      <c r="B555" s="18" t="str">
        <f aca="false">Stock_Seguridad!B555</f>
        <v>JUGO 100% WATTS MZNA LV 12X1LT</v>
      </c>
      <c r="C555" s="18" t="str">
        <f aca="false">Stock_Seguridad!C555</f>
        <v>JUGOS Y NECTARES</v>
      </c>
      <c r="D555" s="18" t="str">
        <f aca="false">Stock_Seguridad!F555</f>
        <v>CY</v>
      </c>
      <c r="E555" s="19" t="str">
        <f aca="false">Stock_Seguridad!X555</f>
        <v>SOBRE MAX VENDIBLE</v>
      </c>
      <c r="F555" s="20" t="n">
        <f aca="false">Stock_Seguridad!W555</f>
        <v>5.98676146114244</v>
      </c>
      <c r="G555" s="21" t="n">
        <f aca="false">Stock_Seguridad!T555</f>
        <v>4884</v>
      </c>
      <c r="H555" s="21" t="n">
        <f aca="false">Stock_Seguridad!R555</f>
        <v>856.112508538283</v>
      </c>
      <c r="I555" s="21" t="n">
        <f aca="false">Stock_Seguridad!S555</f>
        <v>1671.91250853828</v>
      </c>
      <c r="J555" s="21" t="n">
        <f aca="false">Stock_Seguridad!U555</f>
        <v>0</v>
      </c>
      <c r="K555" s="22"/>
      <c r="L555" s="23" t="n">
        <v>4884</v>
      </c>
      <c r="M555" s="23" t="n">
        <v>0</v>
      </c>
      <c r="N555" s="23" t="n">
        <v>12</v>
      </c>
      <c r="O555" s="24" t="n">
        <v>0.280737100737101</v>
      </c>
      <c r="P555" s="24" t="n">
        <f aca="false">IF(ISNUMBER(Stock_Seguridad!N555),Stock_Seguridad!N555,"")</f>
        <v>0.190217391304348</v>
      </c>
      <c r="Q555" s="24" t="n">
        <f aca="false">IF(AND(ISNUMBER(O555),ISNUMBER(P555)),P555-O555,"")</f>
        <v>-0.090519709432753</v>
      </c>
      <c r="R555" s="23" t="n">
        <f aca="false">MAX(0,G555-N(L555))</f>
        <v>0</v>
      </c>
      <c r="S555" s="23" t="n">
        <f aca="false">SUMIFS(Cadenas_vs_FCST!$D$17:$D$2437,Cadenas_vs_FCST!$A$17:$A$2437,A555)</f>
        <v>1164</v>
      </c>
      <c r="T555" s="23" t="n">
        <f aca="false">SUMIFS(Cadenas_vs_FCST!$E$17:$E$2437,Cadenas_vs_FCST!$A$17:$A$2437,A555)</f>
        <v>2870.9165901585</v>
      </c>
      <c r="U555" s="24" t="n">
        <f aca="false">IF(T555&gt;0,S555/T555-1,"")</f>
        <v>-0.594554573967705</v>
      </c>
      <c r="V555" s="3" t="str">
        <f aca="false">IF(OR(E555="BAJO SS",E555="BAJO SS (XLIB CUBRE)"),"SÍ","")</f>
        <v/>
      </c>
      <c r="W555" s="3" t="str">
        <f aca="false">IF(AND(V555="",N(L555)&gt;=Parametros!$B$17,G555&gt;=H555,R555&lt;H555),"SÍ","")</f>
        <v>SÍ</v>
      </c>
      <c r="X555" s="3" t="str">
        <f aca="false">IF(OR(E555="SOBRE MAX VENDIBLE",N(N555)&gt;=Parametros!$B$17,N(M555)&gt;=Parametros!$B$17),"SÍ","")</f>
        <v>SÍ</v>
      </c>
      <c r="Y555" s="3" t="str">
        <f aca="false">IF(AND(ISNUMBER(U555),MAX(S555,T555)&gt;=Parametros!$B$15,ABS(N(U555))&gt;Parametros!$B$14),"SÍ","")</f>
        <v>SÍ</v>
      </c>
      <c r="Z555" s="3" t="n">
        <f aca="false">COUNTIF(V555:Y555,"SÍ")</f>
        <v>3</v>
      </c>
      <c r="AA555" s="3" t="n">
        <f aca="false">(3*(V555="SÍ")+2*(W555="SÍ")+2*(X555="SÍ")+(Y555="SÍ"))*IF(LEFT(D555,1)="A",3,IF(OR(LEFT(D555,1)="B",D555="SIN HIST"),2,1))</f>
        <v>5</v>
      </c>
      <c r="AB555" s="3" t="str">
        <f aca="false">IF(AA555&gt;=9,"1-ALTA",IF(AA555&gt;=4,"2-MEDIA",IF(AA555&gt;0,"3-BAJA","")))</f>
        <v>2-MEDIA</v>
      </c>
      <c r="AC555" s="3" t="str">
        <f aca="false">IF(E555="BAJO SS","Stock + XLIB bajo el SS: riesgo real de quiebre, adelantar producción. ","")&amp;IF(E555="BAJO SS (XLIB CUBRE)","Disponible bajo el SS; depende de liberar "&amp;TEXT(J555,"#,##0")&amp;" kg"&amp;IF(ISNUMBER(K555)," el "&amp;TEXT(K555,"dd-mm"),"")&amp;". ","")&amp;IF(W555="SÍ","Stock parece sano pero "&amp;TEXT(L555,"#,##0")&amp;" kg no pasan filtro "&amp;Stock_Seguridad!O555&amp;": sin ellos queda bajo el SS para esa cadena. ","")&amp;IF(E555="SOBRE MAX VENDIBLE","Sobrestock vs vida útil: frenar producción/activar venta. ","")&amp;IF(N(N555)&gt;=Parametros!$B$17,TEXT(N555,"#,##0")&amp;" kg ya no los acepta ninguna cadena: venta intermedia/liquidación. ","")&amp;IF(N(M555)&gt;=Parametros!$B$17,TEXT(M555,"#,##0")&amp;" kg a punto de salir del filtro: despachar primero (FEFO). ","")&amp;IF(Y555="SÍ","Pedidos "&amp;IF(N(U555)&gt;0,"sobre","bajo")&amp;" FCST "&amp;TEXT(ABS(N(U555)),"0%")&amp;": revisar forecast con KAM.","")</f>
        <v>Stock parece sano pero 4,884 kg no pasan filtro CENCOSUD CENTRAL: sin ellos queda bajo el SS para esa cadena. Sobrestock vs vida útil: frenar producción/activar venta. Pedidos bajo FCST 59%: revisar forecast con KAM.</v>
      </c>
    </row>
    <row r="556" customFormat="false" ht="15" hidden="false" customHeight="false" outlineLevel="0" collapsed="false">
      <c r="A556" s="18" t="n">
        <f aca="false">Stock_Seguridad!A556</f>
        <v>30001870</v>
      </c>
      <c r="B556" s="18" t="str">
        <f aca="false">Stock_Seguridad!B556</f>
        <v>PAPAS GAJO CON PIEL 25X500GR</v>
      </c>
      <c r="C556" s="18" t="str">
        <f aca="false">Stock_Seguridad!C556</f>
        <v>FRUTAS Y HORTALIZAS CONGELADAS</v>
      </c>
      <c r="D556" s="18" t="str">
        <f aca="false">Stock_Seguridad!F556</f>
        <v>SIN HIST</v>
      </c>
      <c r="E556" s="19" t="str">
        <f aca="false">Stock_Seguridad!X556</f>
        <v>OK</v>
      </c>
      <c r="F556" s="20" t="n">
        <f aca="false">Stock_Seguridad!W556</f>
        <v>7.87873203096204</v>
      </c>
      <c r="G556" s="21" t="n">
        <f aca="false">Stock_Seguridad!T556</f>
        <v>6412.5</v>
      </c>
      <c r="H556" s="21" t="n">
        <f aca="false">Stock_Seguridad!R556</f>
        <v>401.623910092741</v>
      </c>
      <c r="I556" s="21" t="n">
        <f aca="false">Stock_Seguridad!S556</f>
        <v>1215.52391009274</v>
      </c>
      <c r="J556" s="21" t="n">
        <f aca="false">Stock_Seguridad!U556</f>
        <v>0</v>
      </c>
      <c r="K556" s="22"/>
      <c r="L556" s="23" t="n">
        <v>0</v>
      </c>
      <c r="M556" s="23" t="n">
        <v>0</v>
      </c>
      <c r="N556" s="23" t="n">
        <v>0</v>
      </c>
      <c r="O556" s="24" t="n">
        <v>0.0701956947162427</v>
      </c>
      <c r="P556" s="24" t="str">
        <f aca="false">IF(ISNUMBER(Stock_Seguridad!N556),Stock_Seguridad!N556,"")</f>
        <v/>
      </c>
      <c r="Q556" s="24" t="str">
        <f aca="false">IF(AND(ISNUMBER(O556),ISNUMBER(P556)),P556-O556,"")</f>
        <v/>
      </c>
      <c r="R556" s="23" t="n">
        <f aca="false">MAX(0,G556-N(L556))</f>
        <v>6412.5</v>
      </c>
      <c r="S556" s="23" t="n">
        <f aca="false">SUMIFS(Cadenas_vs_FCST!$D$17:$D$2437,Cadenas_vs_FCST!$A$17:$A$2437,A556)</f>
        <v>0</v>
      </c>
      <c r="T556" s="23" t="n">
        <f aca="false">SUMIFS(Cadenas_vs_FCST!$E$17:$E$2437,Cadenas_vs_FCST!$A$17:$A$2437,A556)</f>
        <v>0</v>
      </c>
      <c r="U556" s="24" t="str">
        <f aca="false">IF(T556&gt;0,S556/T556-1,"")</f>
        <v/>
      </c>
      <c r="V556" s="3" t="str">
        <f aca="false">IF(OR(E556="BAJO SS",E556="BAJO SS (XLIB CUBRE)"),"SÍ","")</f>
        <v/>
      </c>
      <c r="W556" s="3" t="str">
        <f aca="false">IF(AND(V556="",N(L556)&gt;=Parametros!$B$17,G556&gt;=H556,R556&lt;H556),"SÍ","")</f>
        <v/>
      </c>
      <c r="X556" s="3" t="str">
        <f aca="false">IF(OR(E556="SOBRE MAX VENDIBLE",N(N556)&gt;=Parametros!$B$17,N(M556)&gt;=Parametros!$B$17),"SÍ","")</f>
        <v/>
      </c>
      <c r="Y556" s="3" t="str">
        <f aca="false">IF(AND(ISNUMBER(U556),MAX(S556,T556)&gt;=Parametros!$B$15,ABS(N(U556))&gt;Parametros!$B$14),"SÍ","")</f>
        <v/>
      </c>
      <c r="Z556" s="3" t="n">
        <f aca="false">COUNTIF(V556:Y556,"SÍ")</f>
        <v>0</v>
      </c>
      <c r="AA556" s="3" t="n">
        <f aca="false">(3*(V556="SÍ")+2*(W556="SÍ")+2*(X556="SÍ")+(Y556="SÍ"))*IF(LEFT(D556,1)="A",3,IF(OR(LEFT(D556,1)="B",D556="SIN HIST"),2,1))</f>
        <v>0</v>
      </c>
      <c r="AB556" s="3" t="str">
        <f aca="false">IF(AA556&gt;=9,"1-ALTA",IF(AA556&gt;=4,"2-MEDIA",IF(AA556&gt;0,"3-BAJA","")))</f>
        <v/>
      </c>
      <c r="AC556" s="3" t="str">
        <f aca="false">IF(E556="BAJO SS","Stock + XLIB bajo el SS: riesgo real de quiebre, adelantar producción. ","")&amp;IF(E556="BAJO SS (XLIB CUBRE)","Disponible bajo el SS; depende de liberar "&amp;TEXT(J556,"#,##0")&amp;" kg"&amp;IF(ISNUMBER(K556)," el "&amp;TEXT(K556,"dd-mm"),"")&amp;". ","")&amp;IF(W556="SÍ","Stock parece sano pero "&amp;TEXT(L556,"#,##0")&amp;" kg no pasan filtro "&amp;Stock_Seguridad!O556&amp;": sin ellos queda bajo el SS para esa cadena. ","")&amp;IF(E556="SOBRE MAX VENDIBLE","Sobrestock vs vida útil: frenar producción/activar venta. ","")&amp;IF(N(N556)&gt;=Parametros!$B$17,TEXT(N556,"#,##0")&amp;" kg ya no los acepta ninguna cadena: venta intermedia/liquidación. ","")&amp;IF(N(M556)&gt;=Parametros!$B$17,TEXT(M556,"#,##0")&amp;" kg a punto de salir del filtro: despachar primero (FEFO). ","")&amp;IF(Y556="SÍ","Pedidos "&amp;IF(N(U556)&gt;0,"sobre","bajo")&amp;" FCST "&amp;TEXT(ABS(N(U556)),"0%")&amp;": revisar forecast con KAM.","")</f>
        <v/>
      </c>
    </row>
    <row r="557" customFormat="false" ht="15" hidden="false" customHeight="false" outlineLevel="0" collapsed="false">
      <c r="A557" s="18" t="n">
        <f aca="false">Stock_Seguridad!A557</f>
        <v>30000052</v>
      </c>
      <c r="B557" s="18" t="str">
        <f aca="false">Stock_Seguridad!B557</f>
        <v>ACEITE CHEF MAIZ 12X1LT</v>
      </c>
      <c r="C557" s="18" t="str">
        <f aca="false">Stock_Seguridad!C557</f>
        <v>ACEITES</v>
      </c>
      <c r="D557" s="18" t="str">
        <f aca="false">Stock_Seguridad!F557</f>
        <v>CX</v>
      </c>
      <c r="E557" s="19" t="str">
        <f aca="false">Stock_Seguridad!X557</f>
        <v>OK</v>
      </c>
      <c r="F557" s="20" t="n">
        <f aca="false">Stock_Seguridad!W557</f>
        <v>7.82692307692308</v>
      </c>
      <c r="G557" s="21" t="n">
        <f aca="false">Stock_Seguridad!T557</f>
        <v>6349.2</v>
      </c>
      <c r="H557" s="21" t="n">
        <f aca="false">Stock_Seguridad!R557</f>
        <v>605.187494413275</v>
      </c>
      <c r="I557" s="21" t="n">
        <f aca="false">Stock_Seguridad!S557</f>
        <v>1416.38749441328</v>
      </c>
      <c r="J557" s="21" t="n">
        <f aca="false">Stock_Seguridad!U557</f>
        <v>0</v>
      </c>
      <c r="K557" s="22"/>
      <c r="L557" s="23" t="n">
        <v>0</v>
      </c>
      <c r="M557" s="23" t="n">
        <v>1221</v>
      </c>
      <c r="N557" s="23" t="n">
        <v>0</v>
      </c>
      <c r="O557" s="24" t="n">
        <v>0.150769230769231</v>
      </c>
      <c r="P557" s="24" t="n">
        <f aca="false">IF(ISNUMBER(Stock_Seguridad!N557),Stock_Seguridad!N557,"")</f>
        <v>0.32054794520548</v>
      </c>
      <c r="Q557" s="24" t="n">
        <f aca="false">IF(AND(ISNUMBER(O557),ISNUMBER(P557)),P557-O557,"")</f>
        <v>0.169778714436249</v>
      </c>
      <c r="R557" s="23" t="n">
        <f aca="false">MAX(0,G557-N(L557))</f>
        <v>6349.2</v>
      </c>
      <c r="S557" s="23" t="n">
        <f aca="false">SUMIFS(Cadenas_vs_FCST!$D$17:$D$2437,Cadenas_vs_FCST!$A$17:$A$2437,A557)</f>
        <v>2775</v>
      </c>
      <c r="T557" s="23" t="n">
        <f aca="false">SUMIFS(Cadenas_vs_FCST!$E$17:$E$2437,Cadenas_vs_FCST!$A$17:$A$2437,A557)</f>
        <v>2812.6</v>
      </c>
      <c r="U557" s="24" t="n">
        <f aca="false">IF(T557&gt;0,S557/T557-1,"")</f>
        <v>-0.0133684135675176</v>
      </c>
      <c r="V557" s="3" t="str">
        <f aca="false">IF(OR(E557="BAJO SS",E557="BAJO SS (XLIB CUBRE)"),"SÍ","")</f>
        <v/>
      </c>
      <c r="W557" s="3" t="str">
        <f aca="false">IF(AND(V557="",N(L557)&gt;=Parametros!$B$17,G557&gt;=H557,R557&lt;H557),"SÍ","")</f>
        <v/>
      </c>
      <c r="X557" s="3" t="str">
        <f aca="false">IF(OR(E557="SOBRE MAX VENDIBLE",N(N557)&gt;=Parametros!$B$17,N(M557)&gt;=Parametros!$B$17),"SÍ","")</f>
        <v>SÍ</v>
      </c>
      <c r="Y557" s="3" t="str">
        <f aca="false">IF(AND(ISNUMBER(U557),MAX(S557,T557)&gt;=Parametros!$B$15,ABS(N(U557))&gt;Parametros!$B$14),"SÍ","")</f>
        <v/>
      </c>
      <c r="Z557" s="3" t="n">
        <f aca="false">COUNTIF(V557:Y557,"SÍ")</f>
        <v>1</v>
      </c>
      <c r="AA557" s="3" t="n">
        <f aca="false">(3*(V557="SÍ")+2*(W557="SÍ")+2*(X557="SÍ")+(Y557="SÍ"))*IF(LEFT(D557,1)="A",3,IF(OR(LEFT(D557,1)="B",D557="SIN HIST"),2,1))</f>
        <v>2</v>
      </c>
      <c r="AB557" s="3" t="str">
        <f aca="false">IF(AA557&gt;=9,"1-ALTA",IF(AA557&gt;=4,"2-MEDIA",IF(AA557&gt;0,"3-BAJA","")))</f>
        <v>3-BAJA</v>
      </c>
      <c r="AC557" s="3" t="str">
        <f aca="false">IF(E557="BAJO SS","Stock + XLIB bajo el SS: riesgo real de quiebre, adelantar producción. ","")&amp;IF(E557="BAJO SS (XLIB CUBRE)","Disponible bajo el SS; depende de liberar "&amp;TEXT(J557,"#,##0")&amp;" kg"&amp;IF(ISNUMBER(K557)," el "&amp;TEXT(K557,"dd-mm"),"")&amp;". ","")&amp;IF(W557="SÍ","Stock parece sano pero "&amp;TEXT(L557,"#,##0")&amp;" kg no pasan filtro "&amp;Stock_Seguridad!O557&amp;": sin ellos queda bajo el SS para esa cadena. ","")&amp;IF(E557="SOBRE MAX VENDIBLE","Sobrestock vs vida útil: frenar producción/activar venta. ","")&amp;IF(N(N557)&gt;=Parametros!$B$17,TEXT(N557,"#,##0")&amp;" kg ya no los acepta ninguna cadena: venta intermedia/liquidación. ","")&amp;IF(N(M557)&gt;=Parametros!$B$17,TEXT(M557,"#,##0")&amp;" kg a punto de salir del filtro: despachar primero (FEFO). ","")&amp;IF(Y557="SÍ","Pedidos "&amp;IF(N(U557)&gt;0,"sobre","bajo")&amp;" FCST "&amp;TEXT(ABS(N(U557)),"0%")&amp;": revisar forecast con KAM.","")</f>
        <v>1,221 kg a punto de salir del filtro: despachar primero (FEFO). </v>
      </c>
    </row>
    <row r="558" customFormat="false" ht="15" hidden="false" customHeight="false" outlineLevel="0" collapsed="false">
      <c r="A558" s="18" t="n">
        <f aca="false">Stock_Seguridad!A558</f>
        <v>30002269</v>
      </c>
      <c r="B558" s="18" t="str">
        <f aca="false">Stock_Seguridad!B558</f>
        <v>CREMA S/L BATIR LONCO 12X500ML</v>
      </c>
      <c r="C558" s="18" t="str">
        <f aca="false">Stock_Seguridad!C558</f>
        <v>CREMA</v>
      </c>
      <c r="D558" s="18" t="str">
        <f aca="false">Stock_Seguridad!F558</f>
        <v>CY</v>
      </c>
      <c r="E558" s="19" t="str">
        <f aca="false">Stock_Seguridad!X558</f>
        <v>OK</v>
      </c>
      <c r="F558" s="20" t="n">
        <f aca="false">Stock_Seguridad!W558</f>
        <v>5.04935834155972</v>
      </c>
      <c r="G558" s="21" t="n">
        <f aca="false">Stock_Seguridad!T558</f>
        <v>4092</v>
      </c>
      <c r="H558" s="21" t="n">
        <f aca="false">Stock_Seguridad!R558</f>
        <v>2421.99288545989</v>
      </c>
      <c r="I558" s="21" t="n">
        <f aca="false">Stock_Seguridad!S558</f>
        <v>3232.39288545989</v>
      </c>
      <c r="J558" s="21" t="n">
        <f aca="false">Stock_Seguridad!U558</f>
        <v>0</v>
      </c>
      <c r="K558" s="22"/>
      <c r="L558" s="23" t="n">
        <v>6</v>
      </c>
      <c r="M558" s="23" t="n">
        <v>42</v>
      </c>
      <c r="N558" s="23" t="n">
        <v>6</v>
      </c>
      <c r="O558" s="24" t="n">
        <v>0.161715542521994</v>
      </c>
      <c r="P558" s="24" t="n">
        <f aca="false">IF(ISNUMBER(Stock_Seguridad!N558),Stock_Seguridad!N558,"")</f>
        <v>0.29</v>
      </c>
      <c r="Q558" s="24" t="n">
        <f aca="false">IF(AND(ISNUMBER(O558),ISNUMBER(P558)),P558-O558,"")</f>
        <v>0.128284457478006</v>
      </c>
      <c r="R558" s="23" t="n">
        <f aca="false">MAX(0,G558-N(L558))</f>
        <v>4086</v>
      </c>
      <c r="S558" s="23" t="n">
        <f aca="false">SUMIFS(Cadenas_vs_FCST!$D$17:$D$2437,Cadenas_vs_FCST!$A$17:$A$2437,A558)</f>
        <v>7752</v>
      </c>
      <c r="T558" s="23" t="n">
        <f aca="false">SUMIFS(Cadenas_vs_FCST!$E$17:$E$2437,Cadenas_vs_FCST!$A$17:$A$2437,A558)</f>
        <v>5556.75930061848</v>
      </c>
      <c r="U558" s="24" t="n">
        <f aca="false">IF(T558&gt;0,S558/T558-1,"")</f>
        <v>0.39505772710673</v>
      </c>
      <c r="V558" s="3" t="str">
        <f aca="false">IF(OR(E558="BAJO SS",E558="BAJO SS (XLIB CUBRE)"),"SÍ","")</f>
        <v/>
      </c>
      <c r="W558" s="3" t="str">
        <f aca="false">IF(AND(V558="",N(L558)&gt;=Parametros!$B$17,G558&gt;=H558,R558&lt;H558),"SÍ","")</f>
        <v/>
      </c>
      <c r="X558" s="3" t="str">
        <f aca="false">IF(OR(E558="SOBRE MAX VENDIBLE",N(N558)&gt;=Parametros!$B$17,N(M558)&gt;=Parametros!$B$17),"SÍ","")</f>
        <v/>
      </c>
      <c r="Y558" s="3" t="str">
        <f aca="false">IF(AND(ISNUMBER(U558),MAX(S558,T558)&gt;=Parametros!$B$15,ABS(N(U558))&gt;Parametros!$B$14),"SÍ","")</f>
        <v>SÍ</v>
      </c>
      <c r="Z558" s="3" t="n">
        <f aca="false">COUNTIF(V558:Y558,"SÍ")</f>
        <v>1</v>
      </c>
      <c r="AA558" s="3" t="n">
        <f aca="false">(3*(V558="SÍ")+2*(W558="SÍ")+2*(X558="SÍ")+(Y558="SÍ"))*IF(LEFT(D558,1)="A",3,IF(OR(LEFT(D558,1)="B",D558="SIN HIST"),2,1))</f>
        <v>1</v>
      </c>
      <c r="AB558" s="3" t="str">
        <f aca="false">IF(AA558&gt;=9,"1-ALTA",IF(AA558&gt;=4,"2-MEDIA",IF(AA558&gt;0,"3-BAJA","")))</f>
        <v>3-BAJA</v>
      </c>
      <c r="AC558" s="3" t="str">
        <f aca="false">IF(E558="BAJO SS","Stock + XLIB bajo el SS: riesgo real de quiebre, adelantar producción. ","")&amp;IF(E558="BAJO SS (XLIB CUBRE)","Disponible bajo el SS; depende de liberar "&amp;TEXT(J558,"#,##0")&amp;" kg"&amp;IF(ISNUMBER(K558)," el "&amp;TEXT(K558,"dd-mm"),"")&amp;". ","")&amp;IF(W558="SÍ","Stock parece sano pero "&amp;TEXT(L558,"#,##0")&amp;" kg no pasan filtro "&amp;Stock_Seguridad!O558&amp;": sin ellos queda bajo el SS para esa cadena. ","")&amp;IF(E558="SOBRE MAX VENDIBLE","Sobrestock vs vida útil: frenar producción/activar venta. ","")&amp;IF(N(N558)&gt;=Parametros!$B$17,TEXT(N558,"#,##0")&amp;" kg ya no los acepta ninguna cadena: venta intermedia/liquidación. ","")&amp;IF(N(M558)&gt;=Parametros!$B$17,TEXT(M558,"#,##0")&amp;" kg a punto de salir del filtro: despachar primero (FEFO). ","")&amp;IF(Y558="SÍ","Pedidos "&amp;IF(N(U558)&gt;0,"sobre","bajo")&amp;" FCST "&amp;TEXT(ABS(N(U558)),"0%")&amp;": revisar forecast con KAM.","")</f>
        <v>Pedidos sobre FCST 40%: revisar forecast con KAM.</v>
      </c>
    </row>
    <row r="559" customFormat="false" ht="15" hidden="false" customHeight="false" outlineLevel="0" collapsed="false">
      <c r="A559" s="18" t="n">
        <f aca="false">Stock_Seguridad!A559</f>
        <v>30002171</v>
      </c>
      <c r="B559" s="18" t="str">
        <f aca="false">Stock_Seguridad!B559</f>
        <v>FRUGO PIÑA 6X1,6LT</v>
      </c>
      <c r="C559" s="18" t="str">
        <f aca="false">Stock_Seguridad!C559</f>
        <v>JUGOS Y NECTARES</v>
      </c>
      <c r="D559" s="18" t="str">
        <f aca="false">Stock_Seguridad!F559</f>
        <v>CX</v>
      </c>
      <c r="E559" s="19" t="str">
        <f aca="false">Stock_Seguridad!X559</f>
        <v>SOBRE MAX VENDIBLE</v>
      </c>
      <c r="F559" s="20" t="n">
        <f aca="false">Stock_Seguridad!W559</f>
        <v>7.26030449313034</v>
      </c>
      <c r="G559" s="21" t="n">
        <f aca="false">Stock_Seguridad!T559</f>
        <v>1046.4</v>
      </c>
      <c r="H559" s="21" t="n">
        <f aca="false">Stock_Seguridad!R559</f>
        <v>523.486932995425</v>
      </c>
      <c r="I559" s="21" t="n">
        <f aca="false">Stock_Seguridad!S559</f>
        <v>1331.38693299543</v>
      </c>
      <c r="J559" s="21" t="n">
        <f aca="false">Stock_Seguridad!U559</f>
        <v>4819.2</v>
      </c>
      <c r="K559" s="22" t="n">
        <v>46318</v>
      </c>
      <c r="L559" s="23" t="n">
        <v>0</v>
      </c>
      <c r="M559" s="23" t="n">
        <v>1046.4</v>
      </c>
      <c r="N559" s="23" t="n">
        <v>0</v>
      </c>
      <c r="O559" s="24" t="n">
        <v>0.0592471358428805</v>
      </c>
      <c r="P559" s="24" t="n">
        <f aca="false">IF(ISNUMBER(Stock_Seguridad!N559),Stock_Seguridad!N559,"")</f>
        <v>0.260162601626016</v>
      </c>
      <c r="Q559" s="24" t="n">
        <f aca="false">IF(AND(ISNUMBER(O559),ISNUMBER(P559)),P559-O559,"")</f>
        <v>0.200915465783136</v>
      </c>
      <c r="R559" s="23" t="n">
        <f aca="false">MAX(0,G559-N(L559))</f>
        <v>1046.4</v>
      </c>
      <c r="S559" s="23" t="n">
        <f aca="false">SUMIFS(Cadenas_vs_FCST!$D$17:$D$2437,Cadenas_vs_FCST!$A$17:$A$2437,A559)</f>
        <v>5856</v>
      </c>
      <c r="T559" s="23" t="n">
        <f aca="false">SUMIFS(Cadenas_vs_FCST!$E$17:$E$2437,Cadenas_vs_FCST!$A$17:$A$2437,A559)</f>
        <v>4489.5268355497</v>
      </c>
      <c r="U559" s="24" t="n">
        <f aca="false">IF(T559&gt;0,S559/T559-1,"")</f>
        <v>0.304369082645875</v>
      </c>
      <c r="V559" s="3" t="str">
        <f aca="false">IF(OR(E559="BAJO SS",E559="BAJO SS (XLIB CUBRE)"),"SÍ","")</f>
        <v/>
      </c>
      <c r="W559" s="3" t="str">
        <f aca="false">IF(AND(V559="",N(L559)&gt;=Parametros!$B$17,G559&gt;=H559,R559&lt;H559),"SÍ","")</f>
        <v/>
      </c>
      <c r="X559" s="3" t="str">
        <f aca="false">IF(OR(E559="SOBRE MAX VENDIBLE",N(N559)&gt;=Parametros!$B$17,N(M559)&gt;=Parametros!$B$17),"SÍ","")</f>
        <v>SÍ</v>
      </c>
      <c r="Y559" s="3" t="str">
        <f aca="false">IF(AND(ISNUMBER(U559),MAX(S559,T559)&gt;=Parametros!$B$15,ABS(N(U559))&gt;Parametros!$B$14),"SÍ","")</f>
        <v>SÍ</v>
      </c>
      <c r="Z559" s="3" t="n">
        <f aca="false">COUNTIF(V559:Y559,"SÍ")</f>
        <v>2</v>
      </c>
      <c r="AA559" s="3" t="n">
        <f aca="false">(3*(V559="SÍ")+2*(W559="SÍ")+2*(X559="SÍ")+(Y559="SÍ"))*IF(LEFT(D559,1)="A",3,IF(OR(LEFT(D559,1)="B",D559="SIN HIST"),2,1))</f>
        <v>3</v>
      </c>
      <c r="AB559" s="3" t="str">
        <f aca="false">IF(AA559&gt;=9,"1-ALTA",IF(AA559&gt;=4,"2-MEDIA",IF(AA559&gt;0,"3-BAJA","")))</f>
        <v>3-BAJA</v>
      </c>
      <c r="AC559" s="3" t="str">
        <f aca="false">IF(E559="BAJO SS","Stock + XLIB bajo el SS: riesgo real de quiebre, adelantar producción. ","")&amp;IF(E559="BAJO SS (XLIB CUBRE)","Disponible bajo el SS; depende de liberar "&amp;TEXT(J559,"#,##0")&amp;" kg"&amp;IF(ISNUMBER(K559)," el "&amp;TEXT(K559,"dd-mm"),"")&amp;". ","")&amp;IF(W559="SÍ","Stock parece sano pero "&amp;TEXT(L559,"#,##0")&amp;" kg no pasan filtro "&amp;Stock_Seguridad!O559&amp;": sin ellos queda bajo el SS para esa cadena. ","")&amp;IF(E559="SOBRE MAX VENDIBLE","Sobrestock vs vida útil: frenar producción/activar venta. ","")&amp;IF(N(N559)&gt;=Parametros!$B$17,TEXT(N559,"#,##0")&amp;" kg ya no los acepta ninguna cadena: venta intermedia/liquidación. ","")&amp;IF(N(M559)&gt;=Parametros!$B$17,TEXT(M559,"#,##0")&amp;" kg a punto de salir del filtro: despachar primero (FEFO). ","")&amp;IF(Y559="SÍ","Pedidos "&amp;IF(N(U559)&gt;0,"sobre","bajo")&amp;" FCST "&amp;TEXT(ABS(N(U559)),"0%")&amp;": revisar forecast con KAM.","")</f>
        <v>Sobrestock vs vida útil: frenar producción/activar venta. 1,046 kg a punto de salir del filtro: despachar primero (FEFO). Pedidos sobre FCST 30%: revisar forecast con KAM.</v>
      </c>
    </row>
    <row r="560" customFormat="false" ht="15" hidden="false" customHeight="false" outlineLevel="0" collapsed="false">
      <c r="A560" s="18" t="n">
        <f aca="false">Stock_Seguridad!A560</f>
        <v>30000089</v>
      </c>
      <c r="B560" s="18" t="str">
        <f aca="false">Stock_Seguridad!B560</f>
        <v>MANTECA CRUCINA 20X400GR</v>
      </c>
      <c r="C560" s="18" t="str">
        <f aca="false">Stock_Seguridad!C560</f>
        <v>MANTECAS</v>
      </c>
      <c r="D560" s="18" t="str">
        <f aca="false">Stock_Seguridad!F560</f>
        <v>BY</v>
      </c>
      <c r="E560" s="19" t="str">
        <f aca="false">Stock_Seguridad!X560</f>
        <v>SOBRE MAX VENDIBLE</v>
      </c>
      <c r="F560" s="20" t="n">
        <f aca="false">Stock_Seguridad!W560</f>
        <v>7.44</v>
      </c>
      <c r="G560" s="21" t="n">
        <f aca="false">Stock_Seguridad!T560</f>
        <v>5952</v>
      </c>
      <c r="H560" s="21" t="n">
        <f aca="false">Stock_Seguridad!R560</f>
        <v>1159.59012108848</v>
      </c>
      <c r="I560" s="21" t="n">
        <f aca="false">Stock_Seguridad!S560</f>
        <v>1959.59012108848</v>
      </c>
      <c r="J560" s="21" t="n">
        <f aca="false">Stock_Seguridad!U560</f>
        <v>0</v>
      </c>
      <c r="K560" s="22"/>
      <c r="L560" s="23" t="n">
        <v>2144</v>
      </c>
      <c r="M560" s="23" t="n">
        <v>3776</v>
      </c>
      <c r="N560" s="23" t="n">
        <v>352</v>
      </c>
      <c r="O560" s="24" t="n">
        <v>0.206810810810811</v>
      </c>
      <c r="P560" s="24" t="n">
        <f aca="false">IF(ISNUMBER(Stock_Seguridad!N560),Stock_Seguridad!N560,"")</f>
        <v>0.217391304347826</v>
      </c>
      <c r="Q560" s="24" t="n">
        <f aca="false">IF(AND(ISNUMBER(O560),ISNUMBER(P560)),P560-O560,"")</f>
        <v>0.0105804935370153</v>
      </c>
      <c r="R560" s="23" t="n">
        <f aca="false">MAX(0,G560-N(L560))</f>
        <v>3808</v>
      </c>
      <c r="S560" s="23" t="n">
        <f aca="false">SUMIFS(Cadenas_vs_FCST!$D$17:$D$2437,Cadenas_vs_FCST!$A$17:$A$2437,A560)</f>
        <v>7736</v>
      </c>
      <c r="T560" s="23" t="n">
        <f aca="false">SUMIFS(Cadenas_vs_FCST!$E$17:$E$2437,Cadenas_vs_FCST!$A$17:$A$2437,A560)</f>
        <v>7835.29544101622</v>
      </c>
      <c r="U560" s="24" t="n">
        <f aca="false">IF(T560&gt;0,S560/T560-1,"")</f>
        <v>-0.0126728394307154</v>
      </c>
      <c r="V560" s="3" t="str">
        <f aca="false">IF(OR(E560="BAJO SS",E560="BAJO SS (XLIB CUBRE)"),"SÍ","")</f>
        <v/>
      </c>
      <c r="W560" s="3" t="str">
        <f aca="false">IF(AND(V560="",N(L560)&gt;=Parametros!$B$17,G560&gt;=H560,R560&lt;H560),"SÍ","")</f>
        <v/>
      </c>
      <c r="X560" s="3" t="str">
        <f aca="false">IF(OR(E560="SOBRE MAX VENDIBLE",N(N560)&gt;=Parametros!$B$17,N(M560)&gt;=Parametros!$B$17),"SÍ","")</f>
        <v>SÍ</v>
      </c>
      <c r="Y560" s="3" t="str">
        <f aca="false">IF(AND(ISNUMBER(U560),MAX(S560,T560)&gt;=Parametros!$B$15,ABS(N(U560))&gt;Parametros!$B$14),"SÍ","")</f>
        <v/>
      </c>
      <c r="Z560" s="3" t="n">
        <f aca="false">COUNTIF(V560:Y560,"SÍ")</f>
        <v>1</v>
      </c>
      <c r="AA560" s="3" t="n">
        <f aca="false">(3*(V560="SÍ")+2*(W560="SÍ")+2*(X560="SÍ")+(Y560="SÍ"))*IF(LEFT(D560,1)="A",3,IF(OR(LEFT(D560,1)="B",D560="SIN HIST"),2,1))</f>
        <v>4</v>
      </c>
      <c r="AB560" s="3" t="str">
        <f aca="false">IF(AA560&gt;=9,"1-ALTA",IF(AA560&gt;=4,"2-MEDIA",IF(AA560&gt;0,"3-BAJA","")))</f>
        <v>2-MEDIA</v>
      </c>
      <c r="AC560" s="3" t="str">
        <f aca="false">IF(E560="BAJO SS","Stock + XLIB bajo el SS: riesgo real de quiebre, adelantar producción. ","")&amp;IF(E560="BAJO SS (XLIB CUBRE)","Disponible bajo el SS; depende de liberar "&amp;TEXT(J560,"#,##0")&amp;" kg"&amp;IF(ISNUMBER(K560)," el "&amp;TEXT(K560,"dd-mm"),"")&amp;". ","")&amp;IF(W560="SÍ","Stock parece sano pero "&amp;TEXT(L560,"#,##0")&amp;" kg no pasan filtro "&amp;Stock_Seguridad!O560&amp;": sin ellos queda bajo el SS para esa cadena. ","")&amp;IF(E560="SOBRE MAX VENDIBLE","Sobrestock vs vida útil: frenar producción/activar venta. ","")&amp;IF(N(N560)&gt;=Parametros!$B$17,TEXT(N560,"#,##0")&amp;" kg ya no los acepta ninguna cadena: venta intermedia/liquidación. ","")&amp;IF(N(M560)&gt;=Parametros!$B$17,TEXT(M560,"#,##0")&amp;" kg a punto de salir del filtro: despachar primero (FEFO). ","")&amp;IF(Y560="SÍ","Pedidos "&amp;IF(N(U560)&gt;0,"sobre","bajo")&amp;" FCST "&amp;TEXT(ABS(N(U560)),"0%")&amp;": revisar forecast con KAM.","")</f>
        <v>Sobrestock vs vida útil: frenar producción/activar venta. 3,776 kg a punto de salir del filtro: despachar primero (FEFO). </v>
      </c>
    </row>
    <row r="561" customFormat="false" ht="15" hidden="false" customHeight="false" outlineLevel="0" collapsed="false">
      <c r="A561" s="18" t="n">
        <f aca="false">Stock_Seguridad!A561</f>
        <v>30000494</v>
      </c>
      <c r="B561" s="18" t="str">
        <f aca="false">Stock_Seguridad!B561</f>
        <v>YOGURT LONCO S/LACT VAINILLA BOT 6X900GR</v>
      </c>
      <c r="C561" s="18" t="str">
        <f aca="false">Stock_Seguridad!C561</f>
        <v>YOGURT</v>
      </c>
      <c r="D561" s="18" t="str">
        <f aca="false">Stock_Seguridad!F561</f>
        <v>CY</v>
      </c>
      <c r="E561" s="19" t="str">
        <f aca="false">Stock_Seguridad!X561</f>
        <v>SOBRE MAX VENDIBLE</v>
      </c>
      <c r="F561" s="20" t="n">
        <f aca="false">Stock_Seguridad!W561</f>
        <v>3.00375</v>
      </c>
      <c r="G561" s="21" t="n">
        <f aca="false">Stock_Seguridad!T561</f>
        <v>2403</v>
      </c>
      <c r="H561" s="21" t="n">
        <f aca="false">Stock_Seguridad!R561</f>
        <v>687.333146086188</v>
      </c>
      <c r="I561" s="21" t="n">
        <f aca="false">Stock_Seguridad!S561</f>
        <v>1487.33314608619</v>
      </c>
      <c r="J561" s="21" t="n">
        <f aca="false">Stock_Seguridad!U561</f>
        <v>0</v>
      </c>
      <c r="K561" s="22"/>
      <c r="L561" s="23" t="n">
        <v>1382.4</v>
      </c>
      <c r="M561" s="23" t="n">
        <v>0</v>
      </c>
      <c r="N561" s="23" t="n">
        <v>1382.4</v>
      </c>
      <c r="O561" s="24" t="n">
        <v>0.265325842696629</v>
      </c>
      <c r="P561" s="24" t="n">
        <f aca="false">IF(ISNUMBER(Stock_Seguridad!N561),Stock_Seguridad!N561,"")</f>
        <v>0.295774647887324</v>
      </c>
      <c r="Q561" s="24" t="n">
        <f aca="false">IF(AND(ISNUMBER(O561),ISNUMBER(P561)),P561-O561,"")</f>
        <v>0.0304488051906948</v>
      </c>
      <c r="R561" s="23" t="n">
        <f aca="false">MAX(0,G561-N(L561))</f>
        <v>1020.6</v>
      </c>
      <c r="S561" s="23" t="n">
        <f aca="false">SUMIFS(Cadenas_vs_FCST!$D$17:$D$2437,Cadenas_vs_FCST!$A$17:$A$2437,A561)</f>
        <v>1139.4</v>
      </c>
      <c r="T561" s="23" t="n">
        <f aca="false">SUMIFS(Cadenas_vs_FCST!$E$17:$E$2437,Cadenas_vs_FCST!$A$17:$A$2437,A561)</f>
        <v>3450.52456231036</v>
      </c>
      <c r="U561" s="24" t="n">
        <f aca="false">IF(T561&gt;0,S561/T561-1,"")</f>
        <v>-0.669789337990657</v>
      </c>
      <c r="V561" s="3" t="str">
        <f aca="false">IF(OR(E561="BAJO SS",E561="BAJO SS (XLIB CUBRE)"),"SÍ","")</f>
        <v/>
      </c>
      <c r="W561" s="3" t="str">
        <f aca="false">IF(AND(V561="",N(L561)&gt;=Parametros!$B$17,G561&gt;=H561,R561&lt;H561),"SÍ","")</f>
        <v/>
      </c>
      <c r="X561" s="3" t="str">
        <f aca="false">IF(OR(E561="SOBRE MAX VENDIBLE",N(N561)&gt;=Parametros!$B$17,N(M561)&gt;=Parametros!$B$17),"SÍ","")</f>
        <v>SÍ</v>
      </c>
      <c r="Y561" s="3" t="str">
        <f aca="false">IF(AND(ISNUMBER(U561),MAX(S561,T561)&gt;=Parametros!$B$15,ABS(N(U561))&gt;Parametros!$B$14),"SÍ","")</f>
        <v>SÍ</v>
      </c>
      <c r="Z561" s="3" t="n">
        <f aca="false">COUNTIF(V561:Y561,"SÍ")</f>
        <v>2</v>
      </c>
      <c r="AA561" s="3" t="n">
        <f aca="false">(3*(V561="SÍ")+2*(W561="SÍ")+2*(X561="SÍ")+(Y561="SÍ"))*IF(LEFT(D561,1)="A",3,IF(OR(LEFT(D561,1)="B",D561="SIN HIST"),2,1))</f>
        <v>3</v>
      </c>
      <c r="AB561" s="3" t="str">
        <f aca="false">IF(AA561&gt;=9,"1-ALTA",IF(AA561&gt;=4,"2-MEDIA",IF(AA561&gt;0,"3-BAJA","")))</f>
        <v>3-BAJA</v>
      </c>
      <c r="AC561" s="3" t="str">
        <f aca="false">IF(E561="BAJO SS","Stock + XLIB bajo el SS: riesgo real de quiebre, adelantar producción. ","")&amp;IF(E561="BAJO SS (XLIB CUBRE)","Disponible bajo el SS; depende de liberar "&amp;TEXT(J561,"#,##0")&amp;" kg"&amp;IF(ISNUMBER(K561)," el "&amp;TEXT(K561,"dd-mm"),"")&amp;". ","")&amp;IF(W561="SÍ","Stock parece sano pero "&amp;TEXT(L561,"#,##0")&amp;" kg no pasan filtro "&amp;Stock_Seguridad!O561&amp;": sin ellos queda bajo el SS para esa cadena. ","")&amp;IF(E561="SOBRE MAX VENDIBLE","Sobrestock vs vida útil: frenar producción/activar venta. ","")&amp;IF(N(N561)&gt;=Parametros!$B$17,TEXT(N561,"#,##0")&amp;" kg ya no los acepta ninguna cadena: venta intermedia/liquidación. ","")&amp;IF(N(M561)&gt;=Parametros!$B$17,TEXT(M561,"#,##0")&amp;" kg a punto de salir del filtro: despachar primero (FEFO). ","")&amp;IF(Y561="SÍ","Pedidos "&amp;IF(N(U561)&gt;0,"sobre","bajo")&amp;" FCST "&amp;TEXT(ABS(N(U561)),"0%")&amp;": revisar forecast con KAM.","")</f>
        <v>Sobrestock vs vida útil: frenar producción/activar venta. 1,382 kg ya no los acepta ninguna cadena: venta intermedia/liquidación. Pedidos bajo FCST 67%: revisar forecast con KAM.</v>
      </c>
    </row>
    <row r="562" customFormat="false" ht="15" hidden="false" customHeight="false" outlineLevel="0" collapsed="false">
      <c r="A562" s="18" t="n">
        <f aca="false">Stock_Seguridad!A562</f>
        <v>30000555</v>
      </c>
      <c r="B562" s="18" t="str">
        <f aca="false">Stock_Seguridad!B562</f>
        <v>QUESO GOUDA CALO LAMINADO 12X1KG</v>
      </c>
      <c r="C562" s="18" t="str">
        <f aca="false">Stock_Seguridad!C562</f>
        <v>QUESOS</v>
      </c>
      <c r="D562" s="18" t="str">
        <f aca="false">Stock_Seguridad!F562</f>
        <v>CY</v>
      </c>
      <c r="E562" s="19" t="str">
        <f aca="false">Stock_Seguridad!X562</f>
        <v>OK</v>
      </c>
      <c r="F562" s="20" t="n">
        <f aca="false">Stock_Seguridad!W562</f>
        <v>5.505</v>
      </c>
      <c r="G562" s="21" t="n">
        <f aca="false">Stock_Seguridad!T562</f>
        <v>4404</v>
      </c>
      <c r="H562" s="21" t="n">
        <f aca="false">Stock_Seguridad!R562</f>
        <v>978.64255754341</v>
      </c>
      <c r="I562" s="21" t="n">
        <f aca="false">Stock_Seguridad!S562</f>
        <v>1778.64255754341</v>
      </c>
      <c r="J562" s="21" t="n">
        <f aca="false">Stock_Seguridad!U562</f>
        <v>0</v>
      </c>
      <c r="K562" s="22"/>
      <c r="L562" s="23" t="n">
        <v>528</v>
      </c>
      <c r="M562" s="23" t="n">
        <v>0</v>
      </c>
      <c r="N562" s="23" t="n">
        <v>0</v>
      </c>
      <c r="O562" s="24" t="n">
        <v>0.0995901639344262</v>
      </c>
      <c r="P562" s="24" t="n">
        <f aca="false">IF(ISNUMBER(Stock_Seguridad!N562),Stock_Seguridad!N562,"")</f>
        <v>0.244565217391304</v>
      </c>
      <c r="Q562" s="24" t="n">
        <f aca="false">IF(AND(ISNUMBER(O562),ISNUMBER(P562)),P562-O562,"")</f>
        <v>0.144975053456878</v>
      </c>
      <c r="R562" s="23" t="n">
        <f aca="false">MAX(0,G562-N(L562))</f>
        <v>3876</v>
      </c>
      <c r="S562" s="23" t="n">
        <f aca="false">SUMIFS(Cadenas_vs_FCST!$D$17:$D$2437,Cadenas_vs_FCST!$A$17:$A$2437,A562)</f>
        <v>3912</v>
      </c>
      <c r="T562" s="23" t="n">
        <f aca="false">SUMIFS(Cadenas_vs_FCST!$E$17:$E$2437,Cadenas_vs_FCST!$A$17:$A$2437,A562)</f>
        <v>4598.41348233523</v>
      </c>
      <c r="U562" s="24" t="n">
        <f aca="false">IF(T562&gt;0,S562/T562-1,"")</f>
        <v>-0.149271805367673</v>
      </c>
      <c r="V562" s="3" t="str">
        <f aca="false">IF(OR(E562="BAJO SS",E562="BAJO SS (XLIB CUBRE)"),"SÍ","")</f>
        <v/>
      </c>
      <c r="W562" s="3" t="str">
        <f aca="false">IF(AND(V562="",N(L562)&gt;=Parametros!$B$17,G562&gt;=H562,R562&lt;H562),"SÍ","")</f>
        <v/>
      </c>
      <c r="X562" s="3" t="str">
        <f aca="false">IF(OR(E562="SOBRE MAX VENDIBLE",N(N562)&gt;=Parametros!$B$17,N(M562)&gt;=Parametros!$B$17),"SÍ","")</f>
        <v/>
      </c>
      <c r="Y562" s="3" t="str">
        <f aca="false">IF(AND(ISNUMBER(U562),MAX(S562,T562)&gt;=Parametros!$B$15,ABS(N(U562))&gt;Parametros!$B$14),"SÍ","")</f>
        <v/>
      </c>
      <c r="Z562" s="3" t="n">
        <f aca="false">COUNTIF(V562:Y562,"SÍ")</f>
        <v>0</v>
      </c>
      <c r="AA562" s="3" t="n">
        <f aca="false">(3*(V562="SÍ")+2*(W562="SÍ")+2*(X562="SÍ")+(Y562="SÍ"))*IF(LEFT(D562,1)="A",3,IF(OR(LEFT(D562,1)="B",D562="SIN HIST"),2,1))</f>
        <v>0</v>
      </c>
      <c r="AB562" s="3" t="str">
        <f aca="false">IF(AA562&gt;=9,"1-ALTA",IF(AA562&gt;=4,"2-MEDIA",IF(AA562&gt;0,"3-BAJA","")))</f>
        <v/>
      </c>
      <c r="AC562" s="3" t="str">
        <f aca="false">IF(E562="BAJO SS","Stock + XLIB bajo el SS: riesgo real de quiebre, adelantar producción. ","")&amp;IF(E562="BAJO SS (XLIB CUBRE)","Disponible bajo el SS; depende de liberar "&amp;TEXT(J562,"#,##0")&amp;" kg"&amp;IF(ISNUMBER(K562)," el "&amp;TEXT(K562,"dd-mm"),"")&amp;". ","")&amp;IF(W562="SÍ","Stock parece sano pero "&amp;TEXT(L562,"#,##0")&amp;" kg no pasan filtro "&amp;Stock_Seguridad!O562&amp;": sin ellos queda bajo el SS para esa cadena. ","")&amp;IF(E562="SOBRE MAX VENDIBLE","Sobrestock vs vida útil: frenar producción/activar venta. ","")&amp;IF(N(N562)&gt;=Parametros!$B$17,TEXT(N562,"#,##0")&amp;" kg ya no los acepta ninguna cadena: venta intermedia/liquidación. ","")&amp;IF(N(M562)&gt;=Parametros!$B$17,TEXT(M562,"#,##0")&amp;" kg a punto de salir del filtro: despachar primero (FEFO). ","")&amp;IF(Y562="SÍ","Pedidos "&amp;IF(N(U562)&gt;0,"sobre","bajo")&amp;" FCST "&amp;TEXT(ABS(N(U562)),"0%")&amp;": revisar forecast con KAM.","")</f>
        <v/>
      </c>
    </row>
    <row r="563" customFormat="false" ht="15" hidden="false" customHeight="false" outlineLevel="0" collapsed="false">
      <c r="A563" s="18" t="n">
        <f aca="false">Stock_Seguridad!A563</f>
        <v>30002303</v>
      </c>
      <c r="B563" s="18" t="str">
        <f aca="false">Stock_Seguridad!B563</f>
        <v>SALSA WASIL  A LA BOLOGNESA 24X200GR</v>
      </c>
      <c r="C563" s="18" t="str">
        <f aca="false">Stock_Seguridad!C563</f>
        <v>SALSAS</v>
      </c>
      <c r="D563" s="18" t="str">
        <f aca="false">Stock_Seguridad!F563</f>
        <v>CZ</v>
      </c>
      <c r="E563" s="19" t="str">
        <f aca="false">Stock_Seguridad!X563</f>
        <v>OK</v>
      </c>
      <c r="F563" s="20" t="n">
        <f aca="false">Stock_Seguridad!W563</f>
        <v>23.5354838709677</v>
      </c>
      <c r="G563" s="21" t="n">
        <f aca="false">Stock_Seguridad!T563</f>
        <v>17524.8</v>
      </c>
      <c r="H563" s="21" t="n">
        <f aca="false">Stock_Seguridad!R563</f>
        <v>443.646621871686</v>
      </c>
      <c r="I563" s="21" t="n">
        <f aca="false">Stock_Seguridad!S563</f>
        <v>1218.64662187169</v>
      </c>
      <c r="J563" s="21" t="n">
        <f aca="false">Stock_Seguridad!U563</f>
        <v>715.2</v>
      </c>
      <c r="K563" s="22" t="n">
        <v>46285</v>
      </c>
      <c r="L563" s="23" t="n">
        <v>0</v>
      </c>
      <c r="M563" s="23" t="n">
        <v>0</v>
      </c>
      <c r="N563" s="23" t="n">
        <v>0</v>
      </c>
      <c r="O563" s="24" t="n">
        <v>0.0589684210526316</v>
      </c>
      <c r="P563" s="24" t="str">
        <f aca="false">IF(ISNUMBER(Stock_Seguridad!N563),Stock_Seguridad!N563,"")</f>
        <v/>
      </c>
      <c r="Q563" s="24" t="str">
        <f aca="false">IF(AND(ISNUMBER(O563),ISNUMBER(P563)),P563-O563,"")</f>
        <v/>
      </c>
      <c r="R563" s="23" t="n">
        <f aca="false">MAX(0,G563-N(L563))</f>
        <v>17524.8</v>
      </c>
      <c r="S563" s="23" t="n">
        <f aca="false">SUMIFS(Cadenas_vs_FCST!$D$17:$D$2437,Cadenas_vs_FCST!$A$17:$A$2437,A563)</f>
        <v>100.8</v>
      </c>
      <c r="T563" s="23" t="n">
        <f aca="false">SUMIFS(Cadenas_vs_FCST!$E$17:$E$2437,Cadenas_vs_FCST!$A$17:$A$2437,A563)</f>
        <v>1300</v>
      </c>
      <c r="U563" s="24" t="n">
        <f aca="false">IF(T563&gt;0,S563/T563-1,"")</f>
        <v>-0.922461538461538</v>
      </c>
      <c r="V563" s="3" t="str">
        <f aca="false">IF(OR(E563="BAJO SS",E563="BAJO SS (XLIB CUBRE)"),"SÍ","")</f>
        <v/>
      </c>
      <c r="W563" s="3" t="str">
        <f aca="false">IF(AND(V563="",N(L563)&gt;=Parametros!$B$17,G563&gt;=H563,R563&lt;H563),"SÍ","")</f>
        <v/>
      </c>
      <c r="X563" s="3" t="str">
        <f aca="false">IF(OR(E563="SOBRE MAX VENDIBLE",N(N563)&gt;=Parametros!$B$17,N(M563)&gt;=Parametros!$B$17),"SÍ","")</f>
        <v/>
      </c>
      <c r="Y563" s="3" t="str">
        <f aca="false">IF(AND(ISNUMBER(U563),MAX(S563,T563)&gt;=Parametros!$B$15,ABS(N(U563))&gt;Parametros!$B$14),"SÍ","")</f>
        <v/>
      </c>
      <c r="Z563" s="3" t="n">
        <f aca="false">COUNTIF(V563:Y563,"SÍ")</f>
        <v>0</v>
      </c>
      <c r="AA563" s="3" t="n">
        <f aca="false">(3*(V563="SÍ")+2*(W563="SÍ")+2*(X563="SÍ")+(Y563="SÍ"))*IF(LEFT(D563,1)="A",3,IF(OR(LEFT(D563,1)="B",D563="SIN HIST"),2,1))</f>
        <v>0</v>
      </c>
      <c r="AB563" s="3" t="str">
        <f aca="false">IF(AA563&gt;=9,"1-ALTA",IF(AA563&gt;=4,"2-MEDIA",IF(AA563&gt;0,"3-BAJA","")))</f>
        <v/>
      </c>
      <c r="AC563" s="3" t="str">
        <f aca="false">IF(E563="BAJO SS","Stock + XLIB bajo el SS: riesgo real de quiebre, adelantar producción. ","")&amp;IF(E563="BAJO SS (XLIB CUBRE)","Disponible bajo el SS; depende de liberar "&amp;TEXT(J563,"#,##0")&amp;" kg"&amp;IF(ISNUMBER(K563)," el "&amp;TEXT(K563,"dd-mm"),"")&amp;". ","")&amp;IF(W563="SÍ","Stock parece sano pero "&amp;TEXT(L563,"#,##0")&amp;" kg no pasan filtro "&amp;Stock_Seguridad!O563&amp;": sin ellos queda bajo el SS para esa cadena. ","")&amp;IF(E563="SOBRE MAX VENDIBLE","Sobrestock vs vida útil: frenar producción/activar venta. ","")&amp;IF(N(N563)&gt;=Parametros!$B$17,TEXT(N563,"#,##0")&amp;" kg ya no los acepta ninguna cadena: venta intermedia/liquidación. ","")&amp;IF(N(M563)&gt;=Parametros!$B$17,TEXT(M563,"#,##0")&amp;" kg a punto de salir del filtro: despachar primero (FEFO). ","")&amp;IF(Y563="SÍ","Pedidos "&amp;IF(N(U563)&gt;0,"sobre","bajo")&amp;" FCST "&amp;TEXT(ABS(N(U563)),"0%")&amp;": revisar forecast con KAM.","")</f>
        <v/>
      </c>
    </row>
    <row r="564" customFormat="false" ht="15" hidden="false" customHeight="false" outlineLevel="0" collapsed="false">
      <c r="A564" s="18" t="n">
        <f aca="false">Stock_Seguridad!A564</f>
        <v>30000986</v>
      </c>
      <c r="B564" s="18" t="str">
        <f aca="false">Stock_Seguridad!B564</f>
        <v>MIX ORIENTAL IQF 26X350GR</v>
      </c>
      <c r="C564" s="18" t="str">
        <f aca="false">Stock_Seguridad!C564</f>
        <v>FRUTAS Y HORTALIZAS CONGELADAS</v>
      </c>
      <c r="D564" s="18" t="str">
        <f aca="false">Stock_Seguridad!F564</f>
        <v>SIN HIST</v>
      </c>
      <c r="E564" s="19" t="str">
        <f aca="false">Stock_Seguridad!X564</f>
        <v>OK</v>
      </c>
      <c r="F564" s="20" t="n">
        <f aca="false">Stock_Seguridad!W564</f>
        <v>6.85994578546534</v>
      </c>
      <c r="G564" s="21" t="n">
        <f aca="false">Stock_Seguridad!T564</f>
        <v>5314.4</v>
      </c>
      <c r="H564" s="21" t="n">
        <f aca="false">Stock_Seguridad!R564</f>
        <v>382.280431439791</v>
      </c>
      <c r="I564" s="21" t="n">
        <f aca="false">Stock_Seguridad!S564</f>
        <v>1156.98043143979</v>
      </c>
      <c r="J564" s="21" t="n">
        <f aca="false">Stock_Seguridad!U564</f>
        <v>0</v>
      </c>
      <c r="K564" s="22"/>
      <c r="L564" s="23" t="n">
        <v>0</v>
      </c>
      <c r="M564" s="23" t="n">
        <v>0</v>
      </c>
      <c r="N564" s="23" t="n">
        <v>0</v>
      </c>
      <c r="O564" s="24" t="n">
        <v>0.032208904109589</v>
      </c>
      <c r="P564" s="24" t="str">
        <f aca="false">IF(ISNUMBER(Stock_Seguridad!N564),Stock_Seguridad!N564,"")</f>
        <v/>
      </c>
      <c r="Q564" s="24" t="str">
        <f aca="false">IF(AND(ISNUMBER(O564),ISNUMBER(P564)),P564-O564,"")</f>
        <v/>
      </c>
      <c r="R564" s="23" t="n">
        <f aca="false">MAX(0,G564-N(L564))</f>
        <v>5314.4</v>
      </c>
      <c r="S564" s="23" t="n">
        <f aca="false">SUMIFS(Cadenas_vs_FCST!$D$17:$D$2437,Cadenas_vs_FCST!$A$17:$A$2437,A564)</f>
        <v>0</v>
      </c>
      <c r="T564" s="23" t="n">
        <f aca="false">SUMIFS(Cadenas_vs_FCST!$E$17:$E$2437,Cadenas_vs_FCST!$A$17:$A$2437,A564)</f>
        <v>0</v>
      </c>
      <c r="U564" s="24" t="str">
        <f aca="false">IF(T564&gt;0,S564/T564-1,"")</f>
        <v/>
      </c>
      <c r="V564" s="3" t="str">
        <f aca="false">IF(OR(E564="BAJO SS",E564="BAJO SS (XLIB CUBRE)"),"SÍ","")</f>
        <v/>
      </c>
      <c r="W564" s="3" t="str">
        <f aca="false">IF(AND(V564="",N(L564)&gt;=Parametros!$B$17,G564&gt;=H564,R564&lt;H564),"SÍ","")</f>
        <v/>
      </c>
      <c r="X564" s="3" t="str">
        <f aca="false">IF(OR(E564="SOBRE MAX VENDIBLE",N(N564)&gt;=Parametros!$B$17,N(M564)&gt;=Parametros!$B$17),"SÍ","")</f>
        <v/>
      </c>
      <c r="Y564" s="3" t="str">
        <f aca="false">IF(AND(ISNUMBER(U564),MAX(S564,T564)&gt;=Parametros!$B$15,ABS(N(U564))&gt;Parametros!$B$14),"SÍ","")</f>
        <v/>
      </c>
      <c r="Z564" s="3" t="n">
        <f aca="false">COUNTIF(V564:Y564,"SÍ")</f>
        <v>0</v>
      </c>
      <c r="AA564" s="3" t="n">
        <f aca="false">(3*(V564="SÍ")+2*(W564="SÍ")+2*(X564="SÍ")+(Y564="SÍ"))*IF(LEFT(D564,1)="A",3,IF(OR(LEFT(D564,1)="B",D564="SIN HIST"),2,1))</f>
        <v>0</v>
      </c>
      <c r="AB564" s="3" t="str">
        <f aca="false">IF(AA564&gt;=9,"1-ALTA",IF(AA564&gt;=4,"2-MEDIA",IF(AA564&gt;0,"3-BAJA","")))</f>
        <v/>
      </c>
      <c r="AC564" s="3" t="str">
        <f aca="false">IF(E564="BAJO SS","Stock + XLIB bajo el SS: riesgo real de quiebre, adelantar producción. ","")&amp;IF(E564="BAJO SS (XLIB CUBRE)","Disponible bajo el SS; depende de liberar "&amp;TEXT(J564,"#,##0")&amp;" kg"&amp;IF(ISNUMBER(K564)," el "&amp;TEXT(K564,"dd-mm"),"")&amp;". ","")&amp;IF(W564="SÍ","Stock parece sano pero "&amp;TEXT(L564,"#,##0")&amp;" kg no pasan filtro "&amp;Stock_Seguridad!O564&amp;": sin ellos queda bajo el SS para esa cadena. ","")&amp;IF(E564="SOBRE MAX VENDIBLE","Sobrestock vs vida útil: frenar producción/activar venta. ","")&amp;IF(N(N564)&gt;=Parametros!$B$17,TEXT(N564,"#,##0")&amp;" kg ya no los acepta ninguna cadena: venta intermedia/liquidación. ","")&amp;IF(N(M564)&gt;=Parametros!$B$17,TEXT(M564,"#,##0")&amp;" kg a punto de salir del filtro: despachar primero (FEFO). ","")&amp;IF(Y564="SÍ","Pedidos "&amp;IF(N(U564)&gt;0,"sobre","bajo")&amp;" FCST "&amp;TEXT(ABS(N(U564)),"0%")&amp;": revisar forecast con KAM.","")</f>
        <v/>
      </c>
    </row>
    <row r="565" customFormat="false" ht="15" hidden="false" customHeight="false" outlineLevel="0" collapsed="false">
      <c r="A565" s="18" t="n">
        <f aca="false">Stock_Seguridad!A565</f>
        <v>30002170</v>
      </c>
      <c r="B565" s="18" t="str">
        <f aca="false">Stock_Seguridad!B565</f>
        <v>FRUGO FRUTILLA 6X1,6LT</v>
      </c>
      <c r="C565" s="18" t="str">
        <f aca="false">Stock_Seguridad!C565</f>
        <v>JUGOS Y NECTARES</v>
      </c>
      <c r="D565" s="18" t="str">
        <f aca="false">Stock_Seguridad!F565</f>
        <v>CY</v>
      </c>
      <c r="E565" s="19" t="str">
        <f aca="false">Stock_Seguridad!X565</f>
        <v>SOBRE MAX VENDIBLE</v>
      </c>
      <c r="F565" s="20" t="n">
        <f aca="false">Stock_Seguridad!W565</f>
        <v>4.2875</v>
      </c>
      <c r="G565" s="21" t="n">
        <f aca="false">Stock_Seguridad!T565</f>
        <v>3292.8</v>
      </c>
      <c r="H565" s="21" t="n">
        <f aca="false">Stock_Seguridad!R565</f>
        <v>1289.96275581548</v>
      </c>
      <c r="I565" s="21" t="n">
        <f aca="false">Stock_Seguridad!S565</f>
        <v>2057.96275581548</v>
      </c>
      <c r="J565" s="21" t="n">
        <f aca="false">Stock_Seguridad!U565</f>
        <v>0</v>
      </c>
      <c r="K565" s="22"/>
      <c r="L565" s="23" t="n">
        <v>0</v>
      </c>
      <c r="M565" s="23" t="n">
        <v>3292.8</v>
      </c>
      <c r="N565" s="23" t="n">
        <v>0</v>
      </c>
      <c r="O565" s="24" t="n">
        <v>0.23</v>
      </c>
      <c r="P565" s="24" t="n">
        <f aca="false">IF(ISNUMBER(Stock_Seguridad!N565),Stock_Seguridad!N565,"")</f>
        <v>0.235772357723577</v>
      </c>
      <c r="Q565" s="24" t="n">
        <f aca="false">IF(AND(ISNUMBER(O565),ISNUMBER(P565)),P565-O565,"")</f>
        <v>0.00577235772357718</v>
      </c>
      <c r="R565" s="23" t="n">
        <f aca="false">MAX(0,G565-N(L565))</f>
        <v>3292.8</v>
      </c>
      <c r="S565" s="23" t="n">
        <f aca="false">SUMIFS(Cadenas_vs_FCST!$D$17:$D$2437,Cadenas_vs_FCST!$A$17:$A$2437,A565)</f>
        <v>3849.6</v>
      </c>
      <c r="T565" s="23" t="n">
        <f aca="false">SUMIFS(Cadenas_vs_FCST!$E$17:$E$2437,Cadenas_vs_FCST!$A$17:$A$2437,A565)</f>
        <v>2916.52630566543</v>
      </c>
      <c r="U565" s="24" t="n">
        <f aca="false">IF(T565&gt;0,S565/T565-1,"")</f>
        <v>0.319926376978687</v>
      </c>
      <c r="V565" s="3" t="str">
        <f aca="false">IF(OR(E565="BAJO SS",E565="BAJO SS (XLIB CUBRE)"),"SÍ","")</f>
        <v/>
      </c>
      <c r="W565" s="3" t="str">
        <f aca="false">IF(AND(V565="",N(L565)&gt;=Parametros!$B$17,G565&gt;=H565,R565&lt;H565),"SÍ","")</f>
        <v/>
      </c>
      <c r="X565" s="3" t="str">
        <f aca="false">IF(OR(E565="SOBRE MAX VENDIBLE",N(N565)&gt;=Parametros!$B$17,N(M565)&gt;=Parametros!$B$17),"SÍ","")</f>
        <v>SÍ</v>
      </c>
      <c r="Y565" s="3" t="str">
        <f aca="false">IF(AND(ISNUMBER(U565),MAX(S565,T565)&gt;=Parametros!$B$15,ABS(N(U565))&gt;Parametros!$B$14),"SÍ","")</f>
        <v>SÍ</v>
      </c>
      <c r="Z565" s="3" t="n">
        <f aca="false">COUNTIF(V565:Y565,"SÍ")</f>
        <v>2</v>
      </c>
      <c r="AA565" s="3" t="n">
        <f aca="false">(3*(V565="SÍ")+2*(W565="SÍ")+2*(X565="SÍ")+(Y565="SÍ"))*IF(LEFT(D565,1)="A",3,IF(OR(LEFT(D565,1)="B",D565="SIN HIST"),2,1))</f>
        <v>3</v>
      </c>
      <c r="AB565" s="3" t="str">
        <f aca="false">IF(AA565&gt;=9,"1-ALTA",IF(AA565&gt;=4,"2-MEDIA",IF(AA565&gt;0,"3-BAJA","")))</f>
        <v>3-BAJA</v>
      </c>
      <c r="AC565" s="3" t="str">
        <f aca="false">IF(E565="BAJO SS","Stock + XLIB bajo el SS: riesgo real de quiebre, adelantar producción. ","")&amp;IF(E565="BAJO SS (XLIB CUBRE)","Disponible bajo el SS; depende de liberar "&amp;TEXT(J565,"#,##0")&amp;" kg"&amp;IF(ISNUMBER(K565)," el "&amp;TEXT(K565,"dd-mm"),"")&amp;". ","")&amp;IF(W565="SÍ","Stock parece sano pero "&amp;TEXT(L565,"#,##0")&amp;" kg no pasan filtro "&amp;Stock_Seguridad!O565&amp;": sin ellos queda bajo el SS para esa cadena. ","")&amp;IF(E565="SOBRE MAX VENDIBLE","Sobrestock vs vida útil: frenar producción/activar venta. ","")&amp;IF(N(N565)&gt;=Parametros!$B$17,TEXT(N565,"#,##0")&amp;" kg ya no los acepta ninguna cadena: venta intermedia/liquidación. ","")&amp;IF(N(M565)&gt;=Parametros!$B$17,TEXT(M565,"#,##0")&amp;" kg a punto de salir del filtro: despachar primero (FEFO). ","")&amp;IF(Y565="SÍ","Pedidos "&amp;IF(N(U565)&gt;0,"sobre","bajo")&amp;" FCST "&amp;TEXT(ABS(N(U565)),"0%")&amp;": revisar forecast con KAM.","")</f>
        <v>Sobrestock vs vida útil: frenar producción/activar venta. 3,293 kg a punto de salir del filtro: despachar primero (FEFO). Pedidos sobre FCST 32%: revisar forecast con KAM.</v>
      </c>
    </row>
    <row r="566" customFormat="false" ht="15" hidden="false" customHeight="false" outlineLevel="0" collapsed="false">
      <c r="A566" s="18" t="n">
        <f aca="false">Stock_Seguridad!A566</f>
        <v>30002061</v>
      </c>
      <c r="B566" s="18" t="str">
        <f aca="false">Stock_Seguridad!B566</f>
        <v>YOGURT DANONE L&amp;F GRAN BERRIES 12X142G</v>
      </c>
      <c r="C566" s="18" t="str">
        <f aca="false">Stock_Seguridad!C566</f>
        <v>YOGURT</v>
      </c>
      <c r="D566" s="18" t="str">
        <f aca="false">Stock_Seguridad!F566</f>
        <v>CX</v>
      </c>
      <c r="E566" s="19" t="str">
        <f aca="false">Stock_Seguridad!X566</f>
        <v>BAJO SS</v>
      </c>
      <c r="F566" s="20" t="n">
        <f aca="false">Stock_Seguridad!W566</f>
        <v>0.034</v>
      </c>
      <c r="G566" s="21" t="n">
        <f aca="false">Stock_Seguridad!T566</f>
        <v>25.5</v>
      </c>
      <c r="H566" s="21" t="n">
        <f aca="false">Stock_Seguridad!R566</f>
        <v>710.952265581302</v>
      </c>
      <c r="I566" s="21" t="n">
        <f aca="false">Stock_Seguridad!S566</f>
        <v>1460.9522655813</v>
      </c>
      <c r="J566" s="21" t="n">
        <f aca="false">Stock_Seguridad!U566</f>
        <v>0</v>
      </c>
      <c r="K566" s="22"/>
      <c r="L566" s="23" t="n">
        <v>25.5</v>
      </c>
      <c r="M566" s="23" t="n">
        <v>0</v>
      </c>
      <c r="N566" s="23" t="n">
        <v>0</v>
      </c>
      <c r="O566" s="24" t="n">
        <v>0.28</v>
      </c>
      <c r="P566" s="24" t="n">
        <f aca="false">IF(ISNUMBER(Stock_Seguridad!N566),Stock_Seguridad!N566,"")</f>
        <v>0.230769230769231</v>
      </c>
      <c r="Q566" s="24" t="n">
        <f aca="false">IF(AND(ISNUMBER(O566),ISNUMBER(P566)),P566-O566,"")</f>
        <v>-0.0492307692307693</v>
      </c>
      <c r="R566" s="23" t="n">
        <f aca="false">MAX(0,G566-N(L566))</f>
        <v>0</v>
      </c>
      <c r="S566" s="23" t="n">
        <f aca="false">SUMIFS(Cadenas_vs_FCST!$D$17:$D$2437,Cadenas_vs_FCST!$A$17:$A$2437,A566)</f>
        <v>7537.8</v>
      </c>
      <c r="T566" s="23" t="n">
        <f aca="false">SUMIFS(Cadenas_vs_FCST!$E$17:$E$2437,Cadenas_vs_FCST!$A$17:$A$2437,A566)</f>
        <v>6469.31299121803</v>
      </c>
      <c r="U566" s="24" t="n">
        <f aca="false">IF(T566&gt;0,S566/T566-1,"")</f>
        <v>0.165162361170719</v>
      </c>
      <c r="V566" s="3" t="str">
        <f aca="false">IF(OR(E566="BAJO SS",E566="BAJO SS (XLIB CUBRE)"),"SÍ","")</f>
        <v>SÍ</v>
      </c>
      <c r="W566" s="3" t="str">
        <f aca="false">IF(AND(V566="",N(L566)&gt;=Parametros!$B$17,G566&gt;=H566,R566&lt;H566),"SÍ","")</f>
        <v/>
      </c>
      <c r="X566" s="3" t="str">
        <f aca="false">IF(OR(E566="SOBRE MAX VENDIBLE",N(N566)&gt;=Parametros!$B$17,N(M566)&gt;=Parametros!$B$17),"SÍ","")</f>
        <v/>
      </c>
      <c r="Y566" s="3" t="str">
        <f aca="false">IF(AND(ISNUMBER(U566),MAX(S566,T566)&gt;=Parametros!$B$15,ABS(N(U566))&gt;Parametros!$B$14),"SÍ","")</f>
        <v/>
      </c>
      <c r="Z566" s="3" t="n">
        <f aca="false">COUNTIF(V566:Y566,"SÍ")</f>
        <v>1</v>
      </c>
      <c r="AA566" s="3" t="n">
        <f aca="false">(3*(V566="SÍ")+2*(W566="SÍ")+2*(X566="SÍ")+(Y566="SÍ"))*IF(LEFT(D566,1)="A",3,IF(OR(LEFT(D566,1)="B",D566="SIN HIST"),2,1))</f>
        <v>3</v>
      </c>
      <c r="AB566" s="3" t="str">
        <f aca="false">IF(AA566&gt;=9,"1-ALTA",IF(AA566&gt;=4,"2-MEDIA",IF(AA566&gt;0,"3-BAJA","")))</f>
        <v>3-BAJA</v>
      </c>
      <c r="AC566" s="3" t="str">
        <f aca="false">IF(E566="BAJO SS","Stock + XLIB bajo el SS: riesgo real de quiebre, adelantar producción. ","")&amp;IF(E566="BAJO SS (XLIB CUBRE)","Disponible bajo el SS; depende de liberar "&amp;TEXT(J566,"#,##0")&amp;" kg"&amp;IF(ISNUMBER(K566)," el "&amp;TEXT(K566,"dd-mm"),"")&amp;". ","")&amp;IF(W566="SÍ","Stock parece sano pero "&amp;TEXT(L566,"#,##0")&amp;" kg no pasan filtro "&amp;Stock_Seguridad!O566&amp;": sin ellos queda bajo el SS para esa cadena. ","")&amp;IF(E566="SOBRE MAX VENDIBLE","Sobrestock vs vida útil: frenar producción/activar venta. ","")&amp;IF(N(N566)&gt;=Parametros!$B$17,TEXT(N566,"#,##0")&amp;" kg ya no los acepta ninguna cadena: venta intermedia/liquidación. ","")&amp;IF(N(M566)&gt;=Parametros!$B$17,TEXT(M566,"#,##0")&amp;" kg a punto de salir del filtro: despachar primero (FEFO). ","")&amp;IF(Y566="SÍ","Pedidos "&amp;IF(N(U566)&gt;0,"sobre","bajo")&amp;" FCST "&amp;TEXT(ABS(N(U566)),"0%")&amp;": revisar forecast con KAM.","")</f>
        <v>Stock + XLIB bajo el SS: riesgo real de quiebre, adelantar producción. </v>
      </c>
    </row>
    <row r="567" customFormat="false" ht="15" hidden="false" customHeight="false" outlineLevel="0" collapsed="false">
      <c r="A567" s="18" t="n">
        <f aca="false">Stock_Seguridad!A567</f>
        <v>30001869</v>
      </c>
      <c r="B567" s="18" t="str">
        <f aca="false">Stock_Seguridad!B567</f>
        <v>PAPA PREFRITA RODAJA 25X500GR</v>
      </c>
      <c r="C567" s="18" t="str">
        <f aca="false">Stock_Seguridad!C567</f>
        <v>FRUTAS Y HORTALIZAS CONGELADAS</v>
      </c>
      <c r="D567" s="18" t="str">
        <f aca="false">Stock_Seguridad!F567</f>
        <v>SIN HIST</v>
      </c>
      <c r="E567" s="19" t="str">
        <f aca="false">Stock_Seguridad!X567</f>
        <v>OK</v>
      </c>
      <c r="F567" s="20" t="n">
        <f aca="false">Stock_Seguridad!W567</f>
        <v>11.6806608884074</v>
      </c>
      <c r="G567" s="21" t="n">
        <f aca="false">Stock_Seguridad!T567</f>
        <v>8625</v>
      </c>
      <c r="H567" s="21" t="n">
        <f aca="false">Stock_Seguridad!R567</f>
        <v>364.36797544229</v>
      </c>
      <c r="I567" s="21" t="n">
        <f aca="false">Stock_Seguridad!S567</f>
        <v>1102.76797544229</v>
      </c>
      <c r="J567" s="21" t="n">
        <f aca="false">Stock_Seguridad!U567</f>
        <v>0</v>
      </c>
      <c r="K567" s="22"/>
      <c r="L567" s="23" t="n">
        <v>0</v>
      </c>
      <c r="M567" s="23" t="n">
        <v>0</v>
      </c>
      <c r="N567" s="23" t="n">
        <v>0</v>
      </c>
      <c r="O567" s="24" t="n">
        <v>0.321452702702703</v>
      </c>
      <c r="P567" s="24" t="str">
        <f aca="false">IF(ISNUMBER(Stock_Seguridad!N567),Stock_Seguridad!N567,"")</f>
        <v/>
      </c>
      <c r="Q567" s="24" t="str">
        <f aca="false">IF(AND(ISNUMBER(O567),ISNUMBER(P567)),P567-O567,"")</f>
        <v/>
      </c>
      <c r="R567" s="23" t="n">
        <f aca="false">MAX(0,G567-N(L567))</f>
        <v>8625</v>
      </c>
      <c r="S567" s="23" t="n">
        <f aca="false">SUMIFS(Cadenas_vs_FCST!$D$17:$D$2437,Cadenas_vs_FCST!$A$17:$A$2437,A567)</f>
        <v>0</v>
      </c>
      <c r="T567" s="23" t="n">
        <f aca="false">SUMIFS(Cadenas_vs_FCST!$E$17:$E$2437,Cadenas_vs_FCST!$A$17:$A$2437,A567)</f>
        <v>0</v>
      </c>
      <c r="U567" s="24" t="str">
        <f aca="false">IF(T567&gt;0,S567/T567-1,"")</f>
        <v/>
      </c>
      <c r="V567" s="3" t="str">
        <f aca="false">IF(OR(E567="BAJO SS",E567="BAJO SS (XLIB CUBRE)"),"SÍ","")</f>
        <v/>
      </c>
      <c r="W567" s="3" t="str">
        <f aca="false">IF(AND(V567="",N(L567)&gt;=Parametros!$B$17,G567&gt;=H567,R567&lt;H567),"SÍ","")</f>
        <v/>
      </c>
      <c r="X567" s="3" t="str">
        <f aca="false">IF(OR(E567="SOBRE MAX VENDIBLE",N(N567)&gt;=Parametros!$B$17,N(M567)&gt;=Parametros!$B$17),"SÍ","")</f>
        <v/>
      </c>
      <c r="Y567" s="3" t="str">
        <f aca="false">IF(AND(ISNUMBER(U567),MAX(S567,T567)&gt;=Parametros!$B$15,ABS(N(U567))&gt;Parametros!$B$14),"SÍ","")</f>
        <v/>
      </c>
      <c r="Z567" s="3" t="n">
        <f aca="false">COUNTIF(V567:Y567,"SÍ")</f>
        <v>0</v>
      </c>
      <c r="AA567" s="3" t="n">
        <f aca="false">(3*(V567="SÍ")+2*(W567="SÍ")+2*(X567="SÍ")+(Y567="SÍ"))*IF(LEFT(D567,1)="A",3,IF(OR(LEFT(D567,1)="B",D567="SIN HIST"),2,1))</f>
        <v>0</v>
      </c>
      <c r="AB567" s="3" t="str">
        <f aca="false">IF(AA567&gt;=9,"1-ALTA",IF(AA567&gt;=4,"2-MEDIA",IF(AA567&gt;0,"3-BAJA","")))</f>
        <v/>
      </c>
      <c r="AC567" s="3" t="str">
        <f aca="false">IF(E567="BAJO SS","Stock + XLIB bajo el SS: riesgo real de quiebre, adelantar producción. ","")&amp;IF(E567="BAJO SS (XLIB CUBRE)","Disponible bajo el SS; depende de liberar "&amp;TEXT(J567,"#,##0")&amp;" kg"&amp;IF(ISNUMBER(K567)," el "&amp;TEXT(K567,"dd-mm"),"")&amp;". ","")&amp;IF(W567="SÍ","Stock parece sano pero "&amp;TEXT(L567,"#,##0")&amp;" kg no pasan filtro "&amp;Stock_Seguridad!O567&amp;": sin ellos queda bajo el SS para esa cadena. ","")&amp;IF(E567="SOBRE MAX VENDIBLE","Sobrestock vs vida útil: frenar producción/activar venta. ","")&amp;IF(N(N567)&gt;=Parametros!$B$17,TEXT(N567,"#,##0")&amp;" kg ya no los acepta ninguna cadena: venta intermedia/liquidación. ","")&amp;IF(N(M567)&gt;=Parametros!$B$17,TEXT(M567,"#,##0")&amp;" kg a punto de salir del filtro: despachar primero (FEFO). ","")&amp;IF(Y567="SÍ","Pedidos "&amp;IF(N(U567)&gt;0,"sobre","bajo")&amp;" FCST "&amp;TEXT(ABS(N(U567)),"0%")&amp;": revisar forecast con KAM.","")</f>
        <v/>
      </c>
    </row>
    <row r="568" customFormat="false" ht="15" hidden="false" customHeight="false" outlineLevel="0" collapsed="false">
      <c r="A568" s="18" t="n">
        <f aca="false">Stock_Seguridad!A568</f>
        <v>30001535</v>
      </c>
      <c r="B568" s="18" t="str">
        <f aca="false">Stock_Seguridad!B568</f>
        <v>MIX DE BERRIES 10X1 KG</v>
      </c>
      <c r="C568" s="18" t="str">
        <f aca="false">Stock_Seguridad!C568</f>
        <v>FRUTAS Y HORTALIZAS CONGELADAS</v>
      </c>
      <c r="D568" s="18" t="str">
        <f aca="false">Stock_Seguridad!F568</f>
        <v>SIN HIST</v>
      </c>
      <c r="E568" s="19" t="str">
        <f aca="false">Stock_Seguridad!X568</f>
        <v>OK</v>
      </c>
      <c r="F568" s="20" t="n">
        <f aca="false">Stock_Seguridad!W568</f>
        <v>3.26912642430819</v>
      </c>
      <c r="G568" s="21" t="n">
        <f aca="false">Stock_Seguridad!T568</f>
        <v>2410</v>
      </c>
      <c r="H568" s="21" t="n">
        <f aca="false">Stock_Seguridad!R568</f>
        <v>363.775828136587</v>
      </c>
      <c r="I568" s="21" t="n">
        <f aca="false">Stock_Seguridad!S568</f>
        <v>1100.97582813659</v>
      </c>
      <c r="J568" s="21" t="n">
        <f aca="false">Stock_Seguridad!U568</f>
        <v>0</v>
      </c>
      <c r="K568" s="22"/>
      <c r="L568" s="23" t="n">
        <v>0</v>
      </c>
      <c r="M568" s="23" t="n">
        <v>0</v>
      </c>
      <c r="N568" s="23" t="n">
        <v>0</v>
      </c>
      <c r="O568" s="24" t="n">
        <v>0.05</v>
      </c>
      <c r="P568" s="24" t="str">
        <f aca="false">IF(ISNUMBER(Stock_Seguridad!N568),Stock_Seguridad!N568,"")</f>
        <v/>
      </c>
      <c r="Q568" s="24" t="str">
        <f aca="false">IF(AND(ISNUMBER(O568),ISNUMBER(P568)),P568-O568,"")</f>
        <v/>
      </c>
      <c r="R568" s="23" t="n">
        <f aca="false">MAX(0,G568-N(L568))</f>
        <v>2410</v>
      </c>
      <c r="S568" s="23" t="n">
        <f aca="false">SUMIFS(Cadenas_vs_FCST!$D$17:$D$2437,Cadenas_vs_FCST!$A$17:$A$2437,A568)</f>
        <v>0</v>
      </c>
      <c r="T568" s="23" t="n">
        <f aca="false">SUMIFS(Cadenas_vs_FCST!$E$17:$E$2437,Cadenas_vs_FCST!$A$17:$A$2437,A568)</f>
        <v>0</v>
      </c>
      <c r="U568" s="24" t="str">
        <f aca="false">IF(T568&gt;0,S568/T568-1,"")</f>
        <v/>
      </c>
      <c r="V568" s="3" t="str">
        <f aca="false">IF(OR(E568="BAJO SS",E568="BAJO SS (XLIB CUBRE)"),"SÍ","")</f>
        <v/>
      </c>
      <c r="W568" s="3" t="str">
        <f aca="false">IF(AND(V568="",N(L568)&gt;=Parametros!$B$17,G568&gt;=H568,R568&lt;H568),"SÍ","")</f>
        <v/>
      </c>
      <c r="X568" s="3" t="str">
        <f aca="false">IF(OR(E568="SOBRE MAX VENDIBLE",N(N568)&gt;=Parametros!$B$17,N(M568)&gt;=Parametros!$B$17),"SÍ","")</f>
        <v/>
      </c>
      <c r="Y568" s="3" t="str">
        <f aca="false">IF(AND(ISNUMBER(U568),MAX(S568,T568)&gt;=Parametros!$B$15,ABS(N(U568))&gt;Parametros!$B$14),"SÍ","")</f>
        <v/>
      </c>
      <c r="Z568" s="3" t="n">
        <f aca="false">COUNTIF(V568:Y568,"SÍ")</f>
        <v>0</v>
      </c>
      <c r="AA568" s="3" t="n">
        <f aca="false">(3*(V568="SÍ")+2*(W568="SÍ")+2*(X568="SÍ")+(Y568="SÍ"))*IF(LEFT(D568,1)="A",3,IF(OR(LEFT(D568,1)="B",D568="SIN HIST"),2,1))</f>
        <v>0</v>
      </c>
      <c r="AB568" s="3" t="str">
        <f aca="false">IF(AA568&gt;=9,"1-ALTA",IF(AA568&gt;=4,"2-MEDIA",IF(AA568&gt;0,"3-BAJA","")))</f>
        <v/>
      </c>
      <c r="AC568" s="3" t="str">
        <f aca="false">IF(E568="BAJO SS","Stock + XLIB bajo el SS: riesgo real de quiebre, adelantar producción. ","")&amp;IF(E568="BAJO SS (XLIB CUBRE)","Disponible bajo el SS; depende de liberar "&amp;TEXT(J568,"#,##0")&amp;" kg"&amp;IF(ISNUMBER(K568)," el "&amp;TEXT(K568,"dd-mm"),"")&amp;". ","")&amp;IF(W568="SÍ","Stock parece sano pero "&amp;TEXT(L568,"#,##0")&amp;" kg no pasan filtro "&amp;Stock_Seguridad!O568&amp;": sin ellos queda bajo el SS para esa cadena. ","")&amp;IF(E568="SOBRE MAX VENDIBLE","Sobrestock vs vida útil: frenar producción/activar venta. ","")&amp;IF(N(N568)&gt;=Parametros!$B$17,TEXT(N568,"#,##0")&amp;" kg ya no los acepta ninguna cadena: venta intermedia/liquidación. ","")&amp;IF(N(M568)&gt;=Parametros!$B$17,TEXT(M568,"#,##0")&amp;" kg a punto de salir del filtro: despachar primero (FEFO). ","")&amp;IF(Y568="SÍ","Pedidos "&amp;IF(N(U568)&gt;0,"sobre","bajo")&amp;" FCST "&amp;TEXT(ABS(N(U568)),"0%")&amp;": revisar forecast con KAM.","")</f>
        <v/>
      </c>
    </row>
    <row r="569" customFormat="false" ht="15" hidden="false" customHeight="false" outlineLevel="0" collapsed="false">
      <c r="A569" s="18" t="n">
        <f aca="false">Stock_Seguridad!A569</f>
        <v>30002114</v>
      </c>
      <c r="B569" s="18" t="str">
        <f aca="false">Stock_Seguridad!B569</f>
        <v>MERMELADA WATTS NARANJA FRASCO 10X500G</v>
      </c>
      <c r="C569" s="18" t="str">
        <f aca="false">Stock_Seguridad!C569</f>
        <v>MERMELADAS</v>
      </c>
      <c r="D569" s="18" t="str">
        <f aca="false">Stock_Seguridad!F569</f>
        <v>CY</v>
      </c>
      <c r="E569" s="19" t="str">
        <f aca="false">Stock_Seguridad!X569</f>
        <v>OK</v>
      </c>
      <c r="F569" s="20" t="n">
        <f aca="false">Stock_Seguridad!W569</f>
        <v>6.08510638297872</v>
      </c>
      <c r="G569" s="21" t="n">
        <f aca="false">Stock_Seguridad!T569</f>
        <v>4290</v>
      </c>
      <c r="H569" s="21" t="n">
        <f aca="false">Stock_Seguridad!R569</f>
        <v>481.790671012326</v>
      </c>
      <c r="I569" s="21" t="n">
        <f aca="false">Stock_Seguridad!S569</f>
        <v>1186.79067101233</v>
      </c>
      <c r="J569" s="21" t="n">
        <f aca="false">Stock_Seguridad!U569</f>
        <v>0</v>
      </c>
      <c r="K569" s="22"/>
      <c r="L569" s="23" t="n">
        <v>165</v>
      </c>
      <c r="M569" s="23" t="n">
        <v>985</v>
      </c>
      <c r="N569" s="23" t="n">
        <v>0</v>
      </c>
      <c r="O569" s="24" t="n">
        <v>0.113158508158508</v>
      </c>
      <c r="P569" s="24" t="n">
        <f aca="false">IF(ISNUMBER(Stock_Seguridad!N569),Stock_Seguridad!N569,"")</f>
        <v>0.194520547945206</v>
      </c>
      <c r="Q569" s="24" t="n">
        <f aca="false">IF(AND(ISNUMBER(O569),ISNUMBER(P569)),P569-O569,"")</f>
        <v>0.0813620397866973</v>
      </c>
      <c r="R569" s="23" t="n">
        <f aca="false">MAX(0,G569-N(L569))</f>
        <v>4125</v>
      </c>
      <c r="S569" s="23" t="n">
        <f aca="false">SUMIFS(Cadenas_vs_FCST!$D$17:$D$2437,Cadenas_vs_FCST!$A$17:$A$2437,A569)</f>
        <v>2240</v>
      </c>
      <c r="T569" s="23" t="n">
        <f aca="false">SUMIFS(Cadenas_vs_FCST!$E$17:$E$2437,Cadenas_vs_FCST!$A$17:$A$2437,A569)</f>
        <v>2770</v>
      </c>
      <c r="U569" s="24" t="n">
        <f aca="false">IF(T569&gt;0,S569/T569-1,"")</f>
        <v>-0.191335740072202</v>
      </c>
      <c r="V569" s="3" t="str">
        <f aca="false">IF(OR(E569="BAJO SS",E569="BAJO SS (XLIB CUBRE)"),"SÍ","")</f>
        <v/>
      </c>
      <c r="W569" s="3" t="str">
        <f aca="false">IF(AND(V569="",N(L569)&gt;=Parametros!$B$17,G569&gt;=H569,R569&lt;H569),"SÍ","")</f>
        <v/>
      </c>
      <c r="X569" s="3" t="str">
        <f aca="false">IF(OR(E569="SOBRE MAX VENDIBLE",N(N569)&gt;=Parametros!$B$17,N(M569)&gt;=Parametros!$B$17),"SÍ","")</f>
        <v>SÍ</v>
      </c>
      <c r="Y569" s="3" t="str">
        <f aca="false">IF(AND(ISNUMBER(U569),MAX(S569,T569)&gt;=Parametros!$B$15,ABS(N(U569))&gt;Parametros!$B$14),"SÍ","")</f>
        <v/>
      </c>
      <c r="Z569" s="3" t="n">
        <f aca="false">COUNTIF(V569:Y569,"SÍ")</f>
        <v>1</v>
      </c>
      <c r="AA569" s="3" t="n">
        <f aca="false">(3*(V569="SÍ")+2*(W569="SÍ")+2*(X569="SÍ")+(Y569="SÍ"))*IF(LEFT(D569,1)="A",3,IF(OR(LEFT(D569,1)="B",D569="SIN HIST"),2,1))</f>
        <v>2</v>
      </c>
      <c r="AB569" s="3" t="str">
        <f aca="false">IF(AA569&gt;=9,"1-ALTA",IF(AA569&gt;=4,"2-MEDIA",IF(AA569&gt;0,"3-BAJA","")))</f>
        <v>3-BAJA</v>
      </c>
      <c r="AC569" s="3" t="str">
        <f aca="false">IF(E569="BAJO SS","Stock + XLIB bajo el SS: riesgo real de quiebre, adelantar producción. ","")&amp;IF(E569="BAJO SS (XLIB CUBRE)","Disponible bajo el SS; depende de liberar "&amp;TEXT(J569,"#,##0")&amp;" kg"&amp;IF(ISNUMBER(K569)," el "&amp;TEXT(K569,"dd-mm"),"")&amp;". ","")&amp;IF(W569="SÍ","Stock parece sano pero "&amp;TEXT(L569,"#,##0")&amp;" kg no pasan filtro "&amp;Stock_Seguridad!O569&amp;": sin ellos queda bajo el SS para esa cadena. ","")&amp;IF(E569="SOBRE MAX VENDIBLE","Sobrestock vs vida útil: frenar producción/activar venta. ","")&amp;IF(N(N569)&gt;=Parametros!$B$17,TEXT(N569,"#,##0")&amp;" kg ya no los acepta ninguna cadena: venta intermedia/liquidación. ","")&amp;IF(N(M569)&gt;=Parametros!$B$17,TEXT(M569,"#,##0")&amp;" kg a punto de salir del filtro: despachar primero (FEFO). ","")&amp;IF(Y569="SÍ","Pedidos "&amp;IF(N(U569)&gt;0,"sobre","bajo")&amp;" FCST "&amp;TEXT(ABS(N(U569)),"0%")&amp;": revisar forecast con KAM.","")</f>
        <v>985 kg a punto de salir del filtro: despachar primero (FEFO). </v>
      </c>
    </row>
    <row r="570" customFormat="false" ht="15" hidden="false" customHeight="false" outlineLevel="0" collapsed="false">
      <c r="A570" s="18" t="n">
        <f aca="false">Stock_Seguridad!A570</f>
        <v>30000836</v>
      </c>
      <c r="B570" s="18" t="str">
        <f aca="false">Stock_Seguridad!B570</f>
        <v>BASE TOMATICAN FM 30X400GR</v>
      </c>
      <c r="C570" s="18" t="str">
        <f aca="false">Stock_Seguridad!C570</f>
        <v>FRUTAS Y HORTALIZAS CONGELADAS</v>
      </c>
      <c r="D570" s="18" t="str">
        <f aca="false">Stock_Seguridad!F570</f>
        <v>SIN HIST</v>
      </c>
      <c r="E570" s="19" t="str">
        <f aca="false">Stock_Seguridad!X570</f>
        <v>OK</v>
      </c>
      <c r="F570" s="20" t="n">
        <f aca="false">Stock_Seguridad!W570</f>
        <v>2.51820128479657</v>
      </c>
      <c r="G570" s="21" t="n">
        <f aca="false">Stock_Seguridad!T570</f>
        <v>1764</v>
      </c>
      <c r="H570" s="21" t="n">
        <f aca="false">Stock_Seguridad!R570</f>
        <v>345.665989703852</v>
      </c>
      <c r="I570" s="21" t="n">
        <f aca="false">Stock_Seguridad!S570</f>
        <v>1046.16598970385</v>
      </c>
      <c r="J570" s="21" t="n">
        <f aca="false">Stock_Seguridad!U570</f>
        <v>0</v>
      </c>
      <c r="K570" s="22"/>
      <c r="L570" s="23" t="n">
        <v>0</v>
      </c>
      <c r="M570" s="23" t="n">
        <v>0</v>
      </c>
      <c r="N570" s="23" t="n">
        <v>0</v>
      </c>
      <c r="O570" s="24" t="n">
        <v>0.07</v>
      </c>
      <c r="P570" s="24" t="str">
        <f aca="false">IF(ISNUMBER(Stock_Seguridad!N570),Stock_Seguridad!N570,"")</f>
        <v/>
      </c>
      <c r="Q570" s="24" t="str">
        <f aca="false">IF(AND(ISNUMBER(O570),ISNUMBER(P570)),P570-O570,"")</f>
        <v/>
      </c>
      <c r="R570" s="23" t="n">
        <f aca="false">MAX(0,G570-N(L570))</f>
        <v>1764</v>
      </c>
      <c r="S570" s="23" t="n">
        <f aca="false">SUMIFS(Cadenas_vs_FCST!$D$17:$D$2437,Cadenas_vs_FCST!$A$17:$A$2437,A570)</f>
        <v>0</v>
      </c>
      <c r="T570" s="23" t="n">
        <f aca="false">SUMIFS(Cadenas_vs_FCST!$E$17:$E$2437,Cadenas_vs_FCST!$A$17:$A$2437,A570)</f>
        <v>0</v>
      </c>
      <c r="U570" s="24" t="str">
        <f aca="false">IF(T570&gt;0,S570/T570-1,"")</f>
        <v/>
      </c>
      <c r="V570" s="3" t="str">
        <f aca="false">IF(OR(E570="BAJO SS",E570="BAJO SS (XLIB CUBRE)"),"SÍ","")</f>
        <v/>
      </c>
      <c r="W570" s="3" t="str">
        <f aca="false">IF(AND(V570="",N(L570)&gt;=Parametros!$B$17,G570&gt;=H570,R570&lt;H570),"SÍ","")</f>
        <v/>
      </c>
      <c r="X570" s="3" t="str">
        <f aca="false">IF(OR(E570="SOBRE MAX VENDIBLE",N(N570)&gt;=Parametros!$B$17,N(M570)&gt;=Parametros!$B$17),"SÍ","")</f>
        <v/>
      </c>
      <c r="Y570" s="3" t="str">
        <f aca="false">IF(AND(ISNUMBER(U570),MAX(S570,T570)&gt;=Parametros!$B$15,ABS(N(U570))&gt;Parametros!$B$14),"SÍ","")</f>
        <v/>
      </c>
      <c r="Z570" s="3" t="n">
        <f aca="false">COUNTIF(V570:Y570,"SÍ")</f>
        <v>0</v>
      </c>
      <c r="AA570" s="3" t="n">
        <f aca="false">(3*(V570="SÍ")+2*(W570="SÍ")+2*(X570="SÍ")+(Y570="SÍ"))*IF(LEFT(D570,1)="A",3,IF(OR(LEFT(D570,1)="B",D570="SIN HIST"),2,1))</f>
        <v>0</v>
      </c>
      <c r="AB570" s="3" t="str">
        <f aca="false">IF(AA570&gt;=9,"1-ALTA",IF(AA570&gt;=4,"2-MEDIA",IF(AA570&gt;0,"3-BAJA","")))</f>
        <v/>
      </c>
      <c r="AC570" s="3" t="str">
        <f aca="false">IF(E570="BAJO SS","Stock + XLIB bajo el SS: riesgo real de quiebre, adelantar producción. ","")&amp;IF(E570="BAJO SS (XLIB CUBRE)","Disponible bajo el SS; depende de liberar "&amp;TEXT(J570,"#,##0")&amp;" kg"&amp;IF(ISNUMBER(K570)," el "&amp;TEXT(K570,"dd-mm"),"")&amp;". ","")&amp;IF(W570="SÍ","Stock parece sano pero "&amp;TEXT(L570,"#,##0")&amp;" kg no pasan filtro "&amp;Stock_Seguridad!O570&amp;": sin ellos queda bajo el SS para esa cadena. ","")&amp;IF(E570="SOBRE MAX VENDIBLE","Sobrestock vs vida útil: frenar producción/activar venta. ","")&amp;IF(N(N570)&gt;=Parametros!$B$17,TEXT(N570,"#,##0")&amp;" kg ya no los acepta ninguna cadena: venta intermedia/liquidación. ","")&amp;IF(N(M570)&gt;=Parametros!$B$17,TEXT(M570,"#,##0")&amp;" kg a punto de salir del filtro: despachar primero (FEFO). ","")&amp;IF(Y570="SÍ","Pedidos "&amp;IF(N(U570)&gt;0,"sobre","bajo")&amp;" FCST "&amp;TEXT(ABS(N(U570)),"0%")&amp;": revisar forecast con KAM.","")</f>
        <v/>
      </c>
    </row>
    <row r="571" customFormat="false" ht="15" hidden="false" customHeight="false" outlineLevel="0" collapsed="false">
      <c r="A571" s="18" t="n">
        <f aca="false">Stock_Seguridad!A571</f>
        <v>30000464</v>
      </c>
      <c r="B571" s="18" t="str">
        <f aca="false">Stock_Seguridad!B571</f>
        <v>QUESO LPV RESERVA PREMIUM 1X10KG</v>
      </c>
      <c r="C571" s="18" t="str">
        <f aca="false">Stock_Seguridad!C571</f>
        <v>QUESOS</v>
      </c>
      <c r="D571" s="18" t="str">
        <f aca="false">Stock_Seguridad!F571</f>
        <v>CX</v>
      </c>
      <c r="E571" s="19" t="str">
        <f aca="false">Stock_Seguridad!X571</f>
        <v>BAJO P.REORDEN</v>
      </c>
      <c r="F571" s="20" t="n">
        <f aca="false">Stock_Seguridad!W571</f>
        <v>2.01428571428571</v>
      </c>
      <c r="G571" s="21" t="n">
        <f aca="false">Stock_Seguridad!T571</f>
        <v>1410</v>
      </c>
      <c r="H571" s="21" t="n">
        <f aca="false">Stock_Seguridad!R571</f>
        <v>891.209499617358</v>
      </c>
      <c r="I571" s="21" t="n">
        <f aca="false">Stock_Seguridad!S571</f>
        <v>1591.20949961736</v>
      </c>
      <c r="J571" s="21" t="n">
        <f aca="false">Stock_Seguridad!U571</f>
        <v>0</v>
      </c>
      <c r="K571" s="22"/>
      <c r="L571" s="23" t="n">
        <v>30</v>
      </c>
      <c r="M571" s="23" t="n">
        <v>0</v>
      </c>
      <c r="N571" s="23" t="n">
        <v>0</v>
      </c>
      <c r="O571" s="24" t="n">
        <v>0.128014184397163</v>
      </c>
      <c r="P571" s="24" t="n">
        <f aca="false">IF(ISNUMBER(Stock_Seguridad!N571),Stock_Seguridad!N571,"")</f>
        <v>0.209150326797386</v>
      </c>
      <c r="Q571" s="24" t="n">
        <f aca="false">IF(AND(ISNUMBER(O571),ISNUMBER(P571)),P571-O571,"")</f>
        <v>0.0811361424002226</v>
      </c>
      <c r="R571" s="23" t="n">
        <f aca="false">MAX(0,G571-N(L571))</f>
        <v>1380</v>
      </c>
      <c r="S571" s="23" t="n">
        <f aca="false">SUMIFS(Cadenas_vs_FCST!$D$17:$D$2437,Cadenas_vs_FCST!$A$17:$A$2437,A571)</f>
        <v>2090</v>
      </c>
      <c r="T571" s="23" t="n">
        <f aca="false">SUMIFS(Cadenas_vs_FCST!$E$17:$E$2437,Cadenas_vs_FCST!$A$17:$A$2437,A571)</f>
        <v>4459.57883099648</v>
      </c>
      <c r="U571" s="24" t="n">
        <f aca="false">IF(T571&gt;0,S571/T571-1,"")</f>
        <v>-0.53134587834318</v>
      </c>
      <c r="V571" s="3" t="str">
        <f aca="false">IF(OR(E571="BAJO SS",E571="BAJO SS (XLIB CUBRE)"),"SÍ","")</f>
        <v/>
      </c>
      <c r="W571" s="3" t="str">
        <f aca="false">IF(AND(V571="",N(L571)&gt;=Parametros!$B$17,G571&gt;=H571,R571&lt;H571),"SÍ","")</f>
        <v/>
      </c>
      <c r="X571" s="3" t="str">
        <f aca="false">IF(OR(E571="SOBRE MAX VENDIBLE",N(N571)&gt;=Parametros!$B$17,N(M571)&gt;=Parametros!$B$17),"SÍ","")</f>
        <v/>
      </c>
      <c r="Y571" s="3" t="str">
        <f aca="false">IF(AND(ISNUMBER(U571),MAX(S571,T571)&gt;=Parametros!$B$15,ABS(N(U571))&gt;Parametros!$B$14),"SÍ","")</f>
        <v>SÍ</v>
      </c>
      <c r="Z571" s="3" t="n">
        <f aca="false">COUNTIF(V571:Y571,"SÍ")</f>
        <v>1</v>
      </c>
      <c r="AA571" s="3" t="n">
        <f aca="false">(3*(V571="SÍ")+2*(W571="SÍ")+2*(X571="SÍ")+(Y571="SÍ"))*IF(LEFT(D571,1)="A",3,IF(OR(LEFT(D571,1)="B",D571="SIN HIST"),2,1))</f>
        <v>1</v>
      </c>
      <c r="AB571" s="3" t="str">
        <f aca="false">IF(AA571&gt;=9,"1-ALTA",IF(AA571&gt;=4,"2-MEDIA",IF(AA571&gt;0,"3-BAJA","")))</f>
        <v>3-BAJA</v>
      </c>
      <c r="AC571" s="3" t="str">
        <f aca="false">IF(E571="BAJO SS","Stock + XLIB bajo el SS: riesgo real de quiebre, adelantar producción. ","")&amp;IF(E571="BAJO SS (XLIB CUBRE)","Disponible bajo el SS; depende de liberar "&amp;TEXT(J571,"#,##0")&amp;" kg"&amp;IF(ISNUMBER(K571)," el "&amp;TEXT(K571,"dd-mm"),"")&amp;". ","")&amp;IF(W571="SÍ","Stock parece sano pero "&amp;TEXT(L571,"#,##0")&amp;" kg no pasan filtro "&amp;Stock_Seguridad!O571&amp;": sin ellos queda bajo el SS para esa cadena. ","")&amp;IF(E571="SOBRE MAX VENDIBLE","Sobrestock vs vida útil: frenar producción/activar venta. ","")&amp;IF(N(N571)&gt;=Parametros!$B$17,TEXT(N571,"#,##0")&amp;" kg ya no los acepta ninguna cadena: venta intermedia/liquidación. ","")&amp;IF(N(M571)&gt;=Parametros!$B$17,TEXT(M571,"#,##0")&amp;" kg a punto de salir del filtro: despachar primero (FEFO). ","")&amp;IF(Y571="SÍ","Pedidos "&amp;IF(N(U571)&gt;0,"sobre","bajo")&amp;" FCST "&amp;TEXT(ABS(N(U571)),"0%")&amp;": revisar forecast con KAM.","")</f>
        <v>Pedidos bajo FCST 53%: revisar forecast con KAM.</v>
      </c>
    </row>
    <row r="572" customFormat="false" ht="15" hidden="false" customHeight="false" outlineLevel="0" collapsed="false">
      <c r="A572" s="18" t="n">
        <f aca="false">Stock_Seguridad!A572</f>
        <v>30000552</v>
      </c>
      <c r="B572" s="18" t="str">
        <f aca="false">Stock_Seguridad!B572</f>
        <v>QUESO GAUDA CALO LAMINADO 16X233GR</v>
      </c>
      <c r="C572" s="18" t="str">
        <f aca="false">Stock_Seguridad!C572</f>
        <v>QUESOS</v>
      </c>
      <c r="D572" s="18" t="str">
        <f aca="false">Stock_Seguridad!F572</f>
        <v>CY</v>
      </c>
      <c r="E572" s="19" t="str">
        <f aca="false">Stock_Seguridad!X572</f>
        <v>SOBRE MAX VENDIBLE</v>
      </c>
      <c r="F572" s="20" t="n">
        <f aca="false">Stock_Seguridad!W572</f>
        <v>8.71014285714286</v>
      </c>
      <c r="G572" s="21" t="n">
        <f aca="false">Stock_Seguridad!T572</f>
        <v>6097.1</v>
      </c>
      <c r="H572" s="21" t="n">
        <f aca="false">Stock_Seguridad!R572</f>
        <v>428.254436485297</v>
      </c>
      <c r="I572" s="21" t="n">
        <f aca="false">Stock_Seguridad!S572</f>
        <v>1128.2544364853</v>
      </c>
      <c r="J572" s="21" t="n">
        <f aca="false">Stock_Seguridad!U572</f>
        <v>0</v>
      </c>
      <c r="K572" s="22"/>
      <c r="L572" s="23" t="n">
        <v>305.04</v>
      </c>
      <c r="M572" s="23" t="n">
        <v>0</v>
      </c>
      <c r="N572" s="23" t="n">
        <v>0</v>
      </c>
      <c r="O572" s="24" t="n">
        <v>0.061006711409396</v>
      </c>
      <c r="P572" s="24" t="n">
        <f aca="false">IF(ISNUMBER(Stock_Seguridad!N572),Stock_Seguridad!N572,"")</f>
        <v>0.260869565217391</v>
      </c>
      <c r="Q572" s="24" t="n">
        <f aca="false">IF(AND(ISNUMBER(O572),ISNUMBER(P572)),P572-O572,"")</f>
        <v>0.199862853807995</v>
      </c>
      <c r="R572" s="23" t="n">
        <f aca="false">MAX(0,G572-N(L572))</f>
        <v>5792.06</v>
      </c>
      <c r="S572" s="23" t="n">
        <f aca="false">SUMIFS(Cadenas_vs_FCST!$D$17:$D$2437,Cadenas_vs_FCST!$A$17:$A$2437,A572)</f>
        <v>1796.76</v>
      </c>
      <c r="T572" s="23" t="n">
        <f aca="false">SUMIFS(Cadenas_vs_FCST!$E$17:$E$2437,Cadenas_vs_FCST!$A$17:$A$2437,A572)</f>
        <v>3146.52670268751</v>
      </c>
      <c r="U572" s="24" t="n">
        <f aca="false">IF(T572&gt;0,S572/T572-1,"")</f>
        <v>-0.428970363269012</v>
      </c>
      <c r="V572" s="3" t="str">
        <f aca="false">IF(OR(E572="BAJO SS",E572="BAJO SS (XLIB CUBRE)"),"SÍ","")</f>
        <v/>
      </c>
      <c r="W572" s="3" t="str">
        <f aca="false">IF(AND(V572="",N(L572)&gt;=Parametros!$B$17,G572&gt;=H572,R572&lt;H572),"SÍ","")</f>
        <v/>
      </c>
      <c r="X572" s="3" t="str">
        <f aca="false">IF(OR(E572="SOBRE MAX VENDIBLE",N(N572)&gt;=Parametros!$B$17,N(M572)&gt;=Parametros!$B$17),"SÍ","")</f>
        <v>SÍ</v>
      </c>
      <c r="Y572" s="3" t="str">
        <f aca="false">IF(AND(ISNUMBER(U572),MAX(S572,T572)&gt;=Parametros!$B$15,ABS(N(U572))&gt;Parametros!$B$14),"SÍ","")</f>
        <v>SÍ</v>
      </c>
      <c r="Z572" s="3" t="n">
        <f aca="false">COUNTIF(V572:Y572,"SÍ")</f>
        <v>2</v>
      </c>
      <c r="AA572" s="3" t="n">
        <f aca="false">(3*(V572="SÍ")+2*(W572="SÍ")+2*(X572="SÍ")+(Y572="SÍ"))*IF(LEFT(D572,1)="A",3,IF(OR(LEFT(D572,1)="B",D572="SIN HIST"),2,1))</f>
        <v>3</v>
      </c>
      <c r="AB572" s="3" t="str">
        <f aca="false">IF(AA572&gt;=9,"1-ALTA",IF(AA572&gt;=4,"2-MEDIA",IF(AA572&gt;0,"3-BAJA","")))</f>
        <v>3-BAJA</v>
      </c>
      <c r="AC572" s="3" t="str">
        <f aca="false">IF(E572="BAJO SS","Stock + XLIB bajo el SS: riesgo real de quiebre, adelantar producción. ","")&amp;IF(E572="BAJO SS (XLIB CUBRE)","Disponible bajo el SS; depende de liberar "&amp;TEXT(J572,"#,##0")&amp;" kg"&amp;IF(ISNUMBER(K572)," el "&amp;TEXT(K572,"dd-mm"),"")&amp;". ","")&amp;IF(W572="SÍ","Stock parece sano pero "&amp;TEXT(L572,"#,##0")&amp;" kg no pasan filtro "&amp;Stock_Seguridad!O572&amp;": sin ellos queda bajo el SS para esa cadena. ","")&amp;IF(E572="SOBRE MAX VENDIBLE","Sobrestock vs vida útil: frenar producción/activar venta. ","")&amp;IF(N(N572)&gt;=Parametros!$B$17,TEXT(N572,"#,##0")&amp;" kg ya no los acepta ninguna cadena: venta intermedia/liquidación. ","")&amp;IF(N(M572)&gt;=Parametros!$B$17,TEXT(M572,"#,##0")&amp;" kg a punto de salir del filtro: despachar primero (FEFO). ","")&amp;IF(Y572="SÍ","Pedidos "&amp;IF(N(U572)&gt;0,"sobre","bajo")&amp;" FCST "&amp;TEXT(ABS(N(U572)),"0%")&amp;": revisar forecast con KAM.","")</f>
        <v>Sobrestock vs vida útil: frenar producción/activar venta. Pedidos bajo FCST 43%: revisar forecast con KAM.</v>
      </c>
    </row>
    <row r="573" customFormat="false" ht="15" hidden="false" customHeight="false" outlineLevel="0" collapsed="false">
      <c r="A573" s="18" t="n">
        <f aca="false">Stock_Seguridad!A573</f>
        <v>30000013</v>
      </c>
      <c r="B573" s="18" t="str">
        <f aca="false">Stock_Seguridad!B573</f>
        <v>ACEITE MARAVILLA 1X190LT</v>
      </c>
      <c r="C573" s="18" t="str">
        <f aca="false">Stock_Seguridad!C573</f>
        <v>ACEITES</v>
      </c>
      <c r="D573" s="18" t="str">
        <f aca="false">Stock_Seguridad!F573</f>
        <v>SIN HIST</v>
      </c>
      <c r="E573" s="19" t="str">
        <f aca="false">Stock_Seguridad!X573</f>
        <v>BAJO P.REORDEN</v>
      </c>
      <c r="F573" s="20" t="n">
        <f aca="false">Stock_Seguridad!W573</f>
        <v>0.544646696287803</v>
      </c>
      <c r="G573" s="21" t="n">
        <f aca="false">Stock_Seguridad!T573</f>
        <v>380</v>
      </c>
      <c r="H573" s="21" t="n">
        <f aca="false">Stock_Seguridad!R573</f>
        <v>344.284312657213</v>
      </c>
      <c r="I573" s="21" t="n">
        <f aca="false">Stock_Seguridad!S573</f>
        <v>1041.98431265721</v>
      </c>
      <c r="J573" s="21" t="n">
        <f aca="false">Stock_Seguridad!U573</f>
        <v>0</v>
      </c>
      <c r="K573" s="22"/>
      <c r="L573" s="23" t="n">
        <v>0</v>
      </c>
      <c r="M573" s="23" t="n">
        <v>0</v>
      </c>
      <c r="N573" s="23" t="n">
        <v>0</v>
      </c>
      <c r="O573" s="24" t="n">
        <v>0.07</v>
      </c>
      <c r="P573" s="24" t="str">
        <f aca="false">IF(ISNUMBER(Stock_Seguridad!N573),Stock_Seguridad!N573,"")</f>
        <v/>
      </c>
      <c r="Q573" s="24" t="str">
        <f aca="false">IF(AND(ISNUMBER(O573),ISNUMBER(P573)),P573-O573,"")</f>
        <v/>
      </c>
      <c r="R573" s="23" t="n">
        <f aca="false">MAX(0,G573-N(L573))</f>
        <v>380</v>
      </c>
      <c r="S573" s="23" t="n">
        <f aca="false">SUMIFS(Cadenas_vs_FCST!$D$17:$D$2437,Cadenas_vs_FCST!$A$17:$A$2437,A573)</f>
        <v>0</v>
      </c>
      <c r="T573" s="23" t="n">
        <f aca="false">SUMIFS(Cadenas_vs_FCST!$E$17:$E$2437,Cadenas_vs_FCST!$A$17:$A$2437,A573)</f>
        <v>0</v>
      </c>
      <c r="U573" s="24" t="str">
        <f aca="false">IF(T573&gt;0,S573/T573-1,"")</f>
        <v/>
      </c>
      <c r="V573" s="3" t="str">
        <f aca="false">IF(OR(E573="BAJO SS",E573="BAJO SS (XLIB CUBRE)"),"SÍ","")</f>
        <v/>
      </c>
      <c r="W573" s="3" t="str">
        <f aca="false">IF(AND(V573="",N(L573)&gt;=Parametros!$B$17,G573&gt;=H573,R573&lt;H573),"SÍ","")</f>
        <v/>
      </c>
      <c r="X573" s="3" t="str">
        <f aca="false">IF(OR(E573="SOBRE MAX VENDIBLE",N(N573)&gt;=Parametros!$B$17,N(M573)&gt;=Parametros!$B$17),"SÍ","")</f>
        <v/>
      </c>
      <c r="Y573" s="3" t="str">
        <f aca="false">IF(AND(ISNUMBER(U573),MAX(S573,T573)&gt;=Parametros!$B$15,ABS(N(U573))&gt;Parametros!$B$14),"SÍ","")</f>
        <v/>
      </c>
      <c r="Z573" s="3" t="n">
        <f aca="false">COUNTIF(V573:Y573,"SÍ")</f>
        <v>0</v>
      </c>
      <c r="AA573" s="3" t="n">
        <f aca="false">(3*(V573="SÍ")+2*(W573="SÍ")+2*(X573="SÍ")+(Y573="SÍ"))*IF(LEFT(D573,1)="A",3,IF(OR(LEFT(D573,1)="B",D573="SIN HIST"),2,1))</f>
        <v>0</v>
      </c>
      <c r="AB573" s="3" t="str">
        <f aca="false">IF(AA573&gt;=9,"1-ALTA",IF(AA573&gt;=4,"2-MEDIA",IF(AA573&gt;0,"3-BAJA","")))</f>
        <v/>
      </c>
      <c r="AC573" s="3" t="str">
        <f aca="false">IF(E573="BAJO SS","Stock + XLIB bajo el SS: riesgo real de quiebre, adelantar producción. ","")&amp;IF(E573="BAJO SS (XLIB CUBRE)","Disponible bajo el SS; depende de liberar "&amp;TEXT(J573,"#,##0")&amp;" kg"&amp;IF(ISNUMBER(K573)," el "&amp;TEXT(K573,"dd-mm"),"")&amp;". ","")&amp;IF(W573="SÍ","Stock parece sano pero "&amp;TEXT(L573,"#,##0")&amp;" kg no pasan filtro "&amp;Stock_Seguridad!O573&amp;": sin ellos queda bajo el SS para esa cadena. ","")&amp;IF(E573="SOBRE MAX VENDIBLE","Sobrestock vs vida útil: frenar producción/activar venta. ","")&amp;IF(N(N573)&gt;=Parametros!$B$17,TEXT(N573,"#,##0")&amp;" kg ya no los acepta ninguna cadena: venta intermedia/liquidación. ","")&amp;IF(N(M573)&gt;=Parametros!$B$17,TEXT(M573,"#,##0")&amp;" kg a punto de salir del filtro: despachar primero (FEFO). ","")&amp;IF(Y573="SÍ","Pedidos "&amp;IF(N(U573)&gt;0,"sobre","bajo")&amp;" FCST "&amp;TEXT(ABS(N(U573)),"0%")&amp;": revisar forecast con KAM.","")</f>
        <v/>
      </c>
    </row>
    <row r="574" customFormat="false" ht="15" hidden="false" customHeight="false" outlineLevel="0" collapsed="false">
      <c r="A574" s="18" t="n">
        <f aca="false">Stock_Seguridad!A574</f>
        <v>30000621</v>
      </c>
      <c r="B574" s="18" t="str">
        <f aca="false">Stock_Seguridad!B574</f>
        <v>PIÑAS CUBITOS SUD WSL 06XA10</v>
      </c>
      <c r="C574" s="18" t="str">
        <f aca="false">Stock_Seguridad!C574</f>
        <v>CONSERVAS Y PLATOS LISTOS</v>
      </c>
      <c r="D574" s="18" t="str">
        <f aca="false">Stock_Seguridad!F574</f>
        <v>SIN HIST</v>
      </c>
      <c r="E574" s="19" t="str">
        <f aca="false">Stock_Seguridad!X574</f>
        <v>OK</v>
      </c>
      <c r="F574" s="20" t="n">
        <f aca="false">Stock_Seguridad!W574</f>
        <v>52.810663609001</v>
      </c>
      <c r="G574" s="21" t="n">
        <f aca="false">Stock_Seguridad!T574</f>
        <v>36846</v>
      </c>
      <c r="H574" s="21" t="n">
        <f aca="false">Stock_Seguridad!R574</f>
        <v>344.284312657213</v>
      </c>
      <c r="I574" s="21" t="n">
        <f aca="false">Stock_Seguridad!S574</f>
        <v>1041.98431265721</v>
      </c>
      <c r="J574" s="21" t="n">
        <f aca="false">Stock_Seguridad!U574</f>
        <v>0</v>
      </c>
      <c r="K574" s="22"/>
      <c r="L574" s="23" t="n">
        <v>2556</v>
      </c>
      <c r="M574" s="23" t="n">
        <v>0</v>
      </c>
      <c r="N574" s="23" t="n">
        <v>0</v>
      </c>
      <c r="O574" s="24" t="n">
        <v>0.22113825109917</v>
      </c>
      <c r="P574" s="24" t="n">
        <f aca="false">IF(ISNUMBER(Stock_Seguridad!N574),Stock_Seguridad!N574,"")</f>
        <v>0.480365296803653</v>
      </c>
      <c r="Q574" s="24" t="n">
        <f aca="false">IF(AND(ISNUMBER(O574),ISNUMBER(P574)),P574-O574,"")</f>
        <v>0.259227045704483</v>
      </c>
      <c r="R574" s="23" t="n">
        <f aca="false">MAX(0,G574-N(L574))</f>
        <v>34290</v>
      </c>
      <c r="S574" s="23" t="n">
        <f aca="false">SUMIFS(Cadenas_vs_FCST!$D$17:$D$2437,Cadenas_vs_FCST!$A$17:$A$2437,A574)</f>
        <v>0</v>
      </c>
      <c r="T574" s="23" t="n">
        <f aca="false">SUMIFS(Cadenas_vs_FCST!$E$17:$E$2437,Cadenas_vs_FCST!$A$17:$A$2437,A574)</f>
        <v>0</v>
      </c>
      <c r="U574" s="24" t="str">
        <f aca="false">IF(T574&gt;0,S574/T574-1,"")</f>
        <v/>
      </c>
      <c r="V574" s="3" t="str">
        <f aca="false">IF(OR(E574="BAJO SS",E574="BAJO SS (XLIB CUBRE)"),"SÍ","")</f>
        <v/>
      </c>
      <c r="W574" s="3" t="str">
        <f aca="false">IF(AND(V574="",N(L574)&gt;=Parametros!$B$17,G574&gt;=H574,R574&lt;H574),"SÍ","")</f>
        <v/>
      </c>
      <c r="X574" s="3" t="str">
        <f aca="false">IF(OR(E574="SOBRE MAX VENDIBLE",N(N574)&gt;=Parametros!$B$17,N(M574)&gt;=Parametros!$B$17),"SÍ","")</f>
        <v/>
      </c>
      <c r="Y574" s="3" t="str">
        <f aca="false">IF(AND(ISNUMBER(U574),MAX(S574,T574)&gt;=Parametros!$B$15,ABS(N(U574))&gt;Parametros!$B$14),"SÍ","")</f>
        <v/>
      </c>
      <c r="Z574" s="3" t="n">
        <f aca="false">COUNTIF(V574:Y574,"SÍ")</f>
        <v>0</v>
      </c>
      <c r="AA574" s="3" t="n">
        <f aca="false">(3*(V574="SÍ")+2*(W574="SÍ")+2*(X574="SÍ")+(Y574="SÍ"))*IF(LEFT(D574,1)="A",3,IF(OR(LEFT(D574,1)="B",D574="SIN HIST"),2,1))</f>
        <v>0</v>
      </c>
      <c r="AB574" s="3" t="str">
        <f aca="false">IF(AA574&gt;=9,"1-ALTA",IF(AA574&gt;=4,"2-MEDIA",IF(AA574&gt;0,"3-BAJA","")))</f>
        <v/>
      </c>
      <c r="AC574" s="3" t="str">
        <f aca="false">IF(E574="BAJO SS","Stock + XLIB bajo el SS: riesgo real de quiebre, adelantar producción. ","")&amp;IF(E574="BAJO SS (XLIB CUBRE)","Disponible bajo el SS; depende de liberar "&amp;TEXT(J574,"#,##0")&amp;" kg"&amp;IF(ISNUMBER(K574)," el "&amp;TEXT(K574,"dd-mm"),"")&amp;". ","")&amp;IF(W574="SÍ","Stock parece sano pero "&amp;TEXT(L574,"#,##0")&amp;" kg no pasan filtro "&amp;Stock_Seguridad!O574&amp;": sin ellos queda bajo el SS para esa cadena. ","")&amp;IF(E574="SOBRE MAX VENDIBLE","Sobrestock vs vida útil: frenar producción/activar venta. ","")&amp;IF(N(N574)&gt;=Parametros!$B$17,TEXT(N574,"#,##0")&amp;" kg ya no los acepta ninguna cadena: venta intermedia/liquidación. ","")&amp;IF(N(M574)&gt;=Parametros!$B$17,TEXT(M574,"#,##0")&amp;" kg a punto de salir del filtro: despachar primero (FEFO). ","")&amp;IF(Y574="SÍ","Pedidos "&amp;IF(N(U574)&gt;0,"sobre","bajo")&amp;" FCST "&amp;TEXT(ABS(N(U574)),"0%")&amp;": revisar forecast con KAM.","")</f>
        <v/>
      </c>
    </row>
    <row r="575" customFormat="false" ht="15" hidden="false" customHeight="false" outlineLevel="0" collapsed="false">
      <c r="A575" s="18" t="n">
        <f aca="false">Stock_Seguridad!A575</f>
        <v>30000839</v>
      </c>
      <c r="B575" s="18" t="str">
        <f aca="false">Stock_Seguridad!B575</f>
        <v>ALCACHOFA FONDOS FM 5X2KG</v>
      </c>
      <c r="C575" s="18" t="str">
        <f aca="false">Stock_Seguridad!C575</f>
        <v>FRUTAS Y HORTALIZAS CONGELADAS</v>
      </c>
      <c r="D575" s="18" t="str">
        <f aca="false">Stock_Seguridad!F575</f>
        <v>SIN HIST</v>
      </c>
      <c r="E575" s="19" t="str">
        <f aca="false">Stock_Seguridad!X575</f>
        <v>OK</v>
      </c>
      <c r="F575" s="20" t="n">
        <f aca="false">Stock_Seguridad!W575</f>
        <v>5.57546223305145</v>
      </c>
      <c r="G575" s="21" t="n">
        <f aca="false">Stock_Seguridad!T575</f>
        <v>3890</v>
      </c>
      <c r="H575" s="21" t="n">
        <f aca="false">Stock_Seguridad!R575</f>
        <v>344.284312657213</v>
      </c>
      <c r="I575" s="21" t="n">
        <f aca="false">Stock_Seguridad!S575</f>
        <v>1041.98431265721</v>
      </c>
      <c r="J575" s="21" t="n">
        <f aca="false">Stock_Seguridad!U575</f>
        <v>0</v>
      </c>
      <c r="K575" s="22"/>
      <c r="L575" s="23" t="n">
        <v>0</v>
      </c>
      <c r="M575" s="23" t="n">
        <v>0</v>
      </c>
      <c r="N575" s="23" t="n">
        <v>0</v>
      </c>
      <c r="O575" s="24" t="n">
        <v>0.05</v>
      </c>
      <c r="P575" s="24" t="str">
        <f aca="false">IF(ISNUMBER(Stock_Seguridad!N575),Stock_Seguridad!N575,"")</f>
        <v/>
      </c>
      <c r="Q575" s="24" t="str">
        <f aca="false">IF(AND(ISNUMBER(O575),ISNUMBER(P575)),P575-O575,"")</f>
        <v/>
      </c>
      <c r="R575" s="23" t="n">
        <f aca="false">MAX(0,G575-N(L575))</f>
        <v>3890</v>
      </c>
      <c r="S575" s="23" t="n">
        <f aca="false">SUMIFS(Cadenas_vs_FCST!$D$17:$D$2437,Cadenas_vs_FCST!$A$17:$A$2437,A575)</f>
        <v>0</v>
      </c>
      <c r="T575" s="23" t="n">
        <f aca="false">SUMIFS(Cadenas_vs_FCST!$E$17:$E$2437,Cadenas_vs_FCST!$A$17:$A$2437,A575)</f>
        <v>0</v>
      </c>
      <c r="U575" s="24" t="str">
        <f aca="false">IF(T575&gt;0,S575/T575-1,"")</f>
        <v/>
      </c>
      <c r="V575" s="3" t="str">
        <f aca="false">IF(OR(E575="BAJO SS",E575="BAJO SS (XLIB CUBRE)"),"SÍ","")</f>
        <v/>
      </c>
      <c r="W575" s="3" t="str">
        <f aca="false">IF(AND(V575="",N(L575)&gt;=Parametros!$B$17,G575&gt;=H575,R575&lt;H575),"SÍ","")</f>
        <v/>
      </c>
      <c r="X575" s="3" t="str">
        <f aca="false">IF(OR(E575="SOBRE MAX VENDIBLE",N(N575)&gt;=Parametros!$B$17,N(M575)&gt;=Parametros!$B$17),"SÍ","")</f>
        <v/>
      </c>
      <c r="Y575" s="3" t="str">
        <f aca="false">IF(AND(ISNUMBER(U575),MAX(S575,T575)&gt;=Parametros!$B$15,ABS(N(U575))&gt;Parametros!$B$14),"SÍ","")</f>
        <v/>
      </c>
      <c r="Z575" s="3" t="n">
        <f aca="false">COUNTIF(V575:Y575,"SÍ")</f>
        <v>0</v>
      </c>
      <c r="AA575" s="3" t="n">
        <f aca="false">(3*(V575="SÍ")+2*(W575="SÍ")+2*(X575="SÍ")+(Y575="SÍ"))*IF(LEFT(D575,1)="A",3,IF(OR(LEFT(D575,1)="B",D575="SIN HIST"),2,1))</f>
        <v>0</v>
      </c>
      <c r="AB575" s="3" t="str">
        <f aca="false">IF(AA575&gt;=9,"1-ALTA",IF(AA575&gt;=4,"2-MEDIA",IF(AA575&gt;0,"3-BAJA","")))</f>
        <v/>
      </c>
      <c r="AC575" s="3" t="str">
        <f aca="false">IF(E575="BAJO SS","Stock + XLIB bajo el SS: riesgo real de quiebre, adelantar producción. ","")&amp;IF(E575="BAJO SS (XLIB CUBRE)","Disponible bajo el SS; depende de liberar "&amp;TEXT(J575,"#,##0")&amp;" kg"&amp;IF(ISNUMBER(K575)," el "&amp;TEXT(K575,"dd-mm"),"")&amp;". ","")&amp;IF(W575="SÍ","Stock parece sano pero "&amp;TEXT(L575,"#,##0")&amp;" kg no pasan filtro "&amp;Stock_Seguridad!O575&amp;": sin ellos queda bajo el SS para esa cadena. ","")&amp;IF(E575="SOBRE MAX VENDIBLE","Sobrestock vs vida útil: frenar producción/activar venta. ","")&amp;IF(N(N575)&gt;=Parametros!$B$17,TEXT(N575,"#,##0")&amp;" kg ya no los acepta ninguna cadena: venta intermedia/liquidación. ","")&amp;IF(N(M575)&gt;=Parametros!$B$17,TEXT(M575,"#,##0")&amp;" kg a punto de salir del filtro: despachar primero (FEFO). ","")&amp;IF(Y575="SÍ","Pedidos "&amp;IF(N(U575)&gt;0,"sobre","bajo")&amp;" FCST "&amp;TEXT(ABS(N(U575)),"0%")&amp;": revisar forecast con KAM.","")</f>
        <v/>
      </c>
    </row>
    <row r="576" customFormat="false" ht="15" hidden="false" customHeight="false" outlineLevel="0" collapsed="false">
      <c r="A576" s="18" t="n">
        <f aca="false">Stock_Seguridad!A576</f>
        <v>30002100</v>
      </c>
      <c r="B576" s="18" t="str">
        <f aca="false">Stock_Seguridad!B576</f>
        <v>PIMENTON ROJO TIRAS FDM 6X2KG</v>
      </c>
      <c r="C576" s="18" t="str">
        <f aca="false">Stock_Seguridad!C576</f>
        <v>FRUTAS Y HORTALIZAS CONGELADAS</v>
      </c>
      <c r="D576" s="18" t="str">
        <f aca="false">Stock_Seguridad!F576</f>
        <v>SIN HIST</v>
      </c>
      <c r="E576" s="19" t="str">
        <f aca="false">Stock_Seguridad!X576</f>
        <v>OK</v>
      </c>
      <c r="F576" s="20" t="n">
        <f aca="false">Stock_Seguridad!W576</f>
        <v>8.99527017342697</v>
      </c>
      <c r="G576" s="21" t="n">
        <f aca="false">Stock_Seguridad!T576</f>
        <v>6276</v>
      </c>
      <c r="H576" s="21" t="n">
        <f aca="false">Stock_Seguridad!R576</f>
        <v>344.284312657213</v>
      </c>
      <c r="I576" s="21" t="n">
        <f aca="false">Stock_Seguridad!S576</f>
        <v>1041.98431265721</v>
      </c>
      <c r="J576" s="21" t="n">
        <f aca="false">Stock_Seguridad!U576</f>
        <v>0</v>
      </c>
      <c r="K576" s="22"/>
      <c r="L576" s="23" t="n">
        <v>0</v>
      </c>
      <c r="M576" s="23" t="n">
        <v>0</v>
      </c>
      <c r="N576" s="23" t="n">
        <v>0</v>
      </c>
      <c r="O576" s="24" t="n">
        <v>0.100786516853933</v>
      </c>
      <c r="P576" s="24" t="str">
        <f aca="false">IF(ISNUMBER(Stock_Seguridad!N576),Stock_Seguridad!N576,"")</f>
        <v/>
      </c>
      <c r="Q576" s="24" t="str">
        <f aca="false">IF(AND(ISNUMBER(O576),ISNUMBER(P576)),P576-O576,"")</f>
        <v/>
      </c>
      <c r="R576" s="23" t="n">
        <f aca="false">MAX(0,G576-N(L576))</f>
        <v>6276</v>
      </c>
      <c r="S576" s="23" t="n">
        <f aca="false">SUMIFS(Cadenas_vs_FCST!$D$17:$D$2437,Cadenas_vs_FCST!$A$17:$A$2437,A576)</f>
        <v>0</v>
      </c>
      <c r="T576" s="23" t="n">
        <f aca="false">SUMIFS(Cadenas_vs_FCST!$E$17:$E$2437,Cadenas_vs_FCST!$A$17:$A$2437,A576)</f>
        <v>0</v>
      </c>
      <c r="U576" s="24" t="str">
        <f aca="false">IF(T576&gt;0,S576/T576-1,"")</f>
        <v/>
      </c>
      <c r="V576" s="3" t="str">
        <f aca="false">IF(OR(E576="BAJO SS",E576="BAJO SS (XLIB CUBRE)"),"SÍ","")</f>
        <v/>
      </c>
      <c r="W576" s="3" t="str">
        <f aca="false">IF(AND(V576="",N(L576)&gt;=Parametros!$B$17,G576&gt;=H576,R576&lt;H576),"SÍ","")</f>
        <v/>
      </c>
      <c r="X576" s="3" t="str">
        <f aca="false">IF(OR(E576="SOBRE MAX VENDIBLE",N(N576)&gt;=Parametros!$B$17,N(M576)&gt;=Parametros!$B$17),"SÍ","")</f>
        <v/>
      </c>
      <c r="Y576" s="3" t="str">
        <f aca="false">IF(AND(ISNUMBER(U576),MAX(S576,T576)&gt;=Parametros!$B$15,ABS(N(U576))&gt;Parametros!$B$14),"SÍ","")</f>
        <v/>
      </c>
      <c r="Z576" s="3" t="n">
        <f aca="false">COUNTIF(V576:Y576,"SÍ")</f>
        <v>0</v>
      </c>
      <c r="AA576" s="3" t="n">
        <f aca="false">(3*(V576="SÍ")+2*(W576="SÍ")+2*(X576="SÍ")+(Y576="SÍ"))*IF(LEFT(D576,1)="A",3,IF(OR(LEFT(D576,1)="B",D576="SIN HIST"),2,1))</f>
        <v>0</v>
      </c>
      <c r="AB576" s="3" t="str">
        <f aca="false">IF(AA576&gt;=9,"1-ALTA",IF(AA576&gt;=4,"2-MEDIA",IF(AA576&gt;0,"3-BAJA","")))</f>
        <v/>
      </c>
      <c r="AC576" s="3" t="str">
        <f aca="false">IF(E576="BAJO SS","Stock + XLIB bajo el SS: riesgo real de quiebre, adelantar producción. ","")&amp;IF(E576="BAJO SS (XLIB CUBRE)","Disponible bajo el SS; depende de liberar "&amp;TEXT(J576,"#,##0")&amp;" kg"&amp;IF(ISNUMBER(K576)," el "&amp;TEXT(K576,"dd-mm"),"")&amp;". ","")&amp;IF(W576="SÍ","Stock parece sano pero "&amp;TEXT(L576,"#,##0")&amp;" kg no pasan filtro "&amp;Stock_Seguridad!O576&amp;": sin ellos queda bajo el SS para esa cadena. ","")&amp;IF(E576="SOBRE MAX VENDIBLE","Sobrestock vs vida útil: frenar producción/activar venta. ","")&amp;IF(N(N576)&gt;=Parametros!$B$17,TEXT(N576,"#,##0")&amp;" kg ya no los acepta ninguna cadena: venta intermedia/liquidación. ","")&amp;IF(N(M576)&gt;=Parametros!$B$17,TEXT(M576,"#,##0")&amp;" kg a punto de salir del filtro: despachar primero (FEFO). ","")&amp;IF(Y576="SÍ","Pedidos "&amp;IF(N(U576)&gt;0,"sobre","bajo")&amp;" FCST "&amp;TEXT(ABS(N(U576)),"0%")&amp;": revisar forecast con KAM.","")</f>
        <v/>
      </c>
    </row>
    <row r="577" customFormat="false" ht="15" hidden="false" customHeight="false" outlineLevel="0" collapsed="false">
      <c r="A577" s="18" t="n">
        <f aca="false">Stock_Seguridad!A577</f>
        <v>30000349</v>
      </c>
      <c r="B577" s="18" t="str">
        <f aca="false">Stock_Seguridad!B577</f>
        <v>CREMA PARA REPOSTRE CALO 12X1LT</v>
      </c>
      <c r="C577" s="18" t="str">
        <f aca="false">Stock_Seguridad!C577</f>
        <v>CREMA</v>
      </c>
      <c r="D577" s="18" t="str">
        <f aca="false">Stock_Seguridad!F577</f>
        <v>SIN HIST</v>
      </c>
      <c r="E577" s="19" t="str">
        <f aca="false">Stock_Seguridad!X577</f>
        <v>SOBRE MAX VENDIBLE</v>
      </c>
      <c r="F577" s="20" t="n">
        <f aca="false">Stock_Seguridad!W577</f>
        <v>9.09846638956572</v>
      </c>
      <c r="G577" s="21" t="n">
        <f aca="false">Stock_Seguridad!T577</f>
        <v>6348</v>
      </c>
      <c r="H577" s="21" t="n">
        <f aca="false">Stock_Seguridad!R577</f>
        <v>344.284312657213</v>
      </c>
      <c r="I577" s="21" t="n">
        <f aca="false">Stock_Seguridad!S577</f>
        <v>1041.98431265721</v>
      </c>
      <c r="J577" s="21" t="n">
        <f aca="false">Stock_Seguridad!U577</f>
        <v>0</v>
      </c>
      <c r="K577" s="22"/>
      <c r="L577" s="23" t="n">
        <v>3288</v>
      </c>
      <c r="M577" s="23" t="n">
        <v>3060</v>
      </c>
      <c r="N577" s="23" t="n">
        <v>3288</v>
      </c>
      <c r="O577" s="24" t="n">
        <v>0.318412098298677</v>
      </c>
      <c r="P577" s="24" t="n">
        <f aca="false">IF(ISNUMBER(Stock_Seguridad!N577),Stock_Seguridad!N577,"")</f>
        <v>0.271739130434783</v>
      </c>
      <c r="Q577" s="24" t="n">
        <f aca="false">IF(AND(ISNUMBER(O577),ISNUMBER(P577)),P577-O577,"")</f>
        <v>-0.0466729678638941</v>
      </c>
      <c r="R577" s="23" t="n">
        <f aca="false">MAX(0,G577-N(L577))</f>
        <v>3060</v>
      </c>
      <c r="S577" s="23" t="n">
        <f aca="false">SUMIFS(Cadenas_vs_FCST!$D$17:$D$2437,Cadenas_vs_FCST!$A$17:$A$2437,A577)</f>
        <v>0</v>
      </c>
      <c r="T577" s="23" t="n">
        <f aca="false">SUMIFS(Cadenas_vs_FCST!$E$17:$E$2437,Cadenas_vs_FCST!$A$17:$A$2437,A577)</f>
        <v>0</v>
      </c>
      <c r="U577" s="24" t="str">
        <f aca="false">IF(T577&gt;0,S577/T577-1,"")</f>
        <v/>
      </c>
      <c r="V577" s="3" t="str">
        <f aca="false">IF(OR(E577="BAJO SS",E577="BAJO SS (XLIB CUBRE)"),"SÍ","")</f>
        <v/>
      </c>
      <c r="W577" s="3" t="str">
        <f aca="false">IF(AND(V577="",N(L577)&gt;=Parametros!$B$17,G577&gt;=H577,R577&lt;H577),"SÍ","")</f>
        <v/>
      </c>
      <c r="X577" s="3" t="str">
        <f aca="false">IF(OR(E577="SOBRE MAX VENDIBLE",N(N577)&gt;=Parametros!$B$17,N(M577)&gt;=Parametros!$B$17),"SÍ","")</f>
        <v>SÍ</v>
      </c>
      <c r="Y577" s="3" t="str">
        <f aca="false">IF(AND(ISNUMBER(U577),MAX(S577,T577)&gt;=Parametros!$B$15,ABS(N(U577))&gt;Parametros!$B$14),"SÍ","")</f>
        <v/>
      </c>
      <c r="Z577" s="3" t="n">
        <f aca="false">COUNTIF(V577:Y577,"SÍ")</f>
        <v>1</v>
      </c>
      <c r="AA577" s="3" t="n">
        <f aca="false">(3*(V577="SÍ")+2*(W577="SÍ")+2*(X577="SÍ")+(Y577="SÍ"))*IF(LEFT(D577,1)="A",3,IF(OR(LEFT(D577,1)="B",D577="SIN HIST"),2,1))</f>
        <v>4</v>
      </c>
      <c r="AB577" s="3" t="str">
        <f aca="false">IF(AA577&gt;=9,"1-ALTA",IF(AA577&gt;=4,"2-MEDIA",IF(AA577&gt;0,"3-BAJA","")))</f>
        <v>2-MEDIA</v>
      </c>
      <c r="AC577" s="3" t="str">
        <f aca="false">IF(E577="BAJO SS","Stock + XLIB bajo el SS: riesgo real de quiebre, adelantar producción. ","")&amp;IF(E577="BAJO SS (XLIB CUBRE)","Disponible bajo el SS; depende de liberar "&amp;TEXT(J577,"#,##0")&amp;" kg"&amp;IF(ISNUMBER(K577)," el "&amp;TEXT(K577,"dd-mm"),"")&amp;". ","")&amp;IF(W577="SÍ","Stock parece sano pero "&amp;TEXT(L577,"#,##0")&amp;" kg no pasan filtro "&amp;Stock_Seguridad!O577&amp;": sin ellos queda bajo el SS para esa cadena. ","")&amp;IF(E577="SOBRE MAX VENDIBLE","Sobrestock vs vida útil: frenar producción/activar venta. ","")&amp;IF(N(N577)&gt;=Parametros!$B$17,TEXT(N577,"#,##0")&amp;" kg ya no los acepta ninguna cadena: venta intermedia/liquidación. ","")&amp;IF(N(M577)&gt;=Parametros!$B$17,TEXT(M577,"#,##0")&amp;" kg a punto de salir del filtro: despachar primero (FEFO). ","")&amp;IF(Y577="SÍ","Pedidos "&amp;IF(N(U577)&gt;0,"sobre","bajo")&amp;" FCST "&amp;TEXT(ABS(N(U577)),"0%")&amp;": revisar forecast con KAM.","")</f>
        <v>Sobrestock vs vida útil: frenar producción/activar venta. 3,288 kg ya no los acepta ninguna cadena: venta intermedia/liquidación. 3,060 kg a punto de salir del filtro: despachar primero (FEFO). </v>
      </c>
    </row>
    <row r="578" customFormat="false" ht="15" hidden="false" customHeight="false" outlineLevel="0" collapsed="false">
      <c r="A578" s="18" t="n">
        <f aca="false">Stock_Seguridad!A578</f>
        <v>30000856</v>
      </c>
      <c r="B578" s="18" t="str">
        <f aca="false">Stock_Seguridad!B578</f>
        <v>ESPARRAGO CUT&amp;TIP 1X13KG</v>
      </c>
      <c r="C578" s="18" t="str">
        <f aca="false">Stock_Seguridad!C578</f>
        <v>FRUTAS Y HORTALIZAS CONGELADAS</v>
      </c>
      <c r="D578" s="18" t="str">
        <f aca="false">Stock_Seguridad!F578</f>
        <v>SIN HIST</v>
      </c>
      <c r="E578" s="19" t="str">
        <f aca="false">Stock_Seguridad!X578</f>
        <v>OK</v>
      </c>
      <c r="F578" s="20" t="n">
        <f aca="false">Stock_Seguridad!W578</f>
        <v>2.94395872151354</v>
      </c>
      <c r="G578" s="21" t="n">
        <f aca="false">Stock_Seguridad!T578</f>
        <v>2054</v>
      </c>
      <c r="H578" s="21" t="n">
        <f aca="false">Stock_Seguridad!R578</f>
        <v>344.284312657213</v>
      </c>
      <c r="I578" s="21" t="n">
        <f aca="false">Stock_Seguridad!S578</f>
        <v>1041.98431265721</v>
      </c>
      <c r="J578" s="21" t="n">
        <f aca="false">Stock_Seguridad!U578</f>
        <v>0</v>
      </c>
      <c r="K578" s="22"/>
      <c r="L578" s="23" t="n">
        <v>0</v>
      </c>
      <c r="M578" s="23" t="n">
        <v>0</v>
      </c>
      <c r="N578" s="23" t="n">
        <v>0</v>
      </c>
      <c r="O578" s="24" t="n">
        <v>0.21</v>
      </c>
      <c r="P578" s="24" t="str">
        <f aca="false">IF(ISNUMBER(Stock_Seguridad!N578),Stock_Seguridad!N578,"")</f>
        <v/>
      </c>
      <c r="Q578" s="24" t="str">
        <f aca="false">IF(AND(ISNUMBER(O578),ISNUMBER(P578)),P578-O578,"")</f>
        <v/>
      </c>
      <c r="R578" s="23" t="n">
        <f aca="false">MAX(0,G578-N(L578))</f>
        <v>2054</v>
      </c>
      <c r="S578" s="23" t="n">
        <f aca="false">SUMIFS(Cadenas_vs_FCST!$D$17:$D$2437,Cadenas_vs_FCST!$A$17:$A$2437,A578)</f>
        <v>0</v>
      </c>
      <c r="T578" s="23" t="n">
        <f aca="false">SUMIFS(Cadenas_vs_FCST!$E$17:$E$2437,Cadenas_vs_FCST!$A$17:$A$2437,A578)</f>
        <v>0</v>
      </c>
      <c r="U578" s="24" t="str">
        <f aca="false">IF(T578&gt;0,S578/T578-1,"")</f>
        <v/>
      </c>
      <c r="V578" s="3" t="str">
        <f aca="false">IF(OR(E578="BAJO SS",E578="BAJO SS (XLIB CUBRE)"),"SÍ","")</f>
        <v/>
      </c>
      <c r="W578" s="3" t="str">
        <f aca="false">IF(AND(V578="",N(L578)&gt;=Parametros!$B$17,G578&gt;=H578,R578&lt;H578),"SÍ","")</f>
        <v/>
      </c>
      <c r="X578" s="3" t="str">
        <f aca="false">IF(OR(E578="SOBRE MAX VENDIBLE",N(N578)&gt;=Parametros!$B$17,N(M578)&gt;=Parametros!$B$17),"SÍ","")</f>
        <v/>
      </c>
      <c r="Y578" s="3" t="str">
        <f aca="false">IF(AND(ISNUMBER(U578),MAX(S578,T578)&gt;=Parametros!$B$15,ABS(N(U578))&gt;Parametros!$B$14),"SÍ","")</f>
        <v/>
      </c>
      <c r="Z578" s="3" t="n">
        <f aca="false">COUNTIF(V578:Y578,"SÍ")</f>
        <v>0</v>
      </c>
      <c r="AA578" s="3" t="n">
        <f aca="false">(3*(V578="SÍ")+2*(W578="SÍ")+2*(X578="SÍ")+(Y578="SÍ"))*IF(LEFT(D578,1)="A",3,IF(OR(LEFT(D578,1)="B",D578="SIN HIST"),2,1))</f>
        <v>0</v>
      </c>
      <c r="AB578" s="3" t="str">
        <f aca="false">IF(AA578&gt;=9,"1-ALTA",IF(AA578&gt;=4,"2-MEDIA",IF(AA578&gt;0,"3-BAJA","")))</f>
        <v/>
      </c>
      <c r="AC578" s="3" t="str">
        <f aca="false">IF(E578="BAJO SS","Stock + XLIB bajo el SS: riesgo real de quiebre, adelantar producción. ","")&amp;IF(E578="BAJO SS (XLIB CUBRE)","Disponible bajo el SS; depende de liberar "&amp;TEXT(J578,"#,##0")&amp;" kg"&amp;IF(ISNUMBER(K578)," el "&amp;TEXT(K578,"dd-mm"),"")&amp;". ","")&amp;IF(W578="SÍ","Stock parece sano pero "&amp;TEXT(L578,"#,##0")&amp;" kg no pasan filtro "&amp;Stock_Seguridad!O578&amp;": sin ellos queda bajo el SS para esa cadena. ","")&amp;IF(E578="SOBRE MAX VENDIBLE","Sobrestock vs vida útil: frenar producción/activar venta. ","")&amp;IF(N(N578)&gt;=Parametros!$B$17,TEXT(N578,"#,##0")&amp;" kg ya no los acepta ninguna cadena: venta intermedia/liquidación. ","")&amp;IF(N(M578)&gt;=Parametros!$B$17,TEXT(M578,"#,##0")&amp;" kg a punto de salir del filtro: despachar primero (FEFO). ","")&amp;IF(Y578="SÍ","Pedidos "&amp;IF(N(U578)&gt;0,"sobre","bajo")&amp;" FCST "&amp;TEXT(ABS(N(U578)),"0%")&amp;": revisar forecast con KAM.","")</f>
        <v/>
      </c>
    </row>
    <row r="579" customFormat="false" ht="15" hidden="false" customHeight="false" outlineLevel="0" collapsed="false">
      <c r="A579" s="18" t="n">
        <f aca="false">Stock_Seguridad!A579</f>
        <v>30001982</v>
      </c>
      <c r="B579" s="18" t="str">
        <f aca="false">Stock_Seguridad!B579</f>
        <v>YOGURT OIKOS FOB MIEL 48X150G</v>
      </c>
      <c r="C579" s="18" t="str">
        <f aca="false">Stock_Seguridad!C579</f>
        <v>YOGURT</v>
      </c>
      <c r="D579" s="18" t="str">
        <f aca="false">Stock_Seguridad!F579</f>
        <v>CX</v>
      </c>
      <c r="E579" s="19" t="str">
        <f aca="false">Stock_Seguridad!X579</f>
        <v>SOBRE MAX VENDIBLE</v>
      </c>
      <c r="F579" s="20" t="n">
        <f aca="false">Stock_Seguridad!W579</f>
        <v>8.43103448275862</v>
      </c>
      <c r="G579" s="21" t="n">
        <f aca="false">Stock_Seguridad!T579</f>
        <v>3434.4</v>
      </c>
      <c r="H579" s="21" t="n">
        <f aca="false">Stock_Seguridad!R579</f>
        <v>596.571428571429</v>
      </c>
      <c r="I579" s="21" t="n">
        <f aca="false">Stock_Seguridad!S579</f>
        <v>1292.57142857143</v>
      </c>
      <c r="J579" s="21" t="n">
        <f aca="false">Stock_Seguridad!U579</f>
        <v>2433.6</v>
      </c>
      <c r="K579" s="22" t="n">
        <v>46317</v>
      </c>
      <c r="L579" s="23" t="n">
        <v>1310.4</v>
      </c>
      <c r="M579" s="23" t="n">
        <v>2124</v>
      </c>
      <c r="N579" s="23" t="n">
        <v>1310.4</v>
      </c>
      <c r="O579" s="24" t="n">
        <v>0.198196319018405</v>
      </c>
      <c r="P579" s="24" t="n">
        <f aca="false">IF(ISNUMBER(Stock_Seguridad!N579),Stock_Seguridad!N579,"")</f>
        <v>0.228070175438597</v>
      </c>
      <c r="Q579" s="24" t="n">
        <f aca="false">IF(AND(ISNUMBER(O579),ISNUMBER(P579)),P579-O579,"")</f>
        <v>0.0298738564201916</v>
      </c>
      <c r="R579" s="23" t="n">
        <f aca="false">MAX(0,G579-N(L579))</f>
        <v>2124</v>
      </c>
      <c r="S579" s="23" t="n">
        <f aca="false">SUMIFS(Cadenas_vs_FCST!$D$17:$D$2437,Cadenas_vs_FCST!$A$17:$A$2437,A579)</f>
        <v>5270.4</v>
      </c>
      <c r="T579" s="23" t="n">
        <f aca="false">SUMIFS(Cadenas_vs_FCST!$E$17:$E$2437,Cadenas_vs_FCST!$A$17:$A$2437,A579)</f>
        <v>4312.22238743728</v>
      </c>
      <c r="U579" s="24" t="n">
        <f aca="false">IF(T579&gt;0,S579/T579-1,"")</f>
        <v>0.222200416971575</v>
      </c>
      <c r="V579" s="3" t="str">
        <f aca="false">IF(OR(E579="BAJO SS",E579="BAJO SS (XLIB CUBRE)"),"SÍ","")</f>
        <v/>
      </c>
      <c r="W579" s="3" t="str">
        <f aca="false">IF(AND(V579="",N(L579)&gt;=Parametros!$B$17,G579&gt;=H579,R579&lt;H579),"SÍ","")</f>
        <v/>
      </c>
      <c r="X579" s="3" t="str">
        <f aca="false">IF(OR(E579="SOBRE MAX VENDIBLE",N(N579)&gt;=Parametros!$B$17,N(M579)&gt;=Parametros!$B$17),"SÍ","")</f>
        <v>SÍ</v>
      </c>
      <c r="Y579" s="3" t="str">
        <f aca="false">IF(AND(ISNUMBER(U579),MAX(S579,T579)&gt;=Parametros!$B$15,ABS(N(U579))&gt;Parametros!$B$14),"SÍ","")</f>
        <v>SÍ</v>
      </c>
      <c r="Z579" s="3" t="n">
        <f aca="false">COUNTIF(V579:Y579,"SÍ")</f>
        <v>2</v>
      </c>
      <c r="AA579" s="3" t="n">
        <f aca="false">(3*(V579="SÍ")+2*(W579="SÍ")+2*(X579="SÍ")+(Y579="SÍ"))*IF(LEFT(D579,1)="A",3,IF(OR(LEFT(D579,1)="B",D579="SIN HIST"),2,1))</f>
        <v>3</v>
      </c>
      <c r="AB579" s="3" t="str">
        <f aca="false">IF(AA579&gt;=9,"1-ALTA",IF(AA579&gt;=4,"2-MEDIA",IF(AA579&gt;0,"3-BAJA","")))</f>
        <v>3-BAJA</v>
      </c>
      <c r="AC579" s="3" t="str">
        <f aca="false">IF(E579="BAJO SS","Stock + XLIB bajo el SS: riesgo real de quiebre, adelantar producción. ","")&amp;IF(E579="BAJO SS (XLIB CUBRE)","Disponible bajo el SS; depende de liberar "&amp;TEXT(J579,"#,##0")&amp;" kg"&amp;IF(ISNUMBER(K579)," el "&amp;TEXT(K579,"dd-mm"),"")&amp;". ","")&amp;IF(W579="SÍ","Stock parece sano pero "&amp;TEXT(L579,"#,##0")&amp;" kg no pasan filtro "&amp;Stock_Seguridad!O579&amp;": sin ellos queda bajo el SS para esa cadena. ","")&amp;IF(E579="SOBRE MAX VENDIBLE","Sobrestock vs vida útil: frenar producción/activar venta. ","")&amp;IF(N(N579)&gt;=Parametros!$B$17,TEXT(N579,"#,##0")&amp;" kg ya no los acepta ninguna cadena: venta intermedia/liquidación. ","")&amp;IF(N(M579)&gt;=Parametros!$B$17,TEXT(M579,"#,##0")&amp;" kg a punto de salir del filtro: despachar primero (FEFO). ","")&amp;IF(Y579="SÍ","Pedidos "&amp;IF(N(U579)&gt;0,"sobre","bajo")&amp;" FCST "&amp;TEXT(ABS(N(U579)),"0%")&amp;": revisar forecast con KAM.","")</f>
        <v>Sobrestock vs vida útil: frenar producción/activar venta. 1,310 kg ya no los acepta ninguna cadena: venta intermedia/liquidación. 2,124 kg a punto de salir del filtro: despachar primero (FEFO). Pedidos sobre FCST 22%: revisar forecast con KAM.</v>
      </c>
    </row>
    <row r="580" customFormat="false" ht="15" hidden="false" customHeight="false" outlineLevel="0" collapsed="false">
      <c r="A580" s="18" t="n">
        <f aca="false">Stock_Seguridad!A580</f>
        <v>30000667</v>
      </c>
      <c r="B580" s="18" t="str">
        <f aca="false">Stock_Seguridad!B580</f>
        <v>CREMA DE LENTEJAS WASIL 16X380GR</v>
      </c>
      <c r="C580" s="18" t="str">
        <f aca="false">Stock_Seguridad!C580</f>
        <v>CONSERVAS Y PLATOS LISTOS</v>
      </c>
      <c r="D580" s="18" t="str">
        <f aca="false">Stock_Seguridad!F580</f>
        <v>CX</v>
      </c>
      <c r="E580" s="19" t="str">
        <f aca="false">Stock_Seguridad!X580</f>
        <v>OK</v>
      </c>
      <c r="F580" s="20" t="n">
        <f aca="false">Stock_Seguridad!W580</f>
        <v>13.0480588829557</v>
      </c>
      <c r="G580" s="21" t="n">
        <f aca="false">Stock_Seguridad!T580</f>
        <v>9041</v>
      </c>
      <c r="H580" s="21" t="n">
        <f aca="false">Stock_Seguridad!R580</f>
        <v>279.307512636374</v>
      </c>
      <c r="I580" s="21" t="n">
        <f aca="false">Stock_Seguridad!S580</f>
        <v>972.207512636373</v>
      </c>
      <c r="J580" s="21" t="n">
        <f aca="false">Stock_Seguridad!U580</f>
        <v>0</v>
      </c>
      <c r="K580" s="22"/>
      <c r="L580" s="23" t="n">
        <v>0</v>
      </c>
      <c r="M580" s="23" t="n">
        <v>0</v>
      </c>
      <c r="N580" s="23" t="n">
        <v>0</v>
      </c>
      <c r="O580" s="24" t="n">
        <v>0.0932145258910558</v>
      </c>
      <c r="P580" s="24" t="n">
        <f aca="false">IF(ISNUMBER(Stock_Seguridad!N580),Stock_Seguridad!N580,"")</f>
        <v>0.328767123287671</v>
      </c>
      <c r="Q580" s="24" t="n">
        <f aca="false">IF(AND(ISNUMBER(O580),ISNUMBER(P580)),P580-O580,"")</f>
        <v>0.235552597396615</v>
      </c>
      <c r="R580" s="23" t="n">
        <f aca="false">MAX(0,G580-N(L580))</f>
        <v>9041</v>
      </c>
      <c r="S580" s="23" t="n">
        <f aca="false">SUMIFS(Cadenas_vs_FCST!$D$17:$D$2437,Cadenas_vs_FCST!$A$17:$A$2437,A580)</f>
        <v>2352.96</v>
      </c>
      <c r="T580" s="23" t="n">
        <f aca="false">SUMIFS(Cadenas_vs_FCST!$E$17:$E$2437,Cadenas_vs_FCST!$A$17:$A$2437,A580)</f>
        <v>2397.68</v>
      </c>
      <c r="U580" s="24" t="n">
        <f aca="false">IF(T580&gt;0,S580/T580-1,"")</f>
        <v>-0.018651362984218</v>
      </c>
      <c r="V580" s="3" t="str">
        <f aca="false">IF(OR(E580="BAJO SS",E580="BAJO SS (XLIB CUBRE)"),"SÍ","")</f>
        <v/>
      </c>
      <c r="W580" s="3" t="str">
        <f aca="false">IF(AND(V580="",N(L580)&gt;=Parametros!$B$17,G580&gt;=H580,R580&lt;H580),"SÍ","")</f>
        <v/>
      </c>
      <c r="X580" s="3" t="str">
        <f aca="false">IF(OR(E580="SOBRE MAX VENDIBLE",N(N580)&gt;=Parametros!$B$17,N(M580)&gt;=Parametros!$B$17),"SÍ","")</f>
        <v/>
      </c>
      <c r="Y580" s="3" t="str">
        <f aca="false">IF(AND(ISNUMBER(U580),MAX(S580,T580)&gt;=Parametros!$B$15,ABS(N(U580))&gt;Parametros!$B$14),"SÍ","")</f>
        <v/>
      </c>
      <c r="Z580" s="3" t="n">
        <f aca="false">COUNTIF(V580:Y580,"SÍ")</f>
        <v>0</v>
      </c>
      <c r="AA580" s="3" t="n">
        <f aca="false">(3*(V580="SÍ")+2*(W580="SÍ")+2*(X580="SÍ")+(Y580="SÍ"))*IF(LEFT(D580,1)="A",3,IF(OR(LEFT(D580,1)="B",D580="SIN HIST"),2,1))</f>
        <v>0</v>
      </c>
      <c r="AB580" s="3" t="str">
        <f aca="false">IF(AA580&gt;=9,"1-ALTA",IF(AA580&gt;=4,"2-MEDIA",IF(AA580&gt;0,"3-BAJA","")))</f>
        <v/>
      </c>
      <c r="AC580" s="3" t="str">
        <f aca="false">IF(E580="BAJO SS","Stock + XLIB bajo el SS: riesgo real de quiebre, adelantar producción. ","")&amp;IF(E580="BAJO SS (XLIB CUBRE)","Disponible bajo el SS; depende de liberar "&amp;TEXT(J580,"#,##0")&amp;" kg"&amp;IF(ISNUMBER(K580)," el "&amp;TEXT(K580,"dd-mm"),"")&amp;". ","")&amp;IF(W580="SÍ","Stock parece sano pero "&amp;TEXT(L580,"#,##0")&amp;" kg no pasan filtro "&amp;Stock_Seguridad!O580&amp;": sin ellos queda bajo el SS para esa cadena. ","")&amp;IF(E580="SOBRE MAX VENDIBLE","Sobrestock vs vida útil: frenar producción/activar venta. ","")&amp;IF(N(N580)&gt;=Parametros!$B$17,TEXT(N580,"#,##0")&amp;" kg ya no los acepta ninguna cadena: venta intermedia/liquidación. ","")&amp;IF(N(M580)&gt;=Parametros!$B$17,TEXT(M580,"#,##0")&amp;" kg a punto de salir del filtro: despachar primero (FEFO). ","")&amp;IF(Y580="SÍ","Pedidos "&amp;IF(N(U580)&gt;0,"sobre","bajo")&amp;" FCST "&amp;TEXT(ABS(N(U580)),"0%")&amp;": revisar forecast con KAM.","")</f>
        <v/>
      </c>
    </row>
    <row r="581" customFormat="false" ht="15" hidden="false" customHeight="false" outlineLevel="0" collapsed="false">
      <c r="A581" s="18" t="n">
        <f aca="false">Stock_Seguridad!A581</f>
        <v>30000542</v>
      </c>
      <c r="B581" s="18" t="str">
        <f aca="false">Stock_Seguridad!B581</f>
        <v>LECHE POLVO LONCO PROTEIN 14X550GR</v>
      </c>
      <c r="C581" s="18" t="str">
        <f aca="false">Stock_Seguridad!C581</f>
        <v>LECHES EN POLVO</v>
      </c>
      <c r="D581" s="18" t="str">
        <f aca="false">Stock_Seguridad!F581</f>
        <v>CY</v>
      </c>
      <c r="E581" s="19" t="str">
        <f aca="false">Stock_Seguridad!X581</f>
        <v>OK</v>
      </c>
      <c r="F581" s="20" t="n">
        <f aca="false">Stock_Seguridad!W581</f>
        <v>1.82136119576259</v>
      </c>
      <c r="G581" s="21" t="n">
        <f aca="false">Stock_Seguridad!T581</f>
        <v>1255.1</v>
      </c>
      <c r="H581" s="21" t="n">
        <f aca="false">Stock_Seguridad!R581</f>
        <v>428.756951414271</v>
      </c>
      <c r="I581" s="21" t="n">
        <f aca="false">Stock_Seguridad!S581</f>
        <v>1117.85695141427</v>
      </c>
      <c r="J581" s="21" t="n">
        <f aca="false">Stock_Seguridad!U581</f>
        <v>0</v>
      </c>
      <c r="K581" s="22"/>
      <c r="L581" s="23" t="n">
        <v>92.4</v>
      </c>
      <c r="M581" s="23" t="n">
        <v>84.7</v>
      </c>
      <c r="N581" s="23" t="n">
        <v>30.8</v>
      </c>
      <c r="O581" s="24" t="n">
        <v>0.100432098765432</v>
      </c>
      <c r="P581" s="24" t="n">
        <f aca="false">IF(ISNUMBER(Stock_Seguridad!N581),Stock_Seguridad!N581,"")</f>
        <v>0.191780821917808</v>
      </c>
      <c r="Q581" s="24" t="n">
        <f aca="false">IF(AND(ISNUMBER(O581),ISNUMBER(P581)),P581-O581,"")</f>
        <v>0.0913487231523761</v>
      </c>
      <c r="R581" s="23" t="n">
        <f aca="false">MAX(0,G581-N(L581))</f>
        <v>1162.7</v>
      </c>
      <c r="S581" s="23" t="n">
        <f aca="false">SUMIFS(Cadenas_vs_FCST!$D$17:$D$2437,Cadenas_vs_FCST!$A$17:$A$2437,A581)</f>
        <v>1439.9</v>
      </c>
      <c r="T581" s="23" t="n">
        <f aca="false">SUMIFS(Cadenas_vs_FCST!$E$17:$E$2437,Cadenas_vs_FCST!$A$17:$A$2437,A581)</f>
        <v>2443.97952393219</v>
      </c>
      <c r="U581" s="24" t="n">
        <f aca="false">IF(T581&gt;0,S581/T581-1,"")</f>
        <v>-0.410837944467185</v>
      </c>
      <c r="V581" s="3" t="str">
        <f aca="false">IF(OR(E581="BAJO SS",E581="BAJO SS (XLIB CUBRE)"),"SÍ","")</f>
        <v/>
      </c>
      <c r="W581" s="3" t="str">
        <f aca="false">IF(AND(V581="",N(L581)&gt;=Parametros!$B$17,G581&gt;=H581,R581&lt;H581),"SÍ","")</f>
        <v/>
      </c>
      <c r="X581" s="3" t="str">
        <f aca="false">IF(OR(E581="SOBRE MAX VENDIBLE",N(N581)&gt;=Parametros!$B$17,N(M581)&gt;=Parametros!$B$17),"SÍ","")</f>
        <v/>
      </c>
      <c r="Y581" s="3" t="str">
        <f aca="false">IF(AND(ISNUMBER(U581),MAX(S581,T581)&gt;=Parametros!$B$15,ABS(N(U581))&gt;Parametros!$B$14),"SÍ","")</f>
        <v>SÍ</v>
      </c>
      <c r="Z581" s="3" t="n">
        <f aca="false">COUNTIF(V581:Y581,"SÍ")</f>
        <v>1</v>
      </c>
      <c r="AA581" s="3" t="n">
        <f aca="false">(3*(V581="SÍ")+2*(W581="SÍ")+2*(X581="SÍ")+(Y581="SÍ"))*IF(LEFT(D581,1)="A",3,IF(OR(LEFT(D581,1)="B",D581="SIN HIST"),2,1))</f>
        <v>1</v>
      </c>
      <c r="AB581" s="3" t="str">
        <f aca="false">IF(AA581&gt;=9,"1-ALTA",IF(AA581&gt;=4,"2-MEDIA",IF(AA581&gt;0,"3-BAJA","")))</f>
        <v>3-BAJA</v>
      </c>
      <c r="AC581" s="3" t="str">
        <f aca="false">IF(E581="BAJO SS","Stock + XLIB bajo el SS: riesgo real de quiebre, adelantar producción. ","")&amp;IF(E581="BAJO SS (XLIB CUBRE)","Disponible bajo el SS; depende de liberar "&amp;TEXT(J581,"#,##0")&amp;" kg"&amp;IF(ISNUMBER(K581)," el "&amp;TEXT(K581,"dd-mm"),"")&amp;". ","")&amp;IF(W581="SÍ","Stock parece sano pero "&amp;TEXT(L581,"#,##0")&amp;" kg no pasan filtro "&amp;Stock_Seguridad!O581&amp;": sin ellos queda bajo el SS para esa cadena. ","")&amp;IF(E581="SOBRE MAX VENDIBLE","Sobrestock vs vida útil: frenar producción/activar venta. ","")&amp;IF(N(N581)&gt;=Parametros!$B$17,TEXT(N581,"#,##0")&amp;" kg ya no los acepta ninguna cadena: venta intermedia/liquidación. ","")&amp;IF(N(M581)&gt;=Parametros!$B$17,TEXT(M581,"#,##0")&amp;" kg a punto de salir del filtro: despachar primero (FEFO). ","")&amp;IF(Y581="SÍ","Pedidos "&amp;IF(N(U581)&gt;0,"sobre","bajo")&amp;" FCST "&amp;TEXT(ABS(N(U581)),"0%")&amp;": revisar forecast con KAM.","")</f>
        <v>Pedidos bajo FCST 41%: revisar forecast con KAM.</v>
      </c>
    </row>
    <row r="582" customFormat="false" ht="15" hidden="false" customHeight="false" outlineLevel="0" collapsed="false">
      <c r="A582" s="18" t="n">
        <f aca="false">Stock_Seguridad!A582</f>
        <v>30001943</v>
      </c>
      <c r="B582" s="18" t="str">
        <f aca="false">Stock_Seguridad!B582</f>
        <v>NECTAR WATTS SELECCION PAPAYA 6X1.6LT</v>
      </c>
      <c r="C582" s="18" t="str">
        <f aca="false">Stock_Seguridad!C582</f>
        <v>JUGOS Y NECTARES</v>
      </c>
      <c r="D582" s="18" t="str">
        <f aca="false">Stock_Seguridad!F582</f>
        <v>CX</v>
      </c>
      <c r="E582" s="19" t="str">
        <f aca="false">Stock_Seguridad!X582</f>
        <v>BAJO P.REORDEN</v>
      </c>
      <c r="F582" s="20" t="n">
        <f aca="false">Stock_Seguridad!W582</f>
        <v>1.86296462158531</v>
      </c>
      <c r="G582" s="21" t="n">
        <f aca="false">Stock_Seguridad!T582</f>
        <v>1248</v>
      </c>
      <c r="H582" s="21" t="n">
        <f aca="false">Stock_Seguridad!R582</f>
        <v>1077.50776545359</v>
      </c>
      <c r="I582" s="21" t="n">
        <f aca="false">Stock_Seguridad!S582</f>
        <v>1747.40776545359</v>
      </c>
      <c r="J582" s="21" t="n">
        <f aca="false">Stock_Seguridad!U582</f>
        <v>0</v>
      </c>
      <c r="K582" s="22"/>
      <c r="L582" s="23" t="n">
        <v>345.6</v>
      </c>
      <c r="M582" s="23" t="n">
        <v>902.4</v>
      </c>
      <c r="N582" s="23" t="n">
        <v>182.4</v>
      </c>
      <c r="O582" s="24" t="n">
        <v>0.250769230769231</v>
      </c>
      <c r="P582" s="24" t="n">
        <f aca="false">IF(ISNUMBER(Stock_Seguridad!N582),Stock_Seguridad!N582,"")</f>
        <v>0.233333333333333</v>
      </c>
      <c r="Q582" s="24" t="n">
        <f aca="false">IF(AND(ISNUMBER(O582),ISNUMBER(P582)),P582-O582,"")</f>
        <v>-0.0174358974358974</v>
      </c>
      <c r="R582" s="23" t="n">
        <f aca="false">MAX(0,G582-N(L582))</f>
        <v>902.4</v>
      </c>
      <c r="S582" s="23" t="n">
        <f aca="false">SUMIFS(Cadenas_vs_FCST!$D$17:$D$2437,Cadenas_vs_FCST!$A$17:$A$2437,A582)</f>
        <v>7430.4</v>
      </c>
      <c r="T582" s="23" t="n">
        <f aca="false">SUMIFS(Cadenas_vs_FCST!$E$17:$E$2437,Cadenas_vs_FCST!$A$17:$A$2437,A582)</f>
        <v>3798.63629111024</v>
      </c>
      <c r="U582" s="24" t="n">
        <f aca="false">IF(T582&gt;0,S582/T582-1,"")</f>
        <v>0.956070397523712</v>
      </c>
      <c r="V582" s="3" t="str">
        <f aca="false">IF(OR(E582="BAJO SS",E582="BAJO SS (XLIB CUBRE)"),"SÍ","")</f>
        <v/>
      </c>
      <c r="W582" s="3" t="str">
        <f aca="false">IF(AND(V582="",N(L582)&gt;=Parametros!$B$17,G582&gt;=H582,R582&lt;H582),"SÍ","")</f>
        <v/>
      </c>
      <c r="X582" s="3" t="str">
        <f aca="false">IF(OR(E582="SOBRE MAX VENDIBLE",N(N582)&gt;=Parametros!$B$17,N(M582)&gt;=Parametros!$B$17),"SÍ","")</f>
        <v>SÍ</v>
      </c>
      <c r="Y582" s="3" t="str">
        <f aca="false">IF(AND(ISNUMBER(U582),MAX(S582,T582)&gt;=Parametros!$B$15,ABS(N(U582))&gt;Parametros!$B$14),"SÍ","")</f>
        <v>SÍ</v>
      </c>
      <c r="Z582" s="3" t="n">
        <f aca="false">COUNTIF(V582:Y582,"SÍ")</f>
        <v>2</v>
      </c>
      <c r="AA582" s="3" t="n">
        <f aca="false">(3*(V582="SÍ")+2*(W582="SÍ")+2*(X582="SÍ")+(Y582="SÍ"))*IF(LEFT(D582,1)="A",3,IF(OR(LEFT(D582,1)="B",D582="SIN HIST"),2,1))</f>
        <v>3</v>
      </c>
      <c r="AB582" s="3" t="str">
        <f aca="false">IF(AA582&gt;=9,"1-ALTA",IF(AA582&gt;=4,"2-MEDIA",IF(AA582&gt;0,"3-BAJA","")))</f>
        <v>3-BAJA</v>
      </c>
      <c r="AC582" s="3" t="str">
        <f aca="false">IF(E582="BAJO SS","Stock + XLIB bajo el SS: riesgo real de quiebre, adelantar producción. ","")&amp;IF(E582="BAJO SS (XLIB CUBRE)","Disponible bajo el SS; depende de liberar "&amp;TEXT(J582,"#,##0")&amp;" kg"&amp;IF(ISNUMBER(K582)," el "&amp;TEXT(K582,"dd-mm"),"")&amp;". ","")&amp;IF(W582="SÍ","Stock parece sano pero "&amp;TEXT(L582,"#,##0")&amp;" kg no pasan filtro "&amp;Stock_Seguridad!O582&amp;": sin ellos queda bajo el SS para esa cadena. ","")&amp;IF(E582="SOBRE MAX VENDIBLE","Sobrestock vs vida útil: frenar producción/activar venta. ","")&amp;IF(N(N582)&gt;=Parametros!$B$17,TEXT(N582,"#,##0")&amp;" kg ya no los acepta ninguna cadena: venta intermedia/liquidación. ","")&amp;IF(N(M582)&gt;=Parametros!$B$17,TEXT(M582,"#,##0")&amp;" kg a punto de salir del filtro: despachar primero (FEFO). ","")&amp;IF(Y582="SÍ","Pedidos "&amp;IF(N(U582)&gt;0,"sobre","bajo")&amp;" FCST "&amp;TEXT(ABS(N(U582)),"0%")&amp;": revisar forecast con KAM.","")</f>
        <v>902 kg a punto de salir del filtro: despachar primero (FEFO). Pedidos sobre FCST 96%: revisar forecast con KAM.</v>
      </c>
    </row>
    <row r="583" customFormat="false" ht="15" hidden="false" customHeight="false" outlineLevel="0" collapsed="false">
      <c r="A583" s="18" t="n">
        <f aca="false">Stock_Seguridad!A583</f>
        <v>30000934</v>
      </c>
      <c r="B583" s="18" t="str">
        <f aca="false">Stock_Seguridad!B583</f>
        <v>CEBOLLA 8X1KG</v>
      </c>
      <c r="C583" s="18" t="str">
        <f aca="false">Stock_Seguridad!C583</f>
        <v>FRUTAS Y HORTALIZAS CONGELADAS</v>
      </c>
      <c r="D583" s="18" t="str">
        <f aca="false">Stock_Seguridad!F583</f>
        <v>SIN HIST</v>
      </c>
      <c r="E583" s="19" t="str">
        <f aca="false">Stock_Seguridad!X583</f>
        <v>OK</v>
      </c>
      <c r="F583" s="20" t="n">
        <f aca="false">Stock_Seguridad!W583</f>
        <v>11.8460139436193</v>
      </c>
      <c r="G583" s="21" t="n">
        <f aca="false">Stock_Seguridad!T583</f>
        <v>7816</v>
      </c>
      <c r="H583" s="21" t="n">
        <f aca="false">Stock_Seguridad!R583</f>
        <v>325.582326918774</v>
      </c>
      <c r="I583" s="21" t="n">
        <f aca="false">Stock_Seguridad!S583</f>
        <v>985.382326918774</v>
      </c>
      <c r="J583" s="21" t="n">
        <f aca="false">Stock_Seguridad!U583</f>
        <v>0</v>
      </c>
      <c r="K583" s="22"/>
      <c r="L583" s="23" t="n">
        <v>0</v>
      </c>
      <c r="M583" s="23" t="n">
        <v>0</v>
      </c>
      <c r="N583" s="23" t="n">
        <v>0</v>
      </c>
      <c r="O583" s="24" t="n">
        <v>0.034503582395087</v>
      </c>
      <c r="P583" s="24" t="str">
        <f aca="false">IF(ISNUMBER(Stock_Seguridad!N583),Stock_Seguridad!N583,"")</f>
        <v/>
      </c>
      <c r="Q583" s="24" t="str">
        <f aca="false">IF(AND(ISNUMBER(O583),ISNUMBER(P583)),P583-O583,"")</f>
        <v/>
      </c>
      <c r="R583" s="23" t="n">
        <f aca="false">MAX(0,G583-N(L583))</f>
        <v>7816</v>
      </c>
      <c r="S583" s="23" t="n">
        <f aca="false">SUMIFS(Cadenas_vs_FCST!$D$17:$D$2437,Cadenas_vs_FCST!$A$17:$A$2437,A583)</f>
        <v>0</v>
      </c>
      <c r="T583" s="23" t="n">
        <f aca="false">SUMIFS(Cadenas_vs_FCST!$E$17:$E$2437,Cadenas_vs_FCST!$A$17:$A$2437,A583)</f>
        <v>0</v>
      </c>
      <c r="U583" s="24" t="str">
        <f aca="false">IF(T583&gt;0,S583/T583-1,"")</f>
        <v/>
      </c>
      <c r="V583" s="3" t="str">
        <f aca="false">IF(OR(E583="BAJO SS",E583="BAJO SS (XLIB CUBRE)"),"SÍ","")</f>
        <v/>
      </c>
      <c r="W583" s="3" t="str">
        <f aca="false">IF(AND(V583="",N(L583)&gt;=Parametros!$B$17,G583&gt;=H583,R583&lt;H583),"SÍ","")</f>
        <v/>
      </c>
      <c r="X583" s="3" t="str">
        <f aca="false">IF(OR(E583="SOBRE MAX VENDIBLE",N(N583)&gt;=Parametros!$B$17,N(M583)&gt;=Parametros!$B$17),"SÍ","")</f>
        <v/>
      </c>
      <c r="Y583" s="3" t="str">
        <f aca="false">IF(AND(ISNUMBER(U583),MAX(S583,T583)&gt;=Parametros!$B$15,ABS(N(U583))&gt;Parametros!$B$14),"SÍ","")</f>
        <v/>
      </c>
      <c r="Z583" s="3" t="n">
        <f aca="false">COUNTIF(V583:Y583,"SÍ")</f>
        <v>0</v>
      </c>
      <c r="AA583" s="3" t="n">
        <f aca="false">(3*(V583="SÍ")+2*(W583="SÍ")+2*(X583="SÍ")+(Y583="SÍ"))*IF(LEFT(D583,1)="A",3,IF(OR(LEFT(D583,1)="B",D583="SIN HIST"),2,1))</f>
        <v>0</v>
      </c>
      <c r="AB583" s="3" t="str">
        <f aca="false">IF(AA583&gt;=9,"1-ALTA",IF(AA583&gt;=4,"2-MEDIA",IF(AA583&gt;0,"3-BAJA","")))</f>
        <v/>
      </c>
      <c r="AC583" s="3" t="str">
        <f aca="false">IF(E583="BAJO SS","Stock + XLIB bajo el SS: riesgo real de quiebre, adelantar producción. ","")&amp;IF(E583="BAJO SS (XLIB CUBRE)","Disponible bajo el SS; depende de liberar "&amp;TEXT(J583,"#,##0")&amp;" kg"&amp;IF(ISNUMBER(K583)," el "&amp;TEXT(K583,"dd-mm"),"")&amp;". ","")&amp;IF(W583="SÍ","Stock parece sano pero "&amp;TEXT(L583,"#,##0")&amp;" kg no pasan filtro "&amp;Stock_Seguridad!O583&amp;": sin ellos queda bajo el SS para esa cadena. ","")&amp;IF(E583="SOBRE MAX VENDIBLE","Sobrestock vs vida útil: frenar producción/activar venta. ","")&amp;IF(N(N583)&gt;=Parametros!$B$17,TEXT(N583,"#,##0")&amp;" kg ya no los acepta ninguna cadena: venta intermedia/liquidación. ","")&amp;IF(N(M583)&gt;=Parametros!$B$17,TEXT(M583,"#,##0")&amp;" kg a punto de salir del filtro: despachar primero (FEFO). ","")&amp;IF(Y583="SÍ","Pedidos "&amp;IF(N(U583)&gt;0,"sobre","bajo")&amp;" FCST "&amp;TEXT(ABS(N(U583)),"0%")&amp;": revisar forecast con KAM.","")</f>
        <v/>
      </c>
    </row>
    <row r="584" customFormat="false" ht="15" hidden="false" customHeight="false" outlineLevel="0" collapsed="false">
      <c r="A584" s="18" t="n">
        <f aca="false">Stock_Seguridad!A584</f>
        <v>30000479</v>
      </c>
      <c r="B584" s="18" t="str">
        <f aca="false">Stock_Seguridad!B584</f>
        <v>LECHE CHOCO AVELLANAS LONCO 12X1LT</v>
      </c>
      <c r="C584" s="18" t="str">
        <f aca="false">Stock_Seguridad!C584</f>
        <v>LECHES LIQUIDAS</v>
      </c>
      <c r="D584" s="18" t="str">
        <f aca="false">Stock_Seguridad!F584</f>
        <v>CY</v>
      </c>
      <c r="E584" s="19" t="str">
        <f aca="false">Stock_Seguridad!X584</f>
        <v>OK</v>
      </c>
      <c r="F584" s="20" t="n">
        <f aca="false">Stock_Seguridad!W584</f>
        <v>9.01365705614568</v>
      </c>
      <c r="G584" s="21" t="n">
        <f aca="false">Stock_Seguridad!T584</f>
        <v>5940</v>
      </c>
      <c r="H584" s="21" t="n">
        <f aca="false">Stock_Seguridad!R584</f>
        <v>1280.73201410513</v>
      </c>
      <c r="I584" s="21" t="n">
        <f aca="false">Stock_Seguridad!S584</f>
        <v>1939.73201410513</v>
      </c>
      <c r="J584" s="21" t="n">
        <f aca="false">Stock_Seguridad!U584</f>
        <v>0</v>
      </c>
      <c r="K584" s="22"/>
      <c r="L584" s="23" t="n">
        <v>0</v>
      </c>
      <c r="M584" s="23" t="n">
        <v>0</v>
      </c>
      <c r="N584" s="23" t="n">
        <v>0</v>
      </c>
      <c r="O584" s="24" t="n">
        <v>0.19</v>
      </c>
      <c r="P584" s="24" t="n">
        <f aca="false">IF(ISNUMBER(Stock_Seguridad!N584),Stock_Seguridad!N584,"")</f>
        <v>0.256</v>
      </c>
      <c r="Q584" s="24" t="n">
        <f aca="false">IF(AND(ISNUMBER(O584),ISNUMBER(P584)),P584-O584,"")</f>
        <v>0.066</v>
      </c>
      <c r="R584" s="23" t="n">
        <f aca="false">MAX(0,G584-N(L584))</f>
        <v>5940</v>
      </c>
      <c r="S584" s="23" t="n">
        <f aca="false">SUMIFS(Cadenas_vs_FCST!$D$17:$D$2437,Cadenas_vs_FCST!$A$17:$A$2437,A584)</f>
        <v>4476</v>
      </c>
      <c r="T584" s="23" t="n">
        <f aca="false">SUMIFS(Cadenas_vs_FCST!$E$17:$E$2437,Cadenas_vs_FCST!$A$17:$A$2437,A584)</f>
        <v>3033.51971519507</v>
      </c>
      <c r="U584" s="24" t="n">
        <f aca="false">IF(T584&gt;0,S584/T584-1,"")</f>
        <v>0.475513733297813</v>
      </c>
      <c r="V584" s="3" t="str">
        <f aca="false">IF(OR(E584="BAJO SS",E584="BAJO SS (XLIB CUBRE)"),"SÍ","")</f>
        <v/>
      </c>
      <c r="W584" s="3" t="str">
        <f aca="false">IF(AND(V584="",N(L584)&gt;=Parametros!$B$17,G584&gt;=H584,R584&lt;H584),"SÍ","")</f>
        <v/>
      </c>
      <c r="X584" s="3" t="str">
        <f aca="false">IF(OR(E584="SOBRE MAX VENDIBLE",N(N584)&gt;=Parametros!$B$17,N(M584)&gt;=Parametros!$B$17),"SÍ","")</f>
        <v/>
      </c>
      <c r="Y584" s="3" t="str">
        <f aca="false">IF(AND(ISNUMBER(U584),MAX(S584,T584)&gt;=Parametros!$B$15,ABS(N(U584))&gt;Parametros!$B$14),"SÍ","")</f>
        <v>SÍ</v>
      </c>
      <c r="Z584" s="3" t="n">
        <f aca="false">COUNTIF(V584:Y584,"SÍ")</f>
        <v>1</v>
      </c>
      <c r="AA584" s="3" t="n">
        <f aca="false">(3*(V584="SÍ")+2*(W584="SÍ")+2*(X584="SÍ")+(Y584="SÍ"))*IF(LEFT(D584,1)="A",3,IF(OR(LEFT(D584,1)="B",D584="SIN HIST"),2,1))</f>
        <v>1</v>
      </c>
      <c r="AB584" s="3" t="str">
        <f aca="false">IF(AA584&gt;=9,"1-ALTA",IF(AA584&gt;=4,"2-MEDIA",IF(AA584&gt;0,"3-BAJA","")))</f>
        <v>3-BAJA</v>
      </c>
      <c r="AC584" s="3" t="str">
        <f aca="false">IF(E584="BAJO SS","Stock + XLIB bajo el SS: riesgo real de quiebre, adelantar producción. ","")&amp;IF(E584="BAJO SS (XLIB CUBRE)","Disponible bajo el SS; depende de liberar "&amp;TEXT(J584,"#,##0")&amp;" kg"&amp;IF(ISNUMBER(K584)," el "&amp;TEXT(K584,"dd-mm"),"")&amp;". ","")&amp;IF(W584="SÍ","Stock parece sano pero "&amp;TEXT(L584,"#,##0")&amp;" kg no pasan filtro "&amp;Stock_Seguridad!O584&amp;": sin ellos queda bajo el SS para esa cadena. ","")&amp;IF(E584="SOBRE MAX VENDIBLE","Sobrestock vs vida útil: frenar producción/activar venta. ","")&amp;IF(N(N584)&gt;=Parametros!$B$17,TEXT(N584,"#,##0")&amp;" kg ya no los acepta ninguna cadena: venta intermedia/liquidación. ","")&amp;IF(N(M584)&gt;=Parametros!$B$17,TEXT(M584,"#,##0")&amp;" kg a punto de salir del filtro: despachar primero (FEFO). ","")&amp;IF(Y584="SÍ","Pedidos "&amp;IF(N(U584)&gt;0,"sobre","bajo")&amp;" FCST "&amp;TEXT(ABS(N(U584)),"0%")&amp;": revisar forecast con KAM.","")</f>
        <v>Pedidos sobre FCST 48%: revisar forecast con KAM.</v>
      </c>
    </row>
    <row r="585" customFormat="false" ht="15" hidden="false" customHeight="false" outlineLevel="0" collapsed="false">
      <c r="A585" s="18" t="n">
        <f aca="false">Stock_Seguridad!A585</f>
        <v>30000979</v>
      </c>
      <c r="B585" s="18" t="str">
        <f aca="false">Stock_Seguridad!B585</f>
        <v>BASE ESTOFADO SODEXO 6X2KG</v>
      </c>
      <c r="C585" s="18" t="str">
        <f aca="false">Stock_Seguridad!C585</f>
        <v>FRUTAS Y HORTALIZAS CONGELADAS</v>
      </c>
      <c r="D585" s="18" t="str">
        <f aca="false">Stock_Seguridad!F585</f>
        <v>SIN HIST</v>
      </c>
      <c r="E585" s="19" t="str">
        <f aca="false">Stock_Seguridad!X585</f>
        <v>OK</v>
      </c>
      <c r="F585" s="20" t="n">
        <f aca="false">Stock_Seguridad!W585</f>
        <v>4.59155784998482</v>
      </c>
      <c r="G585" s="21" t="n">
        <f aca="false">Stock_Seguridad!T585</f>
        <v>3024</v>
      </c>
      <c r="H585" s="21" t="n">
        <f aca="false">Stock_Seguridad!R585</f>
        <v>324.990179613072</v>
      </c>
      <c r="I585" s="21" t="n">
        <f aca="false">Stock_Seguridad!S585</f>
        <v>983.590179613072</v>
      </c>
      <c r="J585" s="21" t="n">
        <f aca="false">Stock_Seguridad!U585</f>
        <v>0</v>
      </c>
      <c r="K585" s="22"/>
      <c r="L585" s="23" t="n">
        <v>0</v>
      </c>
      <c r="M585" s="23" t="n">
        <v>0</v>
      </c>
      <c r="N585" s="23" t="n">
        <v>0</v>
      </c>
      <c r="O585" s="24" t="n">
        <v>0.15</v>
      </c>
      <c r="P585" s="24" t="str">
        <f aca="false">IF(ISNUMBER(Stock_Seguridad!N585),Stock_Seguridad!N585,"")</f>
        <v/>
      </c>
      <c r="Q585" s="24" t="str">
        <f aca="false">IF(AND(ISNUMBER(O585),ISNUMBER(P585)),P585-O585,"")</f>
        <v/>
      </c>
      <c r="R585" s="23" t="n">
        <f aca="false">MAX(0,G585-N(L585))</f>
        <v>3024</v>
      </c>
      <c r="S585" s="23" t="n">
        <f aca="false">SUMIFS(Cadenas_vs_FCST!$D$17:$D$2437,Cadenas_vs_FCST!$A$17:$A$2437,A585)</f>
        <v>0</v>
      </c>
      <c r="T585" s="23" t="n">
        <f aca="false">SUMIFS(Cadenas_vs_FCST!$E$17:$E$2437,Cadenas_vs_FCST!$A$17:$A$2437,A585)</f>
        <v>0</v>
      </c>
      <c r="U585" s="24" t="str">
        <f aca="false">IF(T585&gt;0,S585/T585-1,"")</f>
        <v/>
      </c>
      <c r="V585" s="3" t="str">
        <f aca="false">IF(OR(E585="BAJO SS",E585="BAJO SS (XLIB CUBRE)"),"SÍ","")</f>
        <v/>
      </c>
      <c r="W585" s="3" t="str">
        <f aca="false">IF(AND(V585="",N(L585)&gt;=Parametros!$B$17,G585&gt;=H585,R585&lt;H585),"SÍ","")</f>
        <v/>
      </c>
      <c r="X585" s="3" t="str">
        <f aca="false">IF(OR(E585="SOBRE MAX VENDIBLE",N(N585)&gt;=Parametros!$B$17,N(M585)&gt;=Parametros!$B$17),"SÍ","")</f>
        <v/>
      </c>
      <c r="Y585" s="3" t="str">
        <f aca="false">IF(AND(ISNUMBER(U585),MAX(S585,T585)&gt;=Parametros!$B$15,ABS(N(U585))&gt;Parametros!$B$14),"SÍ","")</f>
        <v/>
      </c>
      <c r="Z585" s="3" t="n">
        <f aca="false">COUNTIF(V585:Y585,"SÍ")</f>
        <v>0</v>
      </c>
      <c r="AA585" s="3" t="n">
        <f aca="false">(3*(V585="SÍ")+2*(W585="SÍ")+2*(X585="SÍ")+(Y585="SÍ"))*IF(LEFT(D585,1)="A",3,IF(OR(LEFT(D585,1)="B",D585="SIN HIST"),2,1))</f>
        <v>0</v>
      </c>
      <c r="AB585" s="3" t="str">
        <f aca="false">IF(AA585&gt;=9,"1-ALTA",IF(AA585&gt;=4,"2-MEDIA",IF(AA585&gt;0,"3-BAJA","")))</f>
        <v/>
      </c>
      <c r="AC585" s="3" t="str">
        <f aca="false">IF(E585="BAJO SS","Stock + XLIB bajo el SS: riesgo real de quiebre, adelantar producción. ","")&amp;IF(E585="BAJO SS (XLIB CUBRE)","Disponible bajo el SS; depende de liberar "&amp;TEXT(J585,"#,##0")&amp;" kg"&amp;IF(ISNUMBER(K585)," el "&amp;TEXT(K585,"dd-mm"),"")&amp;". ","")&amp;IF(W585="SÍ","Stock parece sano pero "&amp;TEXT(L585,"#,##0")&amp;" kg no pasan filtro "&amp;Stock_Seguridad!O585&amp;": sin ellos queda bajo el SS para esa cadena. ","")&amp;IF(E585="SOBRE MAX VENDIBLE","Sobrestock vs vida útil: frenar producción/activar venta. ","")&amp;IF(N(N585)&gt;=Parametros!$B$17,TEXT(N585,"#,##0")&amp;" kg ya no los acepta ninguna cadena: venta intermedia/liquidación. ","")&amp;IF(N(M585)&gt;=Parametros!$B$17,TEXT(M585,"#,##0")&amp;" kg a punto de salir del filtro: despachar primero (FEFO). ","")&amp;IF(Y585="SÍ","Pedidos "&amp;IF(N(U585)&gt;0,"sobre","bajo")&amp;" FCST "&amp;TEXT(ABS(N(U585)),"0%")&amp;": revisar forecast con KAM.","")</f>
        <v/>
      </c>
    </row>
    <row r="586" customFormat="false" ht="15" hidden="false" customHeight="false" outlineLevel="0" collapsed="false">
      <c r="A586" s="18" t="n">
        <f aca="false">Stock_Seguridad!A586</f>
        <v>30000050</v>
      </c>
      <c r="B586" s="18" t="str">
        <f aca="false">Stock_Seguridad!B586</f>
        <v>ACEITE CHEF MARAVILLA 30X500ML</v>
      </c>
      <c r="C586" s="18" t="str">
        <f aca="false">Stock_Seguridad!C586</f>
        <v>ACEITES</v>
      </c>
      <c r="D586" s="18" t="str">
        <f aca="false">Stock_Seguridad!F586</f>
        <v>CX</v>
      </c>
      <c r="E586" s="19" t="str">
        <f aca="false">Stock_Seguridad!X586</f>
        <v>OK</v>
      </c>
      <c r="F586" s="20" t="n">
        <f aca="false">Stock_Seguridad!W586</f>
        <v>11.2791519434629</v>
      </c>
      <c r="G586" s="21" t="n">
        <f aca="false">Stock_Seguridad!T586</f>
        <v>7341.6</v>
      </c>
      <c r="H586" s="21" t="n">
        <f aca="false">Stock_Seguridad!R586</f>
        <v>302.329178109523</v>
      </c>
      <c r="I586" s="21" t="n">
        <f aca="false">Stock_Seguridad!S586</f>
        <v>953.229178109523</v>
      </c>
      <c r="J586" s="21" t="n">
        <f aca="false">Stock_Seguridad!U586</f>
        <v>0</v>
      </c>
      <c r="K586" s="22"/>
      <c r="L586" s="23" t="n">
        <v>676.2</v>
      </c>
      <c r="M586" s="23" t="n">
        <v>0</v>
      </c>
      <c r="N586" s="23" t="n">
        <v>0</v>
      </c>
      <c r="O586" s="24" t="n">
        <v>0.181184210526316</v>
      </c>
      <c r="P586" s="24" t="n">
        <f aca="false">IF(ISNUMBER(Stock_Seguridad!N586),Stock_Seguridad!N586,"")</f>
        <v>0.27007299270073</v>
      </c>
      <c r="Q586" s="24" t="n">
        <f aca="false">IF(AND(ISNUMBER(O586),ISNUMBER(P586)),P586-O586,"")</f>
        <v>0.0888887821744141</v>
      </c>
      <c r="R586" s="23" t="n">
        <f aca="false">MAX(0,G586-N(L586))</f>
        <v>6665.4</v>
      </c>
      <c r="S586" s="23" t="n">
        <f aca="false">SUMIFS(Cadenas_vs_FCST!$D$17:$D$2437,Cadenas_vs_FCST!$A$17:$A$2437,A586)</f>
        <v>2387.4</v>
      </c>
      <c r="T586" s="23" t="n">
        <f aca="false">SUMIFS(Cadenas_vs_FCST!$E$17:$E$2437,Cadenas_vs_FCST!$A$17:$A$2437,A586)</f>
        <v>2223.6</v>
      </c>
      <c r="U586" s="24" t="n">
        <f aca="false">IF(T586&gt;0,S586/T586-1,"")</f>
        <v>0.0736643281165679</v>
      </c>
      <c r="V586" s="3" t="str">
        <f aca="false">IF(OR(E586="BAJO SS",E586="BAJO SS (XLIB CUBRE)"),"SÍ","")</f>
        <v/>
      </c>
      <c r="W586" s="3" t="str">
        <f aca="false">IF(AND(V586="",N(L586)&gt;=Parametros!$B$17,G586&gt;=H586,R586&lt;H586),"SÍ","")</f>
        <v/>
      </c>
      <c r="X586" s="3" t="str">
        <f aca="false">IF(OR(E586="SOBRE MAX VENDIBLE",N(N586)&gt;=Parametros!$B$17,N(M586)&gt;=Parametros!$B$17),"SÍ","")</f>
        <v/>
      </c>
      <c r="Y586" s="3" t="str">
        <f aca="false">IF(AND(ISNUMBER(U586),MAX(S586,T586)&gt;=Parametros!$B$15,ABS(N(U586))&gt;Parametros!$B$14),"SÍ","")</f>
        <v/>
      </c>
      <c r="Z586" s="3" t="n">
        <f aca="false">COUNTIF(V586:Y586,"SÍ")</f>
        <v>0</v>
      </c>
      <c r="AA586" s="3" t="n">
        <f aca="false">(3*(V586="SÍ")+2*(W586="SÍ")+2*(X586="SÍ")+(Y586="SÍ"))*IF(LEFT(D586,1)="A",3,IF(OR(LEFT(D586,1)="B",D586="SIN HIST"),2,1))</f>
        <v>0</v>
      </c>
      <c r="AB586" s="3" t="str">
        <f aca="false">IF(AA586&gt;=9,"1-ALTA",IF(AA586&gt;=4,"2-MEDIA",IF(AA586&gt;0,"3-BAJA","")))</f>
        <v/>
      </c>
      <c r="AC586" s="3" t="str">
        <f aca="false">IF(E586="BAJO SS","Stock + XLIB bajo el SS: riesgo real de quiebre, adelantar producción. ","")&amp;IF(E586="BAJO SS (XLIB CUBRE)","Disponible bajo el SS; depende de liberar "&amp;TEXT(J586,"#,##0")&amp;" kg"&amp;IF(ISNUMBER(K586)," el "&amp;TEXT(K586,"dd-mm"),"")&amp;". ","")&amp;IF(W586="SÍ","Stock parece sano pero "&amp;TEXT(L586,"#,##0")&amp;" kg no pasan filtro "&amp;Stock_Seguridad!O586&amp;": sin ellos queda bajo el SS para esa cadena. ","")&amp;IF(E586="SOBRE MAX VENDIBLE","Sobrestock vs vida útil: frenar producción/activar venta. ","")&amp;IF(N(N586)&gt;=Parametros!$B$17,TEXT(N586,"#,##0")&amp;" kg ya no los acepta ninguna cadena: venta intermedia/liquidación. ","")&amp;IF(N(M586)&gt;=Parametros!$B$17,TEXT(M586,"#,##0")&amp;" kg a punto de salir del filtro: despachar primero (FEFO). ","")&amp;IF(Y586="SÍ","Pedidos "&amp;IF(N(U586)&gt;0,"sobre","bajo")&amp;" FCST "&amp;TEXT(ABS(N(U586)),"0%")&amp;": revisar forecast con KAM.","")</f>
        <v/>
      </c>
    </row>
    <row r="587" customFormat="false" ht="15" hidden="false" customHeight="false" outlineLevel="0" collapsed="false">
      <c r="A587" s="18" t="n">
        <f aca="false">Stock_Seguridad!A587</f>
        <v>30000087</v>
      </c>
      <c r="B587" s="18" t="str">
        <f aca="false">Stock_Seguridad!B587</f>
        <v>MANTEQUILLA S/COL LONCO PAN 20X250GR</v>
      </c>
      <c r="C587" s="18" t="str">
        <f aca="false">Stock_Seguridad!C587</f>
        <v>MANTEQUILLAS</v>
      </c>
      <c r="D587" s="18" t="str">
        <f aca="false">Stock_Seguridad!F587</f>
        <v>CX</v>
      </c>
      <c r="E587" s="19" t="str">
        <f aca="false">Stock_Seguridad!X587</f>
        <v>OK</v>
      </c>
      <c r="F587" s="20" t="n">
        <f aca="false">Stock_Seguridad!W587</f>
        <v>4.73076923076923</v>
      </c>
      <c r="G587" s="21" t="n">
        <f aca="false">Stock_Seguridad!T587</f>
        <v>3065</v>
      </c>
      <c r="H587" s="21" t="n">
        <f aca="false">Stock_Seguridad!R587</f>
        <v>447.762030957949</v>
      </c>
      <c r="I587" s="21" t="n">
        <f aca="false">Stock_Seguridad!S587</f>
        <v>1097.76203095795</v>
      </c>
      <c r="J587" s="21" t="n">
        <f aca="false">Stock_Seguridad!U587</f>
        <v>10</v>
      </c>
      <c r="K587" s="22" t="n">
        <v>46307</v>
      </c>
      <c r="L587" s="23" t="n">
        <v>0</v>
      </c>
      <c r="M587" s="23" t="n">
        <v>200</v>
      </c>
      <c r="N587" s="23" t="n">
        <v>0</v>
      </c>
      <c r="O587" s="24" t="n">
        <v>0.127654723127036</v>
      </c>
      <c r="P587" s="24" t="n">
        <f aca="false">IF(ISNUMBER(Stock_Seguridad!N587),Stock_Seguridad!N587,"")</f>
        <v>0.244565217391304</v>
      </c>
      <c r="Q587" s="24" t="n">
        <f aca="false">IF(AND(ISNUMBER(O587),ISNUMBER(P587)),P587-O587,"")</f>
        <v>0.116910494264268</v>
      </c>
      <c r="R587" s="23" t="n">
        <f aca="false">MAX(0,G587-N(L587))</f>
        <v>3065</v>
      </c>
      <c r="S587" s="23" t="n">
        <f aca="false">SUMIFS(Cadenas_vs_FCST!$D$17:$D$2437,Cadenas_vs_FCST!$A$17:$A$2437,A587)</f>
        <v>3180</v>
      </c>
      <c r="T587" s="23" t="n">
        <f aca="false">SUMIFS(Cadenas_vs_FCST!$E$17:$E$2437,Cadenas_vs_FCST!$A$17:$A$2437,A587)</f>
        <v>2803.36896286114</v>
      </c>
      <c r="U587" s="24" t="n">
        <f aca="false">IF(T587&gt;0,S587/T587-1,"")</f>
        <v>0.134349435314595</v>
      </c>
      <c r="V587" s="3" t="str">
        <f aca="false">IF(OR(E587="BAJO SS",E587="BAJO SS (XLIB CUBRE)"),"SÍ","")</f>
        <v/>
      </c>
      <c r="W587" s="3" t="str">
        <f aca="false">IF(AND(V587="",N(L587)&gt;=Parametros!$B$17,G587&gt;=H587,R587&lt;H587),"SÍ","")</f>
        <v/>
      </c>
      <c r="X587" s="3" t="str">
        <f aca="false">IF(OR(E587="SOBRE MAX VENDIBLE",N(N587)&gt;=Parametros!$B$17,N(M587)&gt;=Parametros!$B$17),"SÍ","")</f>
        <v/>
      </c>
      <c r="Y587" s="3" t="str">
        <f aca="false">IF(AND(ISNUMBER(U587),MAX(S587,T587)&gt;=Parametros!$B$15,ABS(N(U587))&gt;Parametros!$B$14),"SÍ","")</f>
        <v/>
      </c>
      <c r="Z587" s="3" t="n">
        <f aca="false">COUNTIF(V587:Y587,"SÍ")</f>
        <v>0</v>
      </c>
      <c r="AA587" s="3" t="n">
        <f aca="false">(3*(V587="SÍ")+2*(W587="SÍ")+2*(X587="SÍ")+(Y587="SÍ"))*IF(LEFT(D587,1)="A",3,IF(OR(LEFT(D587,1)="B",D587="SIN HIST"),2,1))</f>
        <v>0</v>
      </c>
      <c r="AB587" s="3" t="str">
        <f aca="false">IF(AA587&gt;=9,"1-ALTA",IF(AA587&gt;=4,"2-MEDIA",IF(AA587&gt;0,"3-BAJA","")))</f>
        <v/>
      </c>
      <c r="AC587" s="3" t="str">
        <f aca="false">IF(E587="BAJO SS","Stock + XLIB bajo el SS: riesgo real de quiebre, adelantar producción. ","")&amp;IF(E587="BAJO SS (XLIB CUBRE)","Disponible bajo el SS; depende de liberar "&amp;TEXT(J587,"#,##0")&amp;" kg"&amp;IF(ISNUMBER(K587)," el "&amp;TEXT(K587,"dd-mm"),"")&amp;". ","")&amp;IF(W587="SÍ","Stock parece sano pero "&amp;TEXT(L587,"#,##0")&amp;" kg no pasan filtro "&amp;Stock_Seguridad!O587&amp;": sin ellos queda bajo el SS para esa cadena. ","")&amp;IF(E587="SOBRE MAX VENDIBLE","Sobrestock vs vida útil: frenar producción/activar venta. ","")&amp;IF(N(N587)&gt;=Parametros!$B$17,TEXT(N587,"#,##0")&amp;" kg ya no los acepta ninguna cadena: venta intermedia/liquidación. ","")&amp;IF(N(M587)&gt;=Parametros!$B$17,TEXT(M587,"#,##0")&amp;" kg a punto de salir del filtro: despachar primero (FEFO). ","")&amp;IF(Y587="SÍ","Pedidos "&amp;IF(N(U587)&gt;0,"sobre","bajo")&amp;" FCST "&amp;TEXT(ABS(N(U587)),"0%")&amp;": revisar forecast con KAM.","")</f>
        <v/>
      </c>
    </row>
    <row r="588" customFormat="false" ht="15" hidden="false" customHeight="false" outlineLevel="0" collapsed="false">
      <c r="A588" s="18" t="n">
        <f aca="false">Stock_Seguridad!A588</f>
        <v>30002109</v>
      </c>
      <c r="B588" s="18" t="str">
        <f aca="false">Stock_Seguridad!B588</f>
        <v>BITES ARANDANOS 12X150GR</v>
      </c>
      <c r="C588" s="18" t="str">
        <f aca="false">Stock_Seguridad!C588</f>
        <v>FRUTAS Y HORTALIZAS CONGELADAS</v>
      </c>
      <c r="D588" s="18" t="str">
        <f aca="false">Stock_Seguridad!F588</f>
        <v>SIN HIST</v>
      </c>
      <c r="E588" s="19" t="str">
        <f aca="false">Stock_Seguridad!X588</f>
        <v>OK</v>
      </c>
      <c r="F588" s="20" t="n">
        <f aca="false">Stock_Seguridad!W588</f>
        <v>4.61596837944664</v>
      </c>
      <c r="G588" s="21" t="n">
        <f aca="false">Stock_Seguridad!T588</f>
        <v>2919.6</v>
      </c>
      <c r="H588" s="21" t="n">
        <f aca="false">Stock_Seguridad!R588</f>
        <v>312.110975714042</v>
      </c>
      <c r="I588" s="21" t="n">
        <f aca="false">Stock_Seguridad!S588</f>
        <v>944.610975714042</v>
      </c>
      <c r="J588" s="21" t="n">
        <f aca="false">Stock_Seguridad!U588</f>
        <v>0</v>
      </c>
      <c r="K588" s="22"/>
      <c r="L588" s="23" t="n">
        <v>0</v>
      </c>
      <c r="M588" s="23" t="n">
        <v>0</v>
      </c>
      <c r="N588" s="23" t="n">
        <v>0</v>
      </c>
      <c r="O588" s="24" t="n">
        <v>0.189790382244143</v>
      </c>
      <c r="P588" s="24" t="str">
        <f aca="false">IF(ISNUMBER(Stock_Seguridad!N588),Stock_Seguridad!N588,"")</f>
        <v/>
      </c>
      <c r="Q588" s="24" t="str">
        <f aca="false">IF(AND(ISNUMBER(O588),ISNUMBER(P588)),P588-O588,"")</f>
        <v/>
      </c>
      <c r="R588" s="23" t="n">
        <f aca="false">MAX(0,G588-N(L588))</f>
        <v>2919.6</v>
      </c>
      <c r="S588" s="23" t="n">
        <f aca="false">SUMIFS(Cadenas_vs_FCST!$D$17:$D$2437,Cadenas_vs_FCST!$A$17:$A$2437,A588)</f>
        <v>0</v>
      </c>
      <c r="T588" s="23" t="n">
        <f aca="false">SUMIFS(Cadenas_vs_FCST!$E$17:$E$2437,Cadenas_vs_FCST!$A$17:$A$2437,A588)</f>
        <v>0</v>
      </c>
      <c r="U588" s="24" t="str">
        <f aca="false">IF(T588&gt;0,S588/T588-1,"")</f>
        <v/>
      </c>
      <c r="V588" s="3" t="str">
        <f aca="false">IF(OR(E588="BAJO SS",E588="BAJO SS (XLIB CUBRE)"),"SÍ","")</f>
        <v/>
      </c>
      <c r="W588" s="3" t="str">
        <f aca="false">IF(AND(V588="",N(L588)&gt;=Parametros!$B$17,G588&gt;=H588,R588&lt;H588),"SÍ","")</f>
        <v/>
      </c>
      <c r="X588" s="3" t="str">
        <f aca="false">IF(OR(E588="SOBRE MAX VENDIBLE",N(N588)&gt;=Parametros!$B$17,N(M588)&gt;=Parametros!$B$17),"SÍ","")</f>
        <v/>
      </c>
      <c r="Y588" s="3" t="str">
        <f aca="false">IF(AND(ISNUMBER(U588),MAX(S588,T588)&gt;=Parametros!$B$15,ABS(N(U588))&gt;Parametros!$B$14),"SÍ","")</f>
        <v/>
      </c>
      <c r="Z588" s="3" t="n">
        <f aca="false">COUNTIF(V588:Y588,"SÍ")</f>
        <v>0</v>
      </c>
      <c r="AA588" s="3" t="n">
        <f aca="false">(3*(V588="SÍ")+2*(W588="SÍ")+2*(X588="SÍ")+(Y588="SÍ"))*IF(LEFT(D588,1)="A",3,IF(OR(LEFT(D588,1)="B",D588="SIN HIST"),2,1))</f>
        <v>0</v>
      </c>
      <c r="AB588" s="3" t="str">
        <f aca="false">IF(AA588&gt;=9,"1-ALTA",IF(AA588&gt;=4,"2-MEDIA",IF(AA588&gt;0,"3-BAJA","")))</f>
        <v/>
      </c>
      <c r="AC588" s="3" t="str">
        <f aca="false">IF(E588="BAJO SS","Stock + XLIB bajo el SS: riesgo real de quiebre, adelantar producción. ","")&amp;IF(E588="BAJO SS (XLIB CUBRE)","Disponible bajo el SS; depende de liberar "&amp;TEXT(J588,"#,##0")&amp;" kg"&amp;IF(ISNUMBER(K588)," el "&amp;TEXT(K588,"dd-mm"),"")&amp;". ","")&amp;IF(W588="SÍ","Stock parece sano pero "&amp;TEXT(L588,"#,##0")&amp;" kg no pasan filtro "&amp;Stock_Seguridad!O588&amp;": sin ellos queda bajo el SS para esa cadena. ","")&amp;IF(E588="SOBRE MAX VENDIBLE","Sobrestock vs vida útil: frenar producción/activar venta. ","")&amp;IF(N(N588)&gt;=Parametros!$B$17,TEXT(N588,"#,##0")&amp;" kg ya no los acepta ninguna cadena: venta intermedia/liquidación. ","")&amp;IF(N(M588)&gt;=Parametros!$B$17,TEXT(M588,"#,##0")&amp;" kg a punto de salir del filtro: despachar primero (FEFO). ","")&amp;IF(Y588="SÍ","Pedidos "&amp;IF(N(U588)&gt;0,"sobre","bajo")&amp;" FCST "&amp;TEXT(ABS(N(U588)),"0%")&amp;": revisar forecast con KAM.","")</f>
        <v/>
      </c>
    </row>
    <row r="589" customFormat="false" ht="15" hidden="false" customHeight="false" outlineLevel="0" collapsed="false">
      <c r="A589" s="18" t="n">
        <f aca="false">Stock_Seguridad!A589</f>
        <v>30001888</v>
      </c>
      <c r="B589" s="18" t="str">
        <f aca="false">Stock_Seguridad!B589</f>
        <v>MANTEQUILLA LONCOLECHE PAN 20X200GR</v>
      </c>
      <c r="C589" s="18" t="str">
        <f aca="false">Stock_Seguridad!C589</f>
        <v>MANTEQUILLAS</v>
      </c>
      <c r="D589" s="18" t="str">
        <f aca="false">Stock_Seguridad!F589</f>
        <v>CX</v>
      </c>
      <c r="E589" s="19" t="str">
        <f aca="false">Stock_Seguridad!X589</f>
        <v>SOBRE MAX VENDIBLE</v>
      </c>
      <c r="F589" s="20" t="n">
        <f aca="false">Stock_Seguridad!W589</f>
        <v>14.6432</v>
      </c>
      <c r="G589" s="21" t="n">
        <f aca="false">Stock_Seguridad!T589</f>
        <v>9152</v>
      </c>
      <c r="H589" s="21" t="n">
        <f aca="false">Stock_Seguridad!R589</f>
        <v>1544.95811756356</v>
      </c>
      <c r="I589" s="21" t="n">
        <f aca="false">Stock_Seguridad!S589</f>
        <v>2169.95811756356</v>
      </c>
      <c r="J589" s="21" t="n">
        <f aca="false">Stock_Seguridad!U589</f>
        <v>0</v>
      </c>
      <c r="K589" s="22"/>
      <c r="L589" s="23" t="n">
        <v>0</v>
      </c>
      <c r="M589" s="23" t="n">
        <v>1000</v>
      </c>
      <c r="N589" s="23" t="n">
        <v>0</v>
      </c>
      <c r="O589" s="24" t="n">
        <v>0.0931118881118881</v>
      </c>
      <c r="P589" s="24" t="n">
        <f aca="false">IF(ISNUMBER(Stock_Seguridad!N589),Stock_Seguridad!N589,"")</f>
        <v>0.211956521739131</v>
      </c>
      <c r="Q589" s="24" t="n">
        <f aca="false">IF(AND(ISNUMBER(O589),ISNUMBER(P589)),P589-O589,"")</f>
        <v>0.118844633627242</v>
      </c>
      <c r="R589" s="23" t="n">
        <f aca="false">MAX(0,G589-N(L589))</f>
        <v>9152</v>
      </c>
      <c r="S589" s="23" t="n">
        <f aca="false">SUMIFS(Cadenas_vs_FCST!$D$17:$D$2437,Cadenas_vs_FCST!$A$17:$A$2437,A589)</f>
        <v>8060</v>
      </c>
      <c r="T589" s="23" t="n">
        <f aca="false">SUMIFS(Cadenas_vs_FCST!$E$17:$E$2437,Cadenas_vs_FCST!$A$17:$A$2437,A589)</f>
        <v>5500</v>
      </c>
      <c r="U589" s="24" t="n">
        <f aca="false">IF(T589&gt;0,S589/T589-1,"")</f>
        <v>0.465454545454546</v>
      </c>
      <c r="V589" s="3" t="str">
        <f aca="false">IF(OR(E589="BAJO SS",E589="BAJO SS (XLIB CUBRE)"),"SÍ","")</f>
        <v/>
      </c>
      <c r="W589" s="3" t="str">
        <f aca="false">IF(AND(V589="",N(L589)&gt;=Parametros!$B$17,G589&gt;=H589,R589&lt;H589),"SÍ","")</f>
        <v/>
      </c>
      <c r="X589" s="3" t="str">
        <f aca="false">IF(OR(E589="SOBRE MAX VENDIBLE",N(N589)&gt;=Parametros!$B$17,N(M589)&gt;=Parametros!$B$17),"SÍ","")</f>
        <v>SÍ</v>
      </c>
      <c r="Y589" s="3" t="str">
        <f aca="false">IF(AND(ISNUMBER(U589),MAX(S589,T589)&gt;=Parametros!$B$15,ABS(N(U589))&gt;Parametros!$B$14),"SÍ","")</f>
        <v>SÍ</v>
      </c>
      <c r="Z589" s="3" t="n">
        <f aca="false">COUNTIF(V589:Y589,"SÍ")</f>
        <v>2</v>
      </c>
      <c r="AA589" s="3" t="n">
        <f aca="false">(3*(V589="SÍ")+2*(W589="SÍ")+2*(X589="SÍ")+(Y589="SÍ"))*IF(LEFT(D589,1)="A",3,IF(OR(LEFT(D589,1)="B",D589="SIN HIST"),2,1))</f>
        <v>3</v>
      </c>
      <c r="AB589" s="3" t="str">
        <f aca="false">IF(AA589&gt;=9,"1-ALTA",IF(AA589&gt;=4,"2-MEDIA",IF(AA589&gt;0,"3-BAJA","")))</f>
        <v>3-BAJA</v>
      </c>
      <c r="AC589" s="3" t="str">
        <f aca="false">IF(E589="BAJO SS","Stock + XLIB bajo el SS: riesgo real de quiebre, adelantar producción. ","")&amp;IF(E589="BAJO SS (XLIB CUBRE)","Disponible bajo el SS; depende de liberar "&amp;TEXT(J589,"#,##0")&amp;" kg"&amp;IF(ISNUMBER(K589)," el "&amp;TEXT(K589,"dd-mm"),"")&amp;". ","")&amp;IF(W589="SÍ","Stock parece sano pero "&amp;TEXT(L589,"#,##0")&amp;" kg no pasan filtro "&amp;Stock_Seguridad!O589&amp;": sin ellos queda bajo el SS para esa cadena. ","")&amp;IF(E589="SOBRE MAX VENDIBLE","Sobrestock vs vida útil: frenar producción/activar venta. ","")&amp;IF(N(N589)&gt;=Parametros!$B$17,TEXT(N589,"#,##0")&amp;" kg ya no los acepta ninguna cadena: venta intermedia/liquidación. ","")&amp;IF(N(M589)&gt;=Parametros!$B$17,TEXT(M589,"#,##0")&amp;" kg a punto de salir del filtro: despachar primero (FEFO). ","")&amp;IF(Y589="SÍ","Pedidos "&amp;IF(N(U589)&gt;0,"sobre","bajo")&amp;" FCST "&amp;TEXT(ABS(N(U589)),"0%")&amp;": revisar forecast con KAM.","")</f>
        <v>Sobrestock vs vida útil: frenar producción/activar venta. 1,000 kg a punto de salir del filtro: despachar primero (FEFO). Pedidos sobre FCST 47%: revisar forecast con KAM.</v>
      </c>
    </row>
    <row r="590" customFormat="false" ht="15" hidden="false" customHeight="false" outlineLevel="0" collapsed="false">
      <c r="A590" s="18" t="n">
        <f aca="false">Stock_Seguridad!A590</f>
        <v>30002285</v>
      </c>
      <c r="B590" s="18" t="str">
        <f aca="false">Stock_Seguridad!B590</f>
        <v>LECHE LONCO ENTERA 5X6X200ML</v>
      </c>
      <c r="C590" s="18" t="str">
        <f aca="false">Stock_Seguridad!C590</f>
        <v>LECHES LIQUIDAS</v>
      </c>
      <c r="D590" s="18" t="str">
        <f aca="false">Stock_Seguridad!F590</f>
        <v>CY</v>
      </c>
      <c r="E590" s="19" t="str">
        <f aca="false">Stock_Seguridad!X590</f>
        <v>SOBRE MAX VENDIBLE</v>
      </c>
      <c r="F590" s="20" t="n">
        <f aca="false">Stock_Seguridad!W590</f>
        <v>17.0120724346076</v>
      </c>
      <c r="G590" s="21" t="n">
        <f aca="false">Stock_Seguridad!T590</f>
        <v>10146</v>
      </c>
      <c r="H590" s="21" t="n">
        <f aca="false">Stock_Seguridad!R590</f>
        <v>514.232552847852</v>
      </c>
      <c r="I590" s="21" t="n">
        <f aca="false">Stock_Seguridad!S590</f>
        <v>1110.63255284785</v>
      </c>
      <c r="J590" s="21" t="n">
        <f aca="false">Stock_Seguridad!U590</f>
        <v>0</v>
      </c>
      <c r="K590" s="22"/>
      <c r="L590" s="23" t="n">
        <v>1188</v>
      </c>
      <c r="M590" s="23" t="n">
        <v>0</v>
      </c>
      <c r="N590" s="23" t="n">
        <v>198</v>
      </c>
      <c r="O590" s="24" t="n">
        <v>0.194198698994678</v>
      </c>
      <c r="P590" s="24" t="n">
        <f aca="false">IF(ISNUMBER(Stock_Seguridad!N590),Stock_Seguridad!N590,"")</f>
        <v>0.27</v>
      </c>
      <c r="Q590" s="24" t="n">
        <f aca="false">IF(AND(ISNUMBER(O590),ISNUMBER(P590)),P590-O590,"")</f>
        <v>0.0758013010053223</v>
      </c>
      <c r="R590" s="23" t="n">
        <f aca="false">MAX(0,G590-N(L590))</f>
        <v>8958</v>
      </c>
      <c r="S590" s="23" t="n">
        <f aca="false">SUMIFS(Cadenas_vs_FCST!$D$17:$D$2437,Cadenas_vs_FCST!$A$17:$A$2437,A590)</f>
        <v>3660</v>
      </c>
      <c r="T590" s="23" t="n">
        <f aca="false">SUMIFS(Cadenas_vs_FCST!$E$17:$E$2437,Cadenas_vs_FCST!$A$17:$A$2437,A590)</f>
        <v>4818.79834636501</v>
      </c>
      <c r="U590" s="24" t="n">
        <f aca="false">IF(T590&gt;0,S590/T590-1,"")</f>
        <v>-0.240474546364683</v>
      </c>
      <c r="V590" s="3" t="str">
        <f aca="false">IF(OR(E590="BAJO SS",E590="BAJO SS (XLIB CUBRE)"),"SÍ","")</f>
        <v/>
      </c>
      <c r="W590" s="3" t="str">
        <f aca="false">IF(AND(V590="",N(L590)&gt;=Parametros!$B$17,G590&gt;=H590,R590&lt;H590),"SÍ","")</f>
        <v/>
      </c>
      <c r="X590" s="3" t="str">
        <f aca="false">IF(OR(E590="SOBRE MAX VENDIBLE",N(N590)&gt;=Parametros!$B$17,N(M590)&gt;=Parametros!$B$17),"SÍ","")</f>
        <v>SÍ</v>
      </c>
      <c r="Y590" s="3" t="str">
        <f aca="false">IF(AND(ISNUMBER(U590),MAX(S590,T590)&gt;=Parametros!$B$15,ABS(N(U590))&gt;Parametros!$B$14),"SÍ","")</f>
        <v>SÍ</v>
      </c>
      <c r="Z590" s="3" t="n">
        <f aca="false">COUNTIF(V590:Y590,"SÍ")</f>
        <v>2</v>
      </c>
      <c r="AA590" s="3" t="n">
        <f aca="false">(3*(V590="SÍ")+2*(W590="SÍ")+2*(X590="SÍ")+(Y590="SÍ"))*IF(LEFT(D590,1)="A",3,IF(OR(LEFT(D590,1)="B",D590="SIN HIST"),2,1))</f>
        <v>3</v>
      </c>
      <c r="AB590" s="3" t="str">
        <f aca="false">IF(AA590&gt;=9,"1-ALTA",IF(AA590&gt;=4,"2-MEDIA",IF(AA590&gt;0,"3-BAJA","")))</f>
        <v>3-BAJA</v>
      </c>
      <c r="AC590" s="3" t="str">
        <f aca="false">IF(E590="BAJO SS","Stock + XLIB bajo el SS: riesgo real de quiebre, adelantar producción. ","")&amp;IF(E590="BAJO SS (XLIB CUBRE)","Disponible bajo el SS; depende de liberar "&amp;TEXT(J590,"#,##0")&amp;" kg"&amp;IF(ISNUMBER(K590)," el "&amp;TEXT(K590,"dd-mm"),"")&amp;". ","")&amp;IF(W590="SÍ","Stock parece sano pero "&amp;TEXT(L590,"#,##0")&amp;" kg no pasan filtro "&amp;Stock_Seguridad!O590&amp;": sin ellos queda bajo el SS para esa cadena. ","")&amp;IF(E590="SOBRE MAX VENDIBLE","Sobrestock vs vida útil: frenar producción/activar venta. ","")&amp;IF(N(N590)&gt;=Parametros!$B$17,TEXT(N590,"#,##0")&amp;" kg ya no los acepta ninguna cadena: venta intermedia/liquidación. ","")&amp;IF(N(M590)&gt;=Parametros!$B$17,TEXT(M590,"#,##0")&amp;" kg a punto de salir del filtro: despachar primero (FEFO). ","")&amp;IF(Y590="SÍ","Pedidos "&amp;IF(N(U590)&gt;0,"sobre","bajo")&amp;" FCST "&amp;TEXT(ABS(N(U590)),"0%")&amp;": revisar forecast con KAM.","")</f>
        <v>Sobrestock vs vida útil: frenar producción/activar venta. Pedidos bajo FCST 24%: revisar forecast con KAM.</v>
      </c>
    </row>
    <row r="591" customFormat="false" ht="15" hidden="false" customHeight="false" outlineLevel="0" collapsed="false">
      <c r="A591" s="18" t="n">
        <f aca="false">Stock_Seguridad!A591</f>
        <v>30001863</v>
      </c>
      <c r="B591" s="18" t="str">
        <f aca="false">Stock_Seguridad!B591</f>
        <v>HABAS PELADAS 18X350GR</v>
      </c>
      <c r="C591" s="18" t="str">
        <f aca="false">Stock_Seguridad!C591</f>
        <v>FRUTAS Y HORTALIZAS CONGELADAS</v>
      </c>
      <c r="D591" s="18" t="str">
        <f aca="false">Stock_Seguridad!F591</f>
        <v>SIN HIST</v>
      </c>
      <c r="E591" s="19" t="str">
        <f aca="false">Stock_Seguridad!X591</f>
        <v>OK</v>
      </c>
      <c r="F591" s="20" t="n">
        <f aca="false">Stock_Seguridad!W591</f>
        <v>5.76160301421476</v>
      </c>
      <c r="G591" s="21" t="n">
        <f aca="false">Stock_Seguridad!T591</f>
        <v>3364.2</v>
      </c>
      <c r="H591" s="21" t="n">
        <f aca="false">Stock_Seguridad!R591</f>
        <v>288.129009833089</v>
      </c>
      <c r="I591" s="21" t="n">
        <f aca="false">Stock_Seguridad!S591</f>
        <v>872.029009833089</v>
      </c>
      <c r="J591" s="21" t="n">
        <f aca="false">Stock_Seguridad!U591</f>
        <v>0</v>
      </c>
      <c r="K591" s="22"/>
      <c r="L591" s="23" t="n">
        <v>0</v>
      </c>
      <c r="M591" s="23" t="n">
        <v>0</v>
      </c>
      <c r="N591" s="23" t="n">
        <v>0</v>
      </c>
      <c r="O591" s="24" t="n">
        <v>0.0123970037453184</v>
      </c>
      <c r="P591" s="24" t="str">
        <f aca="false">IF(ISNUMBER(Stock_Seguridad!N591),Stock_Seguridad!N591,"")</f>
        <v/>
      </c>
      <c r="Q591" s="24" t="str">
        <f aca="false">IF(AND(ISNUMBER(O591),ISNUMBER(P591)),P591-O591,"")</f>
        <v/>
      </c>
      <c r="R591" s="23" t="n">
        <f aca="false">MAX(0,G591-N(L591))</f>
        <v>3364.2</v>
      </c>
      <c r="S591" s="23" t="n">
        <f aca="false">SUMIFS(Cadenas_vs_FCST!$D$17:$D$2437,Cadenas_vs_FCST!$A$17:$A$2437,A591)</f>
        <v>0</v>
      </c>
      <c r="T591" s="23" t="n">
        <f aca="false">SUMIFS(Cadenas_vs_FCST!$E$17:$E$2437,Cadenas_vs_FCST!$A$17:$A$2437,A591)</f>
        <v>0</v>
      </c>
      <c r="U591" s="24" t="str">
        <f aca="false">IF(T591&gt;0,S591/T591-1,"")</f>
        <v/>
      </c>
      <c r="V591" s="3" t="str">
        <f aca="false">IF(OR(E591="BAJO SS",E591="BAJO SS (XLIB CUBRE)"),"SÍ","")</f>
        <v/>
      </c>
      <c r="W591" s="3" t="str">
        <f aca="false">IF(AND(V591="",N(L591)&gt;=Parametros!$B$17,G591&gt;=H591,R591&lt;H591),"SÍ","")</f>
        <v/>
      </c>
      <c r="X591" s="3" t="str">
        <f aca="false">IF(OR(E591="SOBRE MAX VENDIBLE",N(N591)&gt;=Parametros!$B$17,N(M591)&gt;=Parametros!$B$17),"SÍ","")</f>
        <v/>
      </c>
      <c r="Y591" s="3" t="str">
        <f aca="false">IF(AND(ISNUMBER(U591),MAX(S591,T591)&gt;=Parametros!$B$15,ABS(N(U591))&gt;Parametros!$B$14),"SÍ","")</f>
        <v/>
      </c>
      <c r="Z591" s="3" t="n">
        <f aca="false">COUNTIF(V591:Y591,"SÍ")</f>
        <v>0</v>
      </c>
      <c r="AA591" s="3" t="n">
        <f aca="false">(3*(V591="SÍ")+2*(W591="SÍ")+2*(X591="SÍ")+(Y591="SÍ"))*IF(LEFT(D591,1)="A",3,IF(OR(LEFT(D591,1)="B",D591="SIN HIST"),2,1))</f>
        <v>0</v>
      </c>
      <c r="AB591" s="3" t="str">
        <f aca="false">IF(AA591&gt;=9,"1-ALTA",IF(AA591&gt;=4,"2-MEDIA",IF(AA591&gt;0,"3-BAJA","")))</f>
        <v/>
      </c>
      <c r="AC591" s="3" t="str">
        <f aca="false">IF(E591="BAJO SS","Stock + XLIB bajo el SS: riesgo real de quiebre, adelantar producción. ","")&amp;IF(E591="BAJO SS (XLIB CUBRE)","Disponible bajo el SS; depende de liberar "&amp;TEXT(J591,"#,##0")&amp;" kg"&amp;IF(ISNUMBER(K591)," el "&amp;TEXT(K591,"dd-mm"),"")&amp;". ","")&amp;IF(W591="SÍ","Stock parece sano pero "&amp;TEXT(L591,"#,##0")&amp;" kg no pasan filtro "&amp;Stock_Seguridad!O591&amp;": sin ellos queda bajo el SS para esa cadena. ","")&amp;IF(E591="SOBRE MAX VENDIBLE","Sobrestock vs vida útil: frenar producción/activar venta. ","")&amp;IF(N(N591)&gt;=Parametros!$B$17,TEXT(N591,"#,##0")&amp;" kg ya no los acepta ninguna cadena: venta intermedia/liquidación. ","")&amp;IF(N(M591)&gt;=Parametros!$B$17,TEXT(M591,"#,##0")&amp;" kg a punto de salir del filtro: despachar primero (FEFO). ","")&amp;IF(Y591="SÍ","Pedidos "&amp;IF(N(U591)&gt;0,"sobre","bajo")&amp;" FCST "&amp;TEXT(ABS(N(U591)),"0%")&amp;": revisar forecast con KAM.","")</f>
        <v/>
      </c>
    </row>
    <row r="592" customFormat="false" ht="15" hidden="false" customHeight="false" outlineLevel="0" collapsed="false">
      <c r="A592" s="18" t="n">
        <f aca="false">Stock_Seguridad!A592</f>
        <v>30000640</v>
      </c>
      <c r="B592" s="18" t="str">
        <f aca="false">Stock_Seguridad!B592</f>
        <v>ARANDANOS WASIL 16X380GR</v>
      </c>
      <c r="C592" s="18" t="str">
        <f aca="false">Stock_Seguridad!C592</f>
        <v>CONSERVAS Y PLATOS LISTOS</v>
      </c>
      <c r="D592" s="18" t="str">
        <f aca="false">Stock_Seguridad!F592</f>
        <v>CX</v>
      </c>
      <c r="E592" s="19" t="str">
        <f aca="false">Stock_Seguridad!X592</f>
        <v>OK</v>
      </c>
      <c r="F592" s="20" t="n">
        <f aca="false">Stock_Seguridad!W592</f>
        <v>13.9547182855168</v>
      </c>
      <c r="G592" s="21" t="n">
        <f aca="false">Stock_Seguridad!T592</f>
        <v>8074.2</v>
      </c>
      <c r="H592" s="21" t="n">
        <f aca="false">Stock_Seguridad!R592</f>
        <v>148.054581292923</v>
      </c>
      <c r="I592" s="21" t="n">
        <f aca="false">Stock_Seguridad!S592</f>
        <v>726.654581292923</v>
      </c>
      <c r="J592" s="21" t="n">
        <f aca="false">Stock_Seguridad!U592</f>
        <v>0</v>
      </c>
      <c r="K592" s="22"/>
      <c r="L592" s="23" t="n">
        <v>0</v>
      </c>
      <c r="M592" s="23" t="n">
        <v>30.4</v>
      </c>
      <c r="N592" s="23" t="n">
        <v>0</v>
      </c>
      <c r="O592" s="24" t="n">
        <v>0.0457003012048193</v>
      </c>
      <c r="P592" s="24" t="n">
        <f aca="false">IF(ISNUMBER(Stock_Seguridad!N592),Stock_Seguridad!N592,"")</f>
        <v>0.328767123287671</v>
      </c>
      <c r="Q592" s="24" t="n">
        <f aca="false">IF(AND(ISNUMBER(O592),ISNUMBER(P592)),P592-O592,"")</f>
        <v>0.283066822082852</v>
      </c>
      <c r="R592" s="23" t="n">
        <f aca="false">MAX(0,G592-N(L592))</f>
        <v>8074.2</v>
      </c>
      <c r="S592" s="23" t="n">
        <f aca="false">SUMIFS(Cadenas_vs_FCST!$D$17:$D$2437,Cadenas_vs_FCST!$A$17:$A$2437,A592)</f>
        <v>2334.72</v>
      </c>
      <c r="T592" s="23" t="n">
        <f aca="false">SUMIFS(Cadenas_vs_FCST!$E$17:$E$2437,Cadenas_vs_FCST!$A$17:$A$2437,A592)</f>
        <v>2485.92</v>
      </c>
      <c r="U592" s="24" t="n">
        <f aca="false">IF(T592&gt;0,S592/T592-1,"")</f>
        <v>-0.0608225526163353</v>
      </c>
      <c r="V592" s="3" t="str">
        <f aca="false">IF(OR(E592="BAJO SS",E592="BAJO SS (XLIB CUBRE)"),"SÍ","")</f>
        <v/>
      </c>
      <c r="W592" s="3" t="str">
        <f aca="false">IF(AND(V592="",N(L592)&gt;=Parametros!$B$17,G592&gt;=H592,R592&lt;H592),"SÍ","")</f>
        <v/>
      </c>
      <c r="X592" s="3" t="str">
        <f aca="false">IF(OR(E592="SOBRE MAX VENDIBLE",N(N592)&gt;=Parametros!$B$17,N(M592)&gt;=Parametros!$B$17),"SÍ","")</f>
        <v/>
      </c>
      <c r="Y592" s="3" t="str">
        <f aca="false">IF(AND(ISNUMBER(U592),MAX(S592,T592)&gt;=Parametros!$B$15,ABS(N(U592))&gt;Parametros!$B$14),"SÍ","")</f>
        <v/>
      </c>
      <c r="Z592" s="3" t="n">
        <f aca="false">COUNTIF(V592:Y592,"SÍ")</f>
        <v>0</v>
      </c>
      <c r="AA592" s="3" t="n">
        <f aca="false">(3*(V592="SÍ")+2*(W592="SÍ")+2*(X592="SÍ")+(Y592="SÍ"))*IF(LEFT(D592,1)="A",3,IF(OR(LEFT(D592,1)="B",D592="SIN HIST"),2,1))</f>
        <v>0</v>
      </c>
      <c r="AB592" s="3" t="str">
        <f aca="false">IF(AA592&gt;=9,"1-ALTA",IF(AA592&gt;=4,"2-MEDIA",IF(AA592&gt;0,"3-BAJA","")))</f>
        <v/>
      </c>
      <c r="AC592" s="3" t="str">
        <f aca="false">IF(E592="BAJO SS","Stock + XLIB bajo el SS: riesgo real de quiebre, adelantar producción. ","")&amp;IF(E592="BAJO SS (XLIB CUBRE)","Disponible bajo el SS; depende de liberar "&amp;TEXT(J592,"#,##0")&amp;" kg"&amp;IF(ISNUMBER(K592)," el "&amp;TEXT(K592,"dd-mm"),"")&amp;". ","")&amp;IF(W592="SÍ","Stock parece sano pero "&amp;TEXT(L592,"#,##0")&amp;" kg no pasan filtro "&amp;Stock_Seguridad!O592&amp;": sin ellos queda bajo el SS para esa cadena. ","")&amp;IF(E592="SOBRE MAX VENDIBLE","Sobrestock vs vida útil: frenar producción/activar venta. ","")&amp;IF(N(N592)&gt;=Parametros!$B$17,TEXT(N592,"#,##0")&amp;" kg ya no los acepta ninguna cadena: venta intermedia/liquidación. ","")&amp;IF(N(M592)&gt;=Parametros!$B$17,TEXT(M592,"#,##0")&amp;" kg a punto de salir del filtro: despachar primero (FEFO). ","")&amp;IF(Y592="SÍ","Pedidos "&amp;IF(N(U592)&gt;0,"sobre","bajo")&amp;" FCST "&amp;TEXT(ABS(N(U592)),"0%")&amp;": revisar forecast con KAM.","")</f>
        <v/>
      </c>
    </row>
    <row r="593" customFormat="false" ht="15" hidden="false" customHeight="false" outlineLevel="0" collapsed="false">
      <c r="A593" s="18" t="n">
        <f aca="false">Stock_Seguridad!A593</f>
        <v>30002162</v>
      </c>
      <c r="B593" s="18" t="str">
        <f aca="false">Stock_Seguridad!B593</f>
        <v>QUESO LPV MANTECOSO RUEDA 18X500G</v>
      </c>
      <c r="C593" s="18" t="str">
        <f aca="false">Stock_Seguridad!C593</f>
        <v>QUESOS</v>
      </c>
      <c r="D593" s="18" t="str">
        <f aca="false">Stock_Seguridad!F593</f>
        <v>CX</v>
      </c>
      <c r="E593" s="19" t="str">
        <f aca="false">Stock_Seguridad!X593</f>
        <v>OK</v>
      </c>
      <c r="F593" s="20" t="n">
        <f aca="false">Stock_Seguridad!W593</f>
        <v>2.60357142857143</v>
      </c>
      <c r="G593" s="21" t="n">
        <f aca="false">Stock_Seguridad!T593</f>
        <v>657</v>
      </c>
      <c r="H593" s="21" t="n">
        <f aca="false">Stock_Seguridad!R593</f>
        <v>470.513711660854</v>
      </c>
      <c r="I593" s="21" t="n">
        <f aca="false">Stock_Seguridad!S593</f>
        <v>1030.51371166085</v>
      </c>
      <c r="J593" s="21" t="n">
        <f aca="false">Stock_Seguridad!U593</f>
        <v>801</v>
      </c>
      <c r="K593" s="22" t="n">
        <v>46318</v>
      </c>
      <c r="L593" s="23" t="n">
        <v>0</v>
      </c>
      <c r="M593" s="23" t="n">
        <v>9</v>
      </c>
      <c r="N593" s="23" t="n">
        <v>0</v>
      </c>
      <c r="O593" s="24" t="n">
        <v>0.0310493827160494</v>
      </c>
      <c r="P593" s="24" t="n">
        <f aca="false">IF(ISNUMBER(Stock_Seguridad!N593),Stock_Seguridad!N593,"")</f>
        <v>0.211111111111111</v>
      </c>
      <c r="Q593" s="24" t="n">
        <f aca="false">IF(AND(ISNUMBER(O593),ISNUMBER(P593)),P593-O593,"")</f>
        <v>0.180061728395062</v>
      </c>
      <c r="R593" s="23" t="n">
        <f aca="false">MAX(0,G593-N(L593))</f>
        <v>657</v>
      </c>
      <c r="S593" s="23" t="n">
        <f aca="false">SUMIFS(Cadenas_vs_FCST!$D$17:$D$2437,Cadenas_vs_FCST!$A$17:$A$2437,A593)</f>
        <v>3303</v>
      </c>
      <c r="T593" s="23" t="n">
        <f aca="false">SUMIFS(Cadenas_vs_FCST!$E$17:$E$2437,Cadenas_vs_FCST!$A$17:$A$2437,A593)</f>
        <v>1770.16803511362</v>
      </c>
      <c r="U593" s="24" t="n">
        <f aca="false">IF(T593&gt;0,S593/T593-1,"")</f>
        <v>0.865924553195312</v>
      </c>
      <c r="V593" s="3" t="str">
        <f aca="false">IF(OR(E593="BAJO SS",E593="BAJO SS (XLIB CUBRE)"),"SÍ","")</f>
        <v/>
      </c>
      <c r="W593" s="3" t="str">
        <f aca="false">IF(AND(V593="",N(L593)&gt;=Parametros!$B$17,G593&gt;=H593,R593&lt;H593),"SÍ","")</f>
        <v/>
      </c>
      <c r="X593" s="3" t="str">
        <f aca="false">IF(OR(E593="SOBRE MAX VENDIBLE",N(N593)&gt;=Parametros!$B$17,N(M593)&gt;=Parametros!$B$17),"SÍ","")</f>
        <v/>
      </c>
      <c r="Y593" s="3" t="str">
        <f aca="false">IF(AND(ISNUMBER(U593),MAX(S593,T593)&gt;=Parametros!$B$15,ABS(N(U593))&gt;Parametros!$B$14),"SÍ","")</f>
        <v>SÍ</v>
      </c>
      <c r="Z593" s="3" t="n">
        <f aca="false">COUNTIF(V593:Y593,"SÍ")</f>
        <v>1</v>
      </c>
      <c r="AA593" s="3" t="n">
        <f aca="false">(3*(V593="SÍ")+2*(W593="SÍ")+2*(X593="SÍ")+(Y593="SÍ"))*IF(LEFT(D593,1)="A",3,IF(OR(LEFT(D593,1)="B",D593="SIN HIST"),2,1))</f>
        <v>1</v>
      </c>
      <c r="AB593" s="3" t="str">
        <f aca="false">IF(AA593&gt;=9,"1-ALTA",IF(AA593&gt;=4,"2-MEDIA",IF(AA593&gt;0,"3-BAJA","")))</f>
        <v>3-BAJA</v>
      </c>
      <c r="AC593" s="3" t="str">
        <f aca="false">IF(E593="BAJO SS","Stock + XLIB bajo el SS: riesgo real de quiebre, adelantar producción. ","")&amp;IF(E593="BAJO SS (XLIB CUBRE)","Disponible bajo el SS; depende de liberar "&amp;TEXT(J593,"#,##0")&amp;" kg"&amp;IF(ISNUMBER(K593)," el "&amp;TEXT(K593,"dd-mm"),"")&amp;". ","")&amp;IF(W593="SÍ","Stock parece sano pero "&amp;TEXT(L593,"#,##0")&amp;" kg no pasan filtro "&amp;Stock_Seguridad!O593&amp;": sin ellos queda bajo el SS para esa cadena. ","")&amp;IF(E593="SOBRE MAX VENDIBLE","Sobrestock vs vida útil: frenar producción/activar venta. ","")&amp;IF(N(N593)&gt;=Parametros!$B$17,TEXT(N593,"#,##0")&amp;" kg ya no los acepta ninguna cadena: venta intermedia/liquidación. ","")&amp;IF(N(M593)&gt;=Parametros!$B$17,TEXT(M593,"#,##0")&amp;" kg a punto de salir del filtro: despachar primero (FEFO). ","")&amp;IF(Y593="SÍ","Pedidos "&amp;IF(N(U593)&gt;0,"sobre","bajo")&amp;" FCST "&amp;TEXT(ABS(N(U593)),"0%")&amp;": revisar forecast con KAM.","")</f>
        <v>Pedidos sobre FCST 87%: revisar forecast con KAM.</v>
      </c>
    </row>
    <row r="594" customFormat="false" ht="15" hidden="false" customHeight="false" outlineLevel="0" collapsed="false">
      <c r="A594" s="18" t="n">
        <f aca="false">Stock_Seguridad!A594</f>
        <v>30000948</v>
      </c>
      <c r="B594" s="18" t="str">
        <f aca="false">Stock_Seguridad!B594</f>
        <v>ZANAHORIA RONDELL 6X2KG</v>
      </c>
      <c r="C594" s="18" t="str">
        <f aca="false">Stock_Seguridad!C594</f>
        <v>FRUTAS Y HORTALIZAS CONGELADAS</v>
      </c>
      <c r="D594" s="18" t="str">
        <f aca="false">Stock_Seguridad!F594</f>
        <v>SIN HIST</v>
      </c>
      <c r="E594" s="19" t="str">
        <f aca="false">Stock_Seguridad!X594</f>
        <v>OK</v>
      </c>
      <c r="F594" s="20" t="n">
        <f aca="false">Stock_Seguridad!W594</f>
        <v>4.49381831213044</v>
      </c>
      <c r="G594" s="21" t="n">
        <f aca="false">Stock_Seguridad!T594</f>
        <v>2508</v>
      </c>
      <c r="H594" s="21" t="n">
        <f aca="false">Stock_Seguridad!R594</f>
        <v>275.397842760485</v>
      </c>
      <c r="I594" s="21" t="n">
        <f aca="false">Stock_Seguridad!S594</f>
        <v>833.497842760485</v>
      </c>
      <c r="J594" s="21" t="n">
        <f aca="false">Stock_Seguridad!U594</f>
        <v>0</v>
      </c>
      <c r="K594" s="22"/>
      <c r="L594" s="23" t="n">
        <v>0</v>
      </c>
      <c r="M594" s="23" t="n">
        <v>0</v>
      </c>
      <c r="N594" s="23" t="n">
        <v>0</v>
      </c>
      <c r="O594" s="24" t="n">
        <v>0.0810047846889952</v>
      </c>
      <c r="P594" s="24" t="str">
        <f aca="false">IF(ISNUMBER(Stock_Seguridad!N594),Stock_Seguridad!N594,"")</f>
        <v/>
      </c>
      <c r="Q594" s="24" t="str">
        <f aca="false">IF(AND(ISNUMBER(O594),ISNUMBER(P594)),P594-O594,"")</f>
        <v/>
      </c>
      <c r="R594" s="23" t="n">
        <f aca="false">MAX(0,G594-N(L594))</f>
        <v>2508</v>
      </c>
      <c r="S594" s="23" t="n">
        <f aca="false">SUMIFS(Cadenas_vs_FCST!$D$17:$D$2437,Cadenas_vs_FCST!$A$17:$A$2437,A594)</f>
        <v>0</v>
      </c>
      <c r="T594" s="23" t="n">
        <f aca="false">SUMIFS(Cadenas_vs_FCST!$E$17:$E$2437,Cadenas_vs_FCST!$A$17:$A$2437,A594)</f>
        <v>0</v>
      </c>
      <c r="U594" s="24" t="str">
        <f aca="false">IF(T594&gt;0,S594/T594-1,"")</f>
        <v/>
      </c>
      <c r="V594" s="3" t="str">
        <f aca="false">IF(OR(E594="BAJO SS",E594="BAJO SS (XLIB CUBRE)"),"SÍ","")</f>
        <v/>
      </c>
      <c r="W594" s="3" t="str">
        <f aca="false">IF(AND(V594="",N(L594)&gt;=Parametros!$B$17,G594&gt;=H594,R594&lt;H594),"SÍ","")</f>
        <v/>
      </c>
      <c r="X594" s="3" t="str">
        <f aca="false">IF(OR(E594="SOBRE MAX VENDIBLE",N(N594)&gt;=Parametros!$B$17,N(M594)&gt;=Parametros!$B$17),"SÍ","")</f>
        <v/>
      </c>
      <c r="Y594" s="3" t="str">
        <f aca="false">IF(AND(ISNUMBER(U594),MAX(S594,T594)&gt;=Parametros!$B$15,ABS(N(U594))&gt;Parametros!$B$14),"SÍ","")</f>
        <v/>
      </c>
      <c r="Z594" s="3" t="n">
        <f aca="false">COUNTIF(V594:Y594,"SÍ")</f>
        <v>0</v>
      </c>
      <c r="AA594" s="3" t="n">
        <f aca="false">(3*(V594="SÍ")+2*(W594="SÍ")+2*(X594="SÍ")+(Y594="SÍ"))*IF(LEFT(D594,1)="A",3,IF(OR(LEFT(D594,1)="B",D594="SIN HIST"),2,1))</f>
        <v>0</v>
      </c>
      <c r="AB594" s="3" t="str">
        <f aca="false">IF(AA594&gt;=9,"1-ALTA",IF(AA594&gt;=4,"2-MEDIA",IF(AA594&gt;0,"3-BAJA","")))</f>
        <v/>
      </c>
      <c r="AC594" s="3" t="str">
        <f aca="false">IF(E594="BAJO SS","Stock + XLIB bajo el SS: riesgo real de quiebre, adelantar producción. ","")&amp;IF(E594="BAJO SS (XLIB CUBRE)","Disponible bajo el SS; depende de liberar "&amp;TEXT(J594,"#,##0")&amp;" kg"&amp;IF(ISNUMBER(K594)," el "&amp;TEXT(K594,"dd-mm"),"")&amp;". ","")&amp;IF(W594="SÍ","Stock parece sano pero "&amp;TEXT(L594,"#,##0")&amp;" kg no pasan filtro "&amp;Stock_Seguridad!O594&amp;": sin ellos queda bajo el SS para esa cadena. ","")&amp;IF(E594="SOBRE MAX VENDIBLE","Sobrestock vs vida útil: frenar producción/activar venta. ","")&amp;IF(N(N594)&gt;=Parametros!$B$17,TEXT(N594,"#,##0")&amp;" kg ya no los acepta ninguna cadena: venta intermedia/liquidación. ","")&amp;IF(N(M594)&gt;=Parametros!$B$17,TEXT(M594,"#,##0")&amp;" kg a punto de salir del filtro: despachar primero (FEFO). ","")&amp;IF(Y594="SÍ","Pedidos "&amp;IF(N(U594)&gt;0,"sobre","bajo")&amp;" FCST "&amp;TEXT(ABS(N(U594)),"0%")&amp;": revisar forecast con KAM.","")</f>
        <v/>
      </c>
    </row>
    <row r="595" customFormat="false" ht="15" hidden="false" customHeight="false" outlineLevel="0" collapsed="false">
      <c r="A595" s="18" t="n">
        <f aca="false">Stock_Seguridad!A595</f>
        <v>30001820</v>
      </c>
      <c r="B595" s="18" t="str">
        <f aca="false">Stock_Seguridad!B595</f>
        <v>CURRY DE GARBANZOS 16X380G</v>
      </c>
      <c r="C595" s="18" t="str">
        <f aca="false">Stock_Seguridad!C595</f>
        <v>CONSERVAS Y PLATOS LISTOS</v>
      </c>
      <c r="D595" s="18" t="str">
        <f aca="false">Stock_Seguridad!F595</f>
        <v>CY</v>
      </c>
      <c r="E595" s="19" t="str">
        <f aca="false">Stock_Seguridad!X595</f>
        <v>SOBRE MAX VENDIBLE</v>
      </c>
      <c r="F595" s="20" t="n">
        <f aca="false">Stock_Seguridad!W595</f>
        <v>26.0728921124207</v>
      </c>
      <c r="G595" s="21" t="n">
        <f aca="false">Stock_Seguridad!T595</f>
        <v>14379.2</v>
      </c>
      <c r="H595" s="21" t="n">
        <f aca="false">Stock_Seguridad!R595</f>
        <v>345.696019123053</v>
      </c>
      <c r="I595" s="21" t="n">
        <f aca="false">Stock_Seguridad!S595</f>
        <v>897.196019123053</v>
      </c>
      <c r="J595" s="21" t="n">
        <f aca="false">Stock_Seguridad!U595</f>
        <v>0</v>
      </c>
      <c r="K595" s="22"/>
      <c r="L595" s="23" t="n">
        <v>5581.44</v>
      </c>
      <c r="M595" s="23" t="n">
        <v>0</v>
      </c>
      <c r="N595" s="23" t="n">
        <v>0</v>
      </c>
      <c r="O595" s="24" t="n">
        <v>0.155826638477801</v>
      </c>
      <c r="P595" s="24" t="n">
        <f aca="false">IF(ISNUMBER(Stock_Seguridad!N595),Stock_Seguridad!N595,"")</f>
        <v>0.197080291970803</v>
      </c>
      <c r="Q595" s="24" t="n">
        <f aca="false">IF(AND(ISNUMBER(O595),ISNUMBER(P595)),P595-O595,"")</f>
        <v>0.0412536534930016</v>
      </c>
      <c r="R595" s="23" t="n">
        <f aca="false">MAX(0,G595-N(L595))</f>
        <v>8797.76</v>
      </c>
      <c r="S595" s="23" t="n">
        <f aca="false">SUMIFS(Cadenas_vs_FCST!$D$17:$D$2437,Cadenas_vs_FCST!$A$17:$A$2437,A595)</f>
        <v>1234.24</v>
      </c>
      <c r="T595" s="23" t="n">
        <f aca="false">SUMIFS(Cadenas_vs_FCST!$E$17:$E$2437,Cadenas_vs_FCST!$A$17:$A$2437,A595)</f>
        <v>2203.64</v>
      </c>
      <c r="U595" s="24" t="n">
        <f aca="false">IF(T595&gt;0,S595/T595-1,"")</f>
        <v>-0.43990851500245</v>
      </c>
      <c r="V595" s="3" t="str">
        <f aca="false">IF(OR(E595="BAJO SS",E595="BAJO SS (XLIB CUBRE)"),"SÍ","")</f>
        <v/>
      </c>
      <c r="W595" s="3" t="str">
        <f aca="false">IF(AND(V595="",N(L595)&gt;=Parametros!$B$17,G595&gt;=H595,R595&lt;H595),"SÍ","")</f>
        <v/>
      </c>
      <c r="X595" s="3" t="str">
        <f aca="false">IF(OR(E595="SOBRE MAX VENDIBLE",N(N595)&gt;=Parametros!$B$17,N(M595)&gt;=Parametros!$B$17),"SÍ","")</f>
        <v>SÍ</v>
      </c>
      <c r="Y595" s="3" t="str">
        <f aca="false">IF(AND(ISNUMBER(U595),MAX(S595,T595)&gt;=Parametros!$B$15,ABS(N(U595))&gt;Parametros!$B$14),"SÍ","")</f>
        <v>SÍ</v>
      </c>
      <c r="Z595" s="3" t="n">
        <f aca="false">COUNTIF(V595:Y595,"SÍ")</f>
        <v>2</v>
      </c>
      <c r="AA595" s="3" t="n">
        <f aca="false">(3*(V595="SÍ")+2*(W595="SÍ")+2*(X595="SÍ")+(Y595="SÍ"))*IF(LEFT(D595,1)="A",3,IF(OR(LEFT(D595,1)="B",D595="SIN HIST"),2,1))</f>
        <v>3</v>
      </c>
      <c r="AB595" s="3" t="str">
        <f aca="false">IF(AA595&gt;=9,"1-ALTA",IF(AA595&gt;=4,"2-MEDIA",IF(AA595&gt;0,"3-BAJA","")))</f>
        <v>3-BAJA</v>
      </c>
      <c r="AC595" s="3" t="str">
        <f aca="false">IF(E595="BAJO SS","Stock + XLIB bajo el SS: riesgo real de quiebre, adelantar producción. ","")&amp;IF(E595="BAJO SS (XLIB CUBRE)","Disponible bajo el SS; depende de liberar "&amp;TEXT(J595,"#,##0")&amp;" kg"&amp;IF(ISNUMBER(K595)," el "&amp;TEXT(K595,"dd-mm"),"")&amp;". ","")&amp;IF(W595="SÍ","Stock parece sano pero "&amp;TEXT(L595,"#,##0")&amp;" kg no pasan filtro "&amp;Stock_Seguridad!O595&amp;": sin ellos queda bajo el SS para esa cadena. ","")&amp;IF(E595="SOBRE MAX VENDIBLE","Sobrestock vs vida útil: frenar producción/activar venta. ","")&amp;IF(N(N595)&gt;=Parametros!$B$17,TEXT(N595,"#,##0")&amp;" kg ya no los acepta ninguna cadena: venta intermedia/liquidación. ","")&amp;IF(N(M595)&gt;=Parametros!$B$17,TEXT(M595,"#,##0")&amp;" kg a punto de salir del filtro: despachar primero (FEFO). ","")&amp;IF(Y595="SÍ","Pedidos "&amp;IF(N(U595)&gt;0,"sobre","bajo")&amp;" FCST "&amp;TEXT(ABS(N(U595)),"0%")&amp;": revisar forecast con KAM.","")</f>
        <v>Sobrestock vs vida útil: frenar producción/activar venta. Pedidos bajo FCST 44%: revisar forecast con KAM.</v>
      </c>
    </row>
    <row r="596" customFormat="false" ht="15" hidden="false" customHeight="false" outlineLevel="0" collapsed="false">
      <c r="A596" s="18" t="n">
        <f aca="false">Stock_Seguridad!A596</f>
        <v>30002106</v>
      </c>
      <c r="B596" s="18" t="str">
        <f aca="false">Stock_Seguridad!B596</f>
        <v>PROBIOTICO CALAN DSCO TETRA 3X12X108ML</v>
      </c>
      <c r="C596" s="18" t="str">
        <f aca="false">Stock_Seguridad!C596</f>
        <v>LECHES LIQUIDAS</v>
      </c>
      <c r="D596" s="18" t="str">
        <f aca="false">Stock_Seguridad!F596</f>
        <v>CX</v>
      </c>
      <c r="E596" s="19" t="str">
        <f aca="false">Stock_Seguridad!X596</f>
        <v>SOBRE MAX VENDIBLE</v>
      </c>
      <c r="F596" s="20" t="n">
        <f aca="false">Stock_Seguridad!W596</f>
        <v>2.86799342705861</v>
      </c>
      <c r="G596" s="21" t="n">
        <f aca="false">Stock_Seguridad!T596</f>
        <v>1570.8</v>
      </c>
      <c r="H596" s="21" t="n">
        <f aca="false">Stock_Seguridad!R596</f>
        <v>782.428571428572</v>
      </c>
      <c r="I596" s="21" t="n">
        <f aca="false">Stock_Seguridad!S596</f>
        <v>1330.12857142857</v>
      </c>
      <c r="J596" s="21" t="n">
        <f aca="false">Stock_Seguridad!U596</f>
        <v>0</v>
      </c>
      <c r="K596" s="22"/>
      <c r="L596" s="23" t="n">
        <v>11.664</v>
      </c>
      <c r="M596" s="23" t="n">
        <v>0</v>
      </c>
      <c r="N596" s="23" t="n">
        <v>0</v>
      </c>
      <c r="O596" s="24" t="n">
        <v>0.101633663366337</v>
      </c>
      <c r="P596" s="24" t="n">
        <f aca="false">IF(ISNUMBER(Stock_Seguridad!N596),Stock_Seguridad!N596,"")</f>
        <v>0.232876712328767</v>
      </c>
      <c r="Q596" s="24" t="n">
        <f aca="false">IF(AND(ISNUMBER(O596),ISNUMBER(P596)),P596-O596,"")</f>
        <v>0.131243048962431</v>
      </c>
      <c r="R596" s="23" t="n">
        <f aca="false">MAX(0,G596-N(L596))</f>
        <v>1559.136</v>
      </c>
      <c r="S596" s="23" t="n">
        <f aca="false">SUMIFS(Cadenas_vs_FCST!$D$17:$D$2437,Cadenas_vs_FCST!$A$17:$A$2437,A596)</f>
        <v>5182.704</v>
      </c>
      <c r="T596" s="23" t="n">
        <f aca="false">SUMIFS(Cadenas_vs_FCST!$E$17:$E$2437,Cadenas_vs_FCST!$A$17:$A$2437,A596)</f>
        <v>2626.93940869086</v>
      </c>
      <c r="U596" s="24" t="n">
        <f aca="false">IF(T596&gt;0,S596/T596-1,"")</f>
        <v>0.972905801654106</v>
      </c>
      <c r="V596" s="3" t="str">
        <f aca="false">IF(OR(E596="BAJO SS",E596="BAJO SS (XLIB CUBRE)"),"SÍ","")</f>
        <v/>
      </c>
      <c r="W596" s="3" t="str">
        <f aca="false">IF(AND(V596="",N(L596)&gt;=Parametros!$B$17,G596&gt;=H596,R596&lt;H596),"SÍ","")</f>
        <v/>
      </c>
      <c r="X596" s="3" t="str">
        <f aca="false">IF(OR(E596="SOBRE MAX VENDIBLE",N(N596)&gt;=Parametros!$B$17,N(M596)&gt;=Parametros!$B$17),"SÍ","")</f>
        <v>SÍ</v>
      </c>
      <c r="Y596" s="3" t="str">
        <f aca="false">IF(AND(ISNUMBER(U596),MAX(S596,T596)&gt;=Parametros!$B$15,ABS(N(U596))&gt;Parametros!$B$14),"SÍ","")</f>
        <v>SÍ</v>
      </c>
      <c r="Z596" s="3" t="n">
        <f aca="false">COUNTIF(V596:Y596,"SÍ")</f>
        <v>2</v>
      </c>
      <c r="AA596" s="3" t="n">
        <f aca="false">(3*(V596="SÍ")+2*(W596="SÍ")+2*(X596="SÍ")+(Y596="SÍ"))*IF(LEFT(D596,1)="A",3,IF(OR(LEFT(D596,1)="B",D596="SIN HIST"),2,1))</f>
        <v>3</v>
      </c>
      <c r="AB596" s="3" t="str">
        <f aca="false">IF(AA596&gt;=9,"1-ALTA",IF(AA596&gt;=4,"2-MEDIA",IF(AA596&gt;0,"3-BAJA","")))</f>
        <v>3-BAJA</v>
      </c>
      <c r="AC596" s="3" t="str">
        <f aca="false">IF(E596="BAJO SS","Stock + XLIB bajo el SS: riesgo real de quiebre, adelantar producción. ","")&amp;IF(E596="BAJO SS (XLIB CUBRE)","Disponible bajo el SS; depende de liberar "&amp;TEXT(J596,"#,##0")&amp;" kg"&amp;IF(ISNUMBER(K596)," el "&amp;TEXT(K596,"dd-mm"),"")&amp;". ","")&amp;IF(W596="SÍ","Stock parece sano pero "&amp;TEXT(L596,"#,##0")&amp;" kg no pasan filtro "&amp;Stock_Seguridad!O596&amp;": sin ellos queda bajo el SS para esa cadena. ","")&amp;IF(E596="SOBRE MAX VENDIBLE","Sobrestock vs vida útil: frenar producción/activar venta. ","")&amp;IF(N(N596)&gt;=Parametros!$B$17,TEXT(N596,"#,##0")&amp;" kg ya no los acepta ninguna cadena: venta intermedia/liquidación. ","")&amp;IF(N(M596)&gt;=Parametros!$B$17,TEXT(M596,"#,##0")&amp;" kg a punto de salir del filtro: despachar primero (FEFO). ","")&amp;IF(Y596="SÍ","Pedidos "&amp;IF(N(U596)&gt;0,"sobre","bajo")&amp;" FCST "&amp;TEXT(ABS(N(U596)),"0%")&amp;": revisar forecast con KAM.","")</f>
        <v>Sobrestock vs vida útil: frenar producción/activar venta. Pedidos sobre FCST 97%: revisar forecast con KAM.</v>
      </c>
    </row>
    <row r="597" customFormat="false" ht="15" hidden="false" customHeight="false" outlineLevel="0" collapsed="false">
      <c r="A597" s="18" t="n">
        <f aca="false">Stock_Seguridad!A597</f>
        <v>30002282</v>
      </c>
      <c r="B597" s="18" t="str">
        <f aca="false">Stock_Seguridad!B597</f>
        <v>LECHE LONCO SEMI DESCR 5X6X200ML</v>
      </c>
      <c r="C597" s="18" t="str">
        <f aca="false">Stock_Seguridad!C597</f>
        <v>LECHES LIQUIDAS</v>
      </c>
      <c r="D597" s="18" t="str">
        <f aca="false">Stock_Seguridad!F597</f>
        <v>CX</v>
      </c>
      <c r="E597" s="19" t="str">
        <f aca="false">Stock_Seguridad!X597</f>
        <v>SOBRE MAX VENDIBLE</v>
      </c>
      <c r="F597" s="20" t="n">
        <f aca="false">Stock_Seguridad!W597</f>
        <v>12.4670928920647</v>
      </c>
      <c r="G597" s="21" t="n">
        <f aca="false">Stock_Seguridad!T597</f>
        <v>6630</v>
      </c>
      <c r="H597" s="21" t="n">
        <f aca="false">Stock_Seguridad!R597</f>
        <v>651.458424719999</v>
      </c>
      <c r="I597" s="21" t="n">
        <f aca="false">Stock_Seguridad!S597</f>
        <v>1183.25842472</v>
      </c>
      <c r="J597" s="21" t="n">
        <f aca="false">Stock_Seguridad!U597</f>
        <v>0</v>
      </c>
      <c r="K597" s="22"/>
      <c r="L597" s="23" t="n">
        <v>6630</v>
      </c>
      <c r="M597" s="23" t="n">
        <v>0</v>
      </c>
      <c r="N597" s="23" t="n">
        <v>174</v>
      </c>
      <c r="O597" s="24" t="n">
        <v>0.34406334841629</v>
      </c>
      <c r="P597" s="24" t="n">
        <f aca="false">IF(ISNUMBER(Stock_Seguridad!N597),Stock_Seguridad!N597,"")</f>
        <v>0.27</v>
      </c>
      <c r="Q597" s="24" t="n">
        <f aca="false">IF(AND(ISNUMBER(O597),ISNUMBER(P597)),P597-O597,"")</f>
        <v>-0.0740633484162897</v>
      </c>
      <c r="R597" s="23" t="n">
        <f aca="false">MAX(0,G597-N(L597))</f>
        <v>0</v>
      </c>
      <c r="S597" s="23" t="n">
        <f aca="false">SUMIFS(Cadenas_vs_FCST!$D$17:$D$2437,Cadenas_vs_FCST!$A$17:$A$2437,A597)</f>
        <v>2820</v>
      </c>
      <c r="T597" s="23" t="n">
        <f aca="false">SUMIFS(Cadenas_vs_FCST!$E$17:$E$2437,Cadenas_vs_FCST!$A$17:$A$2437,A597)</f>
        <v>3328.92808373585</v>
      </c>
      <c r="U597" s="24" t="n">
        <f aca="false">IF(T597&gt;0,S597/T597-1,"")</f>
        <v>-0.152880468106933</v>
      </c>
      <c r="V597" s="3" t="str">
        <f aca="false">IF(OR(E597="BAJO SS",E597="BAJO SS (XLIB CUBRE)"),"SÍ","")</f>
        <v/>
      </c>
      <c r="W597" s="3" t="str">
        <f aca="false">IF(AND(V597="",N(L597)&gt;=Parametros!$B$17,G597&gt;=H597,R597&lt;H597),"SÍ","")</f>
        <v>SÍ</v>
      </c>
      <c r="X597" s="3" t="str">
        <f aca="false">IF(OR(E597="SOBRE MAX VENDIBLE",N(N597)&gt;=Parametros!$B$17,N(M597)&gt;=Parametros!$B$17),"SÍ","")</f>
        <v>SÍ</v>
      </c>
      <c r="Y597" s="3" t="str">
        <f aca="false">IF(AND(ISNUMBER(U597),MAX(S597,T597)&gt;=Parametros!$B$15,ABS(N(U597))&gt;Parametros!$B$14),"SÍ","")</f>
        <v/>
      </c>
      <c r="Z597" s="3" t="n">
        <f aca="false">COUNTIF(V597:Y597,"SÍ")</f>
        <v>2</v>
      </c>
      <c r="AA597" s="3" t="n">
        <f aca="false">(3*(V597="SÍ")+2*(W597="SÍ")+2*(X597="SÍ")+(Y597="SÍ"))*IF(LEFT(D597,1)="A",3,IF(OR(LEFT(D597,1)="B",D597="SIN HIST"),2,1))</f>
        <v>4</v>
      </c>
      <c r="AB597" s="3" t="str">
        <f aca="false">IF(AA597&gt;=9,"1-ALTA",IF(AA597&gt;=4,"2-MEDIA",IF(AA597&gt;0,"3-BAJA","")))</f>
        <v>2-MEDIA</v>
      </c>
      <c r="AC597" s="3" t="str">
        <f aca="false">IF(E597="BAJO SS","Stock + XLIB bajo el SS: riesgo real de quiebre, adelantar producción. ","")&amp;IF(E597="BAJO SS (XLIB CUBRE)","Disponible bajo el SS; depende de liberar "&amp;TEXT(J597,"#,##0")&amp;" kg"&amp;IF(ISNUMBER(K597)," el "&amp;TEXT(K597,"dd-mm"),"")&amp;". ","")&amp;IF(W597="SÍ","Stock parece sano pero "&amp;TEXT(L597,"#,##0")&amp;" kg no pasan filtro "&amp;Stock_Seguridad!O597&amp;": sin ellos queda bajo el SS para esa cadena. ","")&amp;IF(E597="SOBRE MAX VENDIBLE","Sobrestock vs vida útil: frenar producción/activar venta. ","")&amp;IF(N(N597)&gt;=Parametros!$B$17,TEXT(N597,"#,##0")&amp;" kg ya no los acepta ninguna cadena: venta intermedia/liquidación. ","")&amp;IF(N(M597)&gt;=Parametros!$B$17,TEXT(M597,"#,##0")&amp;" kg a punto de salir del filtro: despachar primero (FEFO). ","")&amp;IF(Y597="SÍ","Pedidos "&amp;IF(N(U597)&gt;0,"sobre","bajo")&amp;" FCST "&amp;TEXT(ABS(N(U597)),"0%")&amp;": revisar forecast con KAM.","")</f>
        <v>Stock parece sano pero 6,630 kg no pasan filtro CENCOSUD CENTRAL: sin ellos queda bajo el SS para esa cadena. Sobrestock vs vida útil: frenar producción/activar venta. </v>
      </c>
    </row>
    <row r="598" customFormat="false" ht="15" hidden="false" customHeight="false" outlineLevel="0" collapsed="false">
      <c r="A598" s="18" t="n">
        <f aca="false">Stock_Seguridad!A598</f>
        <v>30002126</v>
      </c>
      <c r="B598" s="18" t="str">
        <f aca="false">Stock_Seguridad!B598</f>
        <v>CREMA ACIDA LONCOLECHE 12X140GR</v>
      </c>
      <c r="C598" s="18" t="str">
        <f aca="false">Stock_Seguridad!C598</f>
        <v>CREMA</v>
      </c>
      <c r="D598" s="18" t="str">
        <f aca="false">Stock_Seguridad!F598</f>
        <v>CY</v>
      </c>
      <c r="E598" s="19" t="str">
        <f aca="false">Stock_Seguridad!X598</f>
        <v>SOBRE MAX VENDIBLE</v>
      </c>
      <c r="F598" s="20" t="n">
        <f aca="false">Stock_Seguridad!W598</f>
        <v>7.10927214594696</v>
      </c>
      <c r="G598" s="21" t="n">
        <f aca="false">Stock_Seguridad!T598</f>
        <v>3780</v>
      </c>
      <c r="H598" s="21" t="n">
        <f aca="false">Stock_Seguridad!R598</f>
        <v>379.785714285714</v>
      </c>
      <c r="I598" s="21" t="n">
        <f aca="false">Stock_Seguridad!S598</f>
        <v>911.485714285714</v>
      </c>
      <c r="J598" s="21" t="n">
        <f aca="false">Stock_Seguridad!U598</f>
        <v>0</v>
      </c>
      <c r="K598" s="22"/>
      <c r="L598" s="23" t="n">
        <v>3780</v>
      </c>
      <c r="M598" s="23" t="n">
        <v>0</v>
      </c>
      <c r="N598" s="23" t="n">
        <v>3780</v>
      </c>
      <c r="O598" s="24" t="n">
        <v>0.38</v>
      </c>
      <c r="P598" s="24" t="n">
        <f aca="false">IF(ISNUMBER(Stock_Seguridad!N598),Stock_Seguridad!N598,"")</f>
        <v>0.2</v>
      </c>
      <c r="Q598" s="24" t="n">
        <f aca="false">IF(AND(ISNUMBER(O598),ISNUMBER(P598)),P598-O598,"")</f>
        <v>-0.18</v>
      </c>
      <c r="R598" s="23" t="n">
        <f aca="false">MAX(0,G598-N(L598))</f>
        <v>0</v>
      </c>
      <c r="S598" s="23" t="n">
        <f aca="false">SUMIFS(Cadenas_vs_FCST!$D$17:$D$2437,Cadenas_vs_FCST!$A$17:$A$2437,A598)</f>
        <v>1088.64</v>
      </c>
      <c r="T598" s="23" t="n">
        <f aca="false">SUMIFS(Cadenas_vs_FCST!$E$17:$E$2437,Cadenas_vs_FCST!$A$17:$A$2437,A598)</f>
        <v>2293.00853017587</v>
      </c>
      <c r="U598" s="24" t="n">
        <f aca="false">IF(T598&gt;0,S598/T598-1,"")</f>
        <v>-0.525235084966515</v>
      </c>
      <c r="V598" s="3" t="str">
        <f aca="false">IF(OR(E598="BAJO SS",E598="BAJO SS (XLIB CUBRE)"),"SÍ","")</f>
        <v/>
      </c>
      <c r="W598" s="3" t="str">
        <f aca="false">IF(AND(V598="",N(L598)&gt;=Parametros!$B$17,G598&gt;=H598,R598&lt;H598),"SÍ","")</f>
        <v>SÍ</v>
      </c>
      <c r="X598" s="3" t="str">
        <f aca="false">IF(OR(E598="SOBRE MAX VENDIBLE",N(N598)&gt;=Parametros!$B$17,N(M598)&gt;=Parametros!$B$17),"SÍ","")</f>
        <v>SÍ</v>
      </c>
      <c r="Y598" s="3" t="str">
        <f aca="false">IF(AND(ISNUMBER(U598),MAX(S598,T598)&gt;=Parametros!$B$15,ABS(N(U598))&gt;Parametros!$B$14),"SÍ","")</f>
        <v>SÍ</v>
      </c>
      <c r="Z598" s="3" t="n">
        <f aca="false">COUNTIF(V598:Y598,"SÍ")</f>
        <v>3</v>
      </c>
      <c r="AA598" s="3" t="n">
        <f aca="false">(3*(V598="SÍ")+2*(W598="SÍ")+2*(X598="SÍ")+(Y598="SÍ"))*IF(LEFT(D598,1)="A",3,IF(OR(LEFT(D598,1)="B",D598="SIN HIST"),2,1))</f>
        <v>5</v>
      </c>
      <c r="AB598" s="3" t="str">
        <f aca="false">IF(AA598&gt;=9,"1-ALTA",IF(AA598&gt;=4,"2-MEDIA",IF(AA598&gt;0,"3-BAJA","")))</f>
        <v>2-MEDIA</v>
      </c>
      <c r="AC598" s="3" t="str">
        <f aca="false">IF(E598="BAJO SS","Stock + XLIB bajo el SS: riesgo real de quiebre, adelantar producción. ","")&amp;IF(E598="BAJO SS (XLIB CUBRE)","Disponible bajo el SS; depende de liberar "&amp;TEXT(J598,"#,##0")&amp;" kg"&amp;IF(ISNUMBER(K598)," el "&amp;TEXT(K598,"dd-mm"),"")&amp;". ","")&amp;IF(W598="SÍ","Stock parece sano pero "&amp;TEXT(L598,"#,##0")&amp;" kg no pasan filtro "&amp;Stock_Seguridad!O598&amp;": sin ellos queda bajo el SS para esa cadena. ","")&amp;IF(E598="SOBRE MAX VENDIBLE","Sobrestock vs vida útil: frenar producción/activar venta. ","")&amp;IF(N(N598)&gt;=Parametros!$B$17,TEXT(N598,"#,##0")&amp;" kg ya no los acepta ninguna cadena: venta intermedia/liquidación. ","")&amp;IF(N(M598)&gt;=Parametros!$B$17,TEXT(M598,"#,##0")&amp;" kg a punto de salir del filtro: despachar primero (FEFO). ","")&amp;IF(Y598="SÍ","Pedidos "&amp;IF(N(U598)&gt;0,"sobre","bajo")&amp;" FCST "&amp;TEXT(ABS(N(U598)),"0%")&amp;": revisar forecast con KAM.","")</f>
        <v>Stock parece sano pero 3,780 kg no pasan filtro WALMART: sin ellos queda bajo el SS para esa cadena. Sobrestock vs vida útil: frenar producción/activar venta. 3,780 kg ya no los acepta ninguna cadena: venta intermedia/liquidación. Pedidos bajo FCST 53%: revisar forecast con KAM.</v>
      </c>
    </row>
    <row r="599" customFormat="false" ht="15" hidden="false" customHeight="false" outlineLevel="0" collapsed="false">
      <c r="A599" s="18" t="n">
        <f aca="false">Stock_Seguridad!A599</f>
        <v>30000821</v>
      </c>
      <c r="B599" s="18" t="str">
        <f aca="false">Stock_Seguridad!B599</f>
        <v>MELON VERDE FM 6X2KG</v>
      </c>
      <c r="C599" s="18" t="str">
        <f aca="false">Stock_Seguridad!C599</f>
        <v>FRUTAS Y HORTALIZAS CONGELADAS</v>
      </c>
      <c r="D599" s="18" t="str">
        <f aca="false">Stock_Seguridad!F599</f>
        <v>SIN HIST</v>
      </c>
      <c r="E599" s="19" t="str">
        <f aca="false">Stock_Seguridad!X599</f>
        <v>OK</v>
      </c>
      <c r="F599" s="20" t="n">
        <f aca="false">Stock_Seguridad!W599</f>
        <v>21.4904408895825</v>
      </c>
      <c r="G599" s="21" t="n">
        <f aca="false">Stock_Seguridad!T599</f>
        <v>11016</v>
      </c>
      <c r="H599" s="21" t="n">
        <f aca="false">Stock_Seguridad!R599</f>
        <v>252.945590752597</v>
      </c>
      <c r="I599" s="21" t="n">
        <f aca="false">Stock_Seguridad!S599</f>
        <v>765.545590752597</v>
      </c>
      <c r="J599" s="21" t="n">
        <f aca="false">Stock_Seguridad!U599</f>
        <v>0</v>
      </c>
      <c r="K599" s="22"/>
      <c r="L599" s="23" t="n">
        <v>0</v>
      </c>
      <c r="M599" s="23" t="n">
        <v>0</v>
      </c>
      <c r="N599" s="23" t="n">
        <v>0</v>
      </c>
      <c r="O599" s="24" t="n">
        <v>0.0797712418300654</v>
      </c>
      <c r="P599" s="24" t="str">
        <f aca="false">IF(ISNUMBER(Stock_Seguridad!N599),Stock_Seguridad!N599,"")</f>
        <v/>
      </c>
      <c r="Q599" s="24" t="str">
        <f aca="false">IF(AND(ISNUMBER(O599),ISNUMBER(P599)),P599-O599,"")</f>
        <v/>
      </c>
      <c r="R599" s="23" t="n">
        <f aca="false">MAX(0,G599-N(L599))</f>
        <v>11016</v>
      </c>
      <c r="S599" s="23" t="n">
        <f aca="false">SUMIFS(Cadenas_vs_FCST!$D$17:$D$2437,Cadenas_vs_FCST!$A$17:$A$2437,A599)</f>
        <v>0</v>
      </c>
      <c r="T599" s="23" t="n">
        <f aca="false">SUMIFS(Cadenas_vs_FCST!$E$17:$E$2437,Cadenas_vs_FCST!$A$17:$A$2437,A599)</f>
        <v>0</v>
      </c>
      <c r="U599" s="24" t="str">
        <f aca="false">IF(T599&gt;0,S599/T599-1,"")</f>
        <v/>
      </c>
      <c r="V599" s="3" t="str">
        <f aca="false">IF(OR(E599="BAJO SS",E599="BAJO SS (XLIB CUBRE)"),"SÍ","")</f>
        <v/>
      </c>
      <c r="W599" s="3" t="str">
        <f aca="false">IF(AND(V599="",N(L599)&gt;=Parametros!$B$17,G599&gt;=H599,R599&lt;H599),"SÍ","")</f>
        <v/>
      </c>
      <c r="X599" s="3" t="str">
        <f aca="false">IF(OR(E599="SOBRE MAX VENDIBLE",N(N599)&gt;=Parametros!$B$17,N(M599)&gt;=Parametros!$B$17),"SÍ","")</f>
        <v/>
      </c>
      <c r="Y599" s="3" t="str">
        <f aca="false">IF(AND(ISNUMBER(U599),MAX(S599,T599)&gt;=Parametros!$B$15,ABS(N(U599))&gt;Parametros!$B$14),"SÍ","")</f>
        <v/>
      </c>
      <c r="Z599" s="3" t="n">
        <f aca="false">COUNTIF(V599:Y599,"SÍ")</f>
        <v>0</v>
      </c>
      <c r="AA599" s="3" t="n">
        <f aca="false">(3*(V599="SÍ")+2*(W599="SÍ")+2*(X599="SÍ")+(Y599="SÍ"))*IF(LEFT(D599,1)="A",3,IF(OR(LEFT(D599,1)="B",D599="SIN HIST"),2,1))</f>
        <v>0</v>
      </c>
      <c r="AB599" s="3" t="str">
        <f aca="false">IF(AA599&gt;=9,"1-ALTA",IF(AA599&gt;=4,"2-MEDIA",IF(AA599&gt;0,"3-BAJA","")))</f>
        <v/>
      </c>
      <c r="AC599" s="3" t="str">
        <f aca="false">IF(E599="BAJO SS","Stock + XLIB bajo el SS: riesgo real de quiebre, adelantar producción. ","")&amp;IF(E599="BAJO SS (XLIB CUBRE)","Disponible bajo el SS; depende de liberar "&amp;TEXT(J599,"#,##0")&amp;" kg"&amp;IF(ISNUMBER(K599)," el "&amp;TEXT(K599,"dd-mm"),"")&amp;". ","")&amp;IF(W599="SÍ","Stock parece sano pero "&amp;TEXT(L599,"#,##0")&amp;" kg no pasan filtro "&amp;Stock_Seguridad!O599&amp;": sin ellos queda bajo el SS para esa cadena. ","")&amp;IF(E599="SOBRE MAX VENDIBLE","Sobrestock vs vida útil: frenar producción/activar venta. ","")&amp;IF(N(N599)&gt;=Parametros!$B$17,TEXT(N599,"#,##0")&amp;" kg ya no los acepta ninguna cadena: venta intermedia/liquidación. ","")&amp;IF(N(M599)&gt;=Parametros!$B$17,TEXT(M599,"#,##0")&amp;" kg a punto de salir del filtro: despachar primero (FEFO). ","")&amp;IF(Y599="SÍ","Pedidos "&amp;IF(N(U599)&gt;0,"sobre","bajo")&amp;" FCST "&amp;TEXT(ABS(N(U599)),"0%")&amp;": revisar forecast con KAM.","")</f>
        <v/>
      </c>
    </row>
    <row r="600" customFormat="false" ht="15" hidden="false" customHeight="false" outlineLevel="0" collapsed="false">
      <c r="A600" s="18" t="n">
        <f aca="false">Stock_Seguridad!A600</f>
        <v>30000446</v>
      </c>
      <c r="B600" s="18" t="str">
        <f aca="false">Stock_Seguridad!B600</f>
        <v>QUESO MANTECOSO ISLA TEJA PIEZA 1X10KG</v>
      </c>
      <c r="C600" s="18" t="str">
        <f aca="false">Stock_Seguridad!C600</f>
        <v>QUESOS</v>
      </c>
      <c r="D600" s="18" t="str">
        <f aca="false">Stock_Seguridad!F600</f>
        <v>CZ</v>
      </c>
      <c r="E600" s="19" t="str">
        <f aca="false">Stock_Seguridad!X600</f>
        <v>BAJO SS</v>
      </c>
      <c r="F600" s="20" t="n">
        <f aca="false">Stock_Seguridad!W600</f>
        <v>0.32</v>
      </c>
      <c r="G600" s="21" t="n">
        <f aca="false">Stock_Seguridad!T600</f>
        <v>160</v>
      </c>
      <c r="H600" s="21" t="n">
        <f aca="false">Stock_Seguridad!R600</f>
        <v>867.614511333806</v>
      </c>
      <c r="I600" s="21" t="n">
        <f aca="false">Stock_Seguridad!S600</f>
        <v>1367.61451133381</v>
      </c>
      <c r="J600" s="21" t="n">
        <f aca="false">Stock_Seguridad!U600</f>
        <v>0</v>
      </c>
      <c r="K600" s="22"/>
      <c r="L600" s="23" t="n">
        <v>0</v>
      </c>
      <c r="M600" s="23" t="n">
        <v>0</v>
      </c>
      <c r="N600" s="23" t="n">
        <v>0</v>
      </c>
      <c r="O600" s="24" t="n">
        <v>0.59</v>
      </c>
      <c r="P600" s="24" t="str">
        <f aca="false">IF(ISNUMBER(Stock_Seguridad!N600),Stock_Seguridad!N600,"")</f>
        <v/>
      </c>
      <c r="Q600" s="24" t="str">
        <f aca="false">IF(AND(ISNUMBER(O600),ISNUMBER(P600)),P600-O600,"")</f>
        <v/>
      </c>
      <c r="R600" s="23" t="n">
        <f aca="false">MAX(0,G600-N(L600))</f>
        <v>160</v>
      </c>
      <c r="S600" s="23" t="n">
        <f aca="false">SUMIFS(Cadenas_vs_FCST!$D$17:$D$2437,Cadenas_vs_FCST!$A$17:$A$2437,A600)</f>
        <v>2000</v>
      </c>
      <c r="T600" s="23" t="n">
        <f aca="false">SUMIFS(Cadenas_vs_FCST!$E$17:$E$2437,Cadenas_vs_FCST!$A$17:$A$2437,A600)</f>
        <v>1500</v>
      </c>
      <c r="U600" s="24" t="n">
        <f aca="false">IF(T600&gt;0,S600/T600-1,"")</f>
        <v>0.333333333333333</v>
      </c>
      <c r="V600" s="3" t="str">
        <f aca="false">IF(OR(E600="BAJO SS",E600="BAJO SS (XLIB CUBRE)"),"SÍ","")</f>
        <v>SÍ</v>
      </c>
      <c r="W600" s="3" t="str">
        <f aca="false">IF(AND(V600="",N(L600)&gt;=Parametros!$B$17,G600&gt;=H600,R600&lt;H600),"SÍ","")</f>
        <v/>
      </c>
      <c r="X600" s="3" t="str">
        <f aca="false">IF(OR(E600="SOBRE MAX VENDIBLE",N(N600)&gt;=Parametros!$B$17,N(M600)&gt;=Parametros!$B$17),"SÍ","")</f>
        <v/>
      </c>
      <c r="Y600" s="3" t="str">
        <f aca="false">IF(AND(ISNUMBER(U600),MAX(S600,T600)&gt;=Parametros!$B$15,ABS(N(U600))&gt;Parametros!$B$14),"SÍ","")</f>
        <v>SÍ</v>
      </c>
      <c r="Z600" s="3" t="n">
        <f aca="false">COUNTIF(V600:Y600,"SÍ")</f>
        <v>2</v>
      </c>
      <c r="AA600" s="3" t="n">
        <f aca="false">(3*(V600="SÍ")+2*(W600="SÍ")+2*(X600="SÍ")+(Y600="SÍ"))*IF(LEFT(D600,1)="A",3,IF(OR(LEFT(D600,1)="B",D600="SIN HIST"),2,1))</f>
        <v>4</v>
      </c>
      <c r="AB600" s="3" t="str">
        <f aca="false">IF(AA600&gt;=9,"1-ALTA",IF(AA600&gt;=4,"2-MEDIA",IF(AA600&gt;0,"3-BAJA","")))</f>
        <v>2-MEDIA</v>
      </c>
      <c r="AC600" s="3" t="str">
        <f aca="false">IF(E600="BAJO SS","Stock + XLIB bajo el SS: riesgo real de quiebre, adelantar producción. ","")&amp;IF(E600="BAJO SS (XLIB CUBRE)","Disponible bajo el SS; depende de liberar "&amp;TEXT(J600,"#,##0")&amp;" kg"&amp;IF(ISNUMBER(K600)," el "&amp;TEXT(K600,"dd-mm"),"")&amp;". ","")&amp;IF(W600="SÍ","Stock parece sano pero "&amp;TEXT(L600,"#,##0")&amp;" kg no pasan filtro "&amp;Stock_Seguridad!O600&amp;": sin ellos queda bajo el SS para esa cadena. ","")&amp;IF(E600="SOBRE MAX VENDIBLE","Sobrestock vs vida útil: frenar producción/activar venta. ","")&amp;IF(N(N600)&gt;=Parametros!$B$17,TEXT(N600,"#,##0")&amp;" kg ya no los acepta ninguna cadena: venta intermedia/liquidación. ","")&amp;IF(N(M600)&gt;=Parametros!$B$17,TEXT(M600,"#,##0")&amp;" kg a punto de salir del filtro: despachar primero (FEFO). ","")&amp;IF(Y600="SÍ","Pedidos "&amp;IF(N(U600)&gt;0,"sobre","bajo")&amp;" FCST "&amp;TEXT(ABS(N(U600)),"0%")&amp;": revisar forecast con KAM.","")</f>
        <v>Stock + XLIB bajo el SS: riesgo real de quiebre, adelantar producción. Pedidos sobre FCST 33%: revisar forecast con KAM.</v>
      </c>
    </row>
    <row r="601" customFormat="false" ht="15" hidden="false" customHeight="false" outlineLevel="0" collapsed="false">
      <c r="A601" s="18" t="n">
        <f aca="false">Stock_Seguridad!A601</f>
        <v>30002110</v>
      </c>
      <c r="B601" s="18" t="str">
        <f aca="false">Stock_Seguridad!B601</f>
        <v>BITES ARANDANOS 14X250G</v>
      </c>
      <c r="C601" s="18" t="str">
        <f aca="false">Stock_Seguridad!C601</f>
        <v>FRUTAS Y HORTALIZAS CONGELADAS</v>
      </c>
      <c r="D601" s="18" t="str">
        <f aca="false">Stock_Seguridad!F601</f>
        <v>SIN HIST</v>
      </c>
      <c r="E601" s="19" t="str">
        <f aca="false">Stock_Seguridad!X601</f>
        <v>OK</v>
      </c>
      <c r="F601" s="20" t="n">
        <f aca="false">Stock_Seguridad!W601</f>
        <v>6.73563680192849</v>
      </c>
      <c r="G601" s="21" t="n">
        <f aca="false">Stock_Seguridad!T601</f>
        <v>3353</v>
      </c>
      <c r="H601" s="21" t="n">
        <f aca="false">Stock_Seguridad!R601</f>
        <v>245.642440648933</v>
      </c>
      <c r="I601" s="21" t="n">
        <f aca="false">Stock_Seguridad!S601</f>
        <v>743.442440648933</v>
      </c>
      <c r="J601" s="21" t="n">
        <f aca="false">Stock_Seguridad!U601</f>
        <v>0</v>
      </c>
      <c r="K601" s="22"/>
      <c r="L601" s="23" t="n">
        <v>0</v>
      </c>
      <c r="M601" s="23" t="n">
        <v>0</v>
      </c>
      <c r="N601" s="23" t="n">
        <v>0</v>
      </c>
      <c r="O601" s="24" t="n">
        <v>0.0995302713987474</v>
      </c>
      <c r="P601" s="24" t="str">
        <f aca="false">IF(ISNUMBER(Stock_Seguridad!N601),Stock_Seguridad!N601,"")</f>
        <v/>
      </c>
      <c r="Q601" s="24" t="str">
        <f aca="false">IF(AND(ISNUMBER(O601),ISNUMBER(P601)),P601-O601,"")</f>
        <v/>
      </c>
      <c r="R601" s="23" t="n">
        <f aca="false">MAX(0,G601-N(L601))</f>
        <v>3353</v>
      </c>
      <c r="S601" s="23" t="n">
        <f aca="false">SUMIFS(Cadenas_vs_FCST!$D$17:$D$2437,Cadenas_vs_FCST!$A$17:$A$2437,A601)</f>
        <v>0</v>
      </c>
      <c r="T601" s="23" t="n">
        <f aca="false">SUMIFS(Cadenas_vs_FCST!$E$17:$E$2437,Cadenas_vs_FCST!$A$17:$A$2437,A601)</f>
        <v>0</v>
      </c>
      <c r="U601" s="24" t="str">
        <f aca="false">IF(T601&gt;0,S601/T601-1,"")</f>
        <v/>
      </c>
      <c r="V601" s="3" t="str">
        <f aca="false">IF(OR(E601="BAJO SS",E601="BAJO SS (XLIB CUBRE)"),"SÍ","")</f>
        <v/>
      </c>
      <c r="W601" s="3" t="str">
        <f aca="false">IF(AND(V601="",N(L601)&gt;=Parametros!$B$17,G601&gt;=H601,R601&lt;H601),"SÍ","")</f>
        <v/>
      </c>
      <c r="X601" s="3" t="str">
        <f aca="false">IF(OR(E601="SOBRE MAX VENDIBLE",N(N601)&gt;=Parametros!$B$17,N(M601)&gt;=Parametros!$B$17),"SÍ","")</f>
        <v/>
      </c>
      <c r="Y601" s="3" t="str">
        <f aca="false">IF(AND(ISNUMBER(U601),MAX(S601,T601)&gt;=Parametros!$B$15,ABS(N(U601))&gt;Parametros!$B$14),"SÍ","")</f>
        <v/>
      </c>
      <c r="Z601" s="3" t="n">
        <f aca="false">COUNTIF(V601:Y601,"SÍ")</f>
        <v>0</v>
      </c>
      <c r="AA601" s="3" t="n">
        <f aca="false">(3*(V601="SÍ")+2*(W601="SÍ")+2*(X601="SÍ")+(Y601="SÍ"))*IF(LEFT(D601,1)="A",3,IF(OR(LEFT(D601,1)="B",D601="SIN HIST"),2,1))</f>
        <v>0</v>
      </c>
      <c r="AB601" s="3" t="str">
        <f aca="false">IF(AA601&gt;=9,"1-ALTA",IF(AA601&gt;=4,"2-MEDIA",IF(AA601&gt;0,"3-BAJA","")))</f>
        <v/>
      </c>
      <c r="AC601" s="3" t="str">
        <f aca="false">IF(E601="BAJO SS","Stock + XLIB bajo el SS: riesgo real de quiebre, adelantar producción. ","")&amp;IF(E601="BAJO SS (XLIB CUBRE)","Disponible bajo el SS; depende de liberar "&amp;TEXT(J601,"#,##0")&amp;" kg"&amp;IF(ISNUMBER(K601)," el "&amp;TEXT(K601,"dd-mm"),"")&amp;". ","")&amp;IF(W601="SÍ","Stock parece sano pero "&amp;TEXT(L601,"#,##0")&amp;" kg no pasan filtro "&amp;Stock_Seguridad!O601&amp;": sin ellos queda bajo el SS para esa cadena. ","")&amp;IF(E601="SOBRE MAX VENDIBLE","Sobrestock vs vida útil: frenar producción/activar venta. ","")&amp;IF(N(N601)&gt;=Parametros!$B$17,TEXT(N601,"#,##0")&amp;" kg ya no los acepta ninguna cadena: venta intermedia/liquidación. ","")&amp;IF(N(M601)&gt;=Parametros!$B$17,TEXT(M601,"#,##0")&amp;" kg a punto de salir del filtro: despachar primero (FEFO). ","")&amp;IF(Y601="SÍ","Pedidos "&amp;IF(N(U601)&gt;0,"sobre","bajo")&amp;" FCST "&amp;TEXT(ABS(N(U601)),"0%")&amp;": revisar forecast con KAM.","")</f>
        <v/>
      </c>
    </row>
    <row r="602" customFormat="false" ht="15" hidden="false" customHeight="false" outlineLevel="0" collapsed="false">
      <c r="A602" s="18" t="n">
        <f aca="false">Stock_Seguridad!A602</f>
        <v>30001363</v>
      </c>
      <c r="B602" s="18" t="str">
        <f aca="false">Stock_Seguridad!B602</f>
        <v>ACEITE CHEF EXTRAVIRGEN 12X250ML</v>
      </c>
      <c r="C602" s="18" t="str">
        <f aca="false">Stock_Seguridad!C602</f>
        <v>ACEITES</v>
      </c>
      <c r="D602" s="18" t="str">
        <f aca="false">Stock_Seguridad!F602</f>
        <v>CY</v>
      </c>
      <c r="E602" s="19" t="str">
        <f aca="false">Stock_Seguridad!X602</f>
        <v>OK</v>
      </c>
      <c r="F602" s="20" t="n">
        <f aca="false">Stock_Seguridad!W602</f>
        <v>15.086370042279</v>
      </c>
      <c r="G602" s="21" t="n">
        <f aca="false">Stock_Seguridad!T602</f>
        <v>7493.4</v>
      </c>
      <c r="H602" s="21" t="n">
        <f aca="false">Stock_Seguridad!R602</f>
        <v>415.996496409638</v>
      </c>
      <c r="I602" s="21" t="n">
        <f aca="false">Stock_Seguridad!S602</f>
        <v>912.696496409638</v>
      </c>
      <c r="J602" s="21" t="n">
        <f aca="false">Stock_Seguridad!U602</f>
        <v>0</v>
      </c>
      <c r="K602" s="22"/>
      <c r="L602" s="23" t="n">
        <v>49.68</v>
      </c>
      <c r="M602" s="23" t="n">
        <v>0</v>
      </c>
      <c r="N602" s="23" t="n">
        <v>0</v>
      </c>
      <c r="O602" s="24" t="n">
        <v>0.111352247605011</v>
      </c>
      <c r="P602" s="24" t="n">
        <f aca="false">IF(ISNUMBER(Stock_Seguridad!N602),Stock_Seguridad!N602,"")</f>
        <v>0.208219178082192</v>
      </c>
      <c r="Q602" s="24" t="n">
        <f aca="false">IF(AND(ISNUMBER(O602),ISNUMBER(P602)),P602-O602,"")</f>
        <v>0.0968669304771807</v>
      </c>
      <c r="R602" s="23" t="n">
        <f aca="false">MAX(0,G602-N(L602))</f>
        <v>7443.72</v>
      </c>
      <c r="S602" s="23" t="n">
        <f aca="false">SUMIFS(Cadenas_vs_FCST!$D$17:$D$2437,Cadenas_vs_FCST!$A$17:$A$2437,A602)</f>
        <v>1230.96</v>
      </c>
      <c r="T602" s="23" t="n">
        <f aca="false">SUMIFS(Cadenas_vs_FCST!$E$17:$E$2437,Cadenas_vs_FCST!$A$17:$A$2437,A602)</f>
        <v>1861.88</v>
      </c>
      <c r="U602" s="24" t="n">
        <f aca="false">IF(T602&gt;0,S602/T602-1,"")</f>
        <v>-0.338861795604443</v>
      </c>
      <c r="V602" s="3" t="str">
        <f aca="false">IF(OR(E602="BAJO SS",E602="BAJO SS (XLIB CUBRE)"),"SÍ","")</f>
        <v/>
      </c>
      <c r="W602" s="3" t="str">
        <f aca="false">IF(AND(V602="",N(L602)&gt;=Parametros!$B$17,G602&gt;=H602,R602&lt;H602),"SÍ","")</f>
        <v/>
      </c>
      <c r="X602" s="3" t="str">
        <f aca="false">IF(OR(E602="SOBRE MAX VENDIBLE",N(N602)&gt;=Parametros!$B$17,N(M602)&gt;=Parametros!$B$17),"SÍ","")</f>
        <v/>
      </c>
      <c r="Y602" s="3" t="str">
        <f aca="false">IF(AND(ISNUMBER(U602),MAX(S602,T602)&gt;=Parametros!$B$15,ABS(N(U602))&gt;Parametros!$B$14),"SÍ","")</f>
        <v/>
      </c>
      <c r="Z602" s="3" t="n">
        <f aca="false">COUNTIF(V602:Y602,"SÍ")</f>
        <v>0</v>
      </c>
      <c r="AA602" s="3" t="n">
        <f aca="false">(3*(V602="SÍ")+2*(W602="SÍ")+2*(X602="SÍ")+(Y602="SÍ"))*IF(LEFT(D602,1)="A",3,IF(OR(LEFT(D602,1)="B",D602="SIN HIST"),2,1))</f>
        <v>0</v>
      </c>
      <c r="AB602" s="3" t="str">
        <f aca="false">IF(AA602&gt;=9,"1-ALTA",IF(AA602&gt;=4,"2-MEDIA",IF(AA602&gt;0,"3-BAJA","")))</f>
        <v/>
      </c>
      <c r="AC602" s="3" t="str">
        <f aca="false">IF(E602="BAJO SS","Stock + XLIB bajo el SS: riesgo real de quiebre, adelantar producción. ","")&amp;IF(E602="BAJO SS (XLIB CUBRE)","Disponible bajo el SS; depende de liberar "&amp;TEXT(J602,"#,##0")&amp;" kg"&amp;IF(ISNUMBER(K602)," el "&amp;TEXT(K602,"dd-mm"),"")&amp;". ","")&amp;IF(W602="SÍ","Stock parece sano pero "&amp;TEXT(L602,"#,##0")&amp;" kg no pasan filtro "&amp;Stock_Seguridad!O602&amp;": sin ellos queda bajo el SS para esa cadena. ","")&amp;IF(E602="SOBRE MAX VENDIBLE","Sobrestock vs vida útil: frenar producción/activar venta. ","")&amp;IF(N(N602)&gt;=Parametros!$B$17,TEXT(N602,"#,##0")&amp;" kg ya no los acepta ninguna cadena: venta intermedia/liquidación. ","")&amp;IF(N(M602)&gt;=Parametros!$B$17,TEXT(M602,"#,##0")&amp;" kg a punto de salir del filtro: despachar primero (FEFO). ","")&amp;IF(Y602="SÍ","Pedidos "&amp;IF(N(U602)&gt;0,"sobre","bajo")&amp;" FCST "&amp;TEXT(ABS(N(U602)),"0%")&amp;": revisar forecast con KAM.","")</f>
        <v/>
      </c>
    </row>
    <row r="603" customFormat="false" ht="15" hidden="false" customHeight="false" outlineLevel="0" collapsed="false">
      <c r="A603" s="18" t="n">
        <f aca="false">Stock_Seguridad!A603</f>
        <v>30001462</v>
      </c>
      <c r="B603" s="18" t="str">
        <f aca="false">Stock_Seguridad!B603</f>
        <v>CAJA MIXTA PULPAS 6X1KG</v>
      </c>
      <c r="C603" s="18" t="str">
        <f aca="false">Stock_Seguridad!C603</f>
        <v>FRUTAS Y HORTALIZAS CONGELADAS</v>
      </c>
      <c r="D603" s="18" t="str">
        <f aca="false">Stock_Seguridad!F603</f>
        <v>SIN HIST</v>
      </c>
      <c r="E603" s="19" t="str">
        <f aca="false">Stock_Seguridad!X603</f>
        <v>BAJO SS</v>
      </c>
      <c r="F603" s="20" t="n">
        <f aca="false">Stock_Seguridad!W603</f>
        <v>0</v>
      </c>
      <c r="G603" s="21" t="n">
        <f aca="false">Stock_Seguridad!T603</f>
        <v>0</v>
      </c>
      <c r="H603" s="21" t="n">
        <f aca="false">Stock_Seguridad!R603</f>
        <v>244.408800428719</v>
      </c>
      <c r="I603" s="21" t="n">
        <f aca="false">Stock_Seguridad!S603</f>
        <v>739.708800428719</v>
      </c>
      <c r="J603" s="21" t="n">
        <f aca="false">Stock_Seguridad!U603</f>
        <v>0</v>
      </c>
      <c r="K603" s="22"/>
      <c r="L603" s="23"/>
      <c r="M603" s="23"/>
      <c r="N603" s="23"/>
      <c r="O603" s="24"/>
      <c r="P603" s="24" t="str">
        <f aca="false">IF(ISNUMBER(Stock_Seguridad!N603),Stock_Seguridad!N603,"")</f>
        <v/>
      </c>
      <c r="Q603" s="24" t="str">
        <f aca="false">IF(AND(ISNUMBER(O603),ISNUMBER(P603)),P603-O603,"")</f>
        <v/>
      </c>
      <c r="R603" s="23" t="n">
        <f aca="false">MAX(0,G603-N(L603))</f>
        <v>0</v>
      </c>
      <c r="S603" s="23" t="n">
        <f aca="false">SUMIFS(Cadenas_vs_FCST!$D$17:$D$2437,Cadenas_vs_FCST!$A$17:$A$2437,A603)</f>
        <v>0</v>
      </c>
      <c r="T603" s="23" t="n">
        <f aca="false">SUMIFS(Cadenas_vs_FCST!$E$17:$E$2437,Cadenas_vs_FCST!$A$17:$A$2437,A603)</f>
        <v>0</v>
      </c>
      <c r="U603" s="24" t="str">
        <f aca="false">IF(T603&gt;0,S603/T603-1,"")</f>
        <v/>
      </c>
      <c r="V603" s="3" t="str">
        <f aca="false">IF(OR(E603="BAJO SS",E603="BAJO SS (XLIB CUBRE)"),"SÍ","")</f>
        <v>SÍ</v>
      </c>
      <c r="W603" s="3" t="str">
        <f aca="false">IF(AND(V603="",N(L603)&gt;=Parametros!$B$17,G603&gt;=H603,R603&lt;H603),"SÍ","")</f>
        <v/>
      </c>
      <c r="X603" s="3" t="str">
        <f aca="false">IF(OR(E603="SOBRE MAX VENDIBLE",N(N603)&gt;=Parametros!$B$17,N(M603)&gt;=Parametros!$B$17),"SÍ","")</f>
        <v/>
      </c>
      <c r="Y603" s="3" t="str">
        <f aca="false">IF(AND(ISNUMBER(U603),MAX(S603,T603)&gt;=Parametros!$B$15,ABS(N(U603))&gt;Parametros!$B$14),"SÍ","")</f>
        <v/>
      </c>
      <c r="Z603" s="3" t="n">
        <f aca="false">COUNTIF(V603:Y603,"SÍ")</f>
        <v>1</v>
      </c>
      <c r="AA603" s="3" t="n">
        <f aca="false">(3*(V603="SÍ")+2*(W603="SÍ")+2*(X603="SÍ")+(Y603="SÍ"))*IF(LEFT(D603,1)="A",3,IF(OR(LEFT(D603,1)="B",D603="SIN HIST"),2,1))</f>
        <v>6</v>
      </c>
      <c r="AB603" s="3" t="str">
        <f aca="false">IF(AA603&gt;=9,"1-ALTA",IF(AA603&gt;=4,"2-MEDIA",IF(AA603&gt;0,"3-BAJA","")))</f>
        <v>2-MEDIA</v>
      </c>
      <c r="AC603" s="3" t="str">
        <f aca="false">IF(E603="BAJO SS","Stock + XLIB bajo el SS: riesgo real de quiebre, adelantar producción. ","")&amp;IF(E603="BAJO SS (XLIB CUBRE)","Disponible bajo el SS; depende de liberar "&amp;TEXT(J603,"#,##0")&amp;" kg"&amp;IF(ISNUMBER(K603)," el "&amp;TEXT(K603,"dd-mm"),"")&amp;". ","")&amp;IF(W603="SÍ","Stock parece sano pero "&amp;TEXT(L603,"#,##0")&amp;" kg no pasan filtro "&amp;Stock_Seguridad!O603&amp;": sin ellos queda bajo el SS para esa cadena. ","")&amp;IF(E603="SOBRE MAX VENDIBLE","Sobrestock vs vida útil: frenar producción/activar venta. ","")&amp;IF(N(N603)&gt;=Parametros!$B$17,TEXT(N603,"#,##0")&amp;" kg ya no los acepta ninguna cadena: venta intermedia/liquidación. ","")&amp;IF(N(M603)&gt;=Parametros!$B$17,TEXT(M603,"#,##0")&amp;" kg a punto de salir del filtro: despachar primero (FEFO). ","")&amp;IF(Y603="SÍ","Pedidos "&amp;IF(N(U603)&gt;0,"sobre","bajo")&amp;" FCST "&amp;TEXT(ABS(N(U603)),"0%")&amp;": revisar forecast con KAM.","")</f>
        <v>Stock + XLIB bajo el SS: riesgo real de quiebre, adelantar producción. </v>
      </c>
    </row>
    <row r="604" customFormat="false" ht="15" hidden="false" customHeight="false" outlineLevel="0" collapsed="false">
      <c r="A604" s="18" t="n">
        <f aca="false">Stock_Seguridad!A604</f>
        <v>30000762</v>
      </c>
      <c r="B604" s="18" t="str">
        <f aca="false">Stock_Seguridad!B604</f>
        <v>SALTEADO MEDITERRANEO IQF 20X500GR</v>
      </c>
      <c r="C604" s="18" t="str">
        <f aca="false">Stock_Seguridad!C604</f>
        <v>FRUTAS Y HORTALIZAS CONGELADAS</v>
      </c>
      <c r="D604" s="18" t="str">
        <f aca="false">Stock_Seguridad!F604</f>
        <v>SIN HIST</v>
      </c>
      <c r="E604" s="19" t="str">
        <f aca="false">Stock_Seguridad!X604</f>
        <v>OK</v>
      </c>
      <c r="F604" s="20" t="n">
        <f aca="false">Stock_Seguridad!W604</f>
        <v>10.428809325562</v>
      </c>
      <c r="G604" s="21" t="n">
        <f aca="false">Stock_Seguridad!T604</f>
        <v>5010</v>
      </c>
      <c r="H604" s="21" t="n">
        <f aca="false">Stock_Seguridad!R604</f>
        <v>237.056304716246</v>
      </c>
      <c r="I604" s="21" t="n">
        <f aca="false">Stock_Seguridad!S604</f>
        <v>717.456304716246</v>
      </c>
      <c r="J604" s="21" t="n">
        <f aca="false">Stock_Seguridad!U604</f>
        <v>0</v>
      </c>
      <c r="K604" s="22"/>
      <c r="L604" s="23" t="n">
        <v>0</v>
      </c>
      <c r="M604" s="23" t="n">
        <v>0</v>
      </c>
      <c r="N604" s="23" t="n">
        <v>0</v>
      </c>
      <c r="O604" s="24" t="n">
        <v>0.201756487025948</v>
      </c>
      <c r="P604" s="24" t="str">
        <f aca="false">IF(ISNUMBER(Stock_Seguridad!N604),Stock_Seguridad!N604,"")</f>
        <v/>
      </c>
      <c r="Q604" s="24" t="str">
        <f aca="false">IF(AND(ISNUMBER(O604),ISNUMBER(P604)),P604-O604,"")</f>
        <v/>
      </c>
      <c r="R604" s="23" t="n">
        <f aca="false">MAX(0,G604-N(L604))</f>
        <v>5010</v>
      </c>
      <c r="S604" s="23" t="n">
        <f aca="false">SUMIFS(Cadenas_vs_FCST!$D$17:$D$2437,Cadenas_vs_FCST!$A$17:$A$2437,A604)</f>
        <v>0</v>
      </c>
      <c r="T604" s="23" t="n">
        <f aca="false">SUMIFS(Cadenas_vs_FCST!$E$17:$E$2437,Cadenas_vs_FCST!$A$17:$A$2437,A604)</f>
        <v>0</v>
      </c>
      <c r="U604" s="24" t="str">
        <f aca="false">IF(T604&gt;0,S604/T604-1,"")</f>
        <v/>
      </c>
      <c r="V604" s="3" t="str">
        <f aca="false">IF(OR(E604="BAJO SS",E604="BAJO SS (XLIB CUBRE)"),"SÍ","")</f>
        <v/>
      </c>
      <c r="W604" s="3" t="str">
        <f aca="false">IF(AND(V604="",N(L604)&gt;=Parametros!$B$17,G604&gt;=H604,R604&lt;H604),"SÍ","")</f>
        <v/>
      </c>
      <c r="X604" s="3" t="str">
        <f aca="false">IF(OR(E604="SOBRE MAX VENDIBLE",N(N604)&gt;=Parametros!$B$17,N(M604)&gt;=Parametros!$B$17),"SÍ","")</f>
        <v/>
      </c>
      <c r="Y604" s="3" t="str">
        <f aca="false">IF(AND(ISNUMBER(U604),MAX(S604,T604)&gt;=Parametros!$B$15,ABS(N(U604))&gt;Parametros!$B$14),"SÍ","")</f>
        <v/>
      </c>
      <c r="Z604" s="3" t="n">
        <f aca="false">COUNTIF(V604:Y604,"SÍ")</f>
        <v>0</v>
      </c>
      <c r="AA604" s="3" t="n">
        <f aca="false">(3*(V604="SÍ")+2*(W604="SÍ")+2*(X604="SÍ")+(Y604="SÍ"))*IF(LEFT(D604,1)="A",3,IF(OR(LEFT(D604,1)="B",D604="SIN HIST"),2,1))</f>
        <v>0</v>
      </c>
      <c r="AB604" s="3" t="str">
        <f aca="false">IF(AA604&gt;=9,"1-ALTA",IF(AA604&gt;=4,"2-MEDIA",IF(AA604&gt;0,"3-BAJA","")))</f>
        <v/>
      </c>
      <c r="AC604" s="3" t="str">
        <f aca="false">IF(E604="BAJO SS","Stock + XLIB bajo el SS: riesgo real de quiebre, adelantar producción. ","")&amp;IF(E604="BAJO SS (XLIB CUBRE)","Disponible bajo el SS; depende de liberar "&amp;TEXT(J604,"#,##0")&amp;" kg"&amp;IF(ISNUMBER(K604)," el "&amp;TEXT(K604,"dd-mm"),"")&amp;". ","")&amp;IF(W604="SÍ","Stock parece sano pero "&amp;TEXT(L604,"#,##0")&amp;" kg no pasan filtro "&amp;Stock_Seguridad!O604&amp;": sin ellos queda bajo el SS para esa cadena. ","")&amp;IF(E604="SOBRE MAX VENDIBLE","Sobrestock vs vida útil: frenar producción/activar venta. ","")&amp;IF(N(N604)&gt;=Parametros!$B$17,TEXT(N604,"#,##0")&amp;" kg ya no los acepta ninguna cadena: venta intermedia/liquidación. ","")&amp;IF(N(M604)&gt;=Parametros!$B$17,TEXT(M604,"#,##0")&amp;" kg a punto de salir del filtro: despachar primero (FEFO). ","")&amp;IF(Y604="SÍ","Pedidos "&amp;IF(N(U604)&gt;0,"sobre","bajo")&amp;" FCST "&amp;TEXT(ABS(N(U604)),"0%")&amp;": revisar forecast con KAM.","")</f>
        <v/>
      </c>
    </row>
    <row r="605" customFormat="false" ht="15" hidden="false" customHeight="false" outlineLevel="0" collapsed="false">
      <c r="A605" s="18" t="n">
        <f aca="false">Stock_Seguridad!A605</f>
        <v>30002132</v>
      </c>
      <c r="B605" s="18" t="str">
        <f aca="false">Stock_Seguridad!B605</f>
        <v>CREMA REFRIGERADA LONCOLECHE 15X500ML</v>
      </c>
      <c r="C605" s="18" t="str">
        <f aca="false">Stock_Seguridad!C605</f>
        <v>CREMA</v>
      </c>
      <c r="D605" s="18" t="str">
        <f aca="false">Stock_Seguridad!F605</f>
        <v>CY</v>
      </c>
      <c r="E605" s="19" t="str">
        <f aca="false">Stock_Seguridad!X605</f>
        <v>SOBRE MAX VENDIBLE</v>
      </c>
      <c r="F605" s="20" t="n">
        <f aca="false">Stock_Seguridad!W605</f>
        <v>2.36842105263158</v>
      </c>
      <c r="G605" s="21" t="n">
        <f aca="false">Stock_Seguridad!T605</f>
        <v>1125</v>
      </c>
      <c r="H605" s="21" t="n">
        <f aca="false">Stock_Seguridad!R605</f>
        <v>542.857142857143</v>
      </c>
      <c r="I605" s="21" t="n">
        <f aca="false">Stock_Seguridad!S605</f>
        <v>1017.85714285714</v>
      </c>
      <c r="J605" s="21" t="n">
        <f aca="false">Stock_Seguridad!U605</f>
        <v>0</v>
      </c>
      <c r="K605" s="22"/>
      <c r="L605" s="23" t="n">
        <v>165</v>
      </c>
      <c r="M605" s="23" t="n">
        <v>0</v>
      </c>
      <c r="N605" s="23" t="n">
        <v>0</v>
      </c>
      <c r="O605" s="24" t="n">
        <v>0.113466666666667</v>
      </c>
      <c r="P605" s="24" t="n">
        <f aca="false">IF(ISNUMBER(Stock_Seguridad!N605),Stock_Seguridad!N605,"")</f>
        <v>0.234375</v>
      </c>
      <c r="Q605" s="24" t="n">
        <f aca="false">IF(AND(ISNUMBER(O605),ISNUMBER(P605)),P605-O605,"")</f>
        <v>0.120908333333333</v>
      </c>
      <c r="R605" s="23" t="n">
        <f aca="false">MAX(0,G605-N(L605))</f>
        <v>960</v>
      </c>
      <c r="S605" s="23" t="n">
        <f aca="false">SUMIFS(Cadenas_vs_FCST!$D$17:$D$2437,Cadenas_vs_FCST!$A$17:$A$2437,A605)</f>
        <v>3720</v>
      </c>
      <c r="T605" s="23" t="n">
        <f aca="false">SUMIFS(Cadenas_vs_FCST!$E$17:$E$2437,Cadenas_vs_FCST!$A$17:$A$2437,A605)</f>
        <v>2048.61578055237</v>
      </c>
      <c r="U605" s="24" t="n">
        <f aca="false">IF(T605&gt;0,S605/T605-1,"")</f>
        <v>0.815860267852162</v>
      </c>
      <c r="V605" s="3" t="str">
        <f aca="false">IF(OR(E605="BAJO SS",E605="BAJO SS (XLIB CUBRE)"),"SÍ","")</f>
        <v/>
      </c>
      <c r="W605" s="3" t="str">
        <f aca="false">IF(AND(V605="",N(L605)&gt;=Parametros!$B$17,G605&gt;=H605,R605&lt;H605),"SÍ","")</f>
        <v/>
      </c>
      <c r="X605" s="3" t="str">
        <f aca="false">IF(OR(E605="SOBRE MAX VENDIBLE",N(N605)&gt;=Parametros!$B$17,N(M605)&gt;=Parametros!$B$17),"SÍ","")</f>
        <v>SÍ</v>
      </c>
      <c r="Y605" s="3" t="str">
        <f aca="false">IF(AND(ISNUMBER(U605),MAX(S605,T605)&gt;=Parametros!$B$15,ABS(N(U605))&gt;Parametros!$B$14),"SÍ","")</f>
        <v>SÍ</v>
      </c>
      <c r="Z605" s="3" t="n">
        <f aca="false">COUNTIF(V605:Y605,"SÍ")</f>
        <v>2</v>
      </c>
      <c r="AA605" s="3" t="n">
        <f aca="false">(3*(V605="SÍ")+2*(W605="SÍ")+2*(X605="SÍ")+(Y605="SÍ"))*IF(LEFT(D605,1)="A",3,IF(OR(LEFT(D605,1)="B",D605="SIN HIST"),2,1))</f>
        <v>3</v>
      </c>
      <c r="AB605" s="3" t="str">
        <f aca="false">IF(AA605&gt;=9,"1-ALTA",IF(AA605&gt;=4,"2-MEDIA",IF(AA605&gt;0,"3-BAJA","")))</f>
        <v>3-BAJA</v>
      </c>
      <c r="AC605" s="3" t="str">
        <f aca="false">IF(E605="BAJO SS","Stock + XLIB bajo el SS: riesgo real de quiebre, adelantar producción. ","")&amp;IF(E605="BAJO SS (XLIB CUBRE)","Disponible bajo el SS; depende de liberar "&amp;TEXT(J605,"#,##0")&amp;" kg"&amp;IF(ISNUMBER(K605)," el "&amp;TEXT(K605,"dd-mm"),"")&amp;". ","")&amp;IF(W605="SÍ","Stock parece sano pero "&amp;TEXT(L605,"#,##0")&amp;" kg no pasan filtro "&amp;Stock_Seguridad!O605&amp;": sin ellos queda bajo el SS para esa cadena. ","")&amp;IF(E605="SOBRE MAX VENDIBLE","Sobrestock vs vida útil: frenar producción/activar venta. ","")&amp;IF(N(N605)&gt;=Parametros!$B$17,TEXT(N605,"#,##0")&amp;" kg ya no los acepta ninguna cadena: venta intermedia/liquidación. ","")&amp;IF(N(M605)&gt;=Parametros!$B$17,TEXT(M605,"#,##0")&amp;" kg a punto de salir del filtro: despachar primero (FEFO). ","")&amp;IF(Y605="SÍ","Pedidos "&amp;IF(N(U605)&gt;0,"sobre","bajo")&amp;" FCST "&amp;TEXT(ABS(N(U605)),"0%")&amp;": revisar forecast con KAM.","")</f>
        <v>Sobrestock vs vida útil: frenar producción/activar venta. Pedidos sobre FCST 82%: revisar forecast con KAM.</v>
      </c>
    </row>
    <row r="606" customFormat="false" ht="15" hidden="false" customHeight="false" outlineLevel="0" collapsed="false">
      <c r="A606" s="18" t="n">
        <f aca="false">Stock_Seguridad!A606</f>
        <v>30000712</v>
      </c>
      <c r="B606" s="18" t="str">
        <f aca="false">Stock_Seguridad!B606</f>
        <v>HUMITAS FDM 20X600GR</v>
      </c>
      <c r="C606" s="18" t="str">
        <f aca="false">Stock_Seguridad!C606</f>
        <v>FRUTAS Y HORTALIZAS CONGELADAS</v>
      </c>
      <c r="D606" s="18" t="str">
        <f aca="false">Stock_Seguridad!F606</f>
        <v>SIN HIST</v>
      </c>
      <c r="E606" s="19" t="str">
        <f aca="false">Stock_Seguridad!X606</f>
        <v>BAJO P.REORDEN</v>
      </c>
      <c r="F606" s="20" t="n">
        <f aca="false">Stock_Seguridad!W606</f>
        <v>0.989010989010989</v>
      </c>
      <c r="G606" s="21" t="n">
        <f aca="false">Stock_Seguridad!T606</f>
        <v>468</v>
      </c>
      <c r="H606" s="21" t="n">
        <f aca="false">Stock_Seguridad!R606</f>
        <v>233.503420882031</v>
      </c>
      <c r="I606" s="21" t="n">
        <f aca="false">Stock_Seguridad!S606</f>
        <v>706.703420882031</v>
      </c>
      <c r="J606" s="21" t="n">
        <f aca="false">Stock_Seguridad!U606</f>
        <v>0</v>
      </c>
      <c r="K606" s="22"/>
      <c r="L606" s="23" t="n">
        <v>0</v>
      </c>
      <c r="M606" s="23" t="n">
        <v>0</v>
      </c>
      <c r="N606" s="23" t="n">
        <v>0</v>
      </c>
      <c r="O606" s="24" t="n">
        <v>0.38</v>
      </c>
      <c r="P606" s="24" t="str">
        <f aca="false">IF(ISNUMBER(Stock_Seguridad!N606),Stock_Seguridad!N606,"")</f>
        <v/>
      </c>
      <c r="Q606" s="24" t="str">
        <f aca="false">IF(AND(ISNUMBER(O606),ISNUMBER(P606)),P606-O606,"")</f>
        <v/>
      </c>
      <c r="R606" s="23" t="n">
        <f aca="false">MAX(0,G606-N(L606))</f>
        <v>468</v>
      </c>
      <c r="S606" s="23" t="n">
        <f aca="false">SUMIFS(Cadenas_vs_FCST!$D$17:$D$2437,Cadenas_vs_FCST!$A$17:$A$2437,A606)</f>
        <v>0</v>
      </c>
      <c r="T606" s="23" t="n">
        <f aca="false">SUMIFS(Cadenas_vs_FCST!$E$17:$E$2437,Cadenas_vs_FCST!$A$17:$A$2437,A606)</f>
        <v>0</v>
      </c>
      <c r="U606" s="24" t="str">
        <f aca="false">IF(T606&gt;0,S606/T606-1,"")</f>
        <v/>
      </c>
      <c r="V606" s="3" t="str">
        <f aca="false">IF(OR(E606="BAJO SS",E606="BAJO SS (XLIB CUBRE)"),"SÍ","")</f>
        <v/>
      </c>
      <c r="W606" s="3" t="str">
        <f aca="false">IF(AND(V606="",N(L606)&gt;=Parametros!$B$17,G606&gt;=H606,R606&lt;H606),"SÍ","")</f>
        <v/>
      </c>
      <c r="X606" s="3" t="str">
        <f aca="false">IF(OR(E606="SOBRE MAX VENDIBLE",N(N606)&gt;=Parametros!$B$17,N(M606)&gt;=Parametros!$B$17),"SÍ","")</f>
        <v/>
      </c>
      <c r="Y606" s="3" t="str">
        <f aca="false">IF(AND(ISNUMBER(U606),MAX(S606,T606)&gt;=Parametros!$B$15,ABS(N(U606))&gt;Parametros!$B$14),"SÍ","")</f>
        <v/>
      </c>
      <c r="Z606" s="3" t="n">
        <f aca="false">COUNTIF(V606:Y606,"SÍ")</f>
        <v>0</v>
      </c>
      <c r="AA606" s="3" t="n">
        <f aca="false">(3*(V606="SÍ")+2*(W606="SÍ")+2*(X606="SÍ")+(Y606="SÍ"))*IF(LEFT(D606,1)="A",3,IF(OR(LEFT(D606,1)="B",D606="SIN HIST"),2,1))</f>
        <v>0</v>
      </c>
      <c r="AB606" s="3" t="str">
        <f aca="false">IF(AA606&gt;=9,"1-ALTA",IF(AA606&gt;=4,"2-MEDIA",IF(AA606&gt;0,"3-BAJA","")))</f>
        <v/>
      </c>
      <c r="AC606" s="3" t="str">
        <f aca="false">IF(E606="BAJO SS","Stock + XLIB bajo el SS: riesgo real de quiebre, adelantar producción. ","")&amp;IF(E606="BAJO SS (XLIB CUBRE)","Disponible bajo el SS; depende de liberar "&amp;TEXT(J606,"#,##0")&amp;" kg"&amp;IF(ISNUMBER(K606)," el "&amp;TEXT(K606,"dd-mm"),"")&amp;". ","")&amp;IF(W606="SÍ","Stock parece sano pero "&amp;TEXT(L606,"#,##0")&amp;" kg no pasan filtro "&amp;Stock_Seguridad!O606&amp;": sin ellos queda bajo el SS para esa cadena. ","")&amp;IF(E606="SOBRE MAX VENDIBLE","Sobrestock vs vida útil: frenar producción/activar venta. ","")&amp;IF(N(N606)&gt;=Parametros!$B$17,TEXT(N606,"#,##0")&amp;" kg ya no los acepta ninguna cadena: venta intermedia/liquidación. ","")&amp;IF(N(M606)&gt;=Parametros!$B$17,TEXT(M606,"#,##0")&amp;" kg a punto de salir del filtro: despachar primero (FEFO). ","")&amp;IF(Y606="SÍ","Pedidos "&amp;IF(N(U606)&gt;0,"sobre","bajo")&amp;" FCST "&amp;TEXT(ABS(N(U606)),"0%")&amp;": revisar forecast con KAM.","")</f>
        <v/>
      </c>
    </row>
    <row r="607" customFormat="false" ht="15" hidden="false" customHeight="false" outlineLevel="0" collapsed="false">
      <c r="A607" s="18" t="n">
        <f aca="false">Stock_Seguridad!A607</f>
        <v>30001868</v>
      </c>
      <c r="B607" s="18" t="str">
        <f aca="false">Stock_Seguridad!B607</f>
        <v>MERMELADA WATTS INDU MARACUYA 6X1KG</v>
      </c>
      <c r="C607" s="18" t="str">
        <f aca="false">Stock_Seguridad!C607</f>
        <v>MERMELADAS</v>
      </c>
      <c r="D607" s="18" t="str">
        <f aca="false">Stock_Seguridad!F607</f>
        <v>SIN HIST</v>
      </c>
      <c r="E607" s="19" t="str">
        <f aca="false">Stock_Seguridad!X607</f>
        <v>OK</v>
      </c>
      <c r="F607" s="20" t="n">
        <f aca="false">Stock_Seguridad!W607</f>
        <v>3.72823048806708</v>
      </c>
      <c r="G607" s="21" t="n">
        <f aca="false">Stock_Seguridad!T607</f>
        <v>1734</v>
      </c>
      <c r="H607" s="21" t="n">
        <f aca="false">Stock_Seguridad!R607</f>
        <v>229.506426568539</v>
      </c>
      <c r="I607" s="21" t="n">
        <f aca="false">Stock_Seguridad!S607</f>
        <v>694.606426568539</v>
      </c>
      <c r="J607" s="21" t="n">
        <f aca="false">Stock_Seguridad!U607</f>
        <v>0</v>
      </c>
      <c r="K607" s="22"/>
      <c r="L607" s="23" t="n">
        <v>0</v>
      </c>
      <c r="M607" s="23" t="n">
        <v>0</v>
      </c>
      <c r="N607" s="23" t="n">
        <v>0</v>
      </c>
      <c r="O607" s="24" t="n">
        <v>0.105121107266436</v>
      </c>
      <c r="P607" s="24" t="n">
        <f aca="false">IF(ISNUMBER(Stock_Seguridad!N607),Stock_Seguridad!N607,"")</f>
        <v>0.273972602739726</v>
      </c>
      <c r="Q607" s="24" t="n">
        <f aca="false">IF(AND(ISNUMBER(O607),ISNUMBER(P607)),P607-O607,"")</f>
        <v>0.16885149547329</v>
      </c>
      <c r="R607" s="23" t="n">
        <f aca="false">MAX(0,G607-N(L607))</f>
        <v>1734</v>
      </c>
      <c r="S607" s="23" t="n">
        <f aca="false">SUMIFS(Cadenas_vs_FCST!$D$17:$D$2437,Cadenas_vs_FCST!$A$17:$A$2437,A607)</f>
        <v>0</v>
      </c>
      <c r="T607" s="23" t="n">
        <f aca="false">SUMIFS(Cadenas_vs_FCST!$E$17:$E$2437,Cadenas_vs_FCST!$A$17:$A$2437,A607)</f>
        <v>0</v>
      </c>
      <c r="U607" s="24" t="str">
        <f aca="false">IF(T607&gt;0,S607/T607-1,"")</f>
        <v/>
      </c>
      <c r="V607" s="3" t="str">
        <f aca="false">IF(OR(E607="BAJO SS",E607="BAJO SS (XLIB CUBRE)"),"SÍ","")</f>
        <v/>
      </c>
      <c r="W607" s="3" t="str">
        <f aca="false">IF(AND(V607="",N(L607)&gt;=Parametros!$B$17,G607&gt;=H607,R607&lt;H607),"SÍ","")</f>
        <v/>
      </c>
      <c r="X607" s="3" t="str">
        <f aca="false">IF(OR(E607="SOBRE MAX VENDIBLE",N(N607)&gt;=Parametros!$B$17,N(M607)&gt;=Parametros!$B$17),"SÍ","")</f>
        <v/>
      </c>
      <c r="Y607" s="3" t="str">
        <f aca="false">IF(AND(ISNUMBER(U607),MAX(S607,T607)&gt;=Parametros!$B$15,ABS(N(U607))&gt;Parametros!$B$14),"SÍ","")</f>
        <v/>
      </c>
      <c r="Z607" s="3" t="n">
        <f aca="false">COUNTIF(V607:Y607,"SÍ")</f>
        <v>0</v>
      </c>
      <c r="AA607" s="3" t="n">
        <f aca="false">(3*(V607="SÍ")+2*(W607="SÍ")+2*(X607="SÍ")+(Y607="SÍ"))*IF(LEFT(D607,1)="A",3,IF(OR(LEFT(D607,1)="B",D607="SIN HIST"),2,1))</f>
        <v>0</v>
      </c>
      <c r="AB607" s="3" t="str">
        <f aca="false">IF(AA607&gt;=9,"1-ALTA",IF(AA607&gt;=4,"2-MEDIA",IF(AA607&gt;0,"3-BAJA","")))</f>
        <v/>
      </c>
      <c r="AC607" s="3" t="str">
        <f aca="false">IF(E607="BAJO SS","Stock + XLIB bajo el SS: riesgo real de quiebre, adelantar producción. ","")&amp;IF(E607="BAJO SS (XLIB CUBRE)","Disponible bajo el SS; depende de liberar "&amp;TEXT(J607,"#,##0")&amp;" kg"&amp;IF(ISNUMBER(K607)," el "&amp;TEXT(K607,"dd-mm"),"")&amp;". ","")&amp;IF(W607="SÍ","Stock parece sano pero "&amp;TEXT(L607,"#,##0")&amp;" kg no pasan filtro "&amp;Stock_Seguridad!O607&amp;": sin ellos queda bajo el SS para esa cadena. ","")&amp;IF(E607="SOBRE MAX VENDIBLE","Sobrestock vs vida útil: frenar producción/activar venta. ","")&amp;IF(N(N607)&gt;=Parametros!$B$17,TEXT(N607,"#,##0")&amp;" kg ya no los acepta ninguna cadena: venta intermedia/liquidación. ","")&amp;IF(N(M607)&gt;=Parametros!$B$17,TEXT(M607,"#,##0")&amp;" kg a punto de salir del filtro: despachar primero (FEFO). ","")&amp;IF(Y607="SÍ","Pedidos "&amp;IF(N(U607)&gt;0,"sobre","bajo")&amp;" FCST "&amp;TEXT(ABS(N(U607)),"0%")&amp;": revisar forecast con KAM.","")</f>
        <v/>
      </c>
    </row>
    <row r="608" customFormat="false" ht="15" hidden="false" customHeight="false" outlineLevel="0" collapsed="false">
      <c r="A608" s="18" t="n">
        <f aca="false">Stock_Seguridad!A608</f>
        <v>30000108</v>
      </c>
      <c r="B608" s="18" t="str">
        <f aca="false">Stock_Seguridad!B608</f>
        <v>MARGARINA HORNITO HOJA 1X20KG</v>
      </c>
      <c r="C608" s="18" t="str">
        <f aca="false">Stock_Seguridad!C608</f>
        <v>MARGARINAS</v>
      </c>
      <c r="D608" s="18" t="str">
        <f aca="false">Stock_Seguridad!F608</f>
        <v>SIN HIST</v>
      </c>
      <c r="E608" s="19" t="str">
        <f aca="false">Stock_Seguridad!X608</f>
        <v>OK</v>
      </c>
      <c r="F608" s="20" t="n">
        <f aca="false">Stock_Seguridad!W608</f>
        <v>5.9342076972694</v>
      </c>
      <c r="G608" s="21" t="n">
        <f aca="false">Stock_Seguridad!T608</f>
        <v>2760</v>
      </c>
      <c r="H608" s="21" t="n">
        <f aca="false">Stock_Seguridad!R608</f>
        <v>229.506426568539</v>
      </c>
      <c r="I608" s="21" t="n">
        <f aca="false">Stock_Seguridad!S608</f>
        <v>694.606426568539</v>
      </c>
      <c r="J608" s="21" t="n">
        <f aca="false">Stock_Seguridad!U608</f>
        <v>0</v>
      </c>
      <c r="K608" s="22"/>
      <c r="L608" s="23" t="n">
        <v>0</v>
      </c>
      <c r="M608" s="23" t="n">
        <v>0</v>
      </c>
      <c r="N608" s="23" t="n">
        <v>0</v>
      </c>
      <c r="O608" s="24" t="n">
        <v>0.05</v>
      </c>
      <c r="P608" s="24" t="n">
        <f aca="false">IF(ISNUMBER(Stock_Seguridad!N608),Stock_Seguridad!N608,"")</f>
        <v>0.220408163265306</v>
      </c>
      <c r="Q608" s="24" t="n">
        <f aca="false">IF(AND(ISNUMBER(O608),ISNUMBER(P608)),P608-O608,"")</f>
        <v>0.170408163265306</v>
      </c>
      <c r="R608" s="23" t="n">
        <f aca="false">MAX(0,G608-N(L608))</f>
        <v>2760</v>
      </c>
      <c r="S608" s="23" t="n">
        <f aca="false">SUMIFS(Cadenas_vs_FCST!$D$17:$D$2437,Cadenas_vs_FCST!$A$17:$A$2437,A608)</f>
        <v>0</v>
      </c>
      <c r="T608" s="23" t="n">
        <f aca="false">SUMIFS(Cadenas_vs_FCST!$E$17:$E$2437,Cadenas_vs_FCST!$A$17:$A$2437,A608)</f>
        <v>0</v>
      </c>
      <c r="U608" s="24" t="str">
        <f aca="false">IF(T608&gt;0,S608/T608-1,"")</f>
        <v/>
      </c>
      <c r="V608" s="3" t="str">
        <f aca="false">IF(OR(E608="BAJO SS",E608="BAJO SS (XLIB CUBRE)"),"SÍ","")</f>
        <v/>
      </c>
      <c r="W608" s="3" t="str">
        <f aca="false">IF(AND(V608="",N(L608)&gt;=Parametros!$B$17,G608&gt;=H608,R608&lt;H608),"SÍ","")</f>
        <v/>
      </c>
      <c r="X608" s="3" t="str">
        <f aca="false">IF(OR(E608="SOBRE MAX VENDIBLE",N(N608)&gt;=Parametros!$B$17,N(M608)&gt;=Parametros!$B$17),"SÍ","")</f>
        <v/>
      </c>
      <c r="Y608" s="3" t="str">
        <f aca="false">IF(AND(ISNUMBER(U608),MAX(S608,T608)&gt;=Parametros!$B$15,ABS(N(U608))&gt;Parametros!$B$14),"SÍ","")</f>
        <v/>
      </c>
      <c r="Z608" s="3" t="n">
        <f aca="false">COUNTIF(V608:Y608,"SÍ")</f>
        <v>0</v>
      </c>
      <c r="AA608" s="3" t="n">
        <f aca="false">(3*(V608="SÍ")+2*(W608="SÍ")+2*(X608="SÍ")+(Y608="SÍ"))*IF(LEFT(D608,1)="A",3,IF(OR(LEFT(D608,1)="B",D608="SIN HIST"),2,1))</f>
        <v>0</v>
      </c>
      <c r="AB608" s="3" t="str">
        <f aca="false">IF(AA608&gt;=9,"1-ALTA",IF(AA608&gt;=4,"2-MEDIA",IF(AA608&gt;0,"3-BAJA","")))</f>
        <v/>
      </c>
      <c r="AC608" s="3" t="str">
        <f aca="false">IF(E608="BAJO SS","Stock + XLIB bajo el SS: riesgo real de quiebre, adelantar producción. ","")&amp;IF(E608="BAJO SS (XLIB CUBRE)","Disponible bajo el SS; depende de liberar "&amp;TEXT(J608,"#,##0")&amp;" kg"&amp;IF(ISNUMBER(K608)," el "&amp;TEXT(K608,"dd-mm"),"")&amp;". ","")&amp;IF(W608="SÍ","Stock parece sano pero "&amp;TEXT(L608,"#,##0")&amp;" kg no pasan filtro "&amp;Stock_Seguridad!O608&amp;": sin ellos queda bajo el SS para esa cadena. ","")&amp;IF(E608="SOBRE MAX VENDIBLE","Sobrestock vs vida útil: frenar producción/activar venta. ","")&amp;IF(N(N608)&gt;=Parametros!$B$17,TEXT(N608,"#,##0")&amp;" kg ya no los acepta ninguna cadena: venta intermedia/liquidación. ","")&amp;IF(N(M608)&gt;=Parametros!$B$17,TEXT(M608,"#,##0")&amp;" kg a punto de salir del filtro: despachar primero (FEFO). ","")&amp;IF(Y608="SÍ","Pedidos "&amp;IF(N(U608)&gt;0,"sobre","bajo")&amp;" FCST "&amp;TEXT(ABS(N(U608)),"0%")&amp;": revisar forecast con KAM.","")</f>
        <v/>
      </c>
    </row>
    <row r="609" customFormat="false" ht="15" hidden="false" customHeight="false" outlineLevel="0" collapsed="false">
      <c r="A609" s="18" t="n">
        <f aca="false">Stock_Seguridad!A609</f>
        <v>30000110</v>
      </c>
      <c r="B609" s="18" t="str">
        <f aca="false">Stock_Seguridad!B609</f>
        <v>MARGARINA HORNITO PANADERIA BOLSA 10X1KG</v>
      </c>
      <c r="C609" s="18" t="str">
        <f aca="false">Stock_Seguridad!C609</f>
        <v>MARGARINAS</v>
      </c>
      <c r="D609" s="18" t="str">
        <f aca="false">Stock_Seguridad!F609</f>
        <v>SIN HIST</v>
      </c>
      <c r="E609" s="19" t="str">
        <f aca="false">Stock_Seguridad!X609</f>
        <v>SOBRE MAX VENDIBLE</v>
      </c>
      <c r="F609" s="20" t="n">
        <f aca="false">Stock_Seguridad!W609</f>
        <v>10.7288755106429</v>
      </c>
      <c r="G609" s="21" t="n">
        <f aca="false">Stock_Seguridad!T609</f>
        <v>950</v>
      </c>
      <c r="H609" s="21" t="n">
        <f aca="false">Stock_Seguridad!R609</f>
        <v>229.506426568539</v>
      </c>
      <c r="I609" s="21" t="n">
        <f aca="false">Stock_Seguridad!S609</f>
        <v>694.606426568539</v>
      </c>
      <c r="J609" s="21" t="n">
        <f aca="false">Stock_Seguridad!U609</f>
        <v>4040</v>
      </c>
      <c r="K609" s="22" t="n">
        <v>46318</v>
      </c>
      <c r="L609" s="23" t="n">
        <v>0</v>
      </c>
      <c r="M609" s="23" t="n">
        <v>0</v>
      </c>
      <c r="N609" s="23" t="n">
        <v>0</v>
      </c>
      <c r="O609" s="24" t="n">
        <v>0.0655110220440882</v>
      </c>
      <c r="P609" s="24" t="n">
        <f aca="false">IF(ISNUMBER(Stock_Seguridad!N609),Stock_Seguridad!N609,"")</f>
        <v>0.217391304347826</v>
      </c>
      <c r="Q609" s="24" t="n">
        <f aca="false">IF(AND(ISNUMBER(O609),ISNUMBER(P609)),P609-O609,"")</f>
        <v>0.151880282303738</v>
      </c>
      <c r="R609" s="23" t="n">
        <f aca="false">MAX(0,G609-N(L609))</f>
        <v>950</v>
      </c>
      <c r="S609" s="23" t="n">
        <f aca="false">SUMIFS(Cadenas_vs_FCST!$D$17:$D$2437,Cadenas_vs_FCST!$A$17:$A$2437,A609)</f>
        <v>0</v>
      </c>
      <c r="T609" s="23" t="n">
        <f aca="false">SUMIFS(Cadenas_vs_FCST!$E$17:$E$2437,Cadenas_vs_FCST!$A$17:$A$2437,A609)</f>
        <v>0</v>
      </c>
      <c r="U609" s="24" t="str">
        <f aca="false">IF(T609&gt;0,S609/T609-1,"")</f>
        <v/>
      </c>
      <c r="V609" s="3" t="str">
        <f aca="false">IF(OR(E609="BAJO SS",E609="BAJO SS (XLIB CUBRE)"),"SÍ","")</f>
        <v/>
      </c>
      <c r="W609" s="3" t="str">
        <f aca="false">IF(AND(V609="",N(L609)&gt;=Parametros!$B$17,G609&gt;=H609,R609&lt;H609),"SÍ","")</f>
        <v/>
      </c>
      <c r="X609" s="3" t="str">
        <f aca="false">IF(OR(E609="SOBRE MAX VENDIBLE",N(N609)&gt;=Parametros!$B$17,N(M609)&gt;=Parametros!$B$17),"SÍ","")</f>
        <v>SÍ</v>
      </c>
      <c r="Y609" s="3" t="str">
        <f aca="false">IF(AND(ISNUMBER(U609),MAX(S609,T609)&gt;=Parametros!$B$15,ABS(N(U609))&gt;Parametros!$B$14),"SÍ","")</f>
        <v/>
      </c>
      <c r="Z609" s="3" t="n">
        <f aca="false">COUNTIF(V609:Y609,"SÍ")</f>
        <v>1</v>
      </c>
      <c r="AA609" s="3" t="n">
        <f aca="false">(3*(V609="SÍ")+2*(W609="SÍ")+2*(X609="SÍ")+(Y609="SÍ"))*IF(LEFT(D609,1)="A",3,IF(OR(LEFT(D609,1)="B",D609="SIN HIST"),2,1))</f>
        <v>4</v>
      </c>
      <c r="AB609" s="3" t="str">
        <f aca="false">IF(AA609&gt;=9,"1-ALTA",IF(AA609&gt;=4,"2-MEDIA",IF(AA609&gt;0,"3-BAJA","")))</f>
        <v>2-MEDIA</v>
      </c>
      <c r="AC609" s="3" t="str">
        <f aca="false">IF(E609="BAJO SS","Stock + XLIB bajo el SS: riesgo real de quiebre, adelantar producción. ","")&amp;IF(E609="BAJO SS (XLIB CUBRE)","Disponible bajo el SS; depende de liberar "&amp;TEXT(J609,"#,##0")&amp;" kg"&amp;IF(ISNUMBER(K609)," el "&amp;TEXT(K609,"dd-mm"),"")&amp;". ","")&amp;IF(W609="SÍ","Stock parece sano pero "&amp;TEXT(L609,"#,##0")&amp;" kg no pasan filtro "&amp;Stock_Seguridad!O609&amp;": sin ellos queda bajo el SS para esa cadena. ","")&amp;IF(E609="SOBRE MAX VENDIBLE","Sobrestock vs vida útil: frenar producción/activar venta. ","")&amp;IF(N(N609)&gt;=Parametros!$B$17,TEXT(N609,"#,##0")&amp;" kg ya no los acepta ninguna cadena: venta intermedia/liquidación. ","")&amp;IF(N(M609)&gt;=Parametros!$B$17,TEXT(M609,"#,##0")&amp;" kg a punto de salir del filtro: despachar primero (FEFO). ","")&amp;IF(Y609="SÍ","Pedidos "&amp;IF(N(U609)&gt;0,"sobre","bajo")&amp;" FCST "&amp;TEXT(ABS(N(U609)),"0%")&amp;": revisar forecast con KAM.","")</f>
        <v>Sobrestock vs vida útil: frenar producción/activar venta. </v>
      </c>
    </row>
    <row r="610" customFormat="false" ht="15" hidden="false" customHeight="false" outlineLevel="0" collapsed="false">
      <c r="A610" s="18" t="n">
        <f aca="false">Stock_Seguridad!A610</f>
        <v>30000303</v>
      </c>
      <c r="B610" s="18" t="str">
        <f aca="false">Stock_Seguridad!B610</f>
        <v>MANTEQUILLA PANIF LONCO 10X1KG</v>
      </c>
      <c r="C610" s="18" t="str">
        <f aca="false">Stock_Seguridad!C610</f>
        <v>MANTEQUILLAS</v>
      </c>
      <c r="D610" s="18" t="str">
        <f aca="false">Stock_Seguridad!F610</f>
        <v>SIN HIST</v>
      </c>
      <c r="E610" s="19" t="str">
        <f aca="false">Stock_Seguridad!X610</f>
        <v>BAJO SS</v>
      </c>
      <c r="F610" s="20" t="n">
        <f aca="false">Stock_Seguridad!W610</f>
        <v>0</v>
      </c>
      <c r="G610" s="21" t="n">
        <f aca="false">Stock_Seguridad!T610</f>
        <v>0</v>
      </c>
      <c r="H610" s="21" t="n">
        <f aca="false">Stock_Seguridad!R610</f>
        <v>229.506426568539</v>
      </c>
      <c r="I610" s="21" t="n">
        <f aca="false">Stock_Seguridad!S610</f>
        <v>694.606426568539</v>
      </c>
      <c r="J610" s="21" t="n">
        <f aca="false">Stock_Seguridad!U610</f>
        <v>0</v>
      </c>
      <c r="K610" s="22"/>
      <c r="L610" s="23"/>
      <c r="M610" s="23"/>
      <c r="N610" s="23"/>
      <c r="O610" s="24"/>
      <c r="P610" s="24" t="n">
        <f aca="false">IF(ISNUMBER(Stock_Seguridad!N610),Stock_Seguridad!N610,"")</f>
        <v>0.217391304347826</v>
      </c>
      <c r="Q610" s="24" t="str">
        <f aca="false">IF(AND(ISNUMBER(O610),ISNUMBER(P610)),P610-O610,"")</f>
        <v/>
      </c>
      <c r="R610" s="23" t="n">
        <f aca="false">MAX(0,G610-N(L610))</f>
        <v>0</v>
      </c>
      <c r="S610" s="23" t="n">
        <f aca="false">SUMIFS(Cadenas_vs_FCST!$D$17:$D$2437,Cadenas_vs_FCST!$A$17:$A$2437,A610)</f>
        <v>0</v>
      </c>
      <c r="T610" s="23" t="n">
        <f aca="false">SUMIFS(Cadenas_vs_FCST!$E$17:$E$2437,Cadenas_vs_FCST!$A$17:$A$2437,A610)</f>
        <v>0</v>
      </c>
      <c r="U610" s="24" t="str">
        <f aca="false">IF(T610&gt;0,S610/T610-1,"")</f>
        <v/>
      </c>
      <c r="V610" s="3" t="str">
        <f aca="false">IF(OR(E610="BAJO SS",E610="BAJO SS (XLIB CUBRE)"),"SÍ","")</f>
        <v>SÍ</v>
      </c>
      <c r="W610" s="3" t="str">
        <f aca="false">IF(AND(V610="",N(L610)&gt;=Parametros!$B$17,G610&gt;=H610,R610&lt;H610),"SÍ","")</f>
        <v/>
      </c>
      <c r="X610" s="3" t="str">
        <f aca="false">IF(OR(E610="SOBRE MAX VENDIBLE",N(N610)&gt;=Parametros!$B$17,N(M610)&gt;=Parametros!$B$17),"SÍ","")</f>
        <v/>
      </c>
      <c r="Y610" s="3" t="str">
        <f aca="false">IF(AND(ISNUMBER(U610),MAX(S610,T610)&gt;=Parametros!$B$15,ABS(N(U610))&gt;Parametros!$B$14),"SÍ","")</f>
        <v/>
      </c>
      <c r="Z610" s="3" t="n">
        <f aca="false">COUNTIF(V610:Y610,"SÍ")</f>
        <v>1</v>
      </c>
      <c r="AA610" s="3" t="n">
        <f aca="false">(3*(V610="SÍ")+2*(W610="SÍ")+2*(X610="SÍ")+(Y610="SÍ"))*IF(LEFT(D610,1)="A",3,IF(OR(LEFT(D610,1)="B",D610="SIN HIST"),2,1))</f>
        <v>6</v>
      </c>
      <c r="AB610" s="3" t="str">
        <f aca="false">IF(AA610&gt;=9,"1-ALTA",IF(AA610&gt;=4,"2-MEDIA",IF(AA610&gt;0,"3-BAJA","")))</f>
        <v>2-MEDIA</v>
      </c>
      <c r="AC610" s="3" t="str">
        <f aca="false">IF(E610="BAJO SS","Stock + XLIB bajo el SS: riesgo real de quiebre, adelantar producción. ","")&amp;IF(E610="BAJO SS (XLIB CUBRE)","Disponible bajo el SS; depende de liberar "&amp;TEXT(J610,"#,##0")&amp;" kg"&amp;IF(ISNUMBER(K610)," el "&amp;TEXT(K610,"dd-mm"),"")&amp;". ","")&amp;IF(W610="SÍ","Stock parece sano pero "&amp;TEXT(L610,"#,##0")&amp;" kg no pasan filtro "&amp;Stock_Seguridad!O610&amp;": sin ellos queda bajo el SS para esa cadena. ","")&amp;IF(E610="SOBRE MAX VENDIBLE","Sobrestock vs vida útil: frenar producción/activar venta. ","")&amp;IF(N(N610)&gt;=Parametros!$B$17,TEXT(N610,"#,##0")&amp;" kg ya no los acepta ninguna cadena: venta intermedia/liquidación. ","")&amp;IF(N(M610)&gt;=Parametros!$B$17,TEXT(M610,"#,##0")&amp;" kg a punto de salir del filtro: despachar primero (FEFO). ","")&amp;IF(Y610="SÍ","Pedidos "&amp;IF(N(U610)&gt;0,"sobre","bajo")&amp;" FCST "&amp;TEXT(ABS(N(U610)),"0%")&amp;": revisar forecast con KAM.","")</f>
        <v>Stock + XLIB bajo el SS: riesgo real de quiebre, adelantar producción. </v>
      </c>
    </row>
    <row r="611" customFormat="false" ht="15" hidden="false" customHeight="false" outlineLevel="0" collapsed="false">
      <c r="A611" s="18" t="n">
        <f aca="false">Stock_Seguridad!A611</f>
        <v>30002249</v>
      </c>
      <c r="B611" s="18" t="str">
        <f aca="false">Stock_Seguridad!B611</f>
        <v>SALSA CHOCOLATE AMERICANO 10X1KG</v>
      </c>
      <c r="C611" s="18" t="str">
        <f aca="false">Stock_Seguridad!C611</f>
        <v>TOPPINGS</v>
      </c>
      <c r="D611" s="18" t="str">
        <f aca="false">Stock_Seguridad!F611</f>
        <v>SIN HIST</v>
      </c>
      <c r="E611" s="19" t="str">
        <f aca="false">Stock_Seguridad!X611</f>
        <v>OK</v>
      </c>
      <c r="F611" s="20" t="n">
        <f aca="false">Stock_Seguridad!W611</f>
        <v>9.50333261664158</v>
      </c>
      <c r="G611" s="21" t="n">
        <f aca="false">Stock_Seguridad!T611</f>
        <v>4420</v>
      </c>
      <c r="H611" s="21" t="n">
        <f aca="false">Stock_Seguridad!R611</f>
        <v>229.506426568539</v>
      </c>
      <c r="I611" s="21" t="n">
        <f aca="false">Stock_Seguridad!S611</f>
        <v>694.606426568539</v>
      </c>
      <c r="J611" s="21" t="n">
        <f aca="false">Stock_Seguridad!U611</f>
        <v>0</v>
      </c>
      <c r="K611" s="22"/>
      <c r="L611" s="23" t="n">
        <v>0</v>
      </c>
      <c r="M611" s="23" t="n">
        <v>0</v>
      </c>
      <c r="N611" s="23" t="n">
        <v>0</v>
      </c>
      <c r="O611" s="24" t="n">
        <v>0.317805429864253</v>
      </c>
      <c r="P611" s="24" t="str">
        <f aca="false">IF(ISNUMBER(Stock_Seguridad!N611),Stock_Seguridad!N611,"")</f>
        <v/>
      </c>
      <c r="Q611" s="24" t="str">
        <f aca="false">IF(AND(ISNUMBER(O611),ISNUMBER(P611)),P611-O611,"")</f>
        <v/>
      </c>
      <c r="R611" s="23" t="n">
        <f aca="false">MAX(0,G611-N(L611))</f>
        <v>4420</v>
      </c>
      <c r="S611" s="23" t="n">
        <f aca="false">SUMIFS(Cadenas_vs_FCST!$D$17:$D$2437,Cadenas_vs_FCST!$A$17:$A$2437,A611)</f>
        <v>0</v>
      </c>
      <c r="T611" s="23" t="n">
        <f aca="false">SUMIFS(Cadenas_vs_FCST!$E$17:$E$2437,Cadenas_vs_FCST!$A$17:$A$2437,A611)</f>
        <v>0</v>
      </c>
      <c r="U611" s="24" t="str">
        <f aca="false">IF(T611&gt;0,S611/T611-1,"")</f>
        <v/>
      </c>
      <c r="V611" s="3" t="str">
        <f aca="false">IF(OR(E611="BAJO SS",E611="BAJO SS (XLIB CUBRE)"),"SÍ","")</f>
        <v/>
      </c>
      <c r="W611" s="3" t="str">
        <f aca="false">IF(AND(V611="",N(L611)&gt;=Parametros!$B$17,G611&gt;=H611,R611&lt;H611),"SÍ","")</f>
        <v/>
      </c>
      <c r="X611" s="3" t="str">
        <f aca="false">IF(OR(E611="SOBRE MAX VENDIBLE",N(N611)&gt;=Parametros!$B$17,N(M611)&gt;=Parametros!$B$17),"SÍ","")</f>
        <v/>
      </c>
      <c r="Y611" s="3" t="str">
        <f aca="false">IF(AND(ISNUMBER(U611),MAX(S611,T611)&gt;=Parametros!$B$15,ABS(N(U611))&gt;Parametros!$B$14),"SÍ","")</f>
        <v/>
      </c>
      <c r="Z611" s="3" t="n">
        <f aca="false">COUNTIF(V611:Y611,"SÍ")</f>
        <v>0</v>
      </c>
      <c r="AA611" s="3" t="n">
        <f aca="false">(3*(V611="SÍ")+2*(W611="SÍ")+2*(X611="SÍ")+(Y611="SÍ"))*IF(LEFT(D611,1)="A",3,IF(OR(LEFT(D611,1)="B",D611="SIN HIST"),2,1))</f>
        <v>0</v>
      </c>
      <c r="AB611" s="3" t="str">
        <f aca="false">IF(AA611&gt;=9,"1-ALTA",IF(AA611&gt;=4,"2-MEDIA",IF(AA611&gt;0,"3-BAJA","")))</f>
        <v/>
      </c>
      <c r="AC611" s="3" t="str">
        <f aca="false">IF(E611="BAJO SS","Stock + XLIB bajo el SS: riesgo real de quiebre, adelantar producción. ","")&amp;IF(E611="BAJO SS (XLIB CUBRE)","Disponible bajo el SS; depende de liberar "&amp;TEXT(J611,"#,##0")&amp;" kg"&amp;IF(ISNUMBER(K611)," el "&amp;TEXT(K611,"dd-mm"),"")&amp;". ","")&amp;IF(W611="SÍ","Stock parece sano pero "&amp;TEXT(L611,"#,##0")&amp;" kg no pasan filtro "&amp;Stock_Seguridad!O611&amp;": sin ellos queda bajo el SS para esa cadena. ","")&amp;IF(E611="SOBRE MAX VENDIBLE","Sobrestock vs vida útil: frenar producción/activar venta. ","")&amp;IF(N(N611)&gt;=Parametros!$B$17,TEXT(N611,"#,##0")&amp;" kg ya no los acepta ninguna cadena: venta intermedia/liquidación. ","")&amp;IF(N(M611)&gt;=Parametros!$B$17,TEXT(M611,"#,##0")&amp;" kg a punto de salir del filtro: despachar primero (FEFO). ","")&amp;IF(Y611="SÍ","Pedidos "&amp;IF(N(U611)&gt;0,"sobre","bajo")&amp;" FCST "&amp;TEXT(ABS(N(U611)),"0%")&amp;": revisar forecast con KAM.","")</f>
        <v/>
      </c>
    </row>
    <row r="612" customFormat="false" ht="15" hidden="false" customHeight="false" outlineLevel="0" collapsed="false">
      <c r="A612" s="18" t="n">
        <f aca="false">Stock_Seguridad!A612</f>
        <v>30002137</v>
      </c>
      <c r="B612" s="18" t="str">
        <f aca="false">Stock_Seguridad!B612</f>
        <v>QUESO CREMA LPV NATURAL TUBO 28X150GR</v>
      </c>
      <c r="C612" s="18" t="str">
        <f aca="false">Stock_Seguridad!C612</f>
        <v>QUESOS</v>
      </c>
      <c r="D612" s="18" t="str">
        <f aca="false">Stock_Seguridad!F612</f>
        <v>CX</v>
      </c>
      <c r="E612" s="19" t="str">
        <f aca="false">Stock_Seguridad!X612</f>
        <v>OK</v>
      </c>
      <c r="F612" s="20" t="n">
        <f aca="false">Stock_Seguridad!W612</f>
        <v>2.31466666666667</v>
      </c>
      <c r="G612" s="21" t="n">
        <f aca="false">Stock_Seguridad!T612</f>
        <v>1041.6</v>
      </c>
      <c r="H612" s="21" t="n">
        <f aca="false">Stock_Seguridad!R612</f>
        <v>358.018509724523</v>
      </c>
      <c r="I612" s="21" t="n">
        <f aca="false">Stock_Seguridad!S612</f>
        <v>808.018509724523</v>
      </c>
      <c r="J612" s="21" t="n">
        <f aca="false">Stock_Seguridad!U612</f>
        <v>0</v>
      </c>
      <c r="K612" s="22"/>
      <c r="L612" s="23" t="n">
        <v>550.2</v>
      </c>
      <c r="M612" s="23" t="n">
        <v>0</v>
      </c>
      <c r="N612" s="23" t="n">
        <v>54.6</v>
      </c>
      <c r="O612" s="24" t="n">
        <v>0.224072580645161</v>
      </c>
      <c r="P612" s="24" t="n">
        <f aca="false">IF(ISNUMBER(Stock_Seguridad!N612),Stock_Seguridad!N612,"")</f>
        <v>0.211956521739131</v>
      </c>
      <c r="Q612" s="24" t="n">
        <f aca="false">IF(AND(ISNUMBER(O612),ISNUMBER(P612)),P612-O612,"")</f>
        <v>-0.0121160589060308</v>
      </c>
      <c r="R612" s="23" t="n">
        <f aca="false">MAX(0,G612-N(L612))</f>
        <v>491.4</v>
      </c>
      <c r="S612" s="23" t="n">
        <f aca="false">SUMIFS(Cadenas_vs_FCST!$D$17:$D$2437,Cadenas_vs_FCST!$A$17:$A$2437,A612)</f>
        <v>932.4</v>
      </c>
      <c r="T612" s="23" t="n">
        <f aca="false">SUMIFS(Cadenas_vs_FCST!$E$17:$E$2437,Cadenas_vs_FCST!$A$17:$A$2437,A612)</f>
        <v>1940.79389736541</v>
      </c>
      <c r="U612" s="24" t="n">
        <f aca="false">IF(T612&gt;0,S612/T612-1,"")</f>
        <v>-0.519578044188146</v>
      </c>
      <c r="V612" s="3" t="str">
        <f aca="false">IF(OR(E612="BAJO SS",E612="BAJO SS (XLIB CUBRE)"),"SÍ","")</f>
        <v/>
      </c>
      <c r="W612" s="3" t="str">
        <f aca="false">IF(AND(V612="",N(L612)&gt;=Parametros!$B$17,G612&gt;=H612,R612&lt;H612),"SÍ","")</f>
        <v/>
      </c>
      <c r="X612" s="3" t="str">
        <f aca="false">IF(OR(E612="SOBRE MAX VENDIBLE",N(N612)&gt;=Parametros!$B$17,N(M612)&gt;=Parametros!$B$17),"SÍ","")</f>
        <v/>
      </c>
      <c r="Y612" s="3" t="str">
        <f aca="false">IF(AND(ISNUMBER(U612),MAX(S612,T612)&gt;=Parametros!$B$15,ABS(N(U612))&gt;Parametros!$B$14),"SÍ","")</f>
        <v/>
      </c>
      <c r="Z612" s="3" t="n">
        <f aca="false">COUNTIF(V612:Y612,"SÍ")</f>
        <v>0</v>
      </c>
      <c r="AA612" s="3" t="n">
        <f aca="false">(3*(V612="SÍ")+2*(W612="SÍ")+2*(X612="SÍ")+(Y612="SÍ"))*IF(LEFT(D612,1)="A",3,IF(OR(LEFT(D612,1)="B",D612="SIN HIST"),2,1))</f>
        <v>0</v>
      </c>
      <c r="AB612" s="3" t="str">
        <f aca="false">IF(AA612&gt;=9,"1-ALTA",IF(AA612&gt;=4,"2-MEDIA",IF(AA612&gt;0,"3-BAJA","")))</f>
        <v/>
      </c>
      <c r="AC612" s="3" t="str">
        <f aca="false">IF(E612="BAJO SS","Stock + XLIB bajo el SS: riesgo real de quiebre, adelantar producción. ","")&amp;IF(E612="BAJO SS (XLIB CUBRE)","Disponible bajo el SS; depende de liberar "&amp;TEXT(J612,"#,##0")&amp;" kg"&amp;IF(ISNUMBER(K612)," el "&amp;TEXT(K612,"dd-mm"),"")&amp;". ","")&amp;IF(W612="SÍ","Stock parece sano pero "&amp;TEXT(L612,"#,##0")&amp;" kg no pasan filtro "&amp;Stock_Seguridad!O612&amp;": sin ellos queda bajo el SS para esa cadena. ","")&amp;IF(E612="SOBRE MAX VENDIBLE","Sobrestock vs vida útil: frenar producción/activar venta. ","")&amp;IF(N(N612)&gt;=Parametros!$B$17,TEXT(N612,"#,##0")&amp;" kg ya no los acepta ninguna cadena: venta intermedia/liquidación. ","")&amp;IF(N(M612)&gt;=Parametros!$B$17,TEXT(M612,"#,##0")&amp;" kg a punto de salir del filtro: despachar primero (FEFO). ","")&amp;IF(Y612="SÍ","Pedidos "&amp;IF(N(U612)&gt;0,"sobre","bajo")&amp;" FCST "&amp;TEXT(ABS(N(U612)),"0%")&amp;": revisar forecast con KAM.","")</f>
        <v/>
      </c>
    </row>
    <row r="613" customFormat="false" ht="15" hidden="false" customHeight="false" outlineLevel="0" collapsed="false">
      <c r="A613" s="18" t="n">
        <f aca="false">Stock_Seguridad!A613</f>
        <v>30001341</v>
      </c>
      <c r="B613" s="18" t="str">
        <f aca="false">Stock_Seguridad!B613</f>
        <v>MANTECA ASTRA12X900 G</v>
      </c>
      <c r="C613" s="18" t="str">
        <f aca="false">Stock_Seguridad!C613</f>
        <v>MANTECAS</v>
      </c>
      <c r="D613" s="18" t="str">
        <f aca="false">Stock_Seguridad!F613</f>
        <v>CY</v>
      </c>
      <c r="E613" s="19" t="str">
        <f aca="false">Stock_Seguridad!X613</f>
        <v>SOBRE MAX VENDIBLE</v>
      </c>
      <c r="F613" s="20" t="n">
        <f aca="false">Stock_Seguridad!W613</f>
        <v>12.072</v>
      </c>
      <c r="G613" s="21" t="n">
        <f aca="false">Stock_Seguridad!T613</f>
        <v>5432.4</v>
      </c>
      <c r="H613" s="21" t="n">
        <f aca="false">Stock_Seguridad!R613</f>
        <v>1061.78751913715</v>
      </c>
      <c r="I613" s="21" t="n">
        <f aca="false">Stock_Seguridad!S613</f>
        <v>1511.78751913715</v>
      </c>
      <c r="J613" s="21" t="n">
        <f aca="false">Stock_Seguridad!U613</f>
        <v>0</v>
      </c>
      <c r="K613" s="22"/>
      <c r="L613" s="23" t="n">
        <v>0</v>
      </c>
      <c r="M613" s="23" t="n">
        <v>5432.4</v>
      </c>
      <c r="N613" s="23" t="n">
        <v>0</v>
      </c>
      <c r="O613" s="24" t="n">
        <v>0.20427435387674</v>
      </c>
      <c r="P613" s="24" t="n">
        <f aca="false">IF(ISNUMBER(Stock_Seguridad!N613),Stock_Seguridad!N613,"")</f>
        <v>0.244565217391304</v>
      </c>
      <c r="Q613" s="24" t="n">
        <f aca="false">IF(AND(ISNUMBER(O613),ISNUMBER(P613)),P613-O613,"")</f>
        <v>0.0402908635145647</v>
      </c>
      <c r="R613" s="23" t="n">
        <f aca="false">MAX(0,G613-N(L613))</f>
        <v>5432.4</v>
      </c>
      <c r="S613" s="23" t="n">
        <f aca="false">SUMIFS(Cadenas_vs_FCST!$D$17:$D$2437,Cadenas_vs_FCST!$A$17:$A$2437,A613)</f>
        <v>4654.8</v>
      </c>
      <c r="T613" s="23" t="n">
        <f aca="false">SUMIFS(Cadenas_vs_FCST!$E$17:$E$2437,Cadenas_vs_FCST!$A$17:$A$2437,A613)</f>
        <v>5516.30793509843</v>
      </c>
      <c r="U613" s="24" t="n">
        <f aca="false">IF(T613&gt;0,S613/T613-1,"")</f>
        <v>-0.15617473593469</v>
      </c>
      <c r="V613" s="3" t="str">
        <f aca="false">IF(OR(E613="BAJO SS",E613="BAJO SS (XLIB CUBRE)"),"SÍ","")</f>
        <v/>
      </c>
      <c r="W613" s="3" t="str">
        <f aca="false">IF(AND(V613="",N(L613)&gt;=Parametros!$B$17,G613&gt;=H613,R613&lt;H613),"SÍ","")</f>
        <v/>
      </c>
      <c r="X613" s="3" t="str">
        <f aca="false">IF(OR(E613="SOBRE MAX VENDIBLE",N(N613)&gt;=Parametros!$B$17,N(M613)&gt;=Parametros!$B$17),"SÍ","")</f>
        <v>SÍ</v>
      </c>
      <c r="Y613" s="3" t="str">
        <f aca="false">IF(AND(ISNUMBER(U613),MAX(S613,T613)&gt;=Parametros!$B$15,ABS(N(U613))&gt;Parametros!$B$14),"SÍ","")</f>
        <v/>
      </c>
      <c r="Z613" s="3" t="n">
        <f aca="false">COUNTIF(V613:Y613,"SÍ")</f>
        <v>1</v>
      </c>
      <c r="AA613" s="3" t="n">
        <f aca="false">(3*(V613="SÍ")+2*(W613="SÍ")+2*(X613="SÍ")+(Y613="SÍ"))*IF(LEFT(D613,1)="A",3,IF(OR(LEFT(D613,1)="B",D613="SIN HIST"),2,1))</f>
        <v>2</v>
      </c>
      <c r="AB613" s="3" t="str">
        <f aca="false">IF(AA613&gt;=9,"1-ALTA",IF(AA613&gt;=4,"2-MEDIA",IF(AA613&gt;0,"3-BAJA","")))</f>
        <v>3-BAJA</v>
      </c>
      <c r="AC613" s="3" t="str">
        <f aca="false">IF(E613="BAJO SS","Stock + XLIB bajo el SS: riesgo real de quiebre, adelantar producción. ","")&amp;IF(E613="BAJO SS (XLIB CUBRE)","Disponible bajo el SS; depende de liberar "&amp;TEXT(J613,"#,##0")&amp;" kg"&amp;IF(ISNUMBER(K613)," el "&amp;TEXT(K613,"dd-mm"),"")&amp;". ","")&amp;IF(W613="SÍ","Stock parece sano pero "&amp;TEXT(L613,"#,##0")&amp;" kg no pasan filtro "&amp;Stock_Seguridad!O613&amp;": sin ellos queda bajo el SS para esa cadena. ","")&amp;IF(E613="SOBRE MAX VENDIBLE","Sobrestock vs vida útil: frenar producción/activar venta. ","")&amp;IF(N(N613)&gt;=Parametros!$B$17,TEXT(N613,"#,##0")&amp;" kg ya no los acepta ninguna cadena: venta intermedia/liquidación. ","")&amp;IF(N(M613)&gt;=Parametros!$B$17,TEXT(M613,"#,##0")&amp;" kg a punto de salir del filtro: despachar primero (FEFO). ","")&amp;IF(Y613="SÍ","Pedidos "&amp;IF(N(U613)&gt;0,"sobre","bajo")&amp;" FCST "&amp;TEXT(ABS(N(U613)),"0%")&amp;": revisar forecast con KAM.","")</f>
        <v>Sobrestock vs vida útil: frenar producción/activar venta. 5,432 kg a punto de salir del filtro: despachar primero (FEFO). </v>
      </c>
    </row>
    <row r="614" customFormat="false" ht="15" hidden="false" customHeight="false" outlineLevel="0" collapsed="false">
      <c r="A614" s="18" t="n">
        <f aca="false">Stock_Seguridad!A614</f>
        <v>30001685</v>
      </c>
      <c r="B614" s="18" t="str">
        <f aca="false">Stock_Seguridad!B614</f>
        <v>CEBOLLA MORADA 20X150GR</v>
      </c>
      <c r="C614" s="18" t="str">
        <f aca="false">Stock_Seguridad!C614</f>
        <v>FRUTAS Y HORTALIZAS CONGELADAS</v>
      </c>
      <c r="D614" s="18" t="str">
        <f aca="false">Stock_Seguridad!F614</f>
        <v>SIN HIST</v>
      </c>
      <c r="E614" s="19" t="str">
        <f aca="false">Stock_Seguridad!X614</f>
        <v>OK</v>
      </c>
      <c r="F614" s="20" t="n">
        <f aca="false">Stock_Seguridad!W614</f>
        <v>4.15001122838536</v>
      </c>
      <c r="G614" s="21" t="n">
        <f aca="false">Stock_Seguridad!T614</f>
        <v>1848</v>
      </c>
      <c r="H614" s="21" t="n">
        <f aca="false">Stock_Seguridad!R614</f>
        <v>219.735996024447</v>
      </c>
      <c r="I614" s="21" t="n">
        <f aca="false">Stock_Seguridad!S614</f>
        <v>665.035996024447</v>
      </c>
      <c r="J614" s="21" t="n">
        <f aca="false">Stock_Seguridad!U614</f>
        <v>0</v>
      </c>
      <c r="K614" s="22"/>
      <c r="L614" s="23" t="n">
        <v>0</v>
      </c>
      <c r="M614" s="23" t="n">
        <v>0</v>
      </c>
      <c r="N614" s="23" t="n">
        <v>0</v>
      </c>
      <c r="O614" s="24" t="n">
        <v>0.119803600654665</v>
      </c>
      <c r="P614" s="24" t="str">
        <f aca="false">IF(ISNUMBER(Stock_Seguridad!N614),Stock_Seguridad!N614,"")</f>
        <v/>
      </c>
      <c r="Q614" s="24" t="str">
        <f aca="false">IF(AND(ISNUMBER(O614),ISNUMBER(P614)),P614-O614,"")</f>
        <v/>
      </c>
      <c r="R614" s="23" t="n">
        <f aca="false">MAX(0,G614-N(L614))</f>
        <v>1848</v>
      </c>
      <c r="S614" s="23" t="n">
        <f aca="false">SUMIFS(Cadenas_vs_FCST!$D$17:$D$2437,Cadenas_vs_FCST!$A$17:$A$2437,A614)</f>
        <v>0</v>
      </c>
      <c r="T614" s="23" t="n">
        <f aca="false">SUMIFS(Cadenas_vs_FCST!$E$17:$E$2437,Cadenas_vs_FCST!$A$17:$A$2437,A614)</f>
        <v>0</v>
      </c>
      <c r="U614" s="24" t="str">
        <f aca="false">IF(T614&gt;0,S614/T614-1,"")</f>
        <v/>
      </c>
      <c r="V614" s="3" t="str">
        <f aca="false">IF(OR(E614="BAJO SS",E614="BAJO SS (XLIB CUBRE)"),"SÍ","")</f>
        <v/>
      </c>
      <c r="W614" s="3" t="str">
        <f aca="false">IF(AND(V614="",N(L614)&gt;=Parametros!$B$17,G614&gt;=H614,R614&lt;H614),"SÍ","")</f>
        <v/>
      </c>
      <c r="X614" s="3" t="str">
        <f aca="false">IF(OR(E614="SOBRE MAX VENDIBLE",N(N614)&gt;=Parametros!$B$17,N(M614)&gt;=Parametros!$B$17),"SÍ","")</f>
        <v/>
      </c>
      <c r="Y614" s="3" t="str">
        <f aca="false">IF(AND(ISNUMBER(U614),MAX(S614,T614)&gt;=Parametros!$B$15,ABS(N(U614))&gt;Parametros!$B$14),"SÍ","")</f>
        <v/>
      </c>
      <c r="Z614" s="3" t="n">
        <f aca="false">COUNTIF(V614:Y614,"SÍ")</f>
        <v>0</v>
      </c>
      <c r="AA614" s="3" t="n">
        <f aca="false">(3*(V614="SÍ")+2*(W614="SÍ")+2*(X614="SÍ")+(Y614="SÍ"))*IF(LEFT(D614,1)="A",3,IF(OR(LEFT(D614,1)="B",D614="SIN HIST"),2,1))</f>
        <v>0</v>
      </c>
      <c r="AB614" s="3" t="str">
        <f aca="false">IF(AA614&gt;=9,"1-ALTA",IF(AA614&gt;=4,"2-MEDIA",IF(AA614&gt;0,"3-BAJA","")))</f>
        <v/>
      </c>
      <c r="AC614" s="3" t="str">
        <f aca="false">IF(E614="BAJO SS","Stock + XLIB bajo el SS: riesgo real de quiebre, adelantar producción. ","")&amp;IF(E614="BAJO SS (XLIB CUBRE)","Disponible bajo el SS; depende de liberar "&amp;TEXT(J614,"#,##0")&amp;" kg"&amp;IF(ISNUMBER(K614)," el "&amp;TEXT(K614,"dd-mm"),"")&amp;". ","")&amp;IF(W614="SÍ","Stock parece sano pero "&amp;TEXT(L614,"#,##0")&amp;" kg no pasan filtro "&amp;Stock_Seguridad!O614&amp;": sin ellos queda bajo el SS para esa cadena. ","")&amp;IF(E614="SOBRE MAX VENDIBLE","Sobrestock vs vida útil: frenar producción/activar venta. ","")&amp;IF(N(N614)&gt;=Parametros!$B$17,TEXT(N614,"#,##0")&amp;" kg ya no los acepta ninguna cadena: venta intermedia/liquidación. ","")&amp;IF(N(M614)&gt;=Parametros!$B$17,TEXT(M614,"#,##0")&amp;" kg a punto de salir del filtro: despachar primero (FEFO). ","")&amp;IF(Y614="SÍ","Pedidos "&amp;IF(N(U614)&gt;0,"sobre","bajo")&amp;" FCST "&amp;TEXT(ABS(N(U614)),"0%")&amp;": revisar forecast con KAM.","")</f>
        <v/>
      </c>
    </row>
    <row r="615" customFormat="false" ht="15" hidden="false" customHeight="false" outlineLevel="0" collapsed="false">
      <c r="A615" s="18" t="n">
        <f aca="false">Stock_Seguridad!A615</f>
        <v>30000757</v>
      </c>
      <c r="B615" s="18" t="str">
        <f aca="false">Stock_Seguridad!B615</f>
        <v>JARDINERA FM 25X200GR</v>
      </c>
      <c r="C615" s="18" t="str">
        <f aca="false">Stock_Seguridad!C615</f>
        <v>FRUTAS Y HORTALIZAS CONGELADAS</v>
      </c>
      <c r="D615" s="18" t="str">
        <f aca="false">Stock_Seguridad!F615</f>
        <v>SIN HIST</v>
      </c>
      <c r="E615" s="19" t="str">
        <f aca="false">Stock_Seguridad!X615</f>
        <v>OK</v>
      </c>
      <c r="F615" s="20" t="n">
        <f aca="false">Stock_Seguridad!W615</f>
        <v>10.3011635865845</v>
      </c>
      <c r="G615" s="21" t="n">
        <f aca="false">Stock_Seguridad!T615</f>
        <v>4515</v>
      </c>
      <c r="H615" s="21" t="n">
        <f aca="false">Stock_Seguridad!R615</f>
        <v>216.281803407849</v>
      </c>
      <c r="I615" s="21" t="n">
        <f aca="false">Stock_Seguridad!S615</f>
        <v>654.581803407849</v>
      </c>
      <c r="J615" s="21" t="n">
        <f aca="false">Stock_Seguridad!U615</f>
        <v>0</v>
      </c>
      <c r="K615" s="22"/>
      <c r="L615" s="23" t="n">
        <v>0</v>
      </c>
      <c r="M615" s="23" t="n">
        <v>0</v>
      </c>
      <c r="N615" s="23" t="n">
        <v>0</v>
      </c>
      <c r="O615" s="24" t="n">
        <v>0</v>
      </c>
      <c r="P615" s="24" t="str">
        <f aca="false">IF(ISNUMBER(Stock_Seguridad!N615),Stock_Seguridad!N615,"")</f>
        <v/>
      </c>
      <c r="Q615" s="24" t="str">
        <f aca="false">IF(AND(ISNUMBER(O615),ISNUMBER(P615)),P615-O615,"")</f>
        <v/>
      </c>
      <c r="R615" s="23" t="n">
        <f aca="false">MAX(0,G615-N(L615))</f>
        <v>4515</v>
      </c>
      <c r="S615" s="23" t="n">
        <f aca="false">SUMIFS(Cadenas_vs_FCST!$D$17:$D$2437,Cadenas_vs_FCST!$A$17:$A$2437,A615)</f>
        <v>0</v>
      </c>
      <c r="T615" s="23" t="n">
        <f aca="false">SUMIFS(Cadenas_vs_FCST!$E$17:$E$2437,Cadenas_vs_FCST!$A$17:$A$2437,A615)</f>
        <v>0</v>
      </c>
      <c r="U615" s="24" t="str">
        <f aca="false">IF(T615&gt;0,S615/T615-1,"")</f>
        <v/>
      </c>
      <c r="V615" s="3" t="str">
        <f aca="false">IF(OR(E615="BAJO SS",E615="BAJO SS (XLIB CUBRE)"),"SÍ","")</f>
        <v/>
      </c>
      <c r="W615" s="3" t="str">
        <f aca="false">IF(AND(V615="",N(L615)&gt;=Parametros!$B$17,G615&gt;=H615,R615&lt;H615),"SÍ","")</f>
        <v/>
      </c>
      <c r="X615" s="3" t="str">
        <f aca="false">IF(OR(E615="SOBRE MAX VENDIBLE",N(N615)&gt;=Parametros!$B$17,N(M615)&gt;=Parametros!$B$17),"SÍ","")</f>
        <v/>
      </c>
      <c r="Y615" s="3" t="str">
        <f aca="false">IF(AND(ISNUMBER(U615),MAX(S615,T615)&gt;=Parametros!$B$15,ABS(N(U615))&gt;Parametros!$B$14),"SÍ","")</f>
        <v/>
      </c>
      <c r="Z615" s="3" t="n">
        <f aca="false">COUNTIF(V615:Y615,"SÍ")</f>
        <v>0</v>
      </c>
      <c r="AA615" s="3" t="n">
        <f aca="false">(3*(V615="SÍ")+2*(W615="SÍ")+2*(X615="SÍ")+(Y615="SÍ"))*IF(LEFT(D615,1)="A",3,IF(OR(LEFT(D615,1)="B",D615="SIN HIST"),2,1))</f>
        <v>0</v>
      </c>
      <c r="AB615" s="3" t="str">
        <f aca="false">IF(AA615&gt;=9,"1-ALTA",IF(AA615&gt;=4,"2-MEDIA",IF(AA615&gt;0,"3-BAJA","")))</f>
        <v/>
      </c>
      <c r="AC615" s="3" t="str">
        <f aca="false">IF(E615="BAJO SS","Stock + XLIB bajo el SS: riesgo real de quiebre, adelantar producción. ","")&amp;IF(E615="BAJO SS (XLIB CUBRE)","Disponible bajo el SS; depende de liberar "&amp;TEXT(J615,"#,##0")&amp;" kg"&amp;IF(ISNUMBER(K615)," el "&amp;TEXT(K615,"dd-mm"),"")&amp;". ","")&amp;IF(W615="SÍ","Stock parece sano pero "&amp;TEXT(L615,"#,##0")&amp;" kg no pasan filtro "&amp;Stock_Seguridad!O615&amp;": sin ellos queda bajo el SS para esa cadena. ","")&amp;IF(E615="SOBRE MAX VENDIBLE","Sobrestock vs vida útil: frenar producción/activar venta. ","")&amp;IF(N(N615)&gt;=Parametros!$B$17,TEXT(N615,"#,##0")&amp;" kg ya no los acepta ninguna cadena: venta intermedia/liquidación. ","")&amp;IF(N(M615)&gt;=Parametros!$B$17,TEXT(M615,"#,##0")&amp;" kg a punto de salir del filtro: despachar primero (FEFO). ","")&amp;IF(Y615="SÍ","Pedidos "&amp;IF(N(U615)&gt;0,"sobre","bajo")&amp;" FCST "&amp;TEXT(ABS(N(U615)),"0%")&amp;": revisar forecast con KAM.","")</f>
        <v/>
      </c>
    </row>
    <row r="616" customFormat="false" ht="15" hidden="false" customHeight="false" outlineLevel="0" collapsed="false">
      <c r="A616" s="18" t="n">
        <f aca="false">Stock_Seguridad!A616</f>
        <v>30002046</v>
      </c>
      <c r="B616" s="18" t="str">
        <f aca="false">Stock_Seguridad!B616</f>
        <v>ACEITE CHEF EXTRAVIRGEN SPRAY 12X180ML</v>
      </c>
      <c r="C616" s="18" t="str">
        <f aca="false">Stock_Seguridad!C616</f>
        <v>ACEITES</v>
      </c>
      <c r="D616" s="18" t="str">
        <f aca="false">Stock_Seguridad!F616</f>
        <v>CX</v>
      </c>
      <c r="E616" s="19" t="str">
        <f aca="false">Stock_Seguridad!X616</f>
        <v>OK</v>
      </c>
      <c r="F616" s="20" t="n">
        <f aca="false">Stock_Seguridad!W616</f>
        <v>4.98708920187793</v>
      </c>
      <c r="G616" s="21" t="n">
        <f aca="false">Stock_Seguridad!T616</f>
        <v>2124.5</v>
      </c>
      <c r="H616" s="21" t="n">
        <f aca="false">Stock_Seguridad!R616</f>
        <v>139.936214123164</v>
      </c>
      <c r="I616" s="21" t="n">
        <f aca="false">Stock_Seguridad!S616</f>
        <v>565.936214123164</v>
      </c>
      <c r="J616" s="21" t="n">
        <f aca="false">Stock_Seguridad!U616</f>
        <v>0</v>
      </c>
      <c r="K616" s="22"/>
      <c r="L616" s="23" t="n">
        <v>0</v>
      </c>
      <c r="M616" s="23" t="n">
        <v>0</v>
      </c>
      <c r="N616" s="23" t="n">
        <v>0</v>
      </c>
      <c r="O616" s="24" t="n">
        <v>0.0911183597390494</v>
      </c>
      <c r="P616" s="24" t="n">
        <f aca="false">IF(ISNUMBER(Stock_Seguridad!N616),Stock_Seguridad!N616,"")</f>
        <v>0.501369863013699</v>
      </c>
      <c r="Q616" s="24" t="n">
        <f aca="false">IF(AND(ISNUMBER(O616),ISNUMBER(P616)),P616-O616,"")</f>
        <v>0.410251503274649</v>
      </c>
      <c r="R616" s="23" t="n">
        <f aca="false">MAX(0,G616-N(L616))</f>
        <v>2124.5</v>
      </c>
      <c r="S616" s="23" t="n">
        <f aca="false">SUMIFS(Cadenas_vs_FCST!$D$17:$D$2437,Cadenas_vs_FCST!$A$17:$A$2437,A616)</f>
        <v>1378.08</v>
      </c>
      <c r="T616" s="23" t="n">
        <f aca="false">SUMIFS(Cadenas_vs_FCST!$E$17:$E$2437,Cadenas_vs_FCST!$A$17:$A$2437,A616)</f>
        <v>1647.7</v>
      </c>
      <c r="U616" s="24" t="n">
        <f aca="false">IF(T616&gt;0,S616/T616-1,"")</f>
        <v>-0.163634156703284</v>
      </c>
      <c r="V616" s="3" t="str">
        <f aca="false">IF(OR(E616="BAJO SS",E616="BAJO SS (XLIB CUBRE)"),"SÍ","")</f>
        <v/>
      </c>
      <c r="W616" s="3" t="str">
        <f aca="false">IF(AND(V616="",N(L616)&gt;=Parametros!$B$17,G616&gt;=H616,R616&lt;H616),"SÍ","")</f>
        <v/>
      </c>
      <c r="X616" s="3" t="str">
        <f aca="false">IF(OR(E616="SOBRE MAX VENDIBLE",N(N616)&gt;=Parametros!$B$17,N(M616)&gt;=Parametros!$B$17),"SÍ","")</f>
        <v/>
      </c>
      <c r="Y616" s="3" t="str">
        <f aca="false">IF(AND(ISNUMBER(U616),MAX(S616,T616)&gt;=Parametros!$B$15,ABS(N(U616))&gt;Parametros!$B$14),"SÍ","")</f>
        <v/>
      </c>
      <c r="Z616" s="3" t="n">
        <f aca="false">COUNTIF(V616:Y616,"SÍ")</f>
        <v>0</v>
      </c>
      <c r="AA616" s="3" t="n">
        <f aca="false">(3*(V616="SÍ")+2*(W616="SÍ")+2*(X616="SÍ")+(Y616="SÍ"))*IF(LEFT(D616,1)="A",3,IF(OR(LEFT(D616,1)="B",D616="SIN HIST"),2,1))</f>
        <v>0</v>
      </c>
      <c r="AB616" s="3" t="str">
        <f aca="false">IF(AA616&gt;=9,"1-ALTA",IF(AA616&gt;=4,"2-MEDIA",IF(AA616&gt;0,"3-BAJA","")))</f>
        <v/>
      </c>
      <c r="AC616" s="3" t="str">
        <f aca="false">IF(E616="BAJO SS","Stock + XLIB bajo el SS: riesgo real de quiebre, adelantar producción. ","")&amp;IF(E616="BAJO SS (XLIB CUBRE)","Disponible bajo el SS; depende de liberar "&amp;TEXT(J616,"#,##0")&amp;" kg"&amp;IF(ISNUMBER(K616)," el "&amp;TEXT(K616,"dd-mm"),"")&amp;". ","")&amp;IF(W616="SÍ","Stock parece sano pero "&amp;TEXT(L616,"#,##0")&amp;" kg no pasan filtro "&amp;Stock_Seguridad!O616&amp;": sin ellos queda bajo el SS para esa cadena. ","")&amp;IF(E616="SOBRE MAX VENDIBLE","Sobrestock vs vida útil: frenar producción/activar venta. ","")&amp;IF(N(N616)&gt;=Parametros!$B$17,TEXT(N616,"#,##0")&amp;" kg ya no los acepta ninguna cadena: venta intermedia/liquidación. ","")&amp;IF(N(M616)&gt;=Parametros!$B$17,TEXT(M616,"#,##0")&amp;" kg a punto de salir del filtro: despachar primero (FEFO). ","")&amp;IF(Y616="SÍ","Pedidos "&amp;IF(N(U616)&gt;0,"sobre","bajo")&amp;" FCST "&amp;TEXT(ABS(N(U616)),"0%")&amp;": revisar forecast con KAM.","")</f>
        <v/>
      </c>
    </row>
    <row r="617" customFormat="false" ht="15" hidden="false" customHeight="false" outlineLevel="0" collapsed="false">
      <c r="A617" s="18" t="n">
        <f aca="false">Stock_Seguridad!A617</f>
        <v>30002368</v>
      </c>
      <c r="B617" s="18" t="str">
        <f aca="false">Stock_Seguridad!B617</f>
        <v>SALTEADO MEDITERRANEO 15X400GR</v>
      </c>
      <c r="C617" s="18" t="str">
        <f aca="false">Stock_Seguridad!C617</f>
        <v>FRUTAS Y HORTALIZAS CONGELADAS</v>
      </c>
      <c r="D617" s="18" t="str">
        <f aca="false">Stock_Seguridad!F617</f>
        <v>SIN HIST</v>
      </c>
      <c r="E617" s="19" t="str">
        <f aca="false">Stock_Seguridad!X617</f>
        <v>OK</v>
      </c>
      <c r="F617" s="20" t="n">
        <f aca="false">Stock_Seguridad!W617</f>
        <v>5.01781895937277</v>
      </c>
      <c r="G617" s="21" t="n">
        <f aca="false">Stock_Seguridad!T617</f>
        <v>2112</v>
      </c>
      <c r="H617" s="21" t="n">
        <f aca="false">Stock_Seguridad!R617</f>
        <v>207.695667475162</v>
      </c>
      <c r="I617" s="21" t="n">
        <f aca="false">Stock_Seguridad!S617</f>
        <v>628.595667475162</v>
      </c>
      <c r="J617" s="21" t="n">
        <f aca="false">Stock_Seguridad!U617</f>
        <v>0</v>
      </c>
      <c r="K617" s="22"/>
      <c r="L617" s="23" t="n">
        <v>0</v>
      </c>
      <c r="M617" s="23" t="n">
        <v>0</v>
      </c>
      <c r="N617" s="23" t="n">
        <v>0</v>
      </c>
      <c r="O617" s="24" t="n">
        <v>0.03</v>
      </c>
      <c r="P617" s="24" t="str">
        <f aca="false">IF(ISNUMBER(Stock_Seguridad!N617),Stock_Seguridad!N617,"")</f>
        <v/>
      </c>
      <c r="Q617" s="24" t="str">
        <f aca="false">IF(AND(ISNUMBER(O617),ISNUMBER(P617)),P617-O617,"")</f>
        <v/>
      </c>
      <c r="R617" s="23" t="n">
        <f aca="false">MAX(0,G617-N(L617))</f>
        <v>2112</v>
      </c>
      <c r="S617" s="23" t="n">
        <f aca="false">SUMIFS(Cadenas_vs_FCST!$D$17:$D$2437,Cadenas_vs_FCST!$A$17:$A$2437,A617)</f>
        <v>0</v>
      </c>
      <c r="T617" s="23" t="n">
        <f aca="false">SUMIFS(Cadenas_vs_FCST!$E$17:$E$2437,Cadenas_vs_FCST!$A$17:$A$2437,A617)</f>
        <v>0</v>
      </c>
      <c r="U617" s="24" t="str">
        <f aca="false">IF(T617&gt;0,S617/T617-1,"")</f>
        <v/>
      </c>
      <c r="V617" s="3" t="str">
        <f aca="false">IF(OR(E617="BAJO SS",E617="BAJO SS (XLIB CUBRE)"),"SÍ","")</f>
        <v/>
      </c>
      <c r="W617" s="3" t="str">
        <f aca="false">IF(AND(V617="",N(L617)&gt;=Parametros!$B$17,G617&gt;=H617,R617&lt;H617),"SÍ","")</f>
        <v/>
      </c>
      <c r="X617" s="3" t="str">
        <f aca="false">IF(OR(E617="SOBRE MAX VENDIBLE",N(N617)&gt;=Parametros!$B$17,N(M617)&gt;=Parametros!$B$17),"SÍ","")</f>
        <v/>
      </c>
      <c r="Y617" s="3" t="str">
        <f aca="false">IF(AND(ISNUMBER(U617),MAX(S617,T617)&gt;=Parametros!$B$15,ABS(N(U617))&gt;Parametros!$B$14),"SÍ","")</f>
        <v/>
      </c>
      <c r="Z617" s="3" t="n">
        <f aca="false">COUNTIF(V617:Y617,"SÍ")</f>
        <v>0</v>
      </c>
      <c r="AA617" s="3" t="n">
        <f aca="false">(3*(V617="SÍ")+2*(W617="SÍ")+2*(X617="SÍ")+(Y617="SÍ"))*IF(LEFT(D617,1)="A",3,IF(OR(LEFT(D617,1)="B",D617="SIN HIST"),2,1))</f>
        <v>0</v>
      </c>
      <c r="AB617" s="3" t="str">
        <f aca="false">IF(AA617&gt;=9,"1-ALTA",IF(AA617&gt;=4,"2-MEDIA",IF(AA617&gt;0,"3-BAJA","")))</f>
        <v/>
      </c>
      <c r="AC617" s="3" t="str">
        <f aca="false">IF(E617="BAJO SS","Stock + XLIB bajo el SS: riesgo real de quiebre, adelantar producción. ","")&amp;IF(E617="BAJO SS (XLIB CUBRE)","Disponible bajo el SS; depende de liberar "&amp;TEXT(J617,"#,##0")&amp;" kg"&amp;IF(ISNUMBER(K617)," el "&amp;TEXT(K617,"dd-mm"),"")&amp;". ","")&amp;IF(W617="SÍ","Stock parece sano pero "&amp;TEXT(L617,"#,##0")&amp;" kg no pasan filtro "&amp;Stock_Seguridad!O617&amp;": sin ellos queda bajo el SS para esa cadena. ","")&amp;IF(E617="SOBRE MAX VENDIBLE","Sobrestock vs vida útil: frenar producción/activar venta. ","")&amp;IF(N(N617)&gt;=Parametros!$B$17,TEXT(N617,"#,##0")&amp;" kg ya no los acepta ninguna cadena: venta intermedia/liquidación. ","")&amp;IF(N(M617)&gt;=Parametros!$B$17,TEXT(M617,"#,##0")&amp;" kg a punto de salir del filtro: despachar primero (FEFO). ","")&amp;IF(Y617="SÍ","Pedidos "&amp;IF(N(U617)&gt;0,"sobre","bajo")&amp;" FCST "&amp;TEXT(ABS(N(U617)),"0%")&amp;": revisar forecast con KAM.","")</f>
        <v/>
      </c>
    </row>
    <row r="618" customFormat="false" ht="15" hidden="false" customHeight="false" outlineLevel="0" collapsed="false">
      <c r="A618" s="18" t="n">
        <f aca="false">Stock_Seguridad!A618</f>
        <v>30001464</v>
      </c>
      <c r="B618" s="18" t="str">
        <f aca="false">Stock_Seguridad!B618</f>
        <v>BASE DE LENTEJAS 20X500GR</v>
      </c>
      <c r="C618" s="18" t="str">
        <f aca="false">Stock_Seguridad!C618</f>
        <v>FRUTAS Y HORTALIZAS CONGELADAS</v>
      </c>
      <c r="D618" s="18" t="str">
        <f aca="false">Stock_Seguridad!F618</f>
        <v>SIN HIST</v>
      </c>
      <c r="E618" s="19" t="str">
        <f aca="false">Stock_Seguridad!X618</f>
        <v>OK</v>
      </c>
      <c r="F618" s="20" t="n">
        <f aca="false">Stock_Seguridad!W618</f>
        <v>5.77883472057075</v>
      </c>
      <c r="G618" s="21" t="n">
        <f aca="false">Stock_Seguridad!T618</f>
        <v>2430</v>
      </c>
      <c r="H618" s="21" t="n">
        <f aca="false">Stock_Seguridad!R618</f>
        <v>207.498285039928</v>
      </c>
      <c r="I618" s="21" t="n">
        <f aca="false">Stock_Seguridad!S618</f>
        <v>627.998285039928</v>
      </c>
      <c r="J618" s="21" t="n">
        <f aca="false">Stock_Seguridad!U618</f>
        <v>0</v>
      </c>
      <c r="K618" s="22"/>
      <c r="L618" s="23" t="n">
        <v>0</v>
      </c>
      <c r="M618" s="23" t="n">
        <v>0</v>
      </c>
      <c r="N618" s="23" t="n">
        <v>0</v>
      </c>
      <c r="O618" s="24" t="n">
        <v>0.149506172839506</v>
      </c>
      <c r="P618" s="24" t="str">
        <f aca="false">IF(ISNUMBER(Stock_Seguridad!N618),Stock_Seguridad!N618,"")</f>
        <v/>
      </c>
      <c r="Q618" s="24" t="str">
        <f aca="false">IF(AND(ISNUMBER(O618),ISNUMBER(P618)),P618-O618,"")</f>
        <v/>
      </c>
      <c r="R618" s="23" t="n">
        <f aca="false">MAX(0,G618-N(L618))</f>
        <v>2430</v>
      </c>
      <c r="S618" s="23" t="n">
        <f aca="false">SUMIFS(Cadenas_vs_FCST!$D$17:$D$2437,Cadenas_vs_FCST!$A$17:$A$2437,A618)</f>
        <v>0</v>
      </c>
      <c r="T618" s="23" t="n">
        <f aca="false">SUMIFS(Cadenas_vs_FCST!$E$17:$E$2437,Cadenas_vs_FCST!$A$17:$A$2437,A618)</f>
        <v>0</v>
      </c>
      <c r="U618" s="24" t="str">
        <f aca="false">IF(T618&gt;0,S618/T618-1,"")</f>
        <v/>
      </c>
      <c r="V618" s="3" t="str">
        <f aca="false">IF(OR(E618="BAJO SS",E618="BAJO SS (XLIB CUBRE)"),"SÍ","")</f>
        <v/>
      </c>
      <c r="W618" s="3" t="str">
        <f aca="false">IF(AND(V618="",N(L618)&gt;=Parametros!$B$17,G618&gt;=H618,R618&lt;H618),"SÍ","")</f>
        <v/>
      </c>
      <c r="X618" s="3" t="str">
        <f aca="false">IF(OR(E618="SOBRE MAX VENDIBLE",N(N618)&gt;=Parametros!$B$17,N(M618)&gt;=Parametros!$B$17),"SÍ","")</f>
        <v/>
      </c>
      <c r="Y618" s="3" t="str">
        <f aca="false">IF(AND(ISNUMBER(U618),MAX(S618,T618)&gt;=Parametros!$B$15,ABS(N(U618))&gt;Parametros!$B$14),"SÍ","")</f>
        <v/>
      </c>
      <c r="Z618" s="3" t="n">
        <f aca="false">COUNTIF(V618:Y618,"SÍ")</f>
        <v>0</v>
      </c>
      <c r="AA618" s="3" t="n">
        <f aca="false">(3*(V618="SÍ")+2*(W618="SÍ")+2*(X618="SÍ")+(Y618="SÍ"))*IF(LEFT(D618,1)="A",3,IF(OR(LEFT(D618,1)="B",D618="SIN HIST"),2,1))</f>
        <v>0</v>
      </c>
      <c r="AB618" s="3" t="str">
        <f aca="false">IF(AA618&gt;=9,"1-ALTA",IF(AA618&gt;=4,"2-MEDIA",IF(AA618&gt;0,"3-BAJA","")))</f>
        <v/>
      </c>
      <c r="AC618" s="3" t="str">
        <f aca="false">IF(E618="BAJO SS","Stock + XLIB bajo el SS: riesgo real de quiebre, adelantar producción. ","")&amp;IF(E618="BAJO SS (XLIB CUBRE)","Disponible bajo el SS; depende de liberar "&amp;TEXT(J618,"#,##0")&amp;" kg"&amp;IF(ISNUMBER(K618)," el "&amp;TEXT(K618,"dd-mm"),"")&amp;". ","")&amp;IF(W618="SÍ","Stock parece sano pero "&amp;TEXT(L618,"#,##0")&amp;" kg no pasan filtro "&amp;Stock_Seguridad!O618&amp;": sin ellos queda bajo el SS para esa cadena. ","")&amp;IF(E618="SOBRE MAX VENDIBLE","Sobrestock vs vida útil: frenar producción/activar venta. ","")&amp;IF(N(N618)&gt;=Parametros!$B$17,TEXT(N618,"#,##0")&amp;" kg ya no los acepta ninguna cadena: venta intermedia/liquidación. ","")&amp;IF(N(M618)&gt;=Parametros!$B$17,TEXT(M618,"#,##0")&amp;" kg a punto de salir del filtro: despachar primero (FEFO). ","")&amp;IF(Y618="SÍ","Pedidos "&amp;IF(N(U618)&gt;0,"sobre","bajo")&amp;" FCST "&amp;TEXT(ABS(N(U618)),"0%")&amp;": revisar forecast con KAM.","")</f>
        <v/>
      </c>
    </row>
    <row r="619" customFormat="false" ht="15" hidden="false" customHeight="false" outlineLevel="0" collapsed="false">
      <c r="A619" s="18" t="n">
        <f aca="false">Stock_Seguridad!A619</f>
        <v>30002246</v>
      </c>
      <c r="B619" s="18" t="str">
        <f aca="false">Stock_Seguridad!B619</f>
        <v>ACAI BOWL 12X150G</v>
      </c>
      <c r="C619" s="18" t="str">
        <f aca="false">Stock_Seguridad!C619</f>
        <v>FRUTAS Y HORTALIZAS CONGELADAS</v>
      </c>
      <c r="D619" s="18" t="str">
        <f aca="false">Stock_Seguridad!F619</f>
        <v>SIN HIST</v>
      </c>
      <c r="E619" s="19" t="str">
        <f aca="false">Stock_Seguridad!X619</f>
        <v>BAJO SS</v>
      </c>
      <c r="F619" s="20" t="n">
        <f aca="false">Stock_Seguridad!W619</f>
        <v>0</v>
      </c>
      <c r="G619" s="21" t="n">
        <f aca="false">Stock_Seguridad!T619</f>
        <v>0</v>
      </c>
      <c r="H619" s="21" t="n">
        <f aca="false">Stock_Seguridad!R619</f>
        <v>206.560718472566</v>
      </c>
      <c r="I619" s="21" t="n">
        <f aca="false">Stock_Seguridad!S619</f>
        <v>625.160718472566</v>
      </c>
      <c r="J619" s="21" t="n">
        <f aca="false">Stock_Seguridad!U619</f>
        <v>0</v>
      </c>
      <c r="K619" s="22"/>
      <c r="L619" s="23"/>
      <c r="M619" s="23"/>
      <c r="N619" s="23"/>
      <c r="O619" s="24"/>
      <c r="P619" s="24" t="str">
        <f aca="false">IF(ISNUMBER(Stock_Seguridad!N619),Stock_Seguridad!N619,"")</f>
        <v/>
      </c>
      <c r="Q619" s="24" t="str">
        <f aca="false">IF(AND(ISNUMBER(O619),ISNUMBER(P619)),P619-O619,"")</f>
        <v/>
      </c>
      <c r="R619" s="23" t="n">
        <f aca="false">MAX(0,G619-N(L619))</f>
        <v>0</v>
      </c>
      <c r="S619" s="23" t="n">
        <f aca="false">SUMIFS(Cadenas_vs_FCST!$D$17:$D$2437,Cadenas_vs_FCST!$A$17:$A$2437,A619)</f>
        <v>0</v>
      </c>
      <c r="T619" s="23" t="n">
        <f aca="false">SUMIFS(Cadenas_vs_FCST!$E$17:$E$2437,Cadenas_vs_FCST!$A$17:$A$2437,A619)</f>
        <v>0</v>
      </c>
      <c r="U619" s="24" t="str">
        <f aca="false">IF(T619&gt;0,S619/T619-1,"")</f>
        <v/>
      </c>
      <c r="V619" s="3" t="str">
        <f aca="false">IF(OR(E619="BAJO SS",E619="BAJO SS (XLIB CUBRE)"),"SÍ","")</f>
        <v>SÍ</v>
      </c>
      <c r="W619" s="3" t="str">
        <f aca="false">IF(AND(V619="",N(L619)&gt;=Parametros!$B$17,G619&gt;=H619,R619&lt;H619),"SÍ","")</f>
        <v/>
      </c>
      <c r="X619" s="3" t="str">
        <f aca="false">IF(OR(E619="SOBRE MAX VENDIBLE",N(N619)&gt;=Parametros!$B$17,N(M619)&gt;=Parametros!$B$17),"SÍ","")</f>
        <v/>
      </c>
      <c r="Y619" s="3" t="str">
        <f aca="false">IF(AND(ISNUMBER(U619),MAX(S619,T619)&gt;=Parametros!$B$15,ABS(N(U619))&gt;Parametros!$B$14),"SÍ","")</f>
        <v/>
      </c>
      <c r="Z619" s="3" t="n">
        <f aca="false">COUNTIF(V619:Y619,"SÍ")</f>
        <v>1</v>
      </c>
      <c r="AA619" s="3" t="n">
        <f aca="false">(3*(V619="SÍ")+2*(W619="SÍ")+2*(X619="SÍ")+(Y619="SÍ"))*IF(LEFT(D619,1)="A",3,IF(OR(LEFT(D619,1)="B",D619="SIN HIST"),2,1))</f>
        <v>6</v>
      </c>
      <c r="AB619" s="3" t="str">
        <f aca="false">IF(AA619&gt;=9,"1-ALTA",IF(AA619&gt;=4,"2-MEDIA",IF(AA619&gt;0,"3-BAJA","")))</f>
        <v>2-MEDIA</v>
      </c>
      <c r="AC619" s="3" t="str">
        <f aca="false">IF(E619="BAJO SS","Stock + XLIB bajo el SS: riesgo real de quiebre, adelantar producción. ","")&amp;IF(E619="BAJO SS (XLIB CUBRE)","Disponible bajo el SS; depende de liberar "&amp;TEXT(J619,"#,##0")&amp;" kg"&amp;IF(ISNUMBER(K619)," el "&amp;TEXT(K619,"dd-mm"),"")&amp;". ","")&amp;IF(W619="SÍ","Stock parece sano pero "&amp;TEXT(L619,"#,##0")&amp;" kg no pasan filtro "&amp;Stock_Seguridad!O619&amp;": sin ellos queda bajo el SS para esa cadena. ","")&amp;IF(E619="SOBRE MAX VENDIBLE","Sobrestock vs vida útil: frenar producción/activar venta. ","")&amp;IF(N(N619)&gt;=Parametros!$B$17,TEXT(N619,"#,##0")&amp;" kg ya no los acepta ninguna cadena: venta intermedia/liquidación. ","")&amp;IF(N(M619)&gt;=Parametros!$B$17,TEXT(M619,"#,##0")&amp;" kg a punto de salir del filtro: despachar primero (FEFO). ","")&amp;IF(Y619="SÍ","Pedidos "&amp;IF(N(U619)&gt;0,"sobre","bajo")&amp;" FCST "&amp;TEXT(ABS(N(U619)),"0%")&amp;": revisar forecast con KAM.","")</f>
        <v>Stock + XLIB bajo el SS: riesgo real de quiebre, adelantar producción. </v>
      </c>
    </row>
    <row r="620" customFormat="false" ht="15" hidden="false" customHeight="false" outlineLevel="0" collapsed="false">
      <c r="A620" s="18" t="n">
        <f aca="false">Stock_Seguridad!A620</f>
        <v>30000251</v>
      </c>
      <c r="B620" s="18" t="str">
        <f aca="false">Stock_Seguridad!B620</f>
        <v>NECTAR WATTS SELECCION GUAYABA 6X1LT</v>
      </c>
      <c r="C620" s="18" t="str">
        <f aca="false">Stock_Seguridad!C620</f>
        <v>JUGOS Y NECTARES</v>
      </c>
      <c r="D620" s="18" t="str">
        <f aca="false">Stock_Seguridad!F620</f>
        <v>CY</v>
      </c>
      <c r="E620" s="19" t="str">
        <f aca="false">Stock_Seguridad!X620</f>
        <v>SOBRE MAX VENDIBLE</v>
      </c>
      <c r="F620" s="20" t="n">
        <f aca="false">Stock_Seguridad!W620</f>
        <v>9.85556915544676</v>
      </c>
      <c r="G620" s="21" t="n">
        <f aca="false">Stock_Seguridad!T620</f>
        <v>4026</v>
      </c>
      <c r="H620" s="21" t="n">
        <f aca="false">Stock_Seguridad!R620</f>
        <v>329.217546540912</v>
      </c>
      <c r="I620" s="21" t="n">
        <f aca="false">Stock_Seguridad!S620</f>
        <v>737.717546540912</v>
      </c>
      <c r="J620" s="21" t="n">
        <f aca="false">Stock_Seguridad!U620</f>
        <v>0</v>
      </c>
      <c r="K620" s="22"/>
      <c r="L620" s="23" t="n">
        <v>72</v>
      </c>
      <c r="M620" s="23" t="n">
        <v>0</v>
      </c>
      <c r="N620" s="23" t="n">
        <v>72</v>
      </c>
      <c r="O620" s="24" t="n">
        <v>0.137332339791356</v>
      </c>
      <c r="P620" s="24" t="n">
        <f aca="false">IF(ISNUMBER(Stock_Seguridad!N620),Stock_Seguridad!N620,"")</f>
        <v>0.233333333333333</v>
      </c>
      <c r="Q620" s="24" t="n">
        <f aca="false">IF(AND(ISNUMBER(O620),ISNUMBER(P620)),P620-O620,"")</f>
        <v>0.0960009935419771</v>
      </c>
      <c r="R620" s="23" t="n">
        <f aca="false">MAX(0,G620-N(L620))</f>
        <v>3954</v>
      </c>
      <c r="S620" s="23" t="n">
        <f aca="false">SUMIFS(Cadenas_vs_FCST!$D$17:$D$2437,Cadenas_vs_FCST!$A$17:$A$2437,A620)</f>
        <v>1278</v>
      </c>
      <c r="T620" s="23" t="n">
        <f aca="false">SUMIFS(Cadenas_vs_FCST!$E$17:$E$2437,Cadenas_vs_FCST!$A$17:$A$2437,A620)</f>
        <v>1761.95972941023</v>
      </c>
      <c r="U620" s="24" t="n">
        <f aca="false">IF(T620&gt;0,S620/T620-1,"")</f>
        <v>-0.274671277289763</v>
      </c>
      <c r="V620" s="3" t="str">
        <f aca="false">IF(OR(E620="BAJO SS",E620="BAJO SS (XLIB CUBRE)"),"SÍ","")</f>
        <v/>
      </c>
      <c r="W620" s="3" t="str">
        <f aca="false">IF(AND(V620="",N(L620)&gt;=Parametros!$B$17,G620&gt;=H620,R620&lt;H620),"SÍ","")</f>
        <v/>
      </c>
      <c r="X620" s="3" t="str">
        <f aca="false">IF(OR(E620="SOBRE MAX VENDIBLE",N(N620)&gt;=Parametros!$B$17,N(M620)&gt;=Parametros!$B$17),"SÍ","")</f>
        <v>SÍ</v>
      </c>
      <c r="Y620" s="3" t="str">
        <f aca="false">IF(AND(ISNUMBER(U620),MAX(S620,T620)&gt;=Parametros!$B$15,ABS(N(U620))&gt;Parametros!$B$14),"SÍ","")</f>
        <v/>
      </c>
      <c r="Z620" s="3" t="n">
        <f aca="false">COUNTIF(V620:Y620,"SÍ")</f>
        <v>1</v>
      </c>
      <c r="AA620" s="3" t="n">
        <f aca="false">(3*(V620="SÍ")+2*(W620="SÍ")+2*(X620="SÍ")+(Y620="SÍ"))*IF(LEFT(D620,1)="A",3,IF(OR(LEFT(D620,1)="B",D620="SIN HIST"),2,1))</f>
        <v>2</v>
      </c>
      <c r="AB620" s="3" t="str">
        <f aca="false">IF(AA620&gt;=9,"1-ALTA",IF(AA620&gt;=4,"2-MEDIA",IF(AA620&gt;0,"3-BAJA","")))</f>
        <v>3-BAJA</v>
      </c>
      <c r="AC620" s="3" t="str">
        <f aca="false">IF(E620="BAJO SS","Stock + XLIB bajo el SS: riesgo real de quiebre, adelantar producción. ","")&amp;IF(E620="BAJO SS (XLIB CUBRE)","Disponible bajo el SS; depende de liberar "&amp;TEXT(J620,"#,##0")&amp;" kg"&amp;IF(ISNUMBER(K620)," el "&amp;TEXT(K620,"dd-mm"),"")&amp;". ","")&amp;IF(W620="SÍ","Stock parece sano pero "&amp;TEXT(L620,"#,##0")&amp;" kg no pasan filtro "&amp;Stock_Seguridad!O620&amp;": sin ellos queda bajo el SS para esa cadena. ","")&amp;IF(E620="SOBRE MAX VENDIBLE","Sobrestock vs vida útil: frenar producción/activar venta. ","")&amp;IF(N(N620)&gt;=Parametros!$B$17,TEXT(N620,"#,##0")&amp;" kg ya no los acepta ninguna cadena: venta intermedia/liquidación. ","")&amp;IF(N(M620)&gt;=Parametros!$B$17,TEXT(M620,"#,##0")&amp;" kg a punto de salir del filtro: despachar primero (FEFO). ","")&amp;IF(Y620="SÍ","Pedidos "&amp;IF(N(U620)&gt;0,"sobre","bajo")&amp;" FCST "&amp;TEXT(ABS(N(U620)),"0%")&amp;": revisar forecast con KAM.","")</f>
        <v>Sobrestock vs vida útil: frenar producción/activar venta. </v>
      </c>
    </row>
    <row r="621" customFormat="false" ht="15" hidden="false" customHeight="false" outlineLevel="0" collapsed="false">
      <c r="A621" s="18" t="n">
        <f aca="false">Stock_Seguridad!A621</f>
        <v>30001411</v>
      </c>
      <c r="B621" s="18" t="str">
        <f aca="false">Stock_Seguridad!B621</f>
        <v>LECHE LONCO PROTEIN CAPPUCCINO 18X200ML</v>
      </c>
      <c r="C621" s="18" t="str">
        <f aca="false">Stock_Seguridad!C621</f>
        <v>LECHES LIQUIDAS</v>
      </c>
      <c r="D621" s="18" t="str">
        <f aca="false">Stock_Seguridad!F621</f>
        <v>CZ</v>
      </c>
      <c r="E621" s="19" t="str">
        <f aca="false">Stock_Seguridad!X621</f>
        <v>BAJO SS</v>
      </c>
      <c r="F621" s="20" t="n">
        <f aca="false">Stock_Seguridad!W621</f>
        <v>0</v>
      </c>
      <c r="G621" s="21" t="n">
        <f aca="false">Stock_Seguridad!T621</f>
        <v>0</v>
      </c>
      <c r="H621" s="21" t="n">
        <f aca="false">Stock_Seguridad!R621</f>
        <v>505.426304331445</v>
      </c>
      <c r="I621" s="21" t="n">
        <f aca="false">Stock_Seguridad!S621</f>
        <v>913.326304331445</v>
      </c>
      <c r="J621" s="21" t="n">
        <f aca="false">Stock_Seguridad!U621</f>
        <v>0</v>
      </c>
      <c r="K621" s="22"/>
      <c r="L621" s="23"/>
      <c r="M621" s="23"/>
      <c r="N621" s="23"/>
      <c r="O621" s="24"/>
      <c r="P621" s="24" t="n">
        <f aca="false">IF(ISNUMBER(Stock_Seguridad!N621),Stock_Seguridad!N621,"")</f>
        <v>0.21875</v>
      </c>
      <c r="Q621" s="24" t="str">
        <f aca="false">IF(AND(ISNUMBER(O621),ISNUMBER(P621)),P621-O621,"")</f>
        <v/>
      </c>
      <c r="R621" s="23" t="n">
        <f aca="false">MAX(0,G621-N(L621))</f>
        <v>0</v>
      </c>
      <c r="S621" s="23" t="n">
        <f aca="false">SUMIFS(Cadenas_vs_FCST!$D$17:$D$2437,Cadenas_vs_FCST!$A$17:$A$2437,A621)</f>
        <v>3.6</v>
      </c>
      <c r="T621" s="23" t="n">
        <f aca="false">SUMIFS(Cadenas_vs_FCST!$E$17:$E$2437,Cadenas_vs_FCST!$A$17:$A$2437,A621)</f>
        <v>965.443564002189</v>
      </c>
      <c r="U621" s="24" t="n">
        <f aca="false">IF(T621&gt;0,S621/T621-1,"")</f>
        <v>-0.996271144027232</v>
      </c>
      <c r="V621" s="3" t="str">
        <f aca="false">IF(OR(E621="BAJO SS",E621="BAJO SS (XLIB CUBRE)"),"SÍ","")</f>
        <v>SÍ</v>
      </c>
      <c r="W621" s="3" t="str">
        <f aca="false">IF(AND(V621="",N(L621)&gt;=Parametros!$B$17,G621&gt;=H621,R621&lt;H621),"SÍ","")</f>
        <v/>
      </c>
      <c r="X621" s="3" t="str">
        <f aca="false">IF(OR(E621="SOBRE MAX VENDIBLE",N(N621)&gt;=Parametros!$B$17,N(M621)&gt;=Parametros!$B$17),"SÍ","")</f>
        <v/>
      </c>
      <c r="Y621" s="3" t="str">
        <f aca="false">IF(AND(ISNUMBER(U621),MAX(S621,T621)&gt;=Parametros!$B$15,ABS(N(U621))&gt;Parametros!$B$14),"SÍ","")</f>
        <v/>
      </c>
      <c r="Z621" s="3" t="n">
        <f aca="false">COUNTIF(V621:Y621,"SÍ")</f>
        <v>1</v>
      </c>
      <c r="AA621" s="3" t="n">
        <f aca="false">(3*(V621="SÍ")+2*(W621="SÍ")+2*(X621="SÍ")+(Y621="SÍ"))*IF(LEFT(D621,1)="A",3,IF(OR(LEFT(D621,1)="B",D621="SIN HIST"),2,1))</f>
        <v>3</v>
      </c>
      <c r="AB621" s="3" t="str">
        <f aca="false">IF(AA621&gt;=9,"1-ALTA",IF(AA621&gt;=4,"2-MEDIA",IF(AA621&gt;0,"3-BAJA","")))</f>
        <v>3-BAJA</v>
      </c>
      <c r="AC621" s="3" t="str">
        <f aca="false">IF(E621="BAJO SS","Stock + XLIB bajo el SS: riesgo real de quiebre, adelantar producción. ","")&amp;IF(E621="BAJO SS (XLIB CUBRE)","Disponible bajo el SS; depende de liberar "&amp;TEXT(J621,"#,##0")&amp;" kg"&amp;IF(ISNUMBER(K621)," el "&amp;TEXT(K621,"dd-mm"),"")&amp;". ","")&amp;IF(W621="SÍ","Stock parece sano pero "&amp;TEXT(L621,"#,##0")&amp;" kg no pasan filtro "&amp;Stock_Seguridad!O621&amp;": sin ellos queda bajo el SS para esa cadena. ","")&amp;IF(E621="SOBRE MAX VENDIBLE","Sobrestock vs vida útil: frenar producción/activar venta. ","")&amp;IF(N(N621)&gt;=Parametros!$B$17,TEXT(N621,"#,##0")&amp;" kg ya no los acepta ninguna cadena: venta intermedia/liquidación. ","")&amp;IF(N(M621)&gt;=Parametros!$B$17,TEXT(M621,"#,##0")&amp;" kg a punto de salir del filtro: despachar primero (FEFO). ","")&amp;IF(Y621="SÍ","Pedidos "&amp;IF(N(U621)&gt;0,"sobre","bajo")&amp;" FCST "&amp;TEXT(ABS(N(U621)),"0%")&amp;": revisar forecast con KAM.","")</f>
        <v>Stock + XLIB bajo el SS: riesgo real de quiebre, adelantar producción. </v>
      </c>
    </row>
    <row r="622" customFormat="false" ht="15" hidden="false" customHeight="false" outlineLevel="0" collapsed="false">
      <c r="A622" s="18" t="n">
        <f aca="false">Stock_Seguridad!A622</f>
        <v>30000495</v>
      </c>
      <c r="B622" s="18" t="str">
        <f aca="false">Stock_Seguridad!B622</f>
        <v>YOGURT LONCO S/LACT CHIRIMOY BOT 6X900GR</v>
      </c>
      <c r="C622" s="18" t="str">
        <f aca="false">Stock_Seguridad!C622</f>
        <v>YOGURT</v>
      </c>
      <c r="D622" s="18" t="str">
        <f aca="false">Stock_Seguridad!F622</f>
        <v>CY</v>
      </c>
      <c r="E622" s="19" t="str">
        <f aca="false">Stock_Seguridad!X622</f>
        <v>OK</v>
      </c>
      <c r="F622" s="20" t="n">
        <f aca="false">Stock_Seguridad!W622</f>
        <v>2.86242603550296</v>
      </c>
      <c r="G622" s="21" t="n">
        <f aca="false">Stock_Seguridad!T622</f>
        <v>1161</v>
      </c>
      <c r="H622" s="21" t="n">
        <f aca="false">Stock_Seguridad!R622</f>
        <v>387.408004098493</v>
      </c>
      <c r="I622" s="21" t="n">
        <f aca="false">Stock_Seguridad!S622</f>
        <v>793.008004098493</v>
      </c>
      <c r="J622" s="21" t="n">
        <f aca="false">Stock_Seguridad!U622</f>
        <v>0</v>
      </c>
      <c r="K622" s="22"/>
      <c r="L622" s="23" t="n">
        <v>502.2</v>
      </c>
      <c r="M622" s="23" t="n">
        <v>0</v>
      </c>
      <c r="N622" s="23" t="n">
        <v>502.2</v>
      </c>
      <c r="O622" s="24" t="n">
        <v>0.227887323943662</v>
      </c>
      <c r="P622" s="24" t="n">
        <f aca="false">IF(ISNUMBER(Stock_Seguridad!N622),Stock_Seguridad!N622,"")</f>
        <v>0.295774647887324</v>
      </c>
      <c r="Q622" s="24" t="n">
        <f aca="false">IF(AND(ISNUMBER(O622),ISNUMBER(P622)),P622-O622,"")</f>
        <v>0.067887323943662</v>
      </c>
      <c r="R622" s="23" t="n">
        <f aca="false">MAX(0,G622-N(L622))</f>
        <v>658.8</v>
      </c>
      <c r="S622" s="23" t="n">
        <f aca="false">SUMIFS(Cadenas_vs_FCST!$D$17:$D$2437,Cadenas_vs_FCST!$A$17:$A$2437,A622)</f>
        <v>1598.4</v>
      </c>
      <c r="T622" s="23" t="n">
        <f aca="false">SUMIFS(Cadenas_vs_FCST!$E$17:$E$2437,Cadenas_vs_FCST!$A$17:$A$2437,A622)</f>
        <v>1749.39828257922</v>
      </c>
      <c r="U622" s="24" t="n">
        <f aca="false">IF(T622&gt;0,S622/T622-1,"")</f>
        <v>-0.0863144111223165</v>
      </c>
      <c r="V622" s="3" t="str">
        <f aca="false">IF(OR(E622="BAJO SS",E622="BAJO SS (XLIB CUBRE)"),"SÍ","")</f>
        <v/>
      </c>
      <c r="W622" s="3" t="str">
        <f aca="false">IF(AND(V622="",N(L622)&gt;=Parametros!$B$17,G622&gt;=H622,R622&lt;H622),"SÍ","")</f>
        <v/>
      </c>
      <c r="X622" s="3" t="str">
        <f aca="false">IF(OR(E622="SOBRE MAX VENDIBLE",N(N622)&gt;=Parametros!$B$17,N(M622)&gt;=Parametros!$B$17),"SÍ","")</f>
        <v>SÍ</v>
      </c>
      <c r="Y622" s="3" t="str">
        <f aca="false">IF(AND(ISNUMBER(U622),MAX(S622,T622)&gt;=Parametros!$B$15,ABS(N(U622))&gt;Parametros!$B$14),"SÍ","")</f>
        <v/>
      </c>
      <c r="Z622" s="3" t="n">
        <f aca="false">COUNTIF(V622:Y622,"SÍ")</f>
        <v>1</v>
      </c>
      <c r="AA622" s="3" t="n">
        <f aca="false">(3*(V622="SÍ")+2*(W622="SÍ")+2*(X622="SÍ")+(Y622="SÍ"))*IF(LEFT(D622,1)="A",3,IF(OR(LEFT(D622,1)="B",D622="SIN HIST"),2,1))</f>
        <v>2</v>
      </c>
      <c r="AB622" s="3" t="str">
        <f aca="false">IF(AA622&gt;=9,"1-ALTA",IF(AA622&gt;=4,"2-MEDIA",IF(AA622&gt;0,"3-BAJA","")))</f>
        <v>3-BAJA</v>
      </c>
      <c r="AC622" s="3" t="str">
        <f aca="false">IF(E622="BAJO SS","Stock + XLIB bajo el SS: riesgo real de quiebre, adelantar producción. ","")&amp;IF(E622="BAJO SS (XLIB CUBRE)","Disponible bajo el SS; depende de liberar "&amp;TEXT(J622,"#,##0")&amp;" kg"&amp;IF(ISNUMBER(K622)," el "&amp;TEXT(K622,"dd-mm"),"")&amp;". ","")&amp;IF(W622="SÍ","Stock parece sano pero "&amp;TEXT(L622,"#,##0")&amp;" kg no pasan filtro "&amp;Stock_Seguridad!O622&amp;": sin ellos queda bajo el SS para esa cadena. ","")&amp;IF(E622="SOBRE MAX VENDIBLE","Sobrestock vs vida útil: frenar producción/activar venta. ","")&amp;IF(N(N622)&gt;=Parametros!$B$17,TEXT(N622,"#,##0")&amp;" kg ya no los acepta ninguna cadena: venta intermedia/liquidación. ","")&amp;IF(N(M622)&gt;=Parametros!$B$17,TEXT(M622,"#,##0")&amp;" kg a punto de salir del filtro: despachar primero (FEFO). ","")&amp;IF(Y622="SÍ","Pedidos "&amp;IF(N(U622)&gt;0,"sobre","bajo")&amp;" FCST "&amp;TEXT(ABS(N(U622)),"0%")&amp;": revisar forecast con KAM.","")</f>
        <v>502 kg ya no los acepta ninguna cadena: venta intermedia/liquidación. </v>
      </c>
    </row>
    <row r="623" customFormat="false" ht="15" hidden="false" customHeight="false" outlineLevel="0" collapsed="false">
      <c r="A623" s="18" t="n">
        <f aca="false">Stock_Seguridad!A623</f>
        <v>30000067</v>
      </c>
      <c r="B623" s="18" t="str">
        <f aca="false">Stock_Seguridad!B623</f>
        <v>MARGARINA PAMPERITA 40X250GR</v>
      </c>
      <c r="C623" s="18" t="str">
        <f aca="false">Stock_Seguridad!C623</f>
        <v>MARGARINAS</v>
      </c>
      <c r="D623" s="18" t="str">
        <f aca="false">Stock_Seguridad!F623</f>
        <v>CY</v>
      </c>
      <c r="E623" s="19" t="str">
        <f aca="false">Stock_Seguridad!X623</f>
        <v>BAJO P.REORDEN</v>
      </c>
      <c r="F623" s="20" t="n">
        <f aca="false">Stock_Seguridad!W623</f>
        <v>2.425</v>
      </c>
      <c r="G623" s="21" t="n">
        <f aca="false">Stock_Seguridad!T623</f>
        <v>970</v>
      </c>
      <c r="H623" s="21" t="n">
        <f aca="false">Stock_Seguridad!R623</f>
        <v>759.502271796922</v>
      </c>
      <c r="I623" s="21" t="n">
        <f aca="false">Stock_Seguridad!S623</f>
        <v>1159.50227179692</v>
      </c>
      <c r="J623" s="21" t="n">
        <f aca="false">Stock_Seguridad!U623</f>
        <v>0</v>
      </c>
      <c r="K623" s="22"/>
      <c r="L623" s="23" t="n">
        <v>30</v>
      </c>
      <c r="M623" s="23" t="n">
        <v>0</v>
      </c>
      <c r="N623" s="23" t="n">
        <v>10</v>
      </c>
      <c r="O623" s="24" t="n">
        <v>0.178723404255319</v>
      </c>
      <c r="P623" s="24" t="n">
        <f aca="false">IF(ISNUMBER(Stock_Seguridad!N623),Stock_Seguridad!N623,"")</f>
        <v>0.244565217391304</v>
      </c>
      <c r="Q623" s="24" t="n">
        <f aca="false">IF(AND(ISNUMBER(O623),ISNUMBER(P623)),P623-O623,"")</f>
        <v>0.0658418131359851</v>
      </c>
      <c r="R623" s="23" t="n">
        <f aca="false">MAX(0,G623-N(L623))</f>
        <v>940</v>
      </c>
      <c r="S623" s="23" t="n">
        <f aca="false">SUMIFS(Cadenas_vs_FCST!$D$17:$D$2437,Cadenas_vs_FCST!$A$17:$A$2437,A623)</f>
        <v>1970</v>
      </c>
      <c r="T623" s="23" t="n">
        <f aca="false">SUMIFS(Cadenas_vs_FCST!$E$17:$E$2437,Cadenas_vs_FCST!$A$17:$A$2437,A623)</f>
        <v>1725.15013099147</v>
      </c>
      <c r="U623" s="24" t="n">
        <f aca="false">IF(T623&gt;0,S623/T623-1,"")</f>
        <v>0.141929600566304</v>
      </c>
      <c r="V623" s="3" t="str">
        <f aca="false">IF(OR(E623="BAJO SS",E623="BAJO SS (XLIB CUBRE)"),"SÍ","")</f>
        <v/>
      </c>
      <c r="W623" s="3" t="str">
        <f aca="false">IF(AND(V623="",N(L623)&gt;=Parametros!$B$17,G623&gt;=H623,R623&lt;H623),"SÍ","")</f>
        <v/>
      </c>
      <c r="X623" s="3" t="str">
        <f aca="false">IF(OR(E623="SOBRE MAX VENDIBLE",N(N623)&gt;=Parametros!$B$17,N(M623)&gt;=Parametros!$B$17),"SÍ","")</f>
        <v/>
      </c>
      <c r="Y623" s="3" t="str">
        <f aca="false">IF(AND(ISNUMBER(U623),MAX(S623,T623)&gt;=Parametros!$B$15,ABS(N(U623))&gt;Parametros!$B$14),"SÍ","")</f>
        <v/>
      </c>
      <c r="Z623" s="3" t="n">
        <f aca="false">COUNTIF(V623:Y623,"SÍ")</f>
        <v>0</v>
      </c>
      <c r="AA623" s="3" t="n">
        <f aca="false">(3*(V623="SÍ")+2*(W623="SÍ")+2*(X623="SÍ")+(Y623="SÍ"))*IF(LEFT(D623,1)="A",3,IF(OR(LEFT(D623,1)="B",D623="SIN HIST"),2,1))</f>
        <v>0</v>
      </c>
      <c r="AB623" s="3" t="str">
        <f aca="false">IF(AA623&gt;=9,"1-ALTA",IF(AA623&gt;=4,"2-MEDIA",IF(AA623&gt;0,"3-BAJA","")))</f>
        <v/>
      </c>
      <c r="AC623" s="3" t="str">
        <f aca="false">IF(E623="BAJO SS","Stock + XLIB bajo el SS: riesgo real de quiebre, adelantar producción. ","")&amp;IF(E623="BAJO SS (XLIB CUBRE)","Disponible bajo el SS; depende de liberar "&amp;TEXT(J623,"#,##0")&amp;" kg"&amp;IF(ISNUMBER(K623)," el "&amp;TEXT(K623,"dd-mm"),"")&amp;". ","")&amp;IF(W623="SÍ","Stock parece sano pero "&amp;TEXT(L623,"#,##0")&amp;" kg no pasan filtro "&amp;Stock_Seguridad!O623&amp;": sin ellos queda bajo el SS para esa cadena. ","")&amp;IF(E623="SOBRE MAX VENDIBLE","Sobrestock vs vida útil: frenar producción/activar venta. ","")&amp;IF(N(N623)&gt;=Parametros!$B$17,TEXT(N623,"#,##0")&amp;" kg ya no los acepta ninguna cadena: venta intermedia/liquidación. ","")&amp;IF(N(M623)&gt;=Parametros!$B$17,TEXT(M623,"#,##0")&amp;" kg a punto de salir del filtro: despachar primero (FEFO). ","")&amp;IF(Y623="SÍ","Pedidos "&amp;IF(N(U623)&gt;0,"sobre","bajo")&amp;" FCST "&amp;TEXT(ABS(N(U623)),"0%")&amp;": revisar forecast con KAM.","")</f>
        <v/>
      </c>
    </row>
    <row r="624" customFormat="false" ht="15" hidden="false" customHeight="false" outlineLevel="0" collapsed="false">
      <c r="A624" s="18" t="n">
        <f aca="false">Stock_Seguridad!A624</f>
        <v>30002103</v>
      </c>
      <c r="B624" s="18" t="str">
        <f aca="false">Stock_Seguridad!B624</f>
        <v>GYOZAS DE CERDO FDM 25X200GR</v>
      </c>
      <c r="C624" s="18" t="str">
        <f aca="false">Stock_Seguridad!C624</f>
        <v>FRUTAS Y HORTALIZAS CONGELADAS</v>
      </c>
      <c r="D624" s="18" t="str">
        <f aca="false">Stock_Seguridad!F624</f>
        <v>SIN HIST</v>
      </c>
      <c r="E624" s="19" t="str">
        <f aca="false">Stock_Seguridad!X624</f>
        <v>BAJO SS</v>
      </c>
      <c r="F624" s="20" t="n">
        <f aca="false">Stock_Seguridad!W624</f>
        <v>0.341512775107513</v>
      </c>
      <c r="G624" s="21" t="n">
        <f aca="false">Stock_Seguridad!T624</f>
        <v>135</v>
      </c>
      <c r="H624" s="21" t="n">
        <f aca="false">Stock_Seguridad!R624</f>
        <v>195.063191620175</v>
      </c>
      <c r="I624" s="21" t="n">
        <f aca="false">Stock_Seguridad!S624</f>
        <v>590.363191620175</v>
      </c>
      <c r="J624" s="21" t="n">
        <f aca="false">Stock_Seguridad!U624</f>
        <v>0</v>
      </c>
      <c r="K624" s="22"/>
      <c r="L624" s="23" t="n">
        <v>0</v>
      </c>
      <c r="M624" s="23" t="n">
        <v>0</v>
      </c>
      <c r="N624" s="23" t="n">
        <v>0</v>
      </c>
      <c r="O624" s="24" t="n">
        <v>0.42</v>
      </c>
      <c r="P624" s="24" t="str">
        <f aca="false">IF(ISNUMBER(Stock_Seguridad!N624),Stock_Seguridad!N624,"")</f>
        <v/>
      </c>
      <c r="Q624" s="24" t="str">
        <f aca="false">IF(AND(ISNUMBER(O624),ISNUMBER(P624)),P624-O624,"")</f>
        <v/>
      </c>
      <c r="R624" s="23" t="n">
        <f aca="false">MAX(0,G624-N(L624))</f>
        <v>135</v>
      </c>
      <c r="S624" s="23" t="n">
        <f aca="false">SUMIFS(Cadenas_vs_FCST!$D$17:$D$2437,Cadenas_vs_FCST!$A$17:$A$2437,A624)</f>
        <v>0</v>
      </c>
      <c r="T624" s="23" t="n">
        <f aca="false">SUMIFS(Cadenas_vs_FCST!$E$17:$E$2437,Cadenas_vs_FCST!$A$17:$A$2437,A624)</f>
        <v>0</v>
      </c>
      <c r="U624" s="24" t="str">
        <f aca="false">IF(T624&gt;0,S624/T624-1,"")</f>
        <v/>
      </c>
      <c r="V624" s="3" t="str">
        <f aca="false">IF(OR(E624="BAJO SS",E624="BAJO SS (XLIB CUBRE)"),"SÍ","")</f>
        <v>SÍ</v>
      </c>
      <c r="W624" s="3" t="str">
        <f aca="false">IF(AND(V624="",N(L624)&gt;=Parametros!$B$17,G624&gt;=H624,R624&lt;H624),"SÍ","")</f>
        <v/>
      </c>
      <c r="X624" s="3" t="str">
        <f aca="false">IF(OR(E624="SOBRE MAX VENDIBLE",N(N624)&gt;=Parametros!$B$17,N(M624)&gt;=Parametros!$B$17),"SÍ","")</f>
        <v/>
      </c>
      <c r="Y624" s="3" t="str">
        <f aca="false">IF(AND(ISNUMBER(U624),MAX(S624,T624)&gt;=Parametros!$B$15,ABS(N(U624))&gt;Parametros!$B$14),"SÍ","")</f>
        <v/>
      </c>
      <c r="Z624" s="3" t="n">
        <f aca="false">COUNTIF(V624:Y624,"SÍ")</f>
        <v>1</v>
      </c>
      <c r="AA624" s="3" t="n">
        <f aca="false">(3*(V624="SÍ")+2*(W624="SÍ")+2*(X624="SÍ")+(Y624="SÍ"))*IF(LEFT(D624,1)="A",3,IF(OR(LEFT(D624,1)="B",D624="SIN HIST"),2,1))</f>
        <v>6</v>
      </c>
      <c r="AB624" s="3" t="str">
        <f aca="false">IF(AA624&gt;=9,"1-ALTA",IF(AA624&gt;=4,"2-MEDIA",IF(AA624&gt;0,"3-BAJA","")))</f>
        <v>2-MEDIA</v>
      </c>
      <c r="AC624" s="3" t="str">
        <f aca="false">IF(E624="BAJO SS","Stock + XLIB bajo el SS: riesgo real de quiebre, adelantar producción. ","")&amp;IF(E624="BAJO SS (XLIB CUBRE)","Disponible bajo el SS; depende de liberar "&amp;TEXT(J624,"#,##0")&amp;" kg"&amp;IF(ISNUMBER(K624)," el "&amp;TEXT(K624,"dd-mm"),"")&amp;". ","")&amp;IF(W624="SÍ","Stock parece sano pero "&amp;TEXT(L624,"#,##0")&amp;" kg no pasan filtro "&amp;Stock_Seguridad!O624&amp;": sin ellos queda bajo el SS para esa cadena. ","")&amp;IF(E624="SOBRE MAX VENDIBLE","Sobrestock vs vida útil: frenar producción/activar venta. ","")&amp;IF(N(N624)&gt;=Parametros!$B$17,TEXT(N624,"#,##0")&amp;" kg ya no los acepta ninguna cadena: venta intermedia/liquidación. ","")&amp;IF(N(M624)&gt;=Parametros!$B$17,TEXT(M624,"#,##0")&amp;" kg a punto de salir del filtro: despachar primero (FEFO). ","")&amp;IF(Y624="SÍ","Pedidos "&amp;IF(N(U624)&gt;0,"sobre","bajo")&amp;" FCST "&amp;TEXT(ABS(N(U624)),"0%")&amp;": revisar forecast con KAM.","")</f>
        <v>Stock + XLIB bajo el SS: riesgo real de quiebre, adelantar producción. </v>
      </c>
    </row>
    <row r="625" customFormat="false" ht="15" hidden="false" customHeight="false" outlineLevel="0" collapsed="false">
      <c r="A625" s="18" t="n">
        <f aca="false">Stock_Seguridad!A625</f>
        <v>30002043</v>
      </c>
      <c r="B625" s="18" t="str">
        <f aca="false">Stock_Seguridad!B625</f>
        <v>PULPA DE FRAMBUESA FDM 19X335GR</v>
      </c>
      <c r="C625" s="18" t="str">
        <f aca="false">Stock_Seguridad!C625</f>
        <v>FRUTAS Y HORTALIZAS CONGELADAS</v>
      </c>
      <c r="D625" s="18" t="str">
        <f aca="false">Stock_Seguridad!F625</f>
        <v>SIN HIST</v>
      </c>
      <c r="E625" s="19" t="str">
        <f aca="false">Stock_Seguridad!X625</f>
        <v>BAJO P.REORDEN</v>
      </c>
      <c r="F625" s="20" t="n">
        <f aca="false">Stock_Seguridad!W625</f>
        <v>1.34211255891322</v>
      </c>
      <c r="G625" s="21" t="n">
        <f aca="false">Stock_Seguridad!T625</f>
        <v>484.1</v>
      </c>
      <c r="H625" s="21" t="n">
        <f aca="false">Stock_Seguridad!R625</f>
        <v>177.989610972419</v>
      </c>
      <c r="I625" s="21" t="n">
        <f aca="false">Stock_Seguridad!S625</f>
        <v>538.689610972419</v>
      </c>
      <c r="J625" s="21" t="n">
        <f aca="false">Stock_Seguridad!U625</f>
        <v>0</v>
      </c>
      <c r="K625" s="22"/>
      <c r="L625" s="23" t="n">
        <v>0</v>
      </c>
      <c r="M625" s="23" t="n">
        <v>0</v>
      </c>
      <c r="N625" s="23" t="n">
        <v>0</v>
      </c>
      <c r="O625" s="24" t="n">
        <v>0.62</v>
      </c>
      <c r="P625" s="24" t="str">
        <f aca="false">IF(ISNUMBER(Stock_Seguridad!N625),Stock_Seguridad!N625,"")</f>
        <v/>
      </c>
      <c r="Q625" s="24" t="str">
        <f aca="false">IF(AND(ISNUMBER(O625),ISNUMBER(P625)),P625-O625,"")</f>
        <v/>
      </c>
      <c r="R625" s="23" t="n">
        <f aca="false">MAX(0,G625-N(L625))</f>
        <v>484.1</v>
      </c>
      <c r="S625" s="23" t="n">
        <f aca="false">SUMIFS(Cadenas_vs_FCST!$D$17:$D$2437,Cadenas_vs_FCST!$A$17:$A$2437,A625)</f>
        <v>0</v>
      </c>
      <c r="T625" s="23" t="n">
        <f aca="false">SUMIFS(Cadenas_vs_FCST!$E$17:$E$2437,Cadenas_vs_FCST!$A$17:$A$2437,A625)</f>
        <v>0</v>
      </c>
      <c r="U625" s="24" t="str">
        <f aca="false">IF(T625&gt;0,S625/T625-1,"")</f>
        <v/>
      </c>
      <c r="V625" s="3" t="str">
        <f aca="false">IF(OR(E625="BAJO SS",E625="BAJO SS (XLIB CUBRE)"),"SÍ","")</f>
        <v/>
      </c>
      <c r="W625" s="3" t="str">
        <f aca="false">IF(AND(V625="",N(L625)&gt;=Parametros!$B$17,G625&gt;=H625,R625&lt;H625),"SÍ","")</f>
        <v/>
      </c>
      <c r="X625" s="3" t="str">
        <f aca="false">IF(OR(E625="SOBRE MAX VENDIBLE",N(N625)&gt;=Parametros!$B$17,N(M625)&gt;=Parametros!$B$17),"SÍ","")</f>
        <v/>
      </c>
      <c r="Y625" s="3" t="str">
        <f aca="false">IF(AND(ISNUMBER(U625),MAX(S625,T625)&gt;=Parametros!$B$15,ABS(N(U625))&gt;Parametros!$B$14),"SÍ","")</f>
        <v/>
      </c>
      <c r="Z625" s="3" t="n">
        <f aca="false">COUNTIF(V625:Y625,"SÍ")</f>
        <v>0</v>
      </c>
      <c r="AA625" s="3" t="n">
        <f aca="false">(3*(V625="SÍ")+2*(W625="SÍ")+2*(X625="SÍ")+(Y625="SÍ"))*IF(LEFT(D625,1)="A",3,IF(OR(LEFT(D625,1)="B",D625="SIN HIST"),2,1))</f>
        <v>0</v>
      </c>
      <c r="AB625" s="3" t="str">
        <f aca="false">IF(AA625&gt;=9,"1-ALTA",IF(AA625&gt;=4,"2-MEDIA",IF(AA625&gt;0,"3-BAJA","")))</f>
        <v/>
      </c>
      <c r="AC625" s="3" t="str">
        <f aca="false">IF(E625="BAJO SS","Stock + XLIB bajo el SS: riesgo real de quiebre, adelantar producción. ","")&amp;IF(E625="BAJO SS (XLIB CUBRE)","Disponible bajo el SS; depende de liberar "&amp;TEXT(J625,"#,##0")&amp;" kg"&amp;IF(ISNUMBER(K625)," el "&amp;TEXT(K625,"dd-mm"),"")&amp;". ","")&amp;IF(W625="SÍ","Stock parece sano pero "&amp;TEXT(L625,"#,##0")&amp;" kg no pasan filtro "&amp;Stock_Seguridad!O625&amp;": sin ellos queda bajo el SS para esa cadena. ","")&amp;IF(E625="SOBRE MAX VENDIBLE","Sobrestock vs vida útil: frenar producción/activar venta. ","")&amp;IF(N(N625)&gt;=Parametros!$B$17,TEXT(N625,"#,##0")&amp;" kg ya no los acepta ninguna cadena: venta intermedia/liquidación. ","")&amp;IF(N(M625)&gt;=Parametros!$B$17,TEXT(M625,"#,##0")&amp;" kg a punto de salir del filtro: despachar primero (FEFO). ","")&amp;IF(Y625="SÍ","Pedidos "&amp;IF(N(U625)&gt;0,"sobre","bajo")&amp;" FCST "&amp;TEXT(ABS(N(U625)),"0%")&amp;": revisar forecast con KAM.","")</f>
        <v/>
      </c>
    </row>
    <row r="626" customFormat="false" ht="15" hidden="false" customHeight="false" outlineLevel="0" collapsed="false">
      <c r="A626" s="18" t="n">
        <f aca="false">Stock_Seguridad!A626</f>
        <v>30002041</v>
      </c>
      <c r="B626" s="18" t="str">
        <f aca="false">Stock_Seguridad!B626</f>
        <v>PULPA DE MANGO FDM 19X335GR</v>
      </c>
      <c r="C626" s="18" t="str">
        <f aca="false">Stock_Seguridad!C626</f>
        <v>FRUTAS Y HORTALIZAS CONGELADAS</v>
      </c>
      <c r="D626" s="18" t="str">
        <f aca="false">Stock_Seguridad!F626</f>
        <v>SIN HIST</v>
      </c>
      <c r="E626" s="19" t="str">
        <f aca="false">Stock_Seguridad!X626</f>
        <v>OK</v>
      </c>
      <c r="F626" s="20" t="n">
        <f aca="false">Stock_Seguridad!W626</f>
        <v>8.51014656144307</v>
      </c>
      <c r="G626" s="21" t="n">
        <f aca="false">Stock_Seguridad!T626</f>
        <v>3019.4</v>
      </c>
      <c r="H626" s="21" t="n">
        <f aca="false">Stock_Seguridad!R626</f>
        <v>175.078220052715</v>
      </c>
      <c r="I626" s="21" t="n">
        <f aca="false">Stock_Seguridad!S626</f>
        <v>529.878220052715</v>
      </c>
      <c r="J626" s="21" t="n">
        <f aca="false">Stock_Seguridad!U626</f>
        <v>0</v>
      </c>
      <c r="K626" s="22"/>
      <c r="L626" s="23" t="n">
        <v>0</v>
      </c>
      <c r="M626" s="23" t="n">
        <v>0</v>
      </c>
      <c r="N626" s="23" t="n">
        <v>0</v>
      </c>
      <c r="O626" s="24" t="n">
        <v>0.0460759493670886</v>
      </c>
      <c r="P626" s="24" t="str">
        <f aca="false">IF(ISNUMBER(Stock_Seguridad!N626),Stock_Seguridad!N626,"")</f>
        <v/>
      </c>
      <c r="Q626" s="24" t="str">
        <f aca="false">IF(AND(ISNUMBER(O626),ISNUMBER(P626)),P626-O626,"")</f>
        <v/>
      </c>
      <c r="R626" s="23" t="n">
        <f aca="false">MAX(0,G626-N(L626))</f>
        <v>3019.4</v>
      </c>
      <c r="S626" s="23" t="n">
        <f aca="false">SUMIFS(Cadenas_vs_FCST!$D$17:$D$2437,Cadenas_vs_FCST!$A$17:$A$2437,A626)</f>
        <v>0</v>
      </c>
      <c r="T626" s="23" t="n">
        <f aca="false">SUMIFS(Cadenas_vs_FCST!$E$17:$E$2437,Cadenas_vs_FCST!$A$17:$A$2437,A626)</f>
        <v>0</v>
      </c>
      <c r="U626" s="24" t="str">
        <f aca="false">IF(T626&gt;0,S626/T626-1,"")</f>
        <v/>
      </c>
      <c r="V626" s="3" t="str">
        <f aca="false">IF(OR(E626="BAJO SS",E626="BAJO SS (XLIB CUBRE)"),"SÍ","")</f>
        <v/>
      </c>
      <c r="W626" s="3" t="str">
        <f aca="false">IF(AND(V626="",N(L626)&gt;=Parametros!$B$17,G626&gt;=H626,R626&lt;H626),"SÍ","")</f>
        <v/>
      </c>
      <c r="X626" s="3" t="str">
        <f aca="false">IF(OR(E626="SOBRE MAX VENDIBLE",N(N626)&gt;=Parametros!$B$17,N(M626)&gt;=Parametros!$B$17),"SÍ","")</f>
        <v/>
      </c>
      <c r="Y626" s="3" t="str">
        <f aca="false">IF(AND(ISNUMBER(U626),MAX(S626,T626)&gt;=Parametros!$B$15,ABS(N(U626))&gt;Parametros!$B$14),"SÍ","")</f>
        <v/>
      </c>
      <c r="Z626" s="3" t="n">
        <f aca="false">COUNTIF(V626:Y626,"SÍ")</f>
        <v>0</v>
      </c>
      <c r="AA626" s="3" t="n">
        <f aca="false">(3*(V626="SÍ")+2*(W626="SÍ")+2*(X626="SÍ")+(Y626="SÍ"))*IF(LEFT(D626,1)="A",3,IF(OR(LEFT(D626,1)="B",D626="SIN HIST"),2,1))</f>
        <v>0</v>
      </c>
      <c r="AB626" s="3" t="str">
        <f aca="false">IF(AA626&gt;=9,"1-ALTA",IF(AA626&gt;=4,"2-MEDIA",IF(AA626&gt;0,"3-BAJA","")))</f>
        <v/>
      </c>
      <c r="AC626" s="3" t="str">
        <f aca="false">IF(E626="BAJO SS","Stock + XLIB bajo el SS: riesgo real de quiebre, adelantar producción. ","")&amp;IF(E626="BAJO SS (XLIB CUBRE)","Disponible bajo el SS; depende de liberar "&amp;TEXT(J626,"#,##0")&amp;" kg"&amp;IF(ISNUMBER(K626)," el "&amp;TEXT(K626,"dd-mm"),"")&amp;". ","")&amp;IF(W626="SÍ","Stock parece sano pero "&amp;TEXT(L626,"#,##0")&amp;" kg no pasan filtro "&amp;Stock_Seguridad!O626&amp;": sin ellos queda bajo el SS para esa cadena. ","")&amp;IF(E626="SOBRE MAX VENDIBLE","Sobrestock vs vida útil: frenar producción/activar venta. ","")&amp;IF(N(N626)&gt;=Parametros!$B$17,TEXT(N626,"#,##0")&amp;" kg ya no los acepta ninguna cadena: venta intermedia/liquidación. ","")&amp;IF(N(M626)&gt;=Parametros!$B$17,TEXT(M626,"#,##0")&amp;" kg a punto de salir del filtro: despachar primero (FEFO). ","")&amp;IF(Y626="SÍ","Pedidos "&amp;IF(N(U626)&gt;0,"sobre","bajo")&amp;" FCST "&amp;TEXT(ABS(N(U626)),"0%")&amp;": revisar forecast con KAM.","")</f>
        <v/>
      </c>
    </row>
    <row r="627" customFormat="false" ht="15" hidden="false" customHeight="false" outlineLevel="0" collapsed="false">
      <c r="A627" s="18" t="n">
        <f aca="false">Stock_Seguridad!A627</f>
        <v>30001860</v>
      </c>
      <c r="B627" s="18" t="str">
        <f aca="false">Stock_Seguridad!B627</f>
        <v>ACEITE CHEF MARAVILLA SPRAY 12X180 ML</v>
      </c>
      <c r="C627" s="18" t="str">
        <f aca="false">Stock_Seguridad!C627</f>
        <v>ACEITES</v>
      </c>
      <c r="D627" s="18" t="str">
        <f aca="false">Stock_Seguridad!F627</f>
        <v>CX</v>
      </c>
      <c r="E627" s="19" t="str">
        <f aca="false">Stock_Seguridad!X627</f>
        <v>OK</v>
      </c>
      <c r="F627" s="20" t="n">
        <f aca="false">Stock_Seguridad!W627</f>
        <v>8.23285351397121</v>
      </c>
      <c r="G627" s="21" t="n">
        <f aca="false">Stock_Seguridad!T627</f>
        <v>2916.9</v>
      </c>
      <c r="H627" s="21" t="n">
        <f aca="false">Stock_Seguridad!R627</f>
        <v>137.140986739601</v>
      </c>
      <c r="I627" s="21" t="n">
        <f aca="false">Stock_Seguridad!S627</f>
        <v>491.440986739601</v>
      </c>
      <c r="J627" s="21" t="n">
        <f aca="false">Stock_Seguridad!U627</f>
        <v>0</v>
      </c>
      <c r="K627" s="22"/>
      <c r="L627" s="23" t="n">
        <v>788.839</v>
      </c>
      <c r="M627" s="23" t="n">
        <v>745.125</v>
      </c>
      <c r="N627" s="23" t="n">
        <v>45.701</v>
      </c>
      <c r="O627" s="24" t="n">
        <v>0.139754433833561</v>
      </c>
      <c r="P627" s="24" t="n">
        <f aca="false">IF(ISNUMBER(Stock_Seguridad!N627),Stock_Seguridad!N627,"")</f>
        <v>0.194520547945206</v>
      </c>
      <c r="Q627" s="24" t="n">
        <f aca="false">IF(AND(ISNUMBER(O627),ISNUMBER(P627)),P627-O627,"")</f>
        <v>0.0547661141116448</v>
      </c>
      <c r="R627" s="23" t="n">
        <f aca="false">MAX(0,G627-N(L627))</f>
        <v>2128.061</v>
      </c>
      <c r="S627" s="23" t="n">
        <f aca="false">SUMIFS(Cadenas_vs_FCST!$D$17:$D$2437,Cadenas_vs_FCST!$A$17:$A$2437,A627)</f>
        <v>1110.733</v>
      </c>
      <c r="T627" s="23" t="n">
        <f aca="false">SUMIFS(Cadenas_vs_FCST!$E$17:$E$2437,Cadenas_vs_FCST!$A$17:$A$2437,A627)</f>
        <v>1448.519</v>
      </c>
      <c r="U627" s="24" t="n">
        <f aca="false">IF(T627&gt;0,S627/T627-1,"")</f>
        <v>-0.233194041638391</v>
      </c>
      <c r="V627" s="3" t="str">
        <f aca="false">IF(OR(E627="BAJO SS",E627="BAJO SS (XLIB CUBRE)"),"SÍ","")</f>
        <v/>
      </c>
      <c r="W627" s="3" t="str">
        <f aca="false">IF(AND(V627="",N(L627)&gt;=Parametros!$B$17,G627&gt;=H627,R627&lt;H627),"SÍ","")</f>
        <v/>
      </c>
      <c r="X627" s="3" t="str">
        <f aca="false">IF(OR(E627="SOBRE MAX VENDIBLE",N(N627)&gt;=Parametros!$B$17,N(M627)&gt;=Parametros!$B$17),"SÍ","")</f>
        <v>SÍ</v>
      </c>
      <c r="Y627" s="3" t="str">
        <f aca="false">IF(AND(ISNUMBER(U627),MAX(S627,T627)&gt;=Parametros!$B$15,ABS(N(U627))&gt;Parametros!$B$14),"SÍ","")</f>
        <v/>
      </c>
      <c r="Z627" s="3" t="n">
        <f aca="false">COUNTIF(V627:Y627,"SÍ")</f>
        <v>1</v>
      </c>
      <c r="AA627" s="3" t="n">
        <f aca="false">(3*(V627="SÍ")+2*(W627="SÍ")+2*(X627="SÍ")+(Y627="SÍ"))*IF(LEFT(D627,1)="A",3,IF(OR(LEFT(D627,1)="B",D627="SIN HIST"),2,1))</f>
        <v>2</v>
      </c>
      <c r="AB627" s="3" t="str">
        <f aca="false">IF(AA627&gt;=9,"1-ALTA",IF(AA627&gt;=4,"2-MEDIA",IF(AA627&gt;0,"3-BAJA","")))</f>
        <v>3-BAJA</v>
      </c>
      <c r="AC627" s="3" t="str">
        <f aca="false">IF(E627="BAJO SS","Stock + XLIB bajo el SS: riesgo real de quiebre, adelantar producción. ","")&amp;IF(E627="BAJO SS (XLIB CUBRE)","Disponible bajo el SS; depende de liberar "&amp;TEXT(J627,"#,##0")&amp;" kg"&amp;IF(ISNUMBER(K627)," el "&amp;TEXT(K627,"dd-mm"),"")&amp;". ","")&amp;IF(W627="SÍ","Stock parece sano pero "&amp;TEXT(L627,"#,##0")&amp;" kg no pasan filtro "&amp;Stock_Seguridad!O627&amp;": sin ellos queda bajo el SS para esa cadena. ","")&amp;IF(E627="SOBRE MAX VENDIBLE","Sobrestock vs vida útil: frenar producción/activar venta. ","")&amp;IF(N(N627)&gt;=Parametros!$B$17,TEXT(N627,"#,##0")&amp;" kg ya no los acepta ninguna cadena: venta intermedia/liquidación. ","")&amp;IF(N(M627)&gt;=Parametros!$B$17,TEXT(M627,"#,##0")&amp;" kg a punto de salir del filtro: despachar primero (FEFO). ","")&amp;IF(Y627="SÍ","Pedidos "&amp;IF(N(U627)&gt;0,"sobre","bajo")&amp;" FCST "&amp;TEXT(ABS(N(U627)),"0%")&amp;": revisar forecast con KAM.","")</f>
        <v>745 kg a punto de salir del filtro: despachar primero (FEFO). </v>
      </c>
    </row>
    <row r="628" customFormat="false" ht="15" hidden="false" customHeight="false" outlineLevel="0" collapsed="false">
      <c r="A628" s="18" t="n">
        <f aca="false">Stock_Seguridad!A628</f>
        <v>30002085</v>
      </c>
      <c r="B628" s="18" t="str">
        <f aca="false">Stock_Seguridad!B628</f>
        <v>YOGURT ACTIVIA FRUTILLA POTE 24X140GR</v>
      </c>
      <c r="C628" s="18" t="str">
        <f aca="false">Stock_Seguridad!C628</f>
        <v>YOGURT</v>
      </c>
      <c r="D628" s="18" t="str">
        <f aca="false">Stock_Seguridad!F628</f>
        <v>CX</v>
      </c>
      <c r="E628" s="19" t="str">
        <f aca="false">Stock_Seguridad!X628</f>
        <v>SOBRE MAX VENDIBLE</v>
      </c>
      <c r="F628" s="20" t="n">
        <f aca="false">Stock_Seguridad!W628</f>
        <v>3.17005649717514</v>
      </c>
      <c r="G628" s="21" t="n">
        <f aca="false">Stock_Seguridad!T628</f>
        <v>1122.2</v>
      </c>
      <c r="H628" s="21" t="n">
        <f aca="false">Stock_Seguridad!R628</f>
        <v>271.147144777365</v>
      </c>
      <c r="I628" s="21" t="n">
        <f aca="false">Stock_Seguridad!S628</f>
        <v>625.147144777365</v>
      </c>
      <c r="J628" s="21" t="n">
        <f aca="false">Stock_Seguridad!U628</f>
        <v>0</v>
      </c>
      <c r="K628" s="22"/>
      <c r="L628" s="23" t="n">
        <v>332.64</v>
      </c>
      <c r="M628" s="23" t="n">
        <v>789.6</v>
      </c>
      <c r="N628" s="23" t="n">
        <v>332.64</v>
      </c>
      <c r="O628" s="24" t="n">
        <v>0.266317365269461</v>
      </c>
      <c r="P628" s="24" t="n">
        <f aca="false">IF(ISNUMBER(Stock_Seguridad!N628),Stock_Seguridad!N628,"")</f>
        <v>0.228070175438597</v>
      </c>
      <c r="Q628" s="24" t="n">
        <f aca="false">IF(AND(ISNUMBER(O628),ISNUMBER(P628)),P628-O628,"")</f>
        <v>-0.0382471898308646</v>
      </c>
      <c r="R628" s="23" t="n">
        <f aca="false">MAX(0,G628-N(L628))</f>
        <v>789.56</v>
      </c>
      <c r="S628" s="23" t="n">
        <f aca="false">SUMIFS(Cadenas_vs_FCST!$D$17:$D$2437,Cadenas_vs_FCST!$A$17:$A$2437,A628)</f>
        <v>1774.08</v>
      </c>
      <c r="T628" s="23" t="n">
        <f aca="false">SUMIFS(Cadenas_vs_FCST!$E$17:$E$2437,Cadenas_vs_FCST!$A$17:$A$2437,A628)</f>
        <v>2134.58741561702</v>
      </c>
      <c r="U628" s="24" t="n">
        <f aca="false">IF(T628&gt;0,S628/T628-1,"")</f>
        <v>-0.168888569743962</v>
      </c>
      <c r="V628" s="3" t="str">
        <f aca="false">IF(OR(E628="BAJO SS",E628="BAJO SS (XLIB CUBRE)"),"SÍ","")</f>
        <v/>
      </c>
      <c r="W628" s="3" t="str">
        <f aca="false">IF(AND(V628="",N(L628)&gt;=Parametros!$B$17,G628&gt;=H628,R628&lt;H628),"SÍ","")</f>
        <v/>
      </c>
      <c r="X628" s="3" t="str">
        <f aca="false">IF(OR(E628="SOBRE MAX VENDIBLE",N(N628)&gt;=Parametros!$B$17,N(M628)&gt;=Parametros!$B$17),"SÍ","")</f>
        <v>SÍ</v>
      </c>
      <c r="Y628" s="3" t="str">
        <f aca="false">IF(AND(ISNUMBER(U628),MAX(S628,T628)&gt;=Parametros!$B$15,ABS(N(U628))&gt;Parametros!$B$14),"SÍ","")</f>
        <v/>
      </c>
      <c r="Z628" s="3" t="n">
        <f aca="false">COUNTIF(V628:Y628,"SÍ")</f>
        <v>1</v>
      </c>
      <c r="AA628" s="3" t="n">
        <f aca="false">(3*(V628="SÍ")+2*(W628="SÍ")+2*(X628="SÍ")+(Y628="SÍ"))*IF(LEFT(D628,1)="A",3,IF(OR(LEFT(D628,1)="B",D628="SIN HIST"),2,1))</f>
        <v>2</v>
      </c>
      <c r="AB628" s="3" t="str">
        <f aca="false">IF(AA628&gt;=9,"1-ALTA",IF(AA628&gt;=4,"2-MEDIA",IF(AA628&gt;0,"3-BAJA","")))</f>
        <v>3-BAJA</v>
      </c>
      <c r="AC628" s="3" t="str">
        <f aca="false">IF(E628="BAJO SS","Stock + XLIB bajo el SS: riesgo real de quiebre, adelantar producción. ","")&amp;IF(E628="BAJO SS (XLIB CUBRE)","Disponible bajo el SS; depende de liberar "&amp;TEXT(J628,"#,##0")&amp;" kg"&amp;IF(ISNUMBER(K628)," el "&amp;TEXT(K628,"dd-mm"),"")&amp;". ","")&amp;IF(W628="SÍ","Stock parece sano pero "&amp;TEXT(L628,"#,##0")&amp;" kg no pasan filtro "&amp;Stock_Seguridad!O628&amp;": sin ellos queda bajo el SS para esa cadena. ","")&amp;IF(E628="SOBRE MAX VENDIBLE","Sobrestock vs vida útil: frenar producción/activar venta. ","")&amp;IF(N(N628)&gt;=Parametros!$B$17,TEXT(N628,"#,##0")&amp;" kg ya no los acepta ninguna cadena: venta intermedia/liquidación. ","")&amp;IF(N(M628)&gt;=Parametros!$B$17,TEXT(M628,"#,##0")&amp;" kg a punto de salir del filtro: despachar primero (FEFO). ","")&amp;IF(Y628="SÍ","Pedidos "&amp;IF(N(U628)&gt;0,"sobre","bajo")&amp;" FCST "&amp;TEXT(ABS(N(U628)),"0%")&amp;": revisar forecast con KAM.","")</f>
        <v>Sobrestock vs vida útil: frenar producción/activar venta. 790 kg a punto de salir del filtro: despachar primero (FEFO). </v>
      </c>
    </row>
    <row r="629" customFormat="false" ht="15" hidden="false" customHeight="false" outlineLevel="0" collapsed="false">
      <c r="A629" s="18" t="n">
        <f aca="false">Stock_Seguridad!A629</f>
        <v>30000760</v>
      </c>
      <c r="B629" s="18" t="str">
        <f aca="false">Stock_Seguridad!B629</f>
        <v>SOFRITO CONGELADO FM 8X1KG</v>
      </c>
      <c r="C629" s="18" t="str">
        <f aca="false">Stock_Seguridad!C629</f>
        <v>FRUTAS Y HORTALIZAS CONGELADAS</v>
      </c>
      <c r="D629" s="18" t="str">
        <f aca="false">Stock_Seguridad!F629</f>
        <v>SIN HIST</v>
      </c>
      <c r="E629" s="19" t="str">
        <f aca="false">Stock_Seguridad!X629</f>
        <v>OK</v>
      </c>
      <c r="F629" s="20" t="n">
        <f aca="false">Stock_Seguridad!W629</f>
        <v>30.6880733944954</v>
      </c>
      <c r="G629" s="21" t="n">
        <f aca="false">Stock_Seguridad!T629</f>
        <v>10704</v>
      </c>
      <c r="H629" s="21" t="n">
        <f aca="false">Stock_Seguridad!R629</f>
        <v>172.117483524202</v>
      </c>
      <c r="I629" s="21" t="n">
        <f aca="false">Stock_Seguridad!S629</f>
        <v>520.917483524202</v>
      </c>
      <c r="J629" s="21" t="n">
        <f aca="false">Stock_Seguridad!U629</f>
        <v>0</v>
      </c>
      <c r="K629" s="22"/>
      <c r="L629" s="23" t="n">
        <v>0</v>
      </c>
      <c r="M629" s="23" t="n">
        <v>0</v>
      </c>
      <c r="N629" s="23" t="n">
        <v>0</v>
      </c>
      <c r="O629" s="24" t="n">
        <v>0.12</v>
      </c>
      <c r="P629" s="24" t="str">
        <f aca="false">IF(ISNUMBER(Stock_Seguridad!N629),Stock_Seguridad!N629,"")</f>
        <v/>
      </c>
      <c r="Q629" s="24" t="str">
        <f aca="false">IF(AND(ISNUMBER(O629),ISNUMBER(P629)),P629-O629,"")</f>
        <v/>
      </c>
      <c r="R629" s="23" t="n">
        <f aca="false">MAX(0,G629-N(L629))</f>
        <v>10704</v>
      </c>
      <c r="S629" s="23" t="n">
        <f aca="false">SUMIFS(Cadenas_vs_FCST!$D$17:$D$2437,Cadenas_vs_FCST!$A$17:$A$2437,A629)</f>
        <v>0</v>
      </c>
      <c r="T629" s="23" t="n">
        <f aca="false">SUMIFS(Cadenas_vs_FCST!$E$17:$E$2437,Cadenas_vs_FCST!$A$17:$A$2437,A629)</f>
        <v>0</v>
      </c>
      <c r="U629" s="24" t="str">
        <f aca="false">IF(T629&gt;0,S629/T629-1,"")</f>
        <v/>
      </c>
      <c r="V629" s="3" t="str">
        <f aca="false">IF(OR(E629="BAJO SS",E629="BAJO SS (XLIB CUBRE)"),"SÍ","")</f>
        <v/>
      </c>
      <c r="W629" s="3" t="str">
        <f aca="false">IF(AND(V629="",N(L629)&gt;=Parametros!$B$17,G629&gt;=H629,R629&lt;H629),"SÍ","")</f>
        <v/>
      </c>
      <c r="X629" s="3" t="str">
        <f aca="false">IF(OR(E629="SOBRE MAX VENDIBLE",N(N629)&gt;=Parametros!$B$17,N(M629)&gt;=Parametros!$B$17),"SÍ","")</f>
        <v/>
      </c>
      <c r="Y629" s="3" t="str">
        <f aca="false">IF(AND(ISNUMBER(U629),MAX(S629,T629)&gt;=Parametros!$B$15,ABS(N(U629))&gt;Parametros!$B$14),"SÍ","")</f>
        <v/>
      </c>
      <c r="Z629" s="3" t="n">
        <f aca="false">COUNTIF(V629:Y629,"SÍ")</f>
        <v>0</v>
      </c>
      <c r="AA629" s="3" t="n">
        <f aca="false">(3*(V629="SÍ")+2*(W629="SÍ")+2*(X629="SÍ")+(Y629="SÍ"))*IF(LEFT(D629,1)="A",3,IF(OR(LEFT(D629,1)="B",D629="SIN HIST"),2,1))</f>
        <v>0</v>
      </c>
      <c r="AB629" s="3" t="str">
        <f aca="false">IF(AA629&gt;=9,"1-ALTA",IF(AA629&gt;=4,"2-MEDIA",IF(AA629&gt;0,"3-BAJA","")))</f>
        <v/>
      </c>
      <c r="AC629" s="3" t="str">
        <f aca="false">IF(E629="BAJO SS","Stock + XLIB bajo el SS: riesgo real de quiebre, adelantar producción. ","")&amp;IF(E629="BAJO SS (XLIB CUBRE)","Disponible bajo el SS; depende de liberar "&amp;TEXT(J629,"#,##0")&amp;" kg"&amp;IF(ISNUMBER(K629)," el "&amp;TEXT(K629,"dd-mm"),"")&amp;". ","")&amp;IF(W629="SÍ","Stock parece sano pero "&amp;TEXT(L629,"#,##0")&amp;" kg no pasan filtro "&amp;Stock_Seguridad!O629&amp;": sin ellos queda bajo el SS para esa cadena. ","")&amp;IF(E629="SOBRE MAX VENDIBLE","Sobrestock vs vida útil: frenar producción/activar venta. ","")&amp;IF(N(N629)&gt;=Parametros!$B$17,TEXT(N629,"#,##0")&amp;" kg ya no los acepta ninguna cadena: venta intermedia/liquidación. ","")&amp;IF(N(M629)&gt;=Parametros!$B$17,TEXT(M629,"#,##0")&amp;" kg a punto de salir del filtro: despachar primero (FEFO). ","")&amp;IF(Y629="SÍ","Pedidos "&amp;IF(N(U629)&gt;0,"sobre","bajo")&amp;" FCST "&amp;TEXT(ABS(N(U629)),"0%")&amp;": revisar forecast con KAM.","")</f>
        <v/>
      </c>
    </row>
    <row r="630" customFormat="false" ht="15" hidden="false" customHeight="false" outlineLevel="0" collapsed="false">
      <c r="A630" s="18" t="n">
        <f aca="false">Stock_Seguridad!A630</f>
        <v>30002251</v>
      </c>
      <c r="B630" s="18" t="str">
        <f aca="false">Stock_Seguridad!B630</f>
        <v>ACAI CUBOS 10X350G</v>
      </c>
      <c r="C630" s="18" t="str">
        <f aca="false">Stock_Seguridad!C630</f>
        <v>FRUTAS Y HORTALIZAS CONGELADAS</v>
      </c>
      <c r="D630" s="18" t="str">
        <f aca="false">Stock_Seguridad!F630</f>
        <v>SIN HIST</v>
      </c>
      <c r="E630" s="19" t="str">
        <f aca="false">Stock_Seguridad!X630</f>
        <v>OK</v>
      </c>
      <c r="F630" s="20" t="n">
        <f aca="false">Stock_Seguridad!W630</f>
        <v>1.86639908256881</v>
      </c>
      <c r="G630" s="21" t="n">
        <f aca="false">Stock_Seguridad!T630</f>
        <v>651</v>
      </c>
      <c r="H630" s="21" t="n">
        <f aca="false">Stock_Seguridad!R630</f>
        <v>172.117483524202</v>
      </c>
      <c r="I630" s="21" t="n">
        <f aca="false">Stock_Seguridad!S630</f>
        <v>520.917483524202</v>
      </c>
      <c r="J630" s="21" t="n">
        <f aca="false">Stock_Seguridad!U630</f>
        <v>0</v>
      </c>
      <c r="K630" s="22"/>
      <c r="L630" s="23" t="n">
        <v>0</v>
      </c>
      <c r="M630" s="23" t="n">
        <v>0</v>
      </c>
      <c r="N630" s="23" t="n">
        <v>0</v>
      </c>
      <c r="O630" s="24" t="n">
        <v>0.14258064516129</v>
      </c>
      <c r="P630" s="24" t="str">
        <f aca="false">IF(ISNUMBER(Stock_Seguridad!N630),Stock_Seguridad!N630,"")</f>
        <v/>
      </c>
      <c r="Q630" s="24" t="str">
        <f aca="false">IF(AND(ISNUMBER(O630),ISNUMBER(P630)),P630-O630,"")</f>
        <v/>
      </c>
      <c r="R630" s="23" t="n">
        <f aca="false">MAX(0,G630-N(L630))</f>
        <v>651</v>
      </c>
      <c r="S630" s="23" t="n">
        <f aca="false">SUMIFS(Cadenas_vs_FCST!$D$17:$D$2437,Cadenas_vs_FCST!$A$17:$A$2437,A630)</f>
        <v>0</v>
      </c>
      <c r="T630" s="23" t="n">
        <f aca="false">SUMIFS(Cadenas_vs_FCST!$E$17:$E$2437,Cadenas_vs_FCST!$A$17:$A$2437,A630)</f>
        <v>0</v>
      </c>
      <c r="U630" s="24" t="str">
        <f aca="false">IF(T630&gt;0,S630/T630-1,"")</f>
        <v/>
      </c>
      <c r="V630" s="3" t="str">
        <f aca="false">IF(OR(E630="BAJO SS",E630="BAJO SS (XLIB CUBRE)"),"SÍ","")</f>
        <v/>
      </c>
      <c r="W630" s="3" t="str">
        <f aca="false">IF(AND(V630="",N(L630)&gt;=Parametros!$B$17,G630&gt;=H630,R630&lt;H630),"SÍ","")</f>
        <v/>
      </c>
      <c r="X630" s="3" t="str">
        <f aca="false">IF(OR(E630="SOBRE MAX VENDIBLE",N(N630)&gt;=Parametros!$B$17,N(M630)&gt;=Parametros!$B$17),"SÍ","")</f>
        <v/>
      </c>
      <c r="Y630" s="3" t="str">
        <f aca="false">IF(AND(ISNUMBER(U630),MAX(S630,T630)&gt;=Parametros!$B$15,ABS(N(U630))&gt;Parametros!$B$14),"SÍ","")</f>
        <v/>
      </c>
      <c r="Z630" s="3" t="n">
        <f aca="false">COUNTIF(V630:Y630,"SÍ")</f>
        <v>0</v>
      </c>
      <c r="AA630" s="3" t="n">
        <f aca="false">(3*(V630="SÍ")+2*(W630="SÍ")+2*(X630="SÍ")+(Y630="SÍ"))*IF(LEFT(D630,1)="A",3,IF(OR(LEFT(D630,1)="B",D630="SIN HIST"),2,1))</f>
        <v>0</v>
      </c>
      <c r="AB630" s="3" t="str">
        <f aca="false">IF(AA630&gt;=9,"1-ALTA",IF(AA630&gt;=4,"2-MEDIA",IF(AA630&gt;0,"3-BAJA","")))</f>
        <v/>
      </c>
      <c r="AC630" s="3" t="str">
        <f aca="false">IF(E630="BAJO SS","Stock + XLIB bajo el SS: riesgo real de quiebre, adelantar producción. ","")&amp;IF(E630="BAJO SS (XLIB CUBRE)","Disponible bajo el SS; depende de liberar "&amp;TEXT(J630,"#,##0")&amp;" kg"&amp;IF(ISNUMBER(K630)," el "&amp;TEXT(K630,"dd-mm"),"")&amp;". ","")&amp;IF(W630="SÍ","Stock parece sano pero "&amp;TEXT(L630,"#,##0")&amp;" kg no pasan filtro "&amp;Stock_Seguridad!O630&amp;": sin ellos queda bajo el SS para esa cadena. ","")&amp;IF(E630="SOBRE MAX VENDIBLE","Sobrestock vs vida útil: frenar producción/activar venta. ","")&amp;IF(N(N630)&gt;=Parametros!$B$17,TEXT(N630,"#,##0")&amp;" kg ya no los acepta ninguna cadena: venta intermedia/liquidación. ","")&amp;IF(N(M630)&gt;=Parametros!$B$17,TEXT(M630,"#,##0")&amp;" kg a punto de salir del filtro: despachar primero (FEFO). ","")&amp;IF(Y630="SÍ","Pedidos "&amp;IF(N(U630)&gt;0,"sobre","bajo")&amp;" FCST "&amp;TEXT(ABS(N(U630)),"0%")&amp;": revisar forecast con KAM.","")</f>
        <v/>
      </c>
    </row>
    <row r="631" customFormat="false" ht="15" hidden="false" customHeight="false" outlineLevel="0" collapsed="false">
      <c r="A631" s="18" t="n">
        <f aca="false">Stock_Seguridad!A631</f>
        <v>30000133</v>
      </c>
      <c r="B631" s="18" t="str">
        <f aca="false">Stock_Seguridad!B631</f>
        <v>MERMELADA GOLD/TAMIZ WATTS DSCO 1X5KG</v>
      </c>
      <c r="C631" s="18" t="str">
        <f aca="false">Stock_Seguridad!C631</f>
        <v>MERMELADAS</v>
      </c>
      <c r="D631" s="18" t="str">
        <f aca="false">Stock_Seguridad!F631</f>
        <v>SIN HIST</v>
      </c>
      <c r="E631" s="19" t="str">
        <f aca="false">Stock_Seguridad!X631</f>
        <v>OK</v>
      </c>
      <c r="F631" s="20" t="n">
        <f aca="false">Stock_Seguridad!W631</f>
        <v>6.90940366972477</v>
      </c>
      <c r="G631" s="21" t="n">
        <f aca="false">Stock_Seguridad!T631</f>
        <v>2410</v>
      </c>
      <c r="H631" s="21" t="n">
        <f aca="false">Stock_Seguridad!R631</f>
        <v>172.117483524202</v>
      </c>
      <c r="I631" s="21" t="n">
        <f aca="false">Stock_Seguridad!S631</f>
        <v>520.917483524202</v>
      </c>
      <c r="J631" s="21" t="n">
        <f aca="false">Stock_Seguridad!U631</f>
        <v>0</v>
      </c>
      <c r="K631" s="22"/>
      <c r="L631" s="23" t="n">
        <v>840</v>
      </c>
      <c r="M631" s="23" t="n">
        <v>0</v>
      </c>
      <c r="N631" s="23" t="n">
        <v>690</v>
      </c>
      <c r="O631" s="24" t="n">
        <v>0.337593360995851</v>
      </c>
      <c r="P631" s="24" t="n">
        <f aca="false">IF(ISNUMBER(Stock_Seguridad!N631),Stock_Seguridad!N631,"")</f>
        <v>0.253061224489796</v>
      </c>
      <c r="Q631" s="24" t="n">
        <f aca="false">IF(AND(ISNUMBER(O631),ISNUMBER(P631)),P631-O631,"")</f>
        <v>-0.0845321365060546</v>
      </c>
      <c r="R631" s="23" t="n">
        <f aca="false">MAX(0,G631-N(L631))</f>
        <v>1570</v>
      </c>
      <c r="S631" s="23" t="n">
        <f aca="false">SUMIFS(Cadenas_vs_FCST!$D$17:$D$2437,Cadenas_vs_FCST!$A$17:$A$2437,A631)</f>
        <v>0</v>
      </c>
      <c r="T631" s="23" t="n">
        <f aca="false">SUMIFS(Cadenas_vs_FCST!$E$17:$E$2437,Cadenas_vs_FCST!$A$17:$A$2437,A631)</f>
        <v>0</v>
      </c>
      <c r="U631" s="24" t="str">
        <f aca="false">IF(T631&gt;0,S631/T631-1,"")</f>
        <v/>
      </c>
      <c r="V631" s="3" t="str">
        <f aca="false">IF(OR(E631="BAJO SS",E631="BAJO SS (XLIB CUBRE)"),"SÍ","")</f>
        <v/>
      </c>
      <c r="W631" s="3" t="str">
        <f aca="false">IF(AND(V631="",N(L631)&gt;=Parametros!$B$17,G631&gt;=H631,R631&lt;H631),"SÍ","")</f>
        <v/>
      </c>
      <c r="X631" s="3" t="str">
        <f aca="false">IF(OR(E631="SOBRE MAX VENDIBLE",N(N631)&gt;=Parametros!$B$17,N(M631)&gt;=Parametros!$B$17),"SÍ","")</f>
        <v>SÍ</v>
      </c>
      <c r="Y631" s="3" t="str">
        <f aca="false">IF(AND(ISNUMBER(U631),MAX(S631,T631)&gt;=Parametros!$B$15,ABS(N(U631))&gt;Parametros!$B$14),"SÍ","")</f>
        <v/>
      </c>
      <c r="Z631" s="3" t="n">
        <f aca="false">COUNTIF(V631:Y631,"SÍ")</f>
        <v>1</v>
      </c>
      <c r="AA631" s="3" t="n">
        <f aca="false">(3*(V631="SÍ")+2*(W631="SÍ")+2*(X631="SÍ")+(Y631="SÍ"))*IF(LEFT(D631,1)="A",3,IF(OR(LEFT(D631,1)="B",D631="SIN HIST"),2,1))</f>
        <v>4</v>
      </c>
      <c r="AB631" s="3" t="str">
        <f aca="false">IF(AA631&gt;=9,"1-ALTA",IF(AA631&gt;=4,"2-MEDIA",IF(AA631&gt;0,"3-BAJA","")))</f>
        <v>2-MEDIA</v>
      </c>
      <c r="AC631" s="3" t="str">
        <f aca="false">IF(E631="BAJO SS","Stock + XLIB bajo el SS: riesgo real de quiebre, adelantar producción. ","")&amp;IF(E631="BAJO SS (XLIB CUBRE)","Disponible bajo el SS; depende de liberar "&amp;TEXT(J631,"#,##0")&amp;" kg"&amp;IF(ISNUMBER(K631)," el "&amp;TEXT(K631,"dd-mm"),"")&amp;". ","")&amp;IF(W631="SÍ","Stock parece sano pero "&amp;TEXT(L631,"#,##0")&amp;" kg no pasan filtro "&amp;Stock_Seguridad!O631&amp;": sin ellos queda bajo el SS para esa cadena. ","")&amp;IF(E631="SOBRE MAX VENDIBLE","Sobrestock vs vida útil: frenar producción/activar venta. ","")&amp;IF(N(N631)&gt;=Parametros!$B$17,TEXT(N631,"#,##0")&amp;" kg ya no los acepta ninguna cadena: venta intermedia/liquidación. ","")&amp;IF(N(M631)&gt;=Parametros!$B$17,TEXT(M631,"#,##0")&amp;" kg a punto de salir del filtro: despachar primero (FEFO). ","")&amp;IF(Y631="SÍ","Pedidos "&amp;IF(N(U631)&gt;0,"sobre","bajo")&amp;" FCST "&amp;TEXT(ABS(N(U631)),"0%")&amp;": revisar forecast con KAM.","")</f>
        <v>690 kg ya no los acepta ninguna cadena: venta intermedia/liquidación. </v>
      </c>
    </row>
    <row r="632" customFormat="false" ht="15" hidden="false" customHeight="false" outlineLevel="0" collapsed="false">
      <c r="A632" s="18" t="n">
        <f aca="false">Stock_Seguridad!A632</f>
        <v>30000972</v>
      </c>
      <c r="B632" s="18" t="str">
        <f aca="false">Stock_Seguridad!B632</f>
        <v>GARBANZO LA CRIANZA 1X16KG</v>
      </c>
      <c r="C632" s="18" t="str">
        <f aca="false">Stock_Seguridad!C632</f>
        <v>FRUTAS Y HORTALIZAS CONGELADAS</v>
      </c>
      <c r="D632" s="18" t="str">
        <f aca="false">Stock_Seguridad!F632</f>
        <v>SIN HIST</v>
      </c>
      <c r="E632" s="19" t="str">
        <f aca="false">Stock_Seguridad!X632</f>
        <v>OK</v>
      </c>
      <c r="F632" s="20" t="n">
        <f aca="false">Stock_Seguridad!W632</f>
        <v>19.4954128440367</v>
      </c>
      <c r="G632" s="21" t="n">
        <f aca="false">Stock_Seguridad!T632</f>
        <v>6800</v>
      </c>
      <c r="H632" s="21" t="n">
        <f aca="false">Stock_Seguridad!R632</f>
        <v>172.117483524202</v>
      </c>
      <c r="I632" s="21" t="n">
        <f aca="false">Stock_Seguridad!S632</f>
        <v>520.917483524202</v>
      </c>
      <c r="J632" s="21" t="n">
        <f aca="false">Stock_Seguridad!U632</f>
        <v>0</v>
      </c>
      <c r="K632" s="22"/>
      <c r="L632" s="23" t="n">
        <v>0</v>
      </c>
      <c r="M632" s="23" t="n">
        <v>0</v>
      </c>
      <c r="N632" s="23" t="n">
        <v>0</v>
      </c>
      <c r="O632" s="24" t="n">
        <v>0.279644670050761</v>
      </c>
      <c r="P632" s="24" t="str">
        <f aca="false">IF(ISNUMBER(Stock_Seguridad!N632),Stock_Seguridad!N632,"")</f>
        <v/>
      </c>
      <c r="Q632" s="24" t="str">
        <f aca="false">IF(AND(ISNUMBER(O632),ISNUMBER(P632)),P632-O632,"")</f>
        <v/>
      </c>
      <c r="R632" s="23" t="n">
        <f aca="false">MAX(0,G632-N(L632))</f>
        <v>6800</v>
      </c>
      <c r="S632" s="23" t="n">
        <f aca="false">SUMIFS(Cadenas_vs_FCST!$D$17:$D$2437,Cadenas_vs_FCST!$A$17:$A$2437,A632)</f>
        <v>0</v>
      </c>
      <c r="T632" s="23" t="n">
        <f aca="false">SUMIFS(Cadenas_vs_FCST!$E$17:$E$2437,Cadenas_vs_FCST!$A$17:$A$2437,A632)</f>
        <v>0</v>
      </c>
      <c r="U632" s="24" t="str">
        <f aca="false">IF(T632&gt;0,S632/T632-1,"")</f>
        <v/>
      </c>
      <c r="V632" s="3" t="str">
        <f aca="false">IF(OR(E632="BAJO SS",E632="BAJO SS (XLIB CUBRE)"),"SÍ","")</f>
        <v/>
      </c>
      <c r="W632" s="3" t="str">
        <f aca="false">IF(AND(V632="",N(L632)&gt;=Parametros!$B$17,G632&gt;=H632,R632&lt;H632),"SÍ","")</f>
        <v/>
      </c>
      <c r="X632" s="3" t="str">
        <f aca="false">IF(OR(E632="SOBRE MAX VENDIBLE",N(N632)&gt;=Parametros!$B$17,N(M632)&gt;=Parametros!$B$17),"SÍ","")</f>
        <v/>
      </c>
      <c r="Y632" s="3" t="str">
        <f aca="false">IF(AND(ISNUMBER(U632),MAX(S632,T632)&gt;=Parametros!$B$15,ABS(N(U632))&gt;Parametros!$B$14),"SÍ","")</f>
        <v/>
      </c>
      <c r="Z632" s="3" t="n">
        <f aca="false">COUNTIF(V632:Y632,"SÍ")</f>
        <v>0</v>
      </c>
      <c r="AA632" s="3" t="n">
        <f aca="false">(3*(V632="SÍ")+2*(W632="SÍ")+2*(X632="SÍ")+(Y632="SÍ"))*IF(LEFT(D632,1)="A",3,IF(OR(LEFT(D632,1)="B",D632="SIN HIST"),2,1))</f>
        <v>0</v>
      </c>
      <c r="AB632" s="3" t="str">
        <f aca="false">IF(AA632&gt;=9,"1-ALTA",IF(AA632&gt;=4,"2-MEDIA",IF(AA632&gt;0,"3-BAJA","")))</f>
        <v/>
      </c>
      <c r="AC632" s="3" t="str">
        <f aca="false">IF(E632="BAJO SS","Stock + XLIB bajo el SS: riesgo real de quiebre, adelantar producción. ","")&amp;IF(E632="BAJO SS (XLIB CUBRE)","Disponible bajo el SS; depende de liberar "&amp;TEXT(J632,"#,##0")&amp;" kg"&amp;IF(ISNUMBER(K632)," el "&amp;TEXT(K632,"dd-mm"),"")&amp;". ","")&amp;IF(W632="SÍ","Stock parece sano pero "&amp;TEXT(L632,"#,##0")&amp;" kg no pasan filtro "&amp;Stock_Seguridad!O632&amp;": sin ellos queda bajo el SS para esa cadena. ","")&amp;IF(E632="SOBRE MAX VENDIBLE","Sobrestock vs vida útil: frenar producción/activar venta. ","")&amp;IF(N(N632)&gt;=Parametros!$B$17,TEXT(N632,"#,##0")&amp;" kg ya no los acepta ninguna cadena: venta intermedia/liquidación. ","")&amp;IF(N(M632)&gt;=Parametros!$B$17,TEXT(M632,"#,##0")&amp;" kg a punto de salir del filtro: despachar primero (FEFO). ","")&amp;IF(Y632="SÍ","Pedidos "&amp;IF(N(U632)&gt;0,"sobre","bajo")&amp;" FCST "&amp;TEXT(ABS(N(U632)),"0%")&amp;": revisar forecast con KAM.","")</f>
        <v/>
      </c>
    </row>
    <row r="633" customFormat="false" ht="15" hidden="false" customHeight="false" outlineLevel="0" collapsed="false">
      <c r="A633" s="18" t="n">
        <f aca="false">Stock_Seguridad!A633</f>
        <v>30000183</v>
      </c>
      <c r="B633" s="18" t="str">
        <f aca="false">Stock_Seguridad!B633</f>
        <v>MERMELADA WATTS GOLD GUINDA 1X5KG</v>
      </c>
      <c r="C633" s="18" t="str">
        <f aca="false">Stock_Seguridad!C633</f>
        <v>MERMELADAS</v>
      </c>
      <c r="D633" s="18" t="str">
        <f aca="false">Stock_Seguridad!F633</f>
        <v>SIN HIST</v>
      </c>
      <c r="E633" s="19" t="str">
        <f aca="false">Stock_Seguridad!X633</f>
        <v>SOBRE MAX VENDIBLE</v>
      </c>
      <c r="F633" s="20" t="n">
        <f aca="false">Stock_Seguridad!W633</f>
        <v>12.6720183486239</v>
      </c>
      <c r="G633" s="21" t="n">
        <f aca="false">Stock_Seguridad!T633</f>
        <v>4420</v>
      </c>
      <c r="H633" s="21" t="n">
        <f aca="false">Stock_Seguridad!R633</f>
        <v>172.117483524202</v>
      </c>
      <c r="I633" s="21" t="n">
        <f aca="false">Stock_Seguridad!S633</f>
        <v>520.917483524202</v>
      </c>
      <c r="J633" s="21" t="n">
        <f aca="false">Stock_Seguridad!U633</f>
        <v>0</v>
      </c>
      <c r="K633" s="22"/>
      <c r="L633" s="23" t="n">
        <v>4420</v>
      </c>
      <c r="M633" s="23" t="n">
        <v>0</v>
      </c>
      <c r="N633" s="23" t="n">
        <v>2390</v>
      </c>
      <c r="O633" s="24" t="n">
        <v>0.48920814479638</v>
      </c>
      <c r="P633" s="24" t="n">
        <f aca="false">IF(ISNUMBER(Stock_Seguridad!N633),Stock_Seguridad!N633,"")</f>
        <v>0.253061224489796</v>
      </c>
      <c r="Q633" s="24" t="n">
        <f aca="false">IF(AND(ISNUMBER(O633),ISNUMBER(P633)),P633-O633,"")</f>
        <v>-0.236146920306584</v>
      </c>
      <c r="R633" s="23" t="n">
        <f aca="false">MAX(0,G633-N(L633))</f>
        <v>0</v>
      </c>
      <c r="S633" s="23" t="n">
        <f aca="false">SUMIFS(Cadenas_vs_FCST!$D$17:$D$2437,Cadenas_vs_FCST!$A$17:$A$2437,A633)</f>
        <v>0</v>
      </c>
      <c r="T633" s="23" t="n">
        <f aca="false">SUMIFS(Cadenas_vs_FCST!$E$17:$E$2437,Cadenas_vs_FCST!$A$17:$A$2437,A633)</f>
        <v>0</v>
      </c>
      <c r="U633" s="24" t="str">
        <f aca="false">IF(T633&gt;0,S633/T633-1,"")</f>
        <v/>
      </c>
      <c r="V633" s="3" t="str">
        <f aca="false">IF(OR(E633="BAJO SS",E633="BAJO SS (XLIB CUBRE)"),"SÍ","")</f>
        <v/>
      </c>
      <c r="W633" s="3" t="str">
        <f aca="false">IF(AND(V633="",N(L633)&gt;=Parametros!$B$17,G633&gt;=H633,R633&lt;H633),"SÍ","")</f>
        <v>SÍ</v>
      </c>
      <c r="X633" s="3" t="str">
        <f aca="false">IF(OR(E633="SOBRE MAX VENDIBLE",N(N633)&gt;=Parametros!$B$17,N(M633)&gt;=Parametros!$B$17),"SÍ","")</f>
        <v>SÍ</v>
      </c>
      <c r="Y633" s="3" t="str">
        <f aca="false">IF(AND(ISNUMBER(U633),MAX(S633,T633)&gt;=Parametros!$B$15,ABS(N(U633))&gt;Parametros!$B$14),"SÍ","")</f>
        <v/>
      </c>
      <c r="Z633" s="3" t="n">
        <f aca="false">COUNTIF(V633:Y633,"SÍ")</f>
        <v>2</v>
      </c>
      <c r="AA633" s="3" t="n">
        <f aca="false">(3*(V633="SÍ")+2*(W633="SÍ")+2*(X633="SÍ")+(Y633="SÍ"))*IF(LEFT(D633,1)="A",3,IF(OR(LEFT(D633,1)="B",D633="SIN HIST"),2,1))</f>
        <v>8</v>
      </c>
      <c r="AB633" s="3" t="str">
        <f aca="false">IF(AA633&gt;=9,"1-ALTA",IF(AA633&gt;=4,"2-MEDIA",IF(AA633&gt;0,"3-BAJA","")))</f>
        <v>2-MEDIA</v>
      </c>
      <c r="AC633" s="3" t="str">
        <f aca="false">IF(E633="BAJO SS","Stock + XLIB bajo el SS: riesgo real de quiebre, adelantar producción. ","")&amp;IF(E633="BAJO SS (XLIB CUBRE)","Disponible bajo el SS; depende de liberar "&amp;TEXT(J633,"#,##0")&amp;" kg"&amp;IF(ISNUMBER(K633)," el "&amp;TEXT(K633,"dd-mm"),"")&amp;". ","")&amp;IF(W633="SÍ","Stock parece sano pero "&amp;TEXT(L633,"#,##0")&amp;" kg no pasan filtro "&amp;Stock_Seguridad!O633&amp;": sin ellos queda bajo el SS para esa cadena. ","")&amp;IF(E633="SOBRE MAX VENDIBLE","Sobrestock vs vida útil: frenar producción/activar venta. ","")&amp;IF(N(N633)&gt;=Parametros!$B$17,TEXT(N633,"#,##0")&amp;" kg ya no los acepta ninguna cadena: venta intermedia/liquidación. ","")&amp;IF(N(M633)&gt;=Parametros!$B$17,TEXT(M633,"#,##0")&amp;" kg a punto de salir del filtro: despachar primero (FEFO). ","")&amp;IF(Y633="SÍ","Pedidos "&amp;IF(N(U633)&gt;0,"sobre","bajo")&amp;" FCST "&amp;TEXT(ABS(N(U633)),"0%")&amp;": revisar forecast con KAM.","")</f>
        <v>Stock parece sano pero 4,420 kg no pasan filtro WALMART: sin ellos queda bajo el SS para esa cadena. Sobrestock vs vida útil: frenar producción/activar venta. 2,390 kg ya no los acepta ninguna cadena: venta intermedia/liquidación. </v>
      </c>
    </row>
    <row r="634" customFormat="false" ht="15" hidden="false" customHeight="false" outlineLevel="0" collapsed="false">
      <c r="A634" s="18" t="n">
        <f aca="false">Stock_Seguridad!A634</f>
        <v>30002087</v>
      </c>
      <c r="B634" s="18" t="str">
        <f aca="false">Stock_Seguridad!B634</f>
        <v>YOGURT ACTIVIA NATURAL POTE 24X140GR</v>
      </c>
      <c r="C634" s="18" t="str">
        <f aca="false">Stock_Seguridad!C634</f>
        <v>YOGURT</v>
      </c>
      <c r="D634" s="18" t="str">
        <f aca="false">Stock_Seguridad!F634</f>
        <v>CX</v>
      </c>
      <c r="E634" s="19" t="str">
        <f aca="false">Stock_Seguridad!X634</f>
        <v>BAJO P.REORDEN</v>
      </c>
      <c r="F634" s="20" t="n">
        <f aca="false">Stock_Seguridad!W634</f>
        <v>1.19272513933705</v>
      </c>
      <c r="G634" s="21" t="n">
        <f aca="false">Stock_Seguridad!T634</f>
        <v>406.6</v>
      </c>
      <c r="H634" s="21" t="n">
        <f aca="false">Stock_Seguridad!R634</f>
        <v>292.2</v>
      </c>
      <c r="I634" s="21" t="n">
        <f aca="false">Stock_Seguridad!S634</f>
        <v>633.1</v>
      </c>
      <c r="J634" s="21" t="n">
        <f aca="false">Stock_Seguridad!U634</f>
        <v>0</v>
      </c>
      <c r="K634" s="22"/>
      <c r="L634" s="23" t="n">
        <v>50.4</v>
      </c>
      <c r="M634" s="23" t="n">
        <v>356.16</v>
      </c>
      <c r="N634" s="23" t="n">
        <v>50.4</v>
      </c>
      <c r="O634" s="24" t="n">
        <v>0.23603305785124</v>
      </c>
      <c r="P634" s="24" t="n">
        <f aca="false">IF(ISNUMBER(Stock_Seguridad!N634),Stock_Seguridad!N634,"")</f>
        <v>0.228070175438597</v>
      </c>
      <c r="Q634" s="24" t="n">
        <f aca="false">IF(AND(ISNUMBER(O634),ISNUMBER(P634)),P634-O634,"")</f>
        <v>-0.0079628824126432</v>
      </c>
      <c r="R634" s="23" t="n">
        <f aca="false">MAX(0,G634-N(L634))</f>
        <v>356.2</v>
      </c>
      <c r="S634" s="23" t="n">
        <f aca="false">SUMIFS(Cadenas_vs_FCST!$D$17:$D$2437,Cadenas_vs_FCST!$A$17:$A$2437,A634)</f>
        <v>2778.72</v>
      </c>
      <c r="T634" s="23" t="n">
        <f aca="false">SUMIFS(Cadenas_vs_FCST!$E$17:$E$2437,Cadenas_vs_FCST!$A$17:$A$2437,A634)</f>
        <v>2093.55084011195</v>
      </c>
      <c r="U634" s="24" t="n">
        <f aca="false">IF(T634&gt;0,S634/T634-1,"")</f>
        <v>0.327276102763006</v>
      </c>
      <c r="V634" s="3" t="str">
        <f aca="false">IF(OR(E634="BAJO SS",E634="BAJO SS (XLIB CUBRE)"),"SÍ","")</f>
        <v/>
      </c>
      <c r="W634" s="3" t="str">
        <f aca="false">IF(AND(V634="",N(L634)&gt;=Parametros!$B$17,G634&gt;=H634,R634&lt;H634),"SÍ","")</f>
        <v/>
      </c>
      <c r="X634" s="3" t="str">
        <f aca="false">IF(OR(E634="SOBRE MAX VENDIBLE",N(N634)&gt;=Parametros!$B$17,N(M634)&gt;=Parametros!$B$17),"SÍ","")</f>
        <v/>
      </c>
      <c r="Y634" s="3" t="str">
        <f aca="false">IF(AND(ISNUMBER(U634),MAX(S634,T634)&gt;=Parametros!$B$15,ABS(N(U634))&gt;Parametros!$B$14),"SÍ","")</f>
        <v>SÍ</v>
      </c>
      <c r="Z634" s="3" t="n">
        <f aca="false">COUNTIF(V634:Y634,"SÍ")</f>
        <v>1</v>
      </c>
      <c r="AA634" s="3" t="n">
        <f aca="false">(3*(V634="SÍ")+2*(W634="SÍ")+2*(X634="SÍ")+(Y634="SÍ"))*IF(LEFT(D634,1)="A",3,IF(OR(LEFT(D634,1)="B",D634="SIN HIST"),2,1))</f>
        <v>1</v>
      </c>
      <c r="AB634" s="3" t="str">
        <f aca="false">IF(AA634&gt;=9,"1-ALTA",IF(AA634&gt;=4,"2-MEDIA",IF(AA634&gt;0,"3-BAJA","")))</f>
        <v>3-BAJA</v>
      </c>
      <c r="AC634" s="3" t="str">
        <f aca="false">IF(E634="BAJO SS","Stock + XLIB bajo el SS: riesgo real de quiebre, adelantar producción. ","")&amp;IF(E634="BAJO SS (XLIB CUBRE)","Disponible bajo el SS; depende de liberar "&amp;TEXT(J634,"#,##0")&amp;" kg"&amp;IF(ISNUMBER(K634)," el "&amp;TEXT(K634,"dd-mm"),"")&amp;". ","")&amp;IF(W634="SÍ","Stock parece sano pero "&amp;TEXT(L634,"#,##0")&amp;" kg no pasan filtro "&amp;Stock_Seguridad!O634&amp;": sin ellos queda bajo el SS para esa cadena. ","")&amp;IF(E634="SOBRE MAX VENDIBLE","Sobrestock vs vida útil: frenar producción/activar venta. ","")&amp;IF(N(N634)&gt;=Parametros!$B$17,TEXT(N634,"#,##0")&amp;" kg ya no los acepta ninguna cadena: venta intermedia/liquidación. ","")&amp;IF(N(M634)&gt;=Parametros!$B$17,TEXT(M634,"#,##0")&amp;" kg a punto de salir del filtro: despachar primero (FEFO). ","")&amp;IF(Y634="SÍ","Pedidos "&amp;IF(N(U634)&gt;0,"sobre","bajo")&amp;" FCST "&amp;TEXT(ABS(N(U634)),"0%")&amp;": revisar forecast con KAM.","")</f>
        <v>Pedidos sobre FCST 33%: revisar forecast con KAM.</v>
      </c>
    </row>
    <row r="635" customFormat="false" ht="15" hidden="false" customHeight="false" outlineLevel="0" collapsed="false">
      <c r="A635" s="18" t="n">
        <f aca="false">Stock_Seguridad!A635</f>
        <v>30002145</v>
      </c>
      <c r="B635" s="18" t="str">
        <f aca="false">Stock_Seguridad!B635</f>
        <v>QUESO CREMA LPV MERKEN TUBO 28X150GR</v>
      </c>
      <c r="C635" s="18" t="str">
        <f aca="false">Stock_Seguridad!C635</f>
        <v>QUESOS</v>
      </c>
      <c r="D635" s="18" t="str">
        <f aca="false">Stock_Seguridad!F635</f>
        <v>CX</v>
      </c>
      <c r="E635" s="19" t="str">
        <f aca="false">Stock_Seguridad!X635</f>
        <v>OK</v>
      </c>
      <c r="F635" s="20" t="n">
        <f aca="false">Stock_Seguridad!W635</f>
        <v>3.25818181818182</v>
      </c>
      <c r="G635" s="21" t="n">
        <f aca="false">Stock_Seguridad!T635</f>
        <v>1075.2</v>
      </c>
      <c r="H635" s="21" t="n">
        <f aca="false">Stock_Seguridad!R635</f>
        <v>290.995931444873</v>
      </c>
      <c r="I635" s="21" t="n">
        <f aca="false">Stock_Seguridad!S635</f>
        <v>620.995931444873</v>
      </c>
      <c r="J635" s="21" t="n">
        <f aca="false">Stock_Seguridad!U635</f>
        <v>0</v>
      </c>
      <c r="K635" s="22"/>
      <c r="L635" s="23" t="n">
        <v>0</v>
      </c>
      <c r="M635" s="23" t="n">
        <v>0</v>
      </c>
      <c r="N635" s="23" t="n">
        <v>0</v>
      </c>
      <c r="O635" s="24" t="n">
        <v>0.12546875</v>
      </c>
      <c r="P635" s="24" t="n">
        <f aca="false">IF(ISNUMBER(Stock_Seguridad!N635),Stock_Seguridad!N635,"")</f>
        <v>0.211956521739131</v>
      </c>
      <c r="Q635" s="24" t="n">
        <f aca="false">IF(AND(ISNUMBER(O635),ISNUMBER(P635)),P635-O635,"")</f>
        <v>0.0864877717391305</v>
      </c>
      <c r="R635" s="23" t="n">
        <f aca="false">MAX(0,G635-N(L635))</f>
        <v>1075.2</v>
      </c>
      <c r="S635" s="23" t="n">
        <f aca="false">SUMIFS(Cadenas_vs_FCST!$D$17:$D$2437,Cadenas_vs_FCST!$A$17:$A$2437,A635)</f>
        <v>600.6</v>
      </c>
      <c r="T635" s="23" t="n">
        <f aca="false">SUMIFS(Cadenas_vs_FCST!$E$17:$E$2437,Cadenas_vs_FCST!$A$17:$A$2437,A635)</f>
        <v>1423.24885806797</v>
      </c>
      <c r="U635" s="24" t="n">
        <f aca="false">IF(T635&gt;0,S635/T635-1,"")</f>
        <v>-0.578007741516615</v>
      </c>
      <c r="V635" s="3" t="str">
        <f aca="false">IF(OR(E635="BAJO SS",E635="BAJO SS (XLIB CUBRE)"),"SÍ","")</f>
        <v/>
      </c>
      <c r="W635" s="3" t="str">
        <f aca="false">IF(AND(V635="",N(L635)&gt;=Parametros!$B$17,G635&gt;=H635,R635&lt;H635),"SÍ","")</f>
        <v/>
      </c>
      <c r="X635" s="3" t="str">
        <f aca="false">IF(OR(E635="SOBRE MAX VENDIBLE",N(N635)&gt;=Parametros!$B$17,N(M635)&gt;=Parametros!$B$17),"SÍ","")</f>
        <v/>
      </c>
      <c r="Y635" s="3" t="str">
        <f aca="false">IF(AND(ISNUMBER(U635),MAX(S635,T635)&gt;=Parametros!$B$15,ABS(N(U635))&gt;Parametros!$B$14),"SÍ","")</f>
        <v/>
      </c>
      <c r="Z635" s="3" t="n">
        <f aca="false">COUNTIF(V635:Y635,"SÍ")</f>
        <v>0</v>
      </c>
      <c r="AA635" s="3" t="n">
        <f aca="false">(3*(V635="SÍ")+2*(W635="SÍ")+2*(X635="SÍ")+(Y635="SÍ"))*IF(LEFT(D635,1)="A",3,IF(OR(LEFT(D635,1)="B",D635="SIN HIST"),2,1))</f>
        <v>0</v>
      </c>
      <c r="AB635" s="3" t="str">
        <f aca="false">IF(AA635&gt;=9,"1-ALTA",IF(AA635&gt;=4,"2-MEDIA",IF(AA635&gt;0,"3-BAJA","")))</f>
        <v/>
      </c>
      <c r="AC635" s="3" t="str">
        <f aca="false">IF(E635="BAJO SS","Stock + XLIB bajo el SS: riesgo real de quiebre, adelantar producción. ","")&amp;IF(E635="BAJO SS (XLIB CUBRE)","Disponible bajo el SS; depende de liberar "&amp;TEXT(J635,"#,##0")&amp;" kg"&amp;IF(ISNUMBER(K635)," el "&amp;TEXT(K635,"dd-mm"),"")&amp;". ","")&amp;IF(W635="SÍ","Stock parece sano pero "&amp;TEXT(L635,"#,##0")&amp;" kg no pasan filtro "&amp;Stock_Seguridad!O635&amp;": sin ellos queda bajo el SS para esa cadena. ","")&amp;IF(E635="SOBRE MAX VENDIBLE","Sobrestock vs vida útil: frenar producción/activar venta. ","")&amp;IF(N(N635)&gt;=Parametros!$B$17,TEXT(N635,"#,##0")&amp;" kg ya no los acepta ninguna cadena: venta intermedia/liquidación. ","")&amp;IF(N(M635)&gt;=Parametros!$B$17,TEXT(M635,"#,##0")&amp;" kg a punto de salir del filtro: despachar primero (FEFO). ","")&amp;IF(Y635="SÍ","Pedidos "&amp;IF(N(U635)&gt;0,"sobre","bajo")&amp;" FCST "&amp;TEXT(ABS(N(U635)),"0%")&amp;": revisar forecast con KAM.","")</f>
        <v/>
      </c>
    </row>
    <row r="636" customFormat="false" ht="15" hidden="false" customHeight="false" outlineLevel="0" collapsed="false">
      <c r="A636" s="18" t="n">
        <f aca="false">Stock_Seguridad!A636</f>
        <v>30000809</v>
      </c>
      <c r="B636" s="18" t="str">
        <f aca="false">Stock_Seguridad!B636</f>
        <v>ENSALADA RUSA IQF 30X500GR</v>
      </c>
      <c r="C636" s="18" t="str">
        <f aca="false">Stock_Seguridad!C636</f>
        <v>FRUTAS Y HORTALIZAS CONGELADAS</v>
      </c>
      <c r="D636" s="18" t="str">
        <f aca="false">Stock_Seguridad!F636</f>
        <v>SIN HIST</v>
      </c>
      <c r="E636" s="19" t="str">
        <f aca="false">Stock_Seguridad!X636</f>
        <v>OK</v>
      </c>
      <c r="F636" s="20" t="n">
        <f aca="false">Stock_Seguridad!W636</f>
        <v>4.20517560073937</v>
      </c>
      <c r="G636" s="21" t="n">
        <f aca="false">Stock_Seguridad!T636</f>
        <v>1365</v>
      </c>
      <c r="H636" s="21" t="n">
        <f aca="false">Stock_Seguridad!R636</f>
        <v>160.175846192534</v>
      </c>
      <c r="I636" s="21" t="n">
        <f aca="false">Stock_Seguridad!S636</f>
        <v>484.775846192534</v>
      </c>
      <c r="J636" s="21" t="n">
        <f aca="false">Stock_Seguridad!U636</f>
        <v>0</v>
      </c>
      <c r="K636" s="22"/>
      <c r="L636" s="23" t="n">
        <v>0</v>
      </c>
      <c r="M636" s="23" t="n">
        <v>0</v>
      </c>
      <c r="N636" s="23" t="n">
        <v>0</v>
      </c>
      <c r="O636" s="24" t="n">
        <v>0.22</v>
      </c>
      <c r="P636" s="24" t="str">
        <f aca="false">IF(ISNUMBER(Stock_Seguridad!N636),Stock_Seguridad!N636,"")</f>
        <v/>
      </c>
      <c r="Q636" s="24" t="str">
        <f aca="false">IF(AND(ISNUMBER(O636),ISNUMBER(P636)),P636-O636,"")</f>
        <v/>
      </c>
      <c r="R636" s="23" t="n">
        <f aca="false">MAX(0,G636-N(L636))</f>
        <v>1365</v>
      </c>
      <c r="S636" s="23" t="n">
        <f aca="false">SUMIFS(Cadenas_vs_FCST!$D$17:$D$2437,Cadenas_vs_FCST!$A$17:$A$2437,A636)</f>
        <v>0</v>
      </c>
      <c r="T636" s="23" t="n">
        <f aca="false">SUMIFS(Cadenas_vs_FCST!$E$17:$E$2437,Cadenas_vs_FCST!$A$17:$A$2437,A636)</f>
        <v>0</v>
      </c>
      <c r="U636" s="24" t="str">
        <f aca="false">IF(T636&gt;0,S636/T636-1,"")</f>
        <v/>
      </c>
      <c r="V636" s="3" t="str">
        <f aca="false">IF(OR(E636="BAJO SS",E636="BAJO SS (XLIB CUBRE)"),"SÍ","")</f>
        <v/>
      </c>
      <c r="W636" s="3" t="str">
        <f aca="false">IF(AND(V636="",N(L636)&gt;=Parametros!$B$17,G636&gt;=H636,R636&lt;H636),"SÍ","")</f>
        <v/>
      </c>
      <c r="X636" s="3" t="str">
        <f aca="false">IF(OR(E636="SOBRE MAX VENDIBLE",N(N636)&gt;=Parametros!$B$17,N(M636)&gt;=Parametros!$B$17),"SÍ","")</f>
        <v/>
      </c>
      <c r="Y636" s="3" t="str">
        <f aca="false">IF(AND(ISNUMBER(U636),MAX(S636,T636)&gt;=Parametros!$B$15,ABS(N(U636))&gt;Parametros!$B$14),"SÍ","")</f>
        <v/>
      </c>
      <c r="Z636" s="3" t="n">
        <f aca="false">COUNTIF(V636:Y636,"SÍ")</f>
        <v>0</v>
      </c>
      <c r="AA636" s="3" t="n">
        <f aca="false">(3*(V636="SÍ")+2*(W636="SÍ")+2*(X636="SÍ")+(Y636="SÍ"))*IF(LEFT(D636,1)="A",3,IF(OR(LEFT(D636,1)="B",D636="SIN HIST"),2,1))</f>
        <v>0</v>
      </c>
      <c r="AB636" s="3" t="str">
        <f aca="false">IF(AA636&gt;=9,"1-ALTA",IF(AA636&gt;=4,"2-MEDIA",IF(AA636&gt;0,"3-BAJA","")))</f>
        <v/>
      </c>
      <c r="AC636" s="3" t="str">
        <f aca="false">IF(E636="BAJO SS","Stock + XLIB bajo el SS: riesgo real de quiebre, adelantar producción. ","")&amp;IF(E636="BAJO SS (XLIB CUBRE)","Disponible bajo el SS; depende de liberar "&amp;TEXT(J636,"#,##0")&amp;" kg"&amp;IF(ISNUMBER(K636)," el "&amp;TEXT(K636,"dd-mm"),"")&amp;". ","")&amp;IF(W636="SÍ","Stock parece sano pero "&amp;TEXT(L636,"#,##0")&amp;" kg no pasan filtro "&amp;Stock_Seguridad!O636&amp;": sin ellos queda bajo el SS para esa cadena. ","")&amp;IF(E636="SOBRE MAX VENDIBLE","Sobrestock vs vida útil: frenar producción/activar venta. ","")&amp;IF(N(N636)&gt;=Parametros!$B$17,TEXT(N636,"#,##0")&amp;" kg ya no los acepta ninguna cadena: venta intermedia/liquidación. ","")&amp;IF(N(M636)&gt;=Parametros!$B$17,TEXT(M636,"#,##0")&amp;" kg a punto de salir del filtro: despachar primero (FEFO). ","")&amp;IF(Y636="SÍ","Pedidos "&amp;IF(N(U636)&gt;0,"sobre","bajo")&amp;" FCST "&amp;TEXT(ABS(N(U636)),"0%")&amp;": revisar forecast con KAM.","")</f>
        <v/>
      </c>
    </row>
    <row r="637" customFormat="false" ht="15" hidden="false" customHeight="false" outlineLevel="0" collapsed="false">
      <c r="A637" s="18" t="n">
        <f aca="false">Stock_Seguridad!A637</f>
        <v>30000848</v>
      </c>
      <c r="B637" s="18" t="str">
        <f aca="false">Stock_Seguridad!B637</f>
        <v>ARROLLADO JAMON QUESO 2X2,5KG</v>
      </c>
      <c r="C637" s="18" t="str">
        <f aca="false">Stock_Seguridad!C637</f>
        <v>FRUTAS Y HORTALIZAS CONGELADAS</v>
      </c>
      <c r="D637" s="18" t="str">
        <f aca="false">Stock_Seguridad!F637</f>
        <v>SIN HIST</v>
      </c>
      <c r="E637" s="19" t="str">
        <f aca="false">Stock_Seguridad!X637</f>
        <v>OK</v>
      </c>
      <c r="F637" s="20" t="n">
        <f aca="false">Stock_Seguridad!W637</f>
        <v>5.21223470661673</v>
      </c>
      <c r="G637" s="21" t="n">
        <f aca="false">Stock_Seguridad!T637</f>
        <v>1670</v>
      </c>
      <c r="H637" s="21" t="n">
        <f aca="false">Stock_Seguridad!R637</f>
        <v>158.103330622575</v>
      </c>
      <c r="I637" s="21" t="n">
        <f aca="false">Stock_Seguridad!S637</f>
        <v>478.503330622575</v>
      </c>
      <c r="J637" s="21" t="n">
        <f aca="false">Stock_Seguridad!U637</f>
        <v>0</v>
      </c>
      <c r="K637" s="22"/>
      <c r="L637" s="23" t="n">
        <v>0</v>
      </c>
      <c r="M637" s="23" t="n">
        <v>0</v>
      </c>
      <c r="N637" s="23" t="n">
        <v>0</v>
      </c>
      <c r="O637" s="24" t="n">
        <v>0.1</v>
      </c>
      <c r="P637" s="24" t="str">
        <f aca="false">IF(ISNUMBER(Stock_Seguridad!N637),Stock_Seguridad!N637,"")</f>
        <v/>
      </c>
      <c r="Q637" s="24" t="str">
        <f aca="false">IF(AND(ISNUMBER(O637),ISNUMBER(P637)),P637-O637,"")</f>
        <v/>
      </c>
      <c r="R637" s="23" t="n">
        <f aca="false">MAX(0,G637-N(L637))</f>
        <v>1670</v>
      </c>
      <c r="S637" s="23" t="n">
        <f aca="false">SUMIFS(Cadenas_vs_FCST!$D$17:$D$2437,Cadenas_vs_FCST!$A$17:$A$2437,A637)</f>
        <v>0</v>
      </c>
      <c r="T637" s="23" t="n">
        <f aca="false">SUMIFS(Cadenas_vs_FCST!$E$17:$E$2437,Cadenas_vs_FCST!$A$17:$A$2437,A637)</f>
        <v>0</v>
      </c>
      <c r="U637" s="24" t="str">
        <f aca="false">IF(T637&gt;0,S637/T637-1,"")</f>
        <v/>
      </c>
      <c r="V637" s="3" t="str">
        <f aca="false">IF(OR(E637="BAJO SS",E637="BAJO SS (XLIB CUBRE)"),"SÍ","")</f>
        <v/>
      </c>
      <c r="W637" s="3" t="str">
        <f aca="false">IF(AND(V637="",N(L637)&gt;=Parametros!$B$17,G637&gt;=H637,R637&lt;H637),"SÍ","")</f>
        <v/>
      </c>
      <c r="X637" s="3" t="str">
        <f aca="false">IF(OR(E637="SOBRE MAX VENDIBLE",N(N637)&gt;=Parametros!$B$17,N(M637)&gt;=Parametros!$B$17),"SÍ","")</f>
        <v/>
      </c>
      <c r="Y637" s="3" t="str">
        <f aca="false">IF(AND(ISNUMBER(U637),MAX(S637,T637)&gt;=Parametros!$B$15,ABS(N(U637))&gt;Parametros!$B$14),"SÍ","")</f>
        <v/>
      </c>
      <c r="Z637" s="3" t="n">
        <f aca="false">COUNTIF(V637:Y637,"SÍ")</f>
        <v>0</v>
      </c>
      <c r="AA637" s="3" t="n">
        <f aca="false">(3*(V637="SÍ")+2*(W637="SÍ")+2*(X637="SÍ")+(Y637="SÍ"))*IF(LEFT(D637,1)="A",3,IF(OR(LEFT(D637,1)="B",D637="SIN HIST"),2,1))</f>
        <v>0</v>
      </c>
      <c r="AB637" s="3" t="str">
        <f aca="false">IF(AA637&gt;=9,"1-ALTA",IF(AA637&gt;=4,"2-MEDIA",IF(AA637&gt;0,"3-BAJA","")))</f>
        <v/>
      </c>
      <c r="AC637" s="3" t="str">
        <f aca="false">IF(E637="BAJO SS","Stock + XLIB bajo el SS: riesgo real de quiebre, adelantar producción. ","")&amp;IF(E637="BAJO SS (XLIB CUBRE)","Disponible bajo el SS; depende de liberar "&amp;TEXT(J637,"#,##0")&amp;" kg"&amp;IF(ISNUMBER(K637)," el "&amp;TEXT(K637,"dd-mm"),"")&amp;". ","")&amp;IF(W637="SÍ","Stock parece sano pero "&amp;TEXT(L637,"#,##0")&amp;" kg no pasan filtro "&amp;Stock_Seguridad!O637&amp;": sin ellos queda bajo el SS para esa cadena. ","")&amp;IF(E637="SOBRE MAX VENDIBLE","Sobrestock vs vida útil: frenar producción/activar venta. ","")&amp;IF(N(N637)&gt;=Parametros!$B$17,TEXT(N637,"#,##0")&amp;" kg ya no los acepta ninguna cadena: venta intermedia/liquidación. ","")&amp;IF(N(M637)&gt;=Parametros!$B$17,TEXT(M637,"#,##0")&amp;" kg a punto de salir del filtro: despachar primero (FEFO). ","")&amp;IF(Y637="SÍ","Pedidos "&amp;IF(N(U637)&gt;0,"sobre","bajo")&amp;" FCST "&amp;TEXT(ABS(N(U637)),"0%")&amp;": revisar forecast con KAM.","")</f>
        <v/>
      </c>
    </row>
    <row r="638" customFormat="false" ht="15" hidden="false" customHeight="false" outlineLevel="0" collapsed="false">
      <c r="A638" s="18" t="n">
        <f aca="false">Stock_Seguridad!A638</f>
        <v>30002084</v>
      </c>
      <c r="B638" s="18" t="str">
        <f aca="false">Stock_Seguridad!B638</f>
        <v>ARROLLADO PRIMAVERA 25X320GR</v>
      </c>
      <c r="C638" s="18" t="str">
        <f aca="false">Stock_Seguridad!C638</f>
        <v>FRUTAS Y HORTALIZAS CONGELADAS</v>
      </c>
      <c r="D638" s="18" t="str">
        <f aca="false">Stock_Seguridad!F638</f>
        <v>SIN HIST</v>
      </c>
      <c r="E638" s="19" t="str">
        <f aca="false">Stock_Seguridad!X638</f>
        <v>OK</v>
      </c>
      <c r="F638" s="20" t="n">
        <f aca="false">Stock_Seguridad!W638</f>
        <v>3.05519897304236</v>
      </c>
      <c r="G638" s="21" t="n">
        <f aca="false">Stock_Seguridad!T638</f>
        <v>952</v>
      </c>
      <c r="H638" s="21" t="n">
        <f aca="false">Stock_Seguridad!R638</f>
        <v>153.760917047424</v>
      </c>
      <c r="I638" s="21" t="n">
        <f aca="false">Stock_Seguridad!S638</f>
        <v>465.360917047424</v>
      </c>
      <c r="J638" s="21" t="n">
        <f aca="false">Stock_Seguridad!U638</f>
        <v>0</v>
      </c>
      <c r="K638" s="22"/>
      <c r="L638" s="23" t="n">
        <v>0</v>
      </c>
      <c r="M638" s="23" t="n">
        <v>0</v>
      </c>
      <c r="N638" s="23" t="n">
        <v>0</v>
      </c>
      <c r="O638" s="24" t="n">
        <v>0.41</v>
      </c>
      <c r="P638" s="24" t="str">
        <f aca="false">IF(ISNUMBER(Stock_Seguridad!N638),Stock_Seguridad!N638,"")</f>
        <v/>
      </c>
      <c r="Q638" s="24" t="str">
        <f aca="false">IF(AND(ISNUMBER(O638),ISNUMBER(P638)),P638-O638,"")</f>
        <v/>
      </c>
      <c r="R638" s="23" t="n">
        <f aca="false">MAX(0,G638-N(L638))</f>
        <v>952</v>
      </c>
      <c r="S638" s="23" t="n">
        <f aca="false">SUMIFS(Cadenas_vs_FCST!$D$17:$D$2437,Cadenas_vs_FCST!$A$17:$A$2437,A638)</f>
        <v>0</v>
      </c>
      <c r="T638" s="23" t="n">
        <f aca="false">SUMIFS(Cadenas_vs_FCST!$E$17:$E$2437,Cadenas_vs_FCST!$A$17:$A$2437,A638)</f>
        <v>0</v>
      </c>
      <c r="U638" s="24" t="str">
        <f aca="false">IF(T638&gt;0,S638/T638-1,"")</f>
        <v/>
      </c>
      <c r="V638" s="3" t="str">
        <f aca="false">IF(OR(E638="BAJO SS",E638="BAJO SS (XLIB CUBRE)"),"SÍ","")</f>
        <v/>
      </c>
      <c r="W638" s="3" t="str">
        <f aca="false">IF(AND(V638="",N(L638)&gt;=Parametros!$B$17,G638&gt;=H638,R638&lt;H638),"SÍ","")</f>
        <v/>
      </c>
      <c r="X638" s="3" t="str">
        <f aca="false">IF(OR(E638="SOBRE MAX VENDIBLE",N(N638)&gt;=Parametros!$B$17,N(M638)&gt;=Parametros!$B$17),"SÍ","")</f>
        <v/>
      </c>
      <c r="Y638" s="3" t="str">
        <f aca="false">IF(AND(ISNUMBER(U638),MAX(S638,T638)&gt;=Parametros!$B$15,ABS(N(U638))&gt;Parametros!$B$14),"SÍ","")</f>
        <v/>
      </c>
      <c r="Z638" s="3" t="n">
        <f aca="false">COUNTIF(V638:Y638,"SÍ")</f>
        <v>0</v>
      </c>
      <c r="AA638" s="3" t="n">
        <f aca="false">(3*(V638="SÍ")+2*(W638="SÍ")+2*(X638="SÍ")+(Y638="SÍ"))*IF(LEFT(D638,1)="A",3,IF(OR(LEFT(D638,1)="B",D638="SIN HIST"),2,1))</f>
        <v>0</v>
      </c>
      <c r="AB638" s="3" t="str">
        <f aca="false">IF(AA638&gt;=9,"1-ALTA",IF(AA638&gt;=4,"2-MEDIA",IF(AA638&gt;0,"3-BAJA","")))</f>
        <v/>
      </c>
      <c r="AC638" s="3" t="str">
        <f aca="false">IF(E638="BAJO SS","Stock + XLIB bajo el SS: riesgo real de quiebre, adelantar producción. ","")&amp;IF(E638="BAJO SS (XLIB CUBRE)","Disponible bajo el SS; depende de liberar "&amp;TEXT(J638,"#,##0")&amp;" kg"&amp;IF(ISNUMBER(K638)," el "&amp;TEXT(K638,"dd-mm"),"")&amp;". ","")&amp;IF(W638="SÍ","Stock parece sano pero "&amp;TEXT(L638,"#,##0")&amp;" kg no pasan filtro "&amp;Stock_Seguridad!O638&amp;": sin ellos queda bajo el SS para esa cadena. ","")&amp;IF(E638="SOBRE MAX VENDIBLE","Sobrestock vs vida útil: frenar producción/activar venta. ","")&amp;IF(N(N638)&gt;=Parametros!$B$17,TEXT(N638,"#,##0")&amp;" kg ya no los acepta ninguna cadena: venta intermedia/liquidación. ","")&amp;IF(N(M638)&gt;=Parametros!$B$17,TEXT(M638,"#,##0")&amp;" kg a punto de salir del filtro: despachar primero (FEFO). ","")&amp;IF(Y638="SÍ","Pedidos "&amp;IF(N(U638)&gt;0,"sobre","bajo")&amp;" FCST "&amp;TEXT(ABS(N(U638)),"0%")&amp;": revisar forecast con KAM.","")</f>
        <v/>
      </c>
    </row>
    <row r="639" customFormat="false" ht="15" hidden="false" customHeight="false" outlineLevel="0" collapsed="false">
      <c r="A639" s="18" t="n">
        <f aca="false">Stock_Seguridad!A639</f>
        <v>30000662</v>
      </c>
      <c r="B639" s="18" t="str">
        <f aca="false">Stock_Seguridad!B639</f>
        <v>CREMA TOMATE WASIL 16X380GR</v>
      </c>
      <c r="C639" s="18" t="str">
        <f aca="false">Stock_Seguridad!C639</f>
        <v>CONSERVAS Y PLATOS LISTOS</v>
      </c>
      <c r="D639" s="18" t="str">
        <f aca="false">Stock_Seguridad!F639</f>
        <v>CY</v>
      </c>
      <c r="E639" s="19" t="str">
        <f aca="false">Stock_Seguridad!X639</f>
        <v>OK</v>
      </c>
      <c r="F639" s="20" t="n">
        <f aca="false">Stock_Seguridad!W639</f>
        <v>15.4857420609203</v>
      </c>
      <c r="G639" s="21" t="n">
        <f aca="false">Stock_Seguridad!T639</f>
        <v>4778.9</v>
      </c>
      <c r="H639" s="21" t="n">
        <f aca="false">Stock_Seguridad!R639</f>
        <v>205.962996834509</v>
      </c>
      <c r="I639" s="21" t="n">
        <f aca="false">Stock_Seguridad!S639</f>
        <v>514.562996834509</v>
      </c>
      <c r="J639" s="21" t="n">
        <f aca="false">Stock_Seguridad!U639</f>
        <v>0</v>
      </c>
      <c r="K639" s="22"/>
      <c r="L639" s="23" t="n">
        <v>12.16</v>
      </c>
      <c r="M639" s="23" t="n">
        <v>0</v>
      </c>
      <c r="N639" s="23" t="n">
        <v>12.16</v>
      </c>
      <c r="O639" s="24" t="n">
        <v>0.24089058524173</v>
      </c>
      <c r="P639" s="24" t="n">
        <f aca="false">IF(ISNUMBER(Stock_Seguridad!N639),Stock_Seguridad!N639,"")</f>
        <v>0.328767123287671</v>
      </c>
      <c r="Q639" s="24" t="n">
        <f aca="false">IF(AND(ISNUMBER(O639),ISNUMBER(P639)),P639-O639,"")</f>
        <v>0.087876538045941</v>
      </c>
      <c r="R639" s="23" t="n">
        <f aca="false">MAX(0,G639-N(L639))</f>
        <v>4766.74</v>
      </c>
      <c r="S639" s="23" t="n">
        <f aca="false">SUMIFS(Cadenas_vs_FCST!$D$17:$D$2437,Cadenas_vs_FCST!$A$17:$A$2437,A639)</f>
        <v>772.16</v>
      </c>
      <c r="T639" s="23" t="n">
        <f aca="false">SUMIFS(Cadenas_vs_FCST!$E$17:$E$2437,Cadenas_vs_FCST!$A$17:$A$2437,A639)</f>
        <v>1094.72</v>
      </c>
      <c r="U639" s="24" t="n">
        <f aca="false">IF(T639&gt;0,S639/T639-1,"")</f>
        <v>-0.294650686933645</v>
      </c>
      <c r="V639" s="3" t="str">
        <f aca="false">IF(OR(E639="BAJO SS",E639="BAJO SS (XLIB CUBRE)"),"SÍ","")</f>
        <v/>
      </c>
      <c r="W639" s="3" t="str">
        <f aca="false">IF(AND(V639="",N(L639)&gt;=Parametros!$B$17,G639&gt;=H639,R639&lt;H639),"SÍ","")</f>
        <v/>
      </c>
      <c r="X639" s="3" t="str">
        <f aca="false">IF(OR(E639="SOBRE MAX VENDIBLE",N(N639)&gt;=Parametros!$B$17,N(M639)&gt;=Parametros!$B$17),"SÍ","")</f>
        <v/>
      </c>
      <c r="Y639" s="3" t="str">
        <f aca="false">IF(AND(ISNUMBER(U639),MAX(S639,T639)&gt;=Parametros!$B$15,ABS(N(U639))&gt;Parametros!$B$14),"SÍ","")</f>
        <v/>
      </c>
      <c r="Z639" s="3" t="n">
        <f aca="false">COUNTIF(V639:Y639,"SÍ")</f>
        <v>0</v>
      </c>
      <c r="AA639" s="3" t="n">
        <f aca="false">(3*(V639="SÍ")+2*(W639="SÍ")+2*(X639="SÍ")+(Y639="SÍ"))*IF(LEFT(D639,1)="A",3,IF(OR(LEFT(D639,1)="B",D639="SIN HIST"),2,1))</f>
        <v>0</v>
      </c>
      <c r="AB639" s="3" t="str">
        <f aca="false">IF(AA639&gt;=9,"1-ALTA",IF(AA639&gt;=4,"2-MEDIA",IF(AA639&gt;0,"3-BAJA","")))</f>
        <v/>
      </c>
      <c r="AC639" s="3" t="str">
        <f aca="false">IF(E639="BAJO SS","Stock + XLIB bajo el SS: riesgo real de quiebre, adelantar producción. ","")&amp;IF(E639="BAJO SS (XLIB CUBRE)","Disponible bajo el SS; depende de liberar "&amp;TEXT(J639,"#,##0")&amp;" kg"&amp;IF(ISNUMBER(K639)," el "&amp;TEXT(K639,"dd-mm"),"")&amp;". ","")&amp;IF(W639="SÍ","Stock parece sano pero "&amp;TEXT(L639,"#,##0")&amp;" kg no pasan filtro "&amp;Stock_Seguridad!O639&amp;": sin ellos queda bajo el SS para esa cadena. ","")&amp;IF(E639="SOBRE MAX VENDIBLE","Sobrestock vs vida útil: frenar producción/activar venta. ","")&amp;IF(N(N639)&gt;=Parametros!$B$17,TEXT(N639,"#,##0")&amp;" kg ya no los acepta ninguna cadena: venta intermedia/liquidación. ","")&amp;IF(N(M639)&gt;=Parametros!$B$17,TEXT(M639,"#,##0")&amp;" kg a punto de salir del filtro: despachar primero (FEFO). ","")&amp;IF(Y639="SÍ","Pedidos "&amp;IF(N(U639)&gt;0,"sobre","bajo")&amp;" FCST "&amp;TEXT(ABS(N(U639)),"0%")&amp;": revisar forecast con KAM.","")</f>
        <v/>
      </c>
    </row>
    <row r="640" customFormat="false" ht="15" hidden="false" customHeight="false" outlineLevel="0" collapsed="false">
      <c r="A640" s="18" t="n">
        <f aca="false">Stock_Seguridad!A640</f>
        <v>30002042</v>
      </c>
      <c r="B640" s="18" t="str">
        <f aca="false">Stock_Seguridad!B640</f>
        <v>PULPA DE FRUTILLA FDM 19X335GR</v>
      </c>
      <c r="C640" s="18" t="str">
        <f aca="false">Stock_Seguridad!C640</f>
        <v>FRUTAS Y HORTALIZAS CONGELADAS</v>
      </c>
      <c r="D640" s="18" t="str">
        <f aca="false">Stock_Seguridad!F640</f>
        <v>SIN HIST</v>
      </c>
      <c r="E640" s="19" t="str">
        <f aca="false">Stock_Seguridad!X640</f>
        <v>OK</v>
      </c>
      <c r="F640" s="20" t="n">
        <f aca="false">Stock_Seguridad!W640</f>
        <v>16.4025423728814</v>
      </c>
      <c r="G640" s="21" t="n">
        <f aca="false">Stock_Seguridad!T640</f>
        <v>5032.3</v>
      </c>
      <c r="H640" s="21" t="n">
        <f aca="false">Stock_Seguridad!R640</f>
        <v>151.392327824613</v>
      </c>
      <c r="I640" s="21" t="n">
        <f aca="false">Stock_Seguridad!S640</f>
        <v>458.192327824613</v>
      </c>
      <c r="J640" s="21" t="n">
        <f aca="false">Stock_Seguridad!U640</f>
        <v>0</v>
      </c>
      <c r="K640" s="22"/>
      <c r="L640" s="23" t="n">
        <v>0</v>
      </c>
      <c r="M640" s="23" t="n">
        <v>0</v>
      </c>
      <c r="N640" s="23" t="n">
        <v>0</v>
      </c>
      <c r="O640" s="24" t="n">
        <v>0.178215189873418</v>
      </c>
      <c r="P640" s="24" t="str">
        <f aca="false">IF(ISNUMBER(Stock_Seguridad!N640),Stock_Seguridad!N640,"")</f>
        <v/>
      </c>
      <c r="Q640" s="24" t="str">
        <f aca="false">IF(AND(ISNUMBER(O640),ISNUMBER(P640)),P640-O640,"")</f>
        <v/>
      </c>
      <c r="R640" s="23" t="n">
        <f aca="false">MAX(0,G640-N(L640))</f>
        <v>5032.3</v>
      </c>
      <c r="S640" s="23" t="n">
        <f aca="false">SUMIFS(Cadenas_vs_FCST!$D$17:$D$2437,Cadenas_vs_FCST!$A$17:$A$2437,A640)</f>
        <v>0</v>
      </c>
      <c r="T640" s="23" t="n">
        <f aca="false">SUMIFS(Cadenas_vs_FCST!$E$17:$E$2437,Cadenas_vs_FCST!$A$17:$A$2437,A640)</f>
        <v>0</v>
      </c>
      <c r="U640" s="24" t="str">
        <f aca="false">IF(T640&gt;0,S640/T640-1,"")</f>
        <v/>
      </c>
      <c r="V640" s="3" t="str">
        <f aca="false">IF(OR(E640="BAJO SS",E640="BAJO SS (XLIB CUBRE)"),"SÍ","")</f>
        <v/>
      </c>
      <c r="W640" s="3" t="str">
        <f aca="false">IF(AND(V640="",N(L640)&gt;=Parametros!$B$17,G640&gt;=H640,R640&lt;H640),"SÍ","")</f>
        <v/>
      </c>
      <c r="X640" s="3" t="str">
        <f aca="false">IF(OR(E640="SOBRE MAX VENDIBLE",N(N640)&gt;=Parametros!$B$17,N(M640)&gt;=Parametros!$B$17),"SÍ","")</f>
        <v/>
      </c>
      <c r="Y640" s="3" t="str">
        <f aca="false">IF(AND(ISNUMBER(U640),MAX(S640,T640)&gt;=Parametros!$B$15,ABS(N(U640))&gt;Parametros!$B$14),"SÍ","")</f>
        <v/>
      </c>
      <c r="Z640" s="3" t="n">
        <f aca="false">COUNTIF(V640:Y640,"SÍ")</f>
        <v>0</v>
      </c>
      <c r="AA640" s="3" t="n">
        <f aca="false">(3*(V640="SÍ")+2*(W640="SÍ")+2*(X640="SÍ")+(Y640="SÍ"))*IF(LEFT(D640,1)="A",3,IF(OR(LEFT(D640,1)="B",D640="SIN HIST"),2,1))</f>
        <v>0</v>
      </c>
      <c r="AB640" s="3" t="str">
        <f aca="false">IF(AA640&gt;=9,"1-ALTA",IF(AA640&gt;=4,"2-MEDIA",IF(AA640&gt;0,"3-BAJA","")))</f>
        <v/>
      </c>
      <c r="AC640" s="3" t="str">
        <f aca="false">IF(E640="BAJO SS","Stock + XLIB bajo el SS: riesgo real de quiebre, adelantar producción. ","")&amp;IF(E640="BAJO SS (XLIB CUBRE)","Disponible bajo el SS; depende de liberar "&amp;TEXT(J640,"#,##0")&amp;" kg"&amp;IF(ISNUMBER(K640)," el "&amp;TEXT(K640,"dd-mm"),"")&amp;". ","")&amp;IF(W640="SÍ","Stock parece sano pero "&amp;TEXT(L640,"#,##0")&amp;" kg no pasan filtro "&amp;Stock_Seguridad!O640&amp;": sin ellos queda bajo el SS para esa cadena. ","")&amp;IF(E640="SOBRE MAX VENDIBLE","Sobrestock vs vida útil: frenar producción/activar venta. ","")&amp;IF(N(N640)&gt;=Parametros!$B$17,TEXT(N640,"#,##0")&amp;" kg ya no los acepta ninguna cadena: venta intermedia/liquidación. ","")&amp;IF(N(M640)&gt;=Parametros!$B$17,TEXT(M640,"#,##0")&amp;" kg a punto de salir del filtro: despachar primero (FEFO). ","")&amp;IF(Y640="SÍ","Pedidos "&amp;IF(N(U640)&gt;0,"sobre","bajo")&amp;" FCST "&amp;TEXT(ABS(N(U640)),"0%")&amp;": revisar forecast con KAM.","")</f>
        <v/>
      </c>
    </row>
    <row r="641" customFormat="false" ht="15" hidden="false" customHeight="false" outlineLevel="0" collapsed="false">
      <c r="A641" s="18" t="n">
        <f aca="false">Stock_Seguridad!A641</f>
        <v>30000847</v>
      </c>
      <c r="B641" s="18" t="str">
        <f aca="false">Stock_Seguridad!B641</f>
        <v>ARROLLADO PRIMAVERA 2X2,5KG</v>
      </c>
      <c r="C641" s="18" t="str">
        <f aca="false">Stock_Seguridad!C641</f>
        <v>FRUTAS Y HORTALIZAS CONGELADAS</v>
      </c>
      <c r="D641" s="18" t="str">
        <f aca="false">Stock_Seguridad!F641</f>
        <v>SIN HIST</v>
      </c>
      <c r="E641" s="19" t="str">
        <f aca="false">Stock_Seguridad!X641</f>
        <v>OK</v>
      </c>
      <c r="F641" s="20" t="n">
        <f aca="false">Stock_Seguridad!W641</f>
        <v>6.6056245912361</v>
      </c>
      <c r="G641" s="21" t="n">
        <f aca="false">Stock_Seguridad!T641</f>
        <v>2020</v>
      </c>
      <c r="H641" s="21" t="n">
        <f aca="false">Stock_Seguridad!R641</f>
        <v>150.898871736528</v>
      </c>
      <c r="I641" s="21" t="n">
        <f aca="false">Stock_Seguridad!S641</f>
        <v>456.698871736528</v>
      </c>
      <c r="J641" s="21" t="n">
        <f aca="false">Stock_Seguridad!U641</f>
        <v>0</v>
      </c>
      <c r="K641" s="22"/>
      <c r="L641" s="23" t="n">
        <v>0</v>
      </c>
      <c r="M641" s="23" t="n">
        <v>0</v>
      </c>
      <c r="N641" s="23" t="n">
        <v>0</v>
      </c>
      <c r="O641" s="24" t="n">
        <v>0.145841584158416</v>
      </c>
      <c r="P641" s="24" t="str">
        <f aca="false">IF(ISNUMBER(Stock_Seguridad!N641),Stock_Seguridad!N641,"")</f>
        <v/>
      </c>
      <c r="Q641" s="24" t="str">
        <f aca="false">IF(AND(ISNUMBER(O641),ISNUMBER(P641)),P641-O641,"")</f>
        <v/>
      </c>
      <c r="R641" s="23" t="n">
        <f aca="false">MAX(0,G641-N(L641))</f>
        <v>2020</v>
      </c>
      <c r="S641" s="23" t="n">
        <f aca="false">SUMIFS(Cadenas_vs_FCST!$D$17:$D$2437,Cadenas_vs_FCST!$A$17:$A$2437,A641)</f>
        <v>0</v>
      </c>
      <c r="T641" s="23" t="n">
        <f aca="false">SUMIFS(Cadenas_vs_FCST!$E$17:$E$2437,Cadenas_vs_FCST!$A$17:$A$2437,A641)</f>
        <v>0</v>
      </c>
      <c r="U641" s="24" t="str">
        <f aca="false">IF(T641&gt;0,S641/T641-1,"")</f>
        <v/>
      </c>
      <c r="V641" s="3" t="str">
        <f aca="false">IF(OR(E641="BAJO SS",E641="BAJO SS (XLIB CUBRE)"),"SÍ","")</f>
        <v/>
      </c>
      <c r="W641" s="3" t="str">
        <f aca="false">IF(AND(V641="",N(L641)&gt;=Parametros!$B$17,G641&gt;=H641,R641&lt;H641),"SÍ","")</f>
        <v/>
      </c>
      <c r="X641" s="3" t="str">
        <f aca="false">IF(OR(E641="SOBRE MAX VENDIBLE",N(N641)&gt;=Parametros!$B$17,N(M641)&gt;=Parametros!$B$17),"SÍ","")</f>
        <v/>
      </c>
      <c r="Y641" s="3" t="str">
        <f aca="false">IF(AND(ISNUMBER(U641),MAX(S641,T641)&gt;=Parametros!$B$15,ABS(N(U641))&gt;Parametros!$B$14),"SÍ","")</f>
        <v/>
      </c>
      <c r="Z641" s="3" t="n">
        <f aca="false">COUNTIF(V641:Y641,"SÍ")</f>
        <v>0</v>
      </c>
      <c r="AA641" s="3" t="n">
        <f aca="false">(3*(V641="SÍ")+2*(W641="SÍ")+2*(X641="SÍ")+(Y641="SÍ"))*IF(LEFT(D641,1)="A",3,IF(OR(LEFT(D641,1)="B",D641="SIN HIST"),2,1))</f>
        <v>0</v>
      </c>
      <c r="AB641" s="3" t="str">
        <f aca="false">IF(AA641&gt;=9,"1-ALTA",IF(AA641&gt;=4,"2-MEDIA",IF(AA641&gt;0,"3-BAJA","")))</f>
        <v/>
      </c>
      <c r="AC641" s="3" t="str">
        <f aca="false">IF(E641="BAJO SS","Stock + XLIB bajo el SS: riesgo real de quiebre, adelantar producción. ","")&amp;IF(E641="BAJO SS (XLIB CUBRE)","Disponible bajo el SS; depende de liberar "&amp;TEXT(J641,"#,##0")&amp;" kg"&amp;IF(ISNUMBER(K641)," el "&amp;TEXT(K641,"dd-mm"),"")&amp;". ","")&amp;IF(W641="SÍ","Stock parece sano pero "&amp;TEXT(L641,"#,##0")&amp;" kg no pasan filtro "&amp;Stock_Seguridad!O641&amp;": sin ellos queda bajo el SS para esa cadena. ","")&amp;IF(E641="SOBRE MAX VENDIBLE","Sobrestock vs vida útil: frenar producción/activar venta. ","")&amp;IF(N(N641)&gt;=Parametros!$B$17,TEXT(N641,"#,##0")&amp;" kg ya no los acepta ninguna cadena: venta intermedia/liquidación. ","")&amp;IF(N(M641)&gt;=Parametros!$B$17,TEXT(M641,"#,##0")&amp;" kg a punto de salir del filtro: despachar primero (FEFO). ","")&amp;IF(Y641="SÍ","Pedidos "&amp;IF(N(U641)&gt;0,"sobre","bajo")&amp;" FCST "&amp;TEXT(ABS(N(U641)),"0%")&amp;": revisar forecast con KAM.","")</f>
        <v/>
      </c>
    </row>
    <row r="642" customFormat="false" ht="15" hidden="false" customHeight="false" outlineLevel="0" collapsed="false">
      <c r="A642" s="18" t="n">
        <f aca="false">Stock_Seguridad!A642</f>
        <v>30002079</v>
      </c>
      <c r="B642" s="18" t="str">
        <f aca="false">Stock_Seguridad!B642</f>
        <v>AROS DE CEBOLLA 22X350GR</v>
      </c>
      <c r="C642" s="18" t="str">
        <f aca="false">Stock_Seguridad!C642</f>
        <v>FRUTAS Y HORTALIZAS CONGELADAS</v>
      </c>
      <c r="D642" s="18" t="str">
        <f aca="false">Stock_Seguridad!F642</f>
        <v>SIN HIST</v>
      </c>
      <c r="E642" s="19" t="str">
        <f aca="false">Stock_Seguridad!X642</f>
        <v>OK</v>
      </c>
      <c r="F642" s="20" t="n">
        <f aca="false">Stock_Seguridad!W642</f>
        <v>8.35461462123718</v>
      </c>
      <c r="G642" s="21" t="n">
        <f aca="false">Stock_Seguridad!T642</f>
        <v>2525.6</v>
      </c>
      <c r="H642" s="21" t="n">
        <f aca="false">Stock_Seguridad!R642</f>
        <v>149.171775428229</v>
      </c>
      <c r="I642" s="21" t="n">
        <f aca="false">Stock_Seguridad!S642</f>
        <v>451.471775428229</v>
      </c>
      <c r="J642" s="21" t="n">
        <f aca="false">Stock_Seguridad!U642</f>
        <v>0</v>
      </c>
      <c r="K642" s="22"/>
      <c r="L642" s="23" t="n">
        <v>0</v>
      </c>
      <c r="M642" s="23" t="n">
        <v>0</v>
      </c>
      <c r="N642" s="23" t="n">
        <v>0</v>
      </c>
      <c r="O642" s="24" t="n">
        <v>0.0263414634146342</v>
      </c>
      <c r="P642" s="24" t="str">
        <f aca="false">IF(ISNUMBER(Stock_Seguridad!N642),Stock_Seguridad!N642,"")</f>
        <v/>
      </c>
      <c r="Q642" s="24" t="str">
        <f aca="false">IF(AND(ISNUMBER(O642),ISNUMBER(P642)),P642-O642,"")</f>
        <v/>
      </c>
      <c r="R642" s="23" t="n">
        <f aca="false">MAX(0,G642-N(L642))</f>
        <v>2525.6</v>
      </c>
      <c r="S642" s="23" t="n">
        <f aca="false">SUMIFS(Cadenas_vs_FCST!$D$17:$D$2437,Cadenas_vs_FCST!$A$17:$A$2437,A642)</f>
        <v>0</v>
      </c>
      <c r="T642" s="23" t="n">
        <f aca="false">SUMIFS(Cadenas_vs_FCST!$E$17:$E$2437,Cadenas_vs_FCST!$A$17:$A$2437,A642)</f>
        <v>0</v>
      </c>
      <c r="U642" s="24" t="str">
        <f aca="false">IF(T642&gt;0,S642/T642-1,"")</f>
        <v/>
      </c>
      <c r="V642" s="3" t="str">
        <f aca="false">IF(OR(E642="BAJO SS",E642="BAJO SS (XLIB CUBRE)"),"SÍ","")</f>
        <v/>
      </c>
      <c r="W642" s="3" t="str">
        <f aca="false">IF(AND(V642="",N(L642)&gt;=Parametros!$B$17,G642&gt;=H642,R642&lt;H642),"SÍ","")</f>
        <v/>
      </c>
      <c r="X642" s="3" t="str">
        <f aca="false">IF(OR(E642="SOBRE MAX VENDIBLE",N(N642)&gt;=Parametros!$B$17,N(M642)&gt;=Parametros!$B$17),"SÍ","")</f>
        <v/>
      </c>
      <c r="Y642" s="3" t="str">
        <f aca="false">IF(AND(ISNUMBER(U642),MAX(S642,T642)&gt;=Parametros!$B$15,ABS(N(U642))&gt;Parametros!$B$14),"SÍ","")</f>
        <v/>
      </c>
      <c r="Z642" s="3" t="n">
        <f aca="false">COUNTIF(V642:Y642,"SÍ")</f>
        <v>0</v>
      </c>
      <c r="AA642" s="3" t="n">
        <f aca="false">(3*(V642="SÍ")+2*(W642="SÍ")+2*(X642="SÍ")+(Y642="SÍ"))*IF(LEFT(D642,1)="A",3,IF(OR(LEFT(D642,1)="B",D642="SIN HIST"),2,1))</f>
        <v>0</v>
      </c>
      <c r="AB642" s="3" t="str">
        <f aca="false">IF(AA642&gt;=9,"1-ALTA",IF(AA642&gt;=4,"2-MEDIA",IF(AA642&gt;0,"3-BAJA","")))</f>
        <v/>
      </c>
      <c r="AC642" s="3" t="str">
        <f aca="false">IF(E642="BAJO SS","Stock + XLIB bajo el SS: riesgo real de quiebre, adelantar producción. ","")&amp;IF(E642="BAJO SS (XLIB CUBRE)","Disponible bajo el SS; depende de liberar "&amp;TEXT(J642,"#,##0")&amp;" kg"&amp;IF(ISNUMBER(K642)," el "&amp;TEXT(K642,"dd-mm"),"")&amp;". ","")&amp;IF(W642="SÍ","Stock parece sano pero "&amp;TEXT(L642,"#,##0")&amp;" kg no pasan filtro "&amp;Stock_Seguridad!O642&amp;": sin ellos queda bajo el SS para esa cadena. ","")&amp;IF(E642="SOBRE MAX VENDIBLE","Sobrestock vs vida útil: frenar producción/activar venta. ","")&amp;IF(N(N642)&gt;=Parametros!$B$17,TEXT(N642,"#,##0")&amp;" kg ya no los acepta ninguna cadena: venta intermedia/liquidación. ","")&amp;IF(N(M642)&gt;=Parametros!$B$17,TEXT(M642,"#,##0")&amp;" kg a punto de salir del filtro: despachar primero (FEFO). ","")&amp;IF(Y642="SÍ","Pedidos "&amp;IF(N(U642)&gt;0,"sobre","bajo")&amp;" FCST "&amp;TEXT(ABS(N(U642)),"0%")&amp;": revisar forecast con KAM.","")</f>
        <v/>
      </c>
    </row>
    <row r="643" customFormat="false" ht="15" hidden="false" customHeight="false" outlineLevel="0" collapsed="false">
      <c r="A643" s="18" t="n">
        <f aca="false">Stock_Seguridad!A643</f>
        <v>30001005</v>
      </c>
      <c r="B643" s="18" t="str">
        <f aca="false">Stock_Seguridad!B643</f>
        <v>FRUTIMIX 15X400GR</v>
      </c>
      <c r="C643" s="18" t="str">
        <f aca="false">Stock_Seguridad!C643</f>
        <v>FRUTAS Y HORTALIZAS CONGELADAS</v>
      </c>
      <c r="D643" s="18" t="str">
        <f aca="false">Stock_Seguridad!F643</f>
        <v>SIN HIST</v>
      </c>
      <c r="E643" s="19" t="str">
        <f aca="false">Stock_Seguridad!X643</f>
        <v>OK</v>
      </c>
      <c r="F643" s="20" t="n">
        <f aca="false">Stock_Seguridad!W643</f>
        <v>10.4374364191251</v>
      </c>
      <c r="G643" s="21" t="n">
        <f aca="false">Stock_Seguridad!T643</f>
        <v>3078</v>
      </c>
      <c r="H643" s="21" t="n">
        <f aca="false">Stock_Seguridad!R643</f>
        <v>145.520200376397</v>
      </c>
      <c r="I643" s="21" t="n">
        <f aca="false">Stock_Seguridad!S643</f>
        <v>440.420200376397</v>
      </c>
      <c r="J643" s="21" t="n">
        <f aca="false">Stock_Seguridad!U643</f>
        <v>0</v>
      </c>
      <c r="K643" s="22"/>
      <c r="L643" s="23" t="n">
        <v>0</v>
      </c>
      <c r="M643" s="23" t="n">
        <v>0</v>
      </c>
      <c r="N643" s="23" t="n">
        <v>0</v>
      </c>
      <c r="O643" s="24" t="n">
        <v>0.01</v>
      </c>
      <c r="P643" s="24" t="str">
        <f aca="false">IF(ISNUMBER(Stock_Seguridad!N643),Stock_Seguridad!N643,"")</f>
        <v/>
      </c>
      <c r="Q643" s="24" t="str">
        <f aca="false">IF(AND(ISNUMBER(O643),ISNUMBER(P643)),P643-O643,"")</f>
        <v/>
      </c>
      <c r="R643" s="23" t="n">
        <f aca="false">MAX(0,G643-N(L643))</f>
        <v>3078</v>
      </c>
      <c r="S643" s="23" t="n">
        <f aca="false">SUMIFS(Cadenas_vs_FCST!$D$17:$D$2437,Cadenas_vs_FCST!$A$17:$A$2437,A643)</f>
        <v>0</v>
      </c>
      <c r="T643" s="23" t="n">
        <f aca="false">SUMIFS(Cadenas_vs_FCST!$E$17:$E$2437,Cadenas_vs_FCST!$A$17:$A$2437,A643)</f>
        <v>0</v>
      </c>
      <c r="U643" s="24" t="str">
        <f aca="false">IF(T643&gt;0,S643/T643-1,"")</f>
        <v/>
      </c>
      <c r="V643" s="3" t="str">
        <f aca="false">IF(OR(E643="BAJO SS",E643="BAJO SS (XLIB CUBRE)"),"SÍ","")</f>
        <v/>
      </c>
      <c r="W643" s="3" t="str">
        <f aca="false">IF(AND(V643="",N(L643)&gt;=Parametros!$B$17,G643&gt;=H643,R643&lt;H643),"SÍ","")</f>
        <v/>
      </c>
      <c r="X643" s="3" t="str">
        <f aca="false">IF(OR(E643="SOBRE MAX VENDIBLE",N(N643)&gt;=Parametros!$B$17,N(M643)&gt;=Parametros!$B$17),"SÍ","")</f>
        <v/>
      </c>
      <c r="Y643" s="3" t="str">
        <f aca="false">IF(AND(ISNUMBER(U643),MAX(S643,T643)&gt;=Parametros!$B$15,ABS(N(U643))&gt;Parametros!$B$14),"SÍ","")</f>
        <v/>
      </c>
      <c r="Z643" s="3" t="n">
        <f aca="false">COUNTIF(V643:Y643,"SÍ")</f>
        <v>0</v>
      </c>
      <c r="AA643" s="3" t="n">
        <f aca="false">(3*(V643="SÍ")+2*(W643="SÍ")+2*(X643="SÍ")+(Y643="SÍ"))*IF(LEFT(D643,1)="A",3,IF(OR(LEFT(D643,1)="B",D643="SIN HIST"),2,1))</f>
        <v>0</v>
      </c>
      <c r="AB643" s="3" t="str">
        <f aca="false">IF(AA643&gt;=9,"1-ALTA",IF(AA643&gt;=4,"2-MEDIA",IF(AA643&gt;0,"3-BAJA","")))</f>
        <v/>
      </c>
      <c r="AC643" s="3" t="str">
        <f aca="false">IF(E643="BAJO SS","Stock + XLIB bajo el SS: riesgo real de quiebre, adelantar producción. ","")&amp;IF(E643="BAJO SS (XLIB CUBRE)","Disponible bajo el SS; depende de liberar "&amp;TEXT(J643,"#,##0")&amp;" kg"&amp;IF(ISNUMBER(K643)," el "&amp;TEXT(K643,"dd-mm"),"")&amp;". ","")&amp;IF(W643="SÍ","Stock parece sano pero "&amp;TEXT(L643,"#,##0")&amp;" kg no pasan filtro "&amp;Stock_Seguridad!O643&amp;": sin ellos queda bajo el SS para esa cadena. ","")&amp;IF(E643="SOBRE MAX VENDIBLE","Sobrestock vs vida útil: frenar producción/activar venta. ","")&amp;IF(N(N643)&gt;=Parametros!$B$17,TEXT(N643,"#,##0")&amp;" kg ya no los acepta ninguna cadena: venta intermedia/liquidación. ","")&amp;IF(N(M643)&gt;=Parametros!$B$17,TEXT(M643,"#,##0")&amp;" kg a punto de salir del filtro: despachar primero (FEFO). ","")&amp;IF(Y643="SÍ","Pedidos "&amp;IF(N(U643)&gt;0,"sobre","bajo")&amp;" FCST "&amp;TEXT(ABS(N(U643)),"0%")&amp;": revisar forecast con KAM.","")</f>
        <v/>
      </c>
    </row>
    <row r="644" customFormat="false" ht="15" hidden="false" customHeight="false" outlineLevel="0" collapsed="false">
      <c r="A644" s="18" t="n">
        <f aca="false">Stock_Seguridad!A644</f>
        <v>30002045</v>
      </c>
      <c r="B644" s="18" t="str">
        <f aca="false">Stock_Seguridad!B644</f>
        <v>PULPA DE PIÑA FDM 19X335GR</v>
      </c>
      <c r="C644" s="18" t="str">
        <f aca="false">Stock_Seguridad!C644</f>
        <v>FRUTAS Y HORTALIZAS CONGELADAS</v>
      </c>
      <c r="D644" s="18" t="str">
        <f aca="false">Stock_Seguridad!F644</f>
        <v>SIN HIST</v>
      </c>
      <c r="E644" s="19" t="str">
        <f aca="false">Stock_Seguridad!X644</f>
        <v>OK</v>
      </c>
      <c r="F644" s="20" t="n">
        <f aca="false">Stock_Seguridad!W644</f>
        <v>7.52697568389058</v>
      </c>
      <c r="G644" s="21" t="n">
        <f aca="false">Stock_Seguridad!T644</f>
        <v>1981.1</v>
      </c>
      <c r="H644" s="21" t="n">
        <f aca="false">Stock_Seguridad!R644</f>
        <v>129.877642384088</v>
      </c>
      <c r="I644" s="21" t="n">
        <f aca="false">Stock_Seguridad!S644</f>
        <v>393.077642384088</v>
      </c>
      <c r="J644" s="21" t="n">
        <f aca="false">Stock_Seguridad!U644</f>
        <v>0</v>
      </c>
      <c r="K644" s="22"/>
      <c r="L644" s="23" t="n">
        <v>0</v>
      </c>
      <c r="M644" s="23" t="n">
        <v>0</v>
      </c>
      <c r="N644" s="23" t="n">
        <v>0</v>
      </c>
      <c r="O644" s="24" t="n">
        <v>0.0816398713826367</v>
      </c>
      <c r="P644" s="24" t="str">
        <f aca="false">IF(ISNUMBER(Stock_Seguridad!N644),Stock_Seguridad!N644,"")</f>
        <v/>
      </c>
      <c r="Q644" s="24" t="str">
        <f aca="false">IF(AND(ISNUMBER(O644),ISNUMBER(P644)),P644-O644,"")</f>
        <v/>
      </c>
      <c r="R644" s="23" t="n">
        <f aca="false">MAX(0,G644-N(L644))</f>
        <v>1981.1</v>
      </c>
      <c r="S644" s="23" t="n">
        <f aca="false">SUMIFS(Cadenas_vs_FCST!$D$17:$D$2437,Cadenas_vs_FCST!$A$17:$A$2437,A644)</f>
        <v>0</v>
      </c>
      <c r="T644" s="23" t="n">
        <f aca="false">SUMIFS(Cadenas_vs_FCST!$E$17:$E$2437,Cadenas_vs_FCST!$A$17:$A$2437,A644)</f>
        <v>0</v>
      </c>
      <c r="U644" s="24" t="str">
        <f aca="false">IF(T644&gt;0,S644/T644-1,"")</f>
        <v/>
      </c>
      <c r="V644" s="3" t="str">
        <f aca="false">IF(OR(E644="BAJO SS",E644="BAJO SS (XLIB CUBRE)"),"SÍ","")</f>
        <v/>
      </c>
      <c r="W644" s="3" t="str">
        <f aca="false">IF(AND(V644="",N(L644)&gt;=Parametros!$B$17,G644&gt;=H644,R644&lt;H644),"SÍ","")</f>
        <v/>
      </c>
      <c r="X644" s="3" t="str">
        <f aca="false">IF(OR(E644="SOBRE MAX VENDIBLE",N(N644)&gt;=Parametros!$B$17,N(M644)&gt;=Parametros!$B$17),"SÍ","")</f>
        <v/>
      </c>
      <c r="Y644" s="3" t="str">
        <f aca="false">IF(AND(ISNUMBER(U644),MAX(S644,T644)&gt;=Parametros!$B$15,ABS(N(U644))&gt;Parametros!$B$14),"SÍ","")</f>
        <v/>
      </c>
      <c r="Z644" s="3" t="n">
        <f aca="false">COUNTIF(V644:Y644,"SÍ")</f>
        <v>0</v>
      </c>
      <c r="AA644" s="3" t="n">
        <f aca="false">(3*(V644="SÍ")+2*(W644="SÍ")+2*(X644="SÍ")+(Y644="SÍ"))*IF(LEFT(D644,1)="A",3,IF(OR(LEFT(D644,1)="B",D644="SIN HIST"),2,1))</f>
        <v>0</v>
      </c>
      <c r="AB644" s="3" t="str">
        <f aca="false">IF(AA644&gt;=9,"1-ALTA",IF(AA644&gt;=4,"2-MEDIA",IF(AA644&gt;0,"3-BAJA","")))</f>
        <v/>
      </c>
      <c r="AC644" s="3" t="str">
        <f aca="false">IF(E644="BAJO SS","Stock + XLIB bajo el SS: riesgo real de quiebre, adelantar producción. ","")&amp;IF(E644="BAJO SS (XLIB CUBRE)","Disponible bajo el SS; depende de liberar "&amp;TEXT(J644,"#,##0")&amp;" kg"&amp;IF(ISNUMBER(K644)," el "&amp;TEXT(K644,"dd-mm"),"")&amp;". ","")&amp;IF(W644="SÍ","Stock parece sano pero "&amp;TEXT(L644,"#,##0")&amp;" kg no pasan filtro "&amp;Stock_Seguridad!O644&amp;": sin ellos queda bajo el SS para esa cadena. ","")&amp;IF(E644="SOBRE MAX VENDIBLE","Sobrestock vs vida útil: frenar producción/activar venta. ","")&amp;IF(N(N644)&gt;=Parametros!$B$17,TEXT(N644,"#,##0")&amp;" kg ya no los acepta ninguna cadena: venta intermedia/liquidación. ","")&amp;IF(N(M644)&gt;=Parametros!$B$17,TEXT(M644,"#,##0")&amp;" kg a punto de salir del filtro: despachar primero (FEFO). ","")&amp;IF(Y644="SÍ","Pedidos "&amp;IF(N(U644)&gt;0,"sobre","bajo")&amp;" FCST "&amp;TEXT(ABS(N(U644)),"0%")&amp;": revisar forecast con KAM.","")</f>
        <v/>
      </c>
    </row>
    <row r="645" customFormat="false" ht="15" hidden="false" customHeight="false" outlineLevel="0" collapsed="false">
      <c r="A645" s="18" t="n">
        <f aca="false">Stock_Seguridad!A645</f>
        <v>30000973</v>
      </c>
      <c r="B645" s="18" t="str">
        <f aca="false">Stock_Seguridad!B645</f>
        <v>POROTO NEGRO LA CRIANZA 1X16KG</v>
      </c>
      <c r="C645" s="18" t="str">
        <f aca="false">Stock_Seguridad!C645</f>
        <v>FRUTAS Y HORTALIZAS CONGELADAS</v>
      </c>
      <c r="D645" s="18" t="str">
        <f aca="false">Stock_Seguridad!F645</f>
        <v>SIN HIST</v>
      </c>
      <c r="E645" s="19" t="str">
        <f aca="false">Stock_Seguridad!X645</f>
        <v>OK</v>
      </c>
      <c r="F645" s="20" t="n">
        <f aca="false">Stock_Seguridad!W645</f>
        <v>13.0438095238095</v>
      </c>
      <c r="G645" s="21" t="n">
        <f aca="false">Stock_Seguridad!T645</f>
        <v>3424</v>
      </c>
      <c r="H645" s="21" t="n">
        <f aca="false">Stock_Seguridad!R645</f>
        <v>129.532223122428</v>
      </c>
      <c r="I645" s="21" t="n">
        <f aca="false">Stock_Seguridad!S645</f>
        <v>392.032223122428</v>
      </c>
      <c r="J645" s="21" t="n">
        <f aca="false">Stock_Seguridad!U645</f>
        <v>0</v>
      </c>
      <c r="K645" s="22"/>
      <c r="L645" s="23" t="n">
        <v>0</v>
      </c>
      <c r="M645" s="23" t="n">
        <v>0</v>
      </c>
      <c r="N645" s="23" t="n">
        <v>0</v>
      </c>
      <c r="O645" s="24" t="n">
        <v>0.0742990654205608</v>
      </c>
      <c r="P645" s="24" t="str">
        <f aca="false">IF(ISNUMBER(Stock_Seguridad!N645),Stock_Seguridad!N645,"")</f>
        <v/>
      </c>
      <c r="Q645" s="24" t="str">
        <f aca="false">IF(AND(ISNUMBER(O645),ISNUMBER(P645)),P645-O645,"")</f>
        <v/>
      </c>
      <c r="R645" s="23" t="n">
        <f aca="false">MAX(0,G645-N(L645))</f>
        <v>3424</v>
      </c>
      <c r="S645" s="23" t="n">
        <f aca="false">SUMIFS(Cadenas_vs_FCST!$D$17:$D$2437,Cadenas_vs_FCST!$A$17:$A$2437,A645)</f>
        <v>0</v>
      </c>
      <c r="T645" s="23" t="n">
        <f aca="false">SUMIFS(Cadenas_vs_FCST!$E$17:$E$2437,Cadenas_vs_FCST!$A$17:$A$2437,A645)</f>
        <v>0</v>
      </c>
      <c r="U645" s="24" t="str">
        <f aca="false">IF(T645&gt;0,S645/T645-1,"")</f>
        <v/>
      </c>
      <c r="V645" s="3" t="str">
        <f aca="false">IF(OR(E645="BAJO SS",E645="BAJO SS (XLIB CUBRE)"),"SÍ","")</f>
        <v/>
      </c>
      <c r="W645" s="3" t="str">
        <f aca="false">IF(AND(V645="",N(L645)&gt;=Parametros!$B$17,G645&gt;=H645,R645&lt;H645),"SÍ","")</f>
        <v/>
      </c>
      <c r="X645" s="3" t="str">
        <f aca="false">IF(OR(E645="SOBRE MAX VENDIBLE",N(N645)&gt;=Parametros!$B$17,N(M645)&gt;=Parametros!$B$17),"SÍ","")</f>
        <v/>
      </c>
      <c r="Y645" s="3" t="str">
        <f aca="false">IF(AND(ISNUMBER(U645),MAX(S645,T645)&gt;=Parametros!$B$15,ABS(N(U645))&gt;Parametros!$B$14),"SÍ","")</f>
        <v/>
      </c>
      <c r="Z645" s="3" t="n">
        <f aca="false">COUNTIF(V645:Y645,"SÍ")</f>
        <v>0</v>
      </c>
      <c r="AA645" s="3" t="n">
        <f aca="false">(3*(V645="SÍ")+2*(W645="SÍ")+2*(X645="SÍ")+(Y645="SÍ"))*IF(LEFT(D645,1)="A",3,IF(OR(LEFT(D645,1)="B",D645="SIN HIST"),2,1))</f>
        <v>0</v>
      </c>
      <c r="AB645" s="3" t="str">
        <f aca="false">IF(AA645&gt;=9,"1-ALTA",IF(AA645&gt;=4,"2-MEDIA",IF(AA645&gt;0,"3-BAJA","")))</f>
        <v/>
      </c>
      <c r="AC645" s="3" t="str">
        <f aca="false">IF(E645="BAJO SS","Stock + XLIB bajo el SS: riesgo real de quiebre, adelantar producción. ","")&amp;IF(E645="BAJO SS (XLIB CUBRE)","Disponible bajo el SS; depende de liberar "&amp;TEXT(J645,"#,##0")&amp;" kg"&amp;IF(ISNUMBER(K645)," el "&amp;TEXT(K645,"dd-mm"),"")&amp;". ","")&amp;IF(W645="SÍ","Stock parece sano pero "&amp;TEXT(L645,"#,##0")&amp;" kg no pasan filtro "&amp;Stock_Seguridad!O645&amp;": sin ellos queda bajo el SS para esa cadena. ","")&amp;IF(E645="SOBRE MAX VENDIBLE","Sobrestock vs vida útil: frenar producción/activar venta. ","")&amp;IF(N(N645)&gt;=Parametros!$B$17,TEXT(N645,"#,##0")&amp;" kg ya no los acepta ninguna cadena: venta intermedia/liquidación. ","")&amp;IF(N(M645)&gt;=Parametros!$B$17,TEXT(M645,"#,##0")&amp;" kg a punto de salir del filtro: despachar primero (FEFO). ","")&amp;IF(Y645="SÍ","Pedidos "&amp;IF(N(U645)&gt;0,"sobre","bajo")&amp;" FCST "&amp;TEXT(ABS(N(U645)),"0%")&amp;": revisar forecast con KAM.","")</f>
        <v/>
      </c>
    </row>
    <row r="646" customFormat="false" ht="15" hidden="false" customHeight="false" outlineLevel="0" collapsed="false">
      <c r="A646" s="18" t="n">
        <f aca="false">Stock_Seguridad!A646</f>
        <v>30000665</v>
      </c>
      <c r="B646" s="18" t="str">
        <f aca="false">Stock_Seguridad!B646</f>
        <v>CREMA DE ESPARRAGOS WASIL 16X380GR</v>
      </c>
      <c r="C646" s="18" t="str">
        <f aca="false">Stock_Seguridad!C646</f>
        <v>CONSERVAS Y PLATOS LISTOS</v>
      </c>
      <c r="D646" s="18" t="str">
        <f aca="false">Stock_Seguridad!F646</f>
        <v>CY</v>
      </c>
      <c r="E646" s="19" t="str">
        <f aca="false">Stock_Seguridad!X646</f>
        <v>OK</v>
      </c>
      <c r="F646" s="20" t="n">
        <f aca="false">Stock_Seguridad!W646</f>
        <v>15.5315420560748</v>
      </c>
      <c r="G646" s="21" t="n">
        <f aca="false">Stock_Seguridad!T646</f>
        <v>3988.5</v>
      </c>
      <c r="H646" s="21" t="n">
        <f aca="false">Stock_Seguridad!R646</f>
        <v>343.483881210928</v>
      </c>
      <c r="I646" s="21" t="n">
        <f aca="false">Stock_Seguridad!S646</f>
        <v>600.283881210928</v>
      </c>
      <c r="J646" s="21" t="n">
        <f aca="false">Stock_Seguridad!U646</f>
        <v>0</v>
      </c>
      <c r="K646" s="22"/>
      <c r="L646" s="23" t="n">
        <v>316.16</v>
      </c>
      <c r="M646" s="23" t="n">
        <v>0</v>
      </c>
      <c r="N646" s="23" t="n">
        <v>0</v>
      </c>
      <c r="O646" s="24" t="n">
        <v>0.142926829268293</v>
      </c>
      <c r="P646" s="24" t="n">
        <f aca="false">IF(ISNUMBER(Stock_Seguridad!N646),Stock_Seguridad!N646,"")</f>
        <v>0.328767123287671</v>
      </c>
      <c r="Q646" s="24" t="n">
        <f aca="false">IF(AND(ISNUMBER(O646),ISNUMBER(P646)),P646-O646,"")</f>
        <v>0.185840294019379</v>
      </c>
      <c r="R646" s="23" t="n">
        <f aca="false">MAX(0,G646-N(L646))</f>
        <v>3672.34</v>
      </c>
      <c r="S646" s="23" t="n">
        <f aca="false">SUMIFS(Cadenas_vs_FCST!$D$17:$D$2437,Cadenas_vs_FCST!$A$17:$A$2437,A646)</f>
        <v>1690.24</v>
      </c>
      <c r="T646" s="23" t="n">
        <f aca="false">SUMIFS(Cadenas_vs_FCST!$E$17:$E$2437,Cadenas_vs_FCST!$A$17:$A$2437,A646)</f>
        <v>1177</v>
      </c>
      <c r="U646" s="24" t="n">
        <f aca="false">IF(T646&gt;0,S646/T646-1,"")</f>
        <v>0.436057774001699</v>
      </c>
      <c r="V646" s="3" t="str">
        <f aca="false">IF(OR(E646="BAJO SS",E646="BAJO SS (XLIB CUBRE)"),"SÍ","")</f>
        <v/>
      </c>
      <c r="W646" s="3" t="str">
        <f aca="false">IF(AND(V646="",N(L646)&gt;=Parametros!$B$17,G646&gt;=H646,R646&lt;H646),"SÍ","")</f>
        <v/>
      </c>
      <c r="X646" s="3" t="str">
        <f aca="false">IF(OR(E646="SOBRE MAX VENDIBLE",N(N646)&gt;=Parametros!$B$17,N(M646)&gt;=Parametros!$B$17),"SÍ","")</f>
        <v/>
      </c>
      <c r="Y646" s="3" t="str">
        <f aca="false">IF(AND(ISNUMBER(U646),MAX(S646,T646)&gt;=Parametros!$B$15,ABS(N(U646))&gt;Parametros!$B$14),"SÍ","")</f>
        <v/>
      </c>
      <c r="Z646" s="3" t="n">
        <f aca="false">COUNTIF(V646:Y646,"SÍ")</f>
        <v>0</v>
      </c>
      <c r="AA646" s="3" t="n">
        <f aca="false">(3*(V646="SÍ")+2*(W646="SÍ")+2*(X646="SÍ")+(Y646="SÍ"))*IF(LEFT(D646,1)="A",3,IF(OR(LEFT(D646,1)="B",D646="SIN HIST"),2,1))</f>
        <v>0</v>
      </c>
      <c r="AB646" s="3" t="str">
        <f aca="false">IF(AA646&gt;=9,"1-ALTA",IF(AA646&gt;=4,"2-MEDIA",IF(AA646&gt;0,"3-BAJA","")))</f>
        <v/>
      </c>
      <c r="AC646" s="3" t="str">
        <f aca="false">IF(E646="BAJO SS","Stock + XLIB bajo el SS: riesgo real de quiebre, adelantar producción. ","")&amp;IF(E646="BAJO SS (XLIB CUBRE)","Disponible bajo el SS; depende de liberar "&amp;TEXT(J646,"#,##0")&amp;" kg"&amp;IF(ISNUMBER(K646)," el "&amp;TEXT(K646,"dd-mm"),"")&amp;". ","")&amp;IF(W646="SÍ","Stock parece sano pero "&amp;TEXT(L646,"#,##0")&amp;" kg no pasan filtro "&amp;Stock_Seguridad!O646&amp;": sin ellos queda bajo el SS para esa cadena. ","")&amp;IF(E646="SOBRE MAX VENDIBLE","Sobrestock vs vida útil: frenar producción/activar venta. ","")&amp;IF(N(N646)&gt;=Parametros!$B$17,TEXT(N646,"#,##0")&amp;" kg ya no los acepta ninguna cadena: venta intermedia/liquidación. ","")&amp;IF(N(M646)&gt;=Parametros!$B$17,TEXT(M646,"#,##0")&amp;" kg a punto de salir del filtro: despachar primero (FEFO). ","")&amp;IF(Y646="SÍ","Pedidos "&amp;IF(N(U646)&gt;0,"sobre","bajo")&amp;" FCST "&amp;TEXT(ABS(N(U646)),"0%")&amp;": revisar forecast con KAM.","")</f>
        <v/>
      </c>
    </row>
    <row r="647" customFormat="false" ht="15" hidden="false" customHeight="false" outlineLevel="0" collapsed="false">
      <c r="A647" s="18" t="n">
        <f aca="false">Stock_Seguridad!A647</f>
        <v>30001036</v>
      </c>
      <c r="B647" s="18" t="str">
        <f aca="false">Stock_Seguridad!B647</f>
        <v>YOGURT DANONE L&amp;F  FRUT BOT 6X900GR</v>
      </c>
      <c r="C647" s="18" t="str">
        <f aca="false">Stock_Seguridad!C647</f>
        <v>YOGURT</v>
      </c>
      <c r="D647" s="18" t="str">
        <f aca="false">Stock_Seguridad!F647</f>
        <v>CX</v>
      </c>
      <c r="E647" s="19" t="str">
        <f aca="false">Stock_Seguridad!X647</f>
        <v>SOBRE MAX VENDIBLE</v>
      </c>
      <c r="F647" s="20" t="n">
        <f aca="false">Stock_Seguridad!W647</f>
        <v>5.04255319148936</v>
      </c>
      <c r="G647" s="21" t="n">
        <f aca="false">Stock_Seguridad!T647</f>
        <v>1279.8</v>
      </c>
      <c r="H647" s="21" t="n">
        <f aca="false">Stock_Seguridad!R647</f>
        <v>181.285714285714</v>
      </c>
      <c r="I647" s="21" t="n">
        <f aca="false">Stock_Seguridad!S647</f>
        <v>435.085714285714</v>
      </c>
      <c r="J647" s="21" t="n">
        <f aca="false">Stock_Seguridad!U647</f>
        <v>0</v>
      </c>
      <c r="K647" s="22"/>
      <c r="L647" s="23" t="n">
        <v>297</v>
      </c>
      <c r="M647" s="23" t="n">
        <v>0</v>
      </c>
      <c r="N647" s="23" t="n">
        <v>297</v>
      </c>
      <c r="O647" s="24" t="n">
        <v>0.204957627118644</v>
      </c>
      <c r="P647" s="24" t="n">
        <f aca="false">IF(ISNUMBER(Stock_Seguridad!N647),Stock_Seguridad!N647,"")</f>
        <v>0.193548387096774</v>
      </c>
      <c r="Q647" s="24" t="n">
        <f aca="false">IF(AND(ISNUMBER(O647),ISNUMBER(P647)),P647-O647,"")</f>
        <v>-0.0114092400218699</v>
      </c>
      <c r="R647" s="23" t="n">
        <f aca="false">MAX(0,G647-N(L647))</f>
        <v>982.8</v>
      </c>
      <c r="S647" s="23" t="n">
        <f aca="false">SUMIFS(Cadenas_vs_FCST!$D$17:$D$2437,Cadenas_vs_FCST!$A$17:$A$2437,A647)</f>
        <v>2349</v>
      </c>
      <c r="T647" s="23" t="n">
        <f aca="false">SUMIFS(Cadenas_vs_FCST!$E$17:$E$2437,Cadenas_vs_FCST!$A$17:$A$2437,A647)</f>
        <v>1816.96787196465</v>
      </c>
      <c r="U647" s="24" t="n">
        <f aca="false">IF(T647&gt;0,S647/T647-1,"")</f>
        <v>0.292813173113553</v>
      </c>
      <c r="V647" s="3" t="str">
        <f aca="false">IF(OR(E647="BAJO SS",E647="BAJO SS (XLIB CUBRE)"),"SÍ","")</f>
        <v/>
      </c>
      <c r="W647" s="3" t="str">
        <f aca="false">IF(AND(V647="",N(L647)&gt;=Parametros!$B$17,G647&gt;=H647,R647&lt;H647),"SÍ","")</f>
        <v/>
      </c>
      <c r="X647" s="3" t="str">
        <f aca="false">IF(OR(E647="SOBRE MAX VENDIBLE",N(N647)&gt;=Parametros!$B$17,N(M647)&gt;=Parametros!$B$17),"SÍ","")</f>
        <v>SÍ</v>
      </c>
      <c r="Y647" s="3" t="str">
        <f aca="false">IF(AND(ISNUMBER(U647),MAX(S647,T647)&gt;=Parametros!$B$15,ABS(N(U647))&gt;Parametros!$B$14),"SÍ","")</f>
        <v>SÍ</v>
      </c>
      <c r="Z647" s="3" t="n">
        <f aca="false">COUNTIF(V647:Y647,"SÍ")</f>
        <v>2</v>
      </c>
      <c r="AA647" s="3" t="n">
        <f aca="false">(3*(V647="SÍ")+2*(W647="SÍ")+2*(X647="SÍ")+(Y647="SÍ"))*IF(LEFT(D647,1)="A",3,IF(OR(LEFT(D647,1)="B",D647="SIN HIST"),2,1))</f>
        <v>3</v>
      </c>
      <c r="AB647" s="3" t="str">
        <f aca="false">IF(AA647&gt;=9,"1-ALTA",IF(AA647&gt;=4,"2-MEDIA",IF(AA647&gt;0,"3-BAJA","")))</f>
        <v>3-BAJA</v>
      </c>
      <c r="AC647" s="3" t="str">
        <f aca="false">IF(E647="BAJO SS","Stock + XLIB bajo el SS: riesgo real de quiebre, adelantar producción. ","")&amp;IF(E647="BAJO SS (XLIB CUBRE)","Disponible bajo el SS; depende de liberar "&amp;TEXT(J647,"#,##0")&amp;" kg"&amp;IF(ISNUMBER(K647)," el "&amp;TEXT(K647,"dd-mm"),"")&amp;". ","")&amp;IF(W647="SÍ","Stock parece sano pero "&amp;TEXT(L647,"#,##0")&amp;" kg no pasan filtro "&amp;Stock_Seguridad!O647&amp;": sin ellos queda bajo el SS para esa cadena. ","")&amp;IF(E647="SOBRE MAX VENDIBLE","Sobrestock vs vida útil: frenar producción/activar venta. ","")&amp;IF(N(N647)&gt;=Parametros!$B$17,TEXT(N647,"#,##0")&amp;" kg ya no los acepta ninguna cadena: venta intermedia/liquidación. ","")&amp;IF(N(M647)&gt;=Parametros!$B$17,TEXT(M647,"#,##0")&amp;" kg a punto de salir del filtro: despachar primero (FEFO). ","")&amp;IF(Y647="SÍ","Pedidos "&amp;IF(N(U647)&gt;0,"sobre","bajo")&amp;" FCST "&amp;TEXT(ABS(N(U647)),"0%")&amp;": revisar forecast con KAM.","")</f>
        <v>Sobrestock vs vida útil: frenar producción/activar venta. Pedidos sobre FCST 29%: revisar forecast con KAM.</v>
      </c>
    </row>
    <row r="648" customFormat="false" ht="15" hidden="false" customHeight="false" outlineLevel="0" collapsed="false">
      <c r="A648" s="18" t="n">
        <f aca="false">Stock_Seguridad!A648</f>
        <v>30002102</v>
      </c>
      <c r="B648" s="18" t="str">
        <f aca="false">Stock_Seguridad!B648</f>
        <v>GYOZAS DE CAMARON FDM 25X200GR</v>
      </c>
      <c r="C648" s="18" t="str">
        <f aca="false">Stock_Seguridad!C648</f>
        <v>FRUTAS Y HORTALIZAS CONGELADAS</v>
      </c>
      <c r="D648" s="18" t="str">
        <f aca="false">Stock_Seguridad!F648</f>
        <v>SIN HIST</v>
      </c>
      <c r="E648" s="19" t="str">
        <f aca="false">Stock_Seguridad!X648</f>
        <v>OK</v>
      </c>
      <c r="F648" s="20" t="n">
        <f aca="false">Stock_Seguridad!W648</f>
        <v>3.93120393120393</v>
      </c>
      <c r="G648" s="21" t="n">
        <f aca="false">Stock_Seguridad!T648</f>
        <v>960</v>
      </c>
      <c r="H648" s="21" t="n">
        <f aca="false">Stock_Seguridad!R648</f>
        <v>120.501976710465</v>
      </c>
      <c r="I648" s="21" t="n">
        <f aca="false">Stock_Seguridad!S648</f>
        <v>364.701976710465</v>
      </c>
      <c r="J648" s="21" t="n">
        <f aca="false">Stock_Seguridad!U648</f>
        <v>0</v>
      </c>
      <c r="K648" s="22"/>
      <c r="L648" s="23" t="n">
        <v>0</v>
      </c>
      <c r="M648" s="23" t="n">
        <v>0</v>
      </c>
      <c r="N648" s="23" t="n">
        <v>0</v>
      </c>
      <c r="O648" s="24" t="n">
        <v>0.00322916666666669</v>
      </c>
      <c r="P648" s="24" t="str">
        <f aca="false">IF(ISNUMBER(Stock_Seguridad!N648),Stock_Seguridad!N648,"")</f>
        <v/>
      </c>
      <c r="Q648" s="24" t="str">
        <f aca="false">IF(AND(ISNUMBER(O648),ISNUMBER(P648)),P648-O648,"")</f>
        <v/>
      </c>
      <c r="R648" s="23" t="n">
        <f aca="false">MAX(0,G648-N(L648))</f>
        <v>960</v>
      </c>
      <c r="S648" s="23" t="n">
        <f aca="false">SUMIFS(Cadenas_vs_FCST!$D$17:$D$2437,Cadenas_vs_FCST!$A$17:$A$2437,A648)</f>
        <v>0</v>
      </c>
      <c r="T648" s="23" t="n">
        <f aca="false">SUMIFS(Cadenas_vs_FCST!$E$17:$E$2437,Cadenas_vs_FCST!$A$17:$A$2437,A648)</f>
        <v>0</v>
      </c>
      <c r="U648" s="24" t="str">
        <f aca="false">IF(T648&gt;0,S648/T648-1,"")</f>
        <v/>
      </c>
      <c r="V648" s="3" t="str">
        <f aca="false">IF(OR(E648="BAJO SS",E648="BAJO SS (XLIB CUBRE)"),"SÍ","")</f>
        <v/>
      </c>
      <c r="W648" s="3" t="str">
        <f aca="false">IF(AND(V648="",N(L648)&gt;=Parametros!$B$17,G648&gt;=H648,R648&lt;H648),"SÍ","")</f>
        <v/>
      </c>
      <c r="X648" s="3" t="str">
        <f aca="false">IF(OR(E648="SOBRE MAX VENDIBLE",N(N648)&gt;=Parametros!$B$17,N(M648)&gt;=Parametros!$B$17),"SÍ","")</f>
        <v/>
      </c>
      <c r="Y648" s="3" t="str">
        <f aca="false">IF(AND(ISNUMBER(U648),MAX(S648,T648)&gt;=Parametros!$B$15,ABS(N(U648))&gt;Parametros!$B$14),"SÍ","")</f>
        <v/>
      </c>
      <c r="Z648" s="3" t="n">
        <f aca="false">COUNTIF(V648:Y648,"SÍ")</f>
        <v>0</v>
      </c>
      <c r="AA648" s="3" t="n">
        <f aca="false">(3*(V648="SÍ")+2*(W648="SÍ")+2*(X648="SÍ")+(Y648="SÍ"))*IF(LEFT(D648,1)="A",3,IF(OR(LEFT(D648,1)="B",D648="SIN HIST"),2,1))</f>
        <v>0</v>
      </c>
      <c r="AB648" s="3" t="str">
        <f aca="false">IF(AA648&gt;=9,"1-ALTA",IF(AA648&gt;=4,"2-MEDIA",IF(AA648&gt;0,"3-BAJA","")))</f>
        <v/>
      </c>
      <c r="AC648" s="3" t="str">
        <f aca="false">IF(E648="BAJO SS","Stock + XLIB bajo el SS: riesgo real de quiebre, adelantar producción. ","")&amp;IF(E648="BAJO SS (XLIB CUBRE)","Disponible bajo el SS; depende de liberar "&amp;TEXT(J648,"#,##0")&amp;" kg"&amp;IF(ISNUMBER(K648)," el "&amp;TEXT(K648,"dd-mm"),"")&amp;". ","")&amp;IF(W648="SÍ","Stock parece sano pero "&amp;TEXT(L648,"#,##0")&amp;" kg no pasan filtro "&amp;Stock_Seguridad!O648&amp;": sin ellos queda bajo el SS para esa cadena. ","")&amp;IF(E648="SOBRE MAX VENDIBLE","Sobrestock vs vida útil: frenar producción/activar venta. ","")&amp;IF(N(N648)&gt;=Parametros!$B$17,TEXT(N648,"#,##0")&amp;" kg ya no los acepta ninguna cadena: venta intermedia/liquidación. ","")&amp;IF(N(M648)&gt;=Parametros!$B$17,TEXT(M648,"#,##0")&amp;" kg a punto de salir del filtro: despachar primero (FEFO). ","")&amp;IF(Y648="SÍ","Pedidos "&amp;IF(N(U648)&gt;0,"sobre","bajo")&amp;" FCST "&amp;TEXT(ABS(N(U648)),"0%")&amp;": revisar forecast con KAM.","")</f>
        <v/>
      </c>
    </row>
    <row r="649" customFormat="false" ht="15" hidden="false" customHeight="false" outlineLevel="0" collapsed="false">
      <c r="A649" s="18" t="n">
        <f aca="false">Stock_Seguridad!A649</f>
        <v>30002163</v>
      </c>
      <c r="B649" s="18" t="str">
        <f aca="false">Stock_Seguridad!B649</f>
        <v>QUESO LPV ALBAHACA RUEDA 16X200G</v>
      </c>
      <c r="C649" s="18" t="str">
        <f aca="false">Stock_Seguridad!C649</f>
        <v>QUESOS</v>
      </c>
      <c r="D649" s="18" t="str">
        <f aca="false">Stock_Seguridad!F649</f>
        <v>CX</v>
      </c>
      <c r="E649" s="19" t="str">
        <f aca="false">Stock_Seguridad!X649</f>
        <v>OK</v>
      </c>
      <c r="F649" s="20" t="n">
        <f aca="false">Stock_Seguridad!W649</f>
        <v>3.69333333333333</v>
      </c>
      <c r="G649" s="21" t="n">
        <f aca="false">Stock_Seguridad!T649</f>
        <v>345.6</v>
      </c>
      <c r="H649" s="21" t="n">
        <f aca="false">Stock_Seguridad!R649</f>
        <v>198.166746435578</v>
      </c>
      <c r="I649" s="21" t="n">
        <f aca="false">Stock_Seguridad!S649</f>
        <v>438.166746435578</v>
      </c>
      <c r="J649" s="21" t="n">
        <f aca="false">Stock_Seguridad!U649</f>
        <v>540.8</v>
      </c>
      <c r="K649" s="22" t="n">
        <v>46318</v>
      </c>
      <c r="L649" s="23" t="n">
        <v>9.6</v>
      </c>
      <c r="M649" s="23" t="n">
        <v>12.8</v>
      </c>
      <c r="N649" s="23" t="n">
        <v>0</v>
      </c>
      <c r="O649" s="24" t="n">
        <v>0.0290613718411552</v>
      </c>
      <c r="P649" s="24" t="n">
        <f aca="false">IF(ISNUMBER(Stock_Seguridad!N649),Stock_Seguridad!N649,"")</f>
        <v>0.211111111111111</v>
      </c>
      <c r="Q649" s="24" t="n">
        <f aca="false">IF(AND(ISNUMBER(O649),ISNUMBER(P649)),P649-O649,"")</f>
        <v>0.182049739269956</v>
      </c>
      <c r="R649" s="23" t="n">
        <f aca="false">MAX(0,G649-N(L649))</f>
        <v>336</v>
      </c>
      <c r="S649" s="23" t="n">
        <f aca="false">SUMIFS(Cadenas_vs_FCST!$D$17:$D$2437,Cadenas_vs_FCST!$A$17:$A$2437,A649)</f>
        <v>723.2</v>
      </c>
      <c r="T649" s="23" t="n">
        <f aca="false">SUMIFS(Cadenas_vs_FCST!$E$17:$E$2437,Cadenas_vs_FCST!$A$17:$A$2437,A649)</f>
        <v>1035.09007859488</v>
      </c>
      <c r="U649" s="24" t="n">
        <f aca="false">IF(T649&gt;0,S649/T649-1,"")</f>
        <v>-0.301316846760109</v>
      </c>
      <c r="V649" s="3" t="str">
        <f aca="false">IF(OR(E649="BAJO SS",E649="BAJO SS (XLIB CUBRE)"),"SÍ","")</f>
        <v/>
      </c>
      <c r="W649" s="3" t="str">
        <f aca="false">IF(AND(V649="",N(L649)&gt;=Parametros!$B$17,G649&gt;=H649,R649&lt;H649),"SÍ","")</f>
        <v/>
      </c>
      <c r="X649" s="3" t="str">
        <f aca="false">IF(OR(E649="SOBRE MAX VENDIBLE",N(N649)&gt;=Parametros!$B$17,N(M649)&gt;=Parametros!$B$17),"SÍ","")</f>
        <v/>
      </c>
      <c r="Y649" s="3" t="str">
        <f aca="false">IF(AND(ISNUMBER(U649),MAX(S649,T649)&gt;=Parametros!$B$15,ABS(N(U649))&gt;Parametros!$B$14),"SÍ","")</f>
        <v/>
      </c>
      <c r="Z649" s="3" t="n">
        <f aca="false">COUNTIF(V649:Y649,"SÍ")</f>
        <v>0</v>
      </c>
      <c r="AA649" s="3" t="n">
        <f aca="false">(3*(V649="SÍ")+2*(W649="SÍ")+2*(X649="SÍ")+(Y649="SÍ"))*IF(LEFT(D649,1)="A",3,IF(OR(LEFT(D649,1)="B",D649="SIN HIST"),2,1))</f>
        <v>0</v>
      </c>
      <c r="AB649" s="3" t="str">
        <f aca="false">IF(AA649&gt;=9,"1-ALTA",IF(AA649&gt;=4,"2-MEDIA",IF(AA649&gt;0,"3-BAJA","")))</f>
        <v/>
      </c>
      <c r="AC649" s="3" t="str">
        <f aca="false">IF(E649="BAJO SS","Stock + XLIB bajo el SS: riesgo real de quiebre, adelantar producción. ","")&amp;IF(E649="BAJO SS (XLIB CUBRE)","Disponible bajo el SS; depende de liberar "&amp;TEXT(J649,"#,##0")&amp;" kg"&amp;IF(ISNUMBER(K649)," el "&amp;TEXT(K649,"dd-mm"),"")&amp;". ","")&amp;IF(W649="SÍ","Stock parece sano pero "&amp;TEXT(L649,"#,##0")&amp;" kg no pasan filtro "&amp;Stock_Seguridad!O649&amp;": sin ellos queda bajo el SS para esa cadena. ","")&amp;IF(E649="SOBRE MAX VENDIBLE","Sobrestock vs vida útil: frenar producción/activar venta. ","")&amp;IF(N(N649)&gt;=Parametros!$B$17,TEXT(N649,"#,##0")&amp;" kg ya no los acepta ninguna cadena: venta intermedia/liquidación. ","")&amp;IF(N(M649)&gt;=Parametros!$B$17,TEXT(M649,"#,##0")&amp;" kg a punto de salir del filtro: despachar primero (FEFO). ","")&amp;IF(Y649="SÍ","Pedidos "&amp;IF(N(U649)&gt;0,"sobre","bajo")&amp;" FCST "&amp;TEXT(ABS(N(U649)),"0%")&amp;": revisar forecast con KAM.","")</f>
        <v/>
      </c>
    </row>
    <row r="650" customFormat="false" ht="15" hidden="false" customHeight="false" outlineLevel="0" collapsed="false">
      <c r="A650" s="18" t="n">
        <f aca="false">Stock_Seguridad!A650</f>
        <v>30002181</v>
      </c>
      <c r="B650" s="18" t="str">
        <f aca="false">Stock_Seguridad!B650</f>
        <v>EDAMAME 18X350G</v>
      </c>
      <c r="C650" s="18" t="str">
        <f aca="false">Stock_Seguridad!C650</f>
        <v>FRUTAS Y HORTALIZAS CONGELADAS</v>
      </c>
      <c r="D650" s="18" t="str">
        <f aca="false">Stock_Seguridad!F650</f>
        <v>SIN HIST</v>
      </c>
      <c r="E650" s="19" t="str">
        <f aca="false">Stock_Seguridad!X650</f>
        <v>OK</v>
      </c>
      <c r="F650" s="20" t="n">
        <f aca="false">Stock_Seguridad!W650</f>
        <v>3.14187446259673</v>
      </c>
      <c r="G650" s="21" t="n">
        <f aca="false">Stock_Seguridad!T650</f>
        <v>730.8</v>
      </c>
      <c r="H650" s="21" t="n">
        <f aca="false">Stock_Seguridad!R650</f>
        <v>114.777886088674</v>
      </c>
      <c r="I650" s="21" t="n">
        <f aca="false">Stock_Seguridad!S650</f>
        <v>347.377886088674</v>
      </c>
      <c r="J650" s="21" t="n">
        <f aca="false">Stock_Seguridad!U650</f>
        <v>0</v>
      </c>
      <c r="K650" s="22"/>
      <c r="L650" s="23" t="n">
        <v>0</v>
      </c>
      <c r="M650" s="23" t="n">
        <v>0</v>
      </c>
      <c r="N650" s="23" t="n">
        <v>0</v>
      </c>
      <c r="O650" s="24" t="n">
        <v>0.07</v>
      </c>
      <c r="P650" s="24" t="str">
        <f aca="false">IF(ISNUMBER(Stock_Seguridad!N650),Stock_Seguridad!N650,"")</f>
        <v/>
      </c>
      <c r="Q650" s="24" t="str">
        <f aca="false">IF(AND(ISNUMBER(O650),ISNUMBER(P650)),P650-O650,"")</f>
        <v/>
      </c>
      <c r="R650" s="23" t="n">
        <f aca="false">MAX(0,G650-N(L650))</f>
        <v>730.8</v>
      </c>
      <c r="S650" s="23" t="n">
        <f aca="false">SUMIFS(Cadenas_vs_FCST!$D$17:$D$2437,Cadenas_vs_FCST!$A$17:$A$2437,A650)</f>
        <v>0</v>
      </c>
      <c r="T650" s="23" t="n">
        <f aca="false">SUMIFS(Cadenas_vs_FCST!$E$17:$E$2437,Cadenas_vs_FCST!$A$17:$A$2437,A650)</f>
        <v>0</v>
      </c>
      <c r="U650" s="24" t="str">
        <f aca="false">IF(T650&gt;0,S650/T650-1,"")</f>
        <v/>
      </c>
      <c r="V650" s="3" t="str">
        <f aca="false">IF(OR(E650="BAJO SS",E650="BAJO SS (XLIB CUBRE)"),"SÍ","")</f>
        <v/>
      </c>
      <c r="W650" s="3" t="str">
        <f aca="false">IF(AND(V650="",N(L650)&gt;=Parametros!$B$17,G650&gt;=H650,R650&lt;H650),"SÍ","")</f>
        <v/>
      </c>
      <c r="X650" s="3" t="str">
        <f aca="false">IF(OR(E650="SOBRE MAX VENDIBLE",N(N650)&gt;=Parametros!$B$17,N(M650)&gt;=Parametros!$B$17),"SÍ","")</f>
        <v/>
      </c>
      <c r="Y650" s="3" t="str">
        <f aca="false">IF(AND(ISNUMBER(U650),MAX(S650,T650)&gt;=Parametros!$B$15,ABS(N(U650))&gt;Parametros!$B$14),"SÍ","")</f>
        <v/>
      </c>
      <c r="Z650" s="3" t="n">
        <f aca="false">COUNTIF(V650:Y650,"SÍ")</f>
        <v>0</v>
      </c>
      <c r="AA650" s="3" t="n">
        <f aca="false">(3*(V650="SÍ")+2*(W650="SÍ")+2*(X650="SÍ")+(Y650="SÍ"))*IF(LEFT(D650,1)="A",3,IF(OR(LEFT(D650,1)="B",D650="SIN HIST"),2,1))</f>
        <v>0</v>
      </c>
      <c r="AB650" s="3" t="str">
        <f aca="false">IF(AA650&gt;=9,"1-ALTA",IF(AA650&gt;=4,"2-MEDIA",IF(AA650&gt;0,"3-BAJA","")))</f>
        <v/>
      </c>
      <c r="AC650" s="3" t="str">
        <f aca="false">IF(E650="BAJO SS","Stock + XLIB bajo el SS: riesgo real de quiebre, adelantar producción. ","")&amp;IF(E650="BAJO SS (XLIB CUBRE)","Disponible bajo el SS; depende de liberar "&amp;TEXT(J650,"#,##0")&amp;" kg"&amp;IF(ISNUMBER(K650)," el "&amp;TEXT(K650,"dd-mm"),"")&amp;". ","")&amp;IF(W650="SÍ","Stock parece sano pero "&amp;TEXT(L650,"#,##0")&amp;" kg no pasan filtro "&amp;Stock_Seguridad!O650&amp;": sin ellos queda bajo el SS para esa cadena. ","")&amp;IF(E650="SOBRE MAX VENDIBLE","Sobrestock vs vida útil: frenar producción/activar venta. ","")&amp;IF(N(N650)&gt;=Parametros!$B$17,TEXT(N650,"#,##0")&amp;" kg ya no los acepta ninguna cadena: venta intermedia/liquidación. ","")&amp;IF(N(M650)&gt;=Parametros!$B$17,TEXT(M650,"#,##0")&amp;" kg a punto de salir del filtro: despachar primero (FEFO). ","")&amp;IF(Y650="SÍ","Pedidos "&amp;IF(N(U650)&gt;0,"sobre","bajo")&amp;" FCST "&amp;TEXT(ABS(N(U650)),"0%")&amp;": revisar forecast con KAM.","")</f>
        <v/>
      </c>
    </row>
    <row r="651" customFormat="false" ht="15" hidden="false" customHeight="false" outlineLevel="0" collapsed="false">
      <c r="A651" s="18" t="n">
        <f aca="false">Stock_Seguridad!A651</f>
        <v>30002128</v>
      </c>
      <c r="B651" s="18" t="str">
        <f aca="false">Stock_Seguridad!B651</f>
        <v>BASE POLVO P/BROWNIE DOÑA JUANITA 20X1KG</v>
      </c>
      <c r="C651" s="18" t="str">
        <f aca="false">Stock_Seguridad!C651</f>
        <v>MARGARINAS</v>
      </c>
      <c r="D651" s="18" t="str">
        <f aca="false">Stock_Seguridad!F651</f>
        <v>SIN HIST</v>
      </c>
      <c r="E651" s="19" t="str">
        <f aca="false">Stock_Seguridad!X651</f>
        <v>OK</v>
      </c>
      <c r="F651" s="20" t="n">
        <f aca="false">Stock_Seguridad!W651</f>
        <v>4.21324161650903</v>
      </c>
      <c r="G651" s="21" t="n">
        <f aca="false">Stock_Seguridad!T651</f>
        <v>980</v>
      </c>
      <c r="H651" s="21" t="n">
        <f aca="false">Stock_Seguridad!R651</f>
        <v>114.777886088674</v>
      </c>
      <c r="I651" s="21" t="n">
        <f aca="false">Stock_Seguridad!S651</f>
        <v>347.377886088674</v>
      </c>
      <c r="J651" s="21" t="n">
        <f aca="false">Stock_Seguridad!U651</f>
        <v>0</v>
      </c>
      <c r="K651" s="22"/>
      <c r="L651" s="23" t="n">
        <v>0</v>
      </c>
      <c r="M651" s="23" t="n">
        <v>0</v>
      </c>
      <c r="N651" s="23" t="n">
        <v>0</v>
      </c>
      <c r="O651" s="24" t="n">
        <v>0.21</v>
      </c>
      <c r="P651" s="24" t="str">
        <f aca="false">IF(ISNUMBER(Stock_Seguridad!N651),Stock_Seguridad!N651,"")</f>
        <v/>
      </c>
      <c r="Q651" s="24" t="str">
        <f aca="false">IF(AND(ISNUMBER(O651),ISNUMBER(P651)),P651-O651,"")</f>
        <v/>
      </c>
      <c r="R651" s="23" t="n">
        <f aca="false">MAX(0,G651-N(L651))</f>
        <v>980</v>
      </c>
      <c r="S651" s="23" t="n">
        <f aca="false">SUMIFS(Cadenas_vs_FCST!$D$17:$D$2437,Cadenas_vs_FCST!$A$17:$A$2437,A651)</f>
        <v>0</v>
      </c>
      <c r="T651" s="23" t="n">
        <f aca="false">SUMIFS(Cadenas_vs_FCST!$E$17:$E$2437,Cadenas_vs_FCST!$A$17:$A$2437,A651)</f>
        <v>0</v>
      </c>
      <c r="U651" s="24" t="str">
        <f aca="false">IF(T651&gt;0,S651/T651-1,"")</f>
        <v/>
      </c>
      <c r="V651" s="3" t="str">
        <f aca="false">IF(OR(E651="BAJO SS",E651="BAJO SS (XLIB CUBRE)"),"SÍ","")</f>
        <v/>
      </c>
      <c r="W651" s="3" t="str">
        <f aca="false">IF(AND(V651="",N(L651)&gt;=Parametros!$B$17,G651&gt;=H651,R651&lt;H651),"SÍ","")</f>
        <v/>
      </c>
      <c r="X651" s="3" t="str">
        <f aca="false">IF(OR(E651="SOBRE MAX VENDIBLE",N(N651)&gt;=Parametros!$B$17,N(M651)&gt;=Parametros!$B$17),"SÍ","")</f>
        <v/>
      </c>
      <c r="Y651" s="3" t="str">
        <f aca="false">IF(AND(ISNUMBER(U651),MAX(S651,T651)&gt;=Parametros!$B$15,ABS(N(U651))&gt;Parametros!$B$14),"SÍ","")</f>
        <v/>
      </c>
      <c r="Z651" s="3" t="n">
        <f aca="false">COUNTIF(V651:Y651,"SÍ")</f>
        <v>0</v>
      </c>
      <c r="AA651" s="3" t="n">
        <f aca="false">(3*(V651="SÍ")+2*(W651="SÍ")+2*(X651="SÍ")+(Y651="SÍ"))*IF(LEFT(D651,1)="A",3,IF(OR(LEFT(D651,1)="B",D651="SIN HIST"),2,1))</f>
        <v>0</v>
      </c>
      <c r="AB651" s="3" t="str">
        <f aca="false">IF(AA651&gt;=9,"1-ALTA",IF(AA651&gt;=4,"2-MEDIA",IF(AA651&gt;0,"3-BAJA","")))</f>
        <v/>
      </c>
      <c r="AC651" s="3" t="str">
        <f aca="false">IF(E651="BAJO SS","Stock + XLIB bajo el SS: riesgo real de quiebre, adelantar producción. ","")&amp;IF(E651="BAJO SS (XLIB CUBRE)","Disponible bajo el SS; depende de liberar "&amp;TEXT(J651,"#,##0")&amp;" kg"&amp;IF(ISNUMBER(K651)," el "&amp;TEXT(K651,"dd-mm"),"")&amp;". ","")&amp;IF(W651="SÍ","Stock parece sano pero "&amp;TEXT(L651,"#,##0")&amp;" kg no pasan filtro "&amp;Stock_Seguridad!O651&amp;": sin ellos queda bajo el SS para esa cadena. ","")&amp;IF(E651="SOBRE MAX VENDIBLE","Sobrestock vs vida útil: frenar producción/activar venta. ","")&amp;IF(N(N651)&gt;=Parametros!$B$17,TEXT(N651,"#,##0")&amp;" kg ya no los acepta ninguna cadena: venta intermedia/liquidación. ","")&amp;IF(N(M651)&gt;=Parametros!$B$17,TEXT(M651,"#,##0")&amp;" kg a punto de salir del filtro: despachar primero (FEFO). ","")&amp;IF(Y651="SÍ","Pedidos "&amp;IF(N(U651)&gt;0,"sobre","bajo")&amp;" FCST "&amp;TEXT(ABS(N(U651)),"0%")&amp;": revisar forecast con KAM.","")</f>
        <v/>
      </c>
    </row>
    <row r="652" customFormat="false" ht="15" hidden="false" customHeight="false" outlineLevel="0" collapsed="false">
      <c r="A652" s="18" t="n">
        <f aca="false">Stock_Seguridad!A652</f>
        <v>30000813</v>
      </c>
      <c r="B652" s="18" t="str">
        <f aca="false">Stock_Seguridad!B652</f>
        <v>LENTEJAS FM 8X2KG</v>
      </c>
      <c r="C652" s="18" t="str">
        <f aca="false">Stock_Seguridad!C652</f>
        <v>FRUTAS Y HORTALIZAS CONGELADAS</v>
      </c>
      <c r="D652" s="18" t="str">
        <f aca="false">Stock_Seguridad!F652</f>
        <v>SIN HIST</v>
      </c>
      <c r="E652" s="19" t="str">
        <f aca="false">Stock_Seguridad!X652</f>
        <v>OK</v>
      </c>
      <c r="F652" s="20" t="n">
        <f aca="false">Stock_Seguridad!W652</f>
        <v>24.5571797076526</v>
      </c>
      <c r="G652" s="21" t="n">
        <f aca="false">Stock_Seguridad!T652</f>
        <v>5712</v>
      </c>
      <c r="H652" s="21" t="n">
        <f aca="false">Stock_Seguridad!R652</f>
        <v>114.777886088674</v>
      </c>
      <c r="I652" s="21" t="n">
        <f aca="false">Stock_Seguridad!S652</f>
        <v>347.377886088674</v>
      </c>
      <c r="J652" s="21" t="n">
        <f aca="false">Stock_Seguridad!U652</f>
        <v>0</v>
      </c>
      <c r="K652" s="22"/>
      <c r="L652" s="23" t="n">
        <v>0</v>
      </c>
      <c r="M652" s="23" t="n">
        <v>0</v>
      </c>
      <c r="N652" s="23" t="n">
        <v>0</v>
      </c>
      <c r="O652" s="24" t="n">
        <v>0.491932773109244</v>
      </c>
      <c r="P652" s="24" t="str">
        <f aca="false">IF(ISNUMBER(Stock_Seguridad!N652),Stock_Seguridad!N652,"")</f>
        <v/>
      </c>
      <c r="Q652" s="24" t="str">
        <f aca="false">IF(AND(ISNUMBER(O652),ISNUMBER(P652)),P652-O652,"")</f>
        <v/>
      </c>
      <c r="R652" s="23" t="n">
        <f aca="false">MAX(0,G652-N(L652))</f>
        <v>5712</v>
      </c>
      <c r="S652" s="23" t="n">
        <f aca="false">SUMIFS(Cadenas_vs_FCST!$D$17:$D$2437,Cadenas_vs_FCST!$A$17:$A$2437,A652)</f>
        <v>0</v>
      </c>
      <c r="T652" s="23" t="n">
        <f aca="false">SUMIFS(Cadenas_vs_FCST!$E$17:$E$2437,Cadenas_vs_FCST!$A$17:$A$2437,A652)</f>
        <v>0</v>
      </c>
      <c r="U652" s="24" t="str">
        <f aca="false">IF(T652&gt;0,S652/T652-1,"")</f>
        <v/>
      </c>
      <c r="V652" s="3" t="str">
        <f aca="false">IF(OR(E652="BAJO SS",E652="BAJO SS (XLIB CUBRE)"),"SÍ","")</f>
        <v/>
      </c>
      <c r="W652" s="3" t="str">
        <f aca="false">IF(AND(V652="",N(L652)&gt;=Parametros!$B$17,G652&gt;=H652,R652&lt;H652),"SÍ","")</f>
        <v/>
      </c>
      <c r="X652" s="3" t="str">
        <f aca="false">IF(OR(E652="SOBRE MAX VENDIBLE",N(N652)&gt;=Parametros!$B$17,N(M652)&gt;=Parametros!$B$17),"SÍ","")</f>
        <v/>
      </c>
      <c r="Y652" s="3" t="str">
        <f aca="false">IF(AND(ISNUMBER(U652),MAX(S652,T652)&gt;=Parametros!$B$15,ABS(N(U652))&gt;Parametros!$B$14),"SÍ","")</f>
        <v/>
      </c>
      <c r="Z652" s="3" t="n">
        <f aca="false">COUNTIF(V652:Y652,"SÍ")</f>
        <v>0</v>
      </c>
      <c r="AA652" s="3" t="n">
        <f aca="false">(3*(V652="SÍ")+2*(W652="SÍ")+2*(X652="SÍ")+(Y652="SÍ"))*IF(LEFT(D652,1)="A",3,IF(OR(LEFT(D652,1)="B",D652="SIN HIST"),2,1))</f>
        <v>0</v>
      </c>
      <c r="AB652" s="3" t="str">
        <f aca="false">IF(AA652&gt;=9,"1-ALTA",IF(AA652&gt;=4,"2-MEDIA",IF(AA652&gt;0,"3-BAJA","")))</f>
        <v/>
      </c>
      <c r="AC652" s="3" t="str">
        <f aca="false">IF(E652="BAJO SS","Stock + XLIB bajo el SS: riesgo real de quiebre, adelantar producción. ","")&amp;IF(E652="BAJO SS (XLIB CUBRE)","Disponible bajo el SS; depende de liberar "&amp;TEXT(J652,"#,##0")&amp;" kg"&amp;IF(ISNUMBER(K652)," el "&amp;TEXT(K652,"dd-mm"),"")&amp;". ","")&amp;IF(W652="SÍ","Stock parece sano pero "&amp;TEXT(L652,"#,##0")&amp;" kg no pasan filtro "&amp;Stock_Seguridad!O652&amp;": sin ellos queda bajo el SS para esa cadena. ","")&amp;IF(E652="SOBRE MAX VENDIBLE","Sobrestock vs vida útil: frenar producción/activar venta. ","")&amp;IF(N(N652)&gt;=Parametros!$B$17,TEXT(N652,"#,##0")&amp;" kg ya no los acepta ninguna cadena: venta intermedia/liquidación. ","")&amp;IF(N(M652)&gt;=Parametros!$B$17,TEXT(M652,"#,##0")&amp;" kg a punto de salir del filtro: despachar primero (FEFO). ","")&amp;IF(Y652="SÍ","Pedidos "&amp;IF(N(U652)&gt;0,"sobre","bajo")&amp;" FCST "&amp;TEXT(ABS(N(U652)),"0%")&amp;": revisar forecast con KAM.","")</f>
        <v/>
      </c>
    </row>
    <row r="653" customFormat="false" ht="15" hidden="false" customHeight="false" outlineLevel="0" collapsed="false">
      <c r="A653" s="18" t="n">
        <f aca="false">Stock_Seguridad!A653</f>
        <v>30002130</v>
      </c>
      <c r="B653" s="18" t="str">
        <f aca="false">Stock_Seguridad!B653</f>
        <v>BASE POLVO BIZC 3LEC DOÑA JUANITA 20X1KG</v>
      </c>
      <c r="C653" s="18" t="str">
        <f aca="false">Stock_Seguridad!C653</f>
        <v>MARGARINAS</v>
      </c>
      <c r="D653" s="18" t="str">
        <f aca="false">Stock_Seguridad!F653</f>
        <v>SIN HIST</v>
      </c>
      <c r="E653" s="19" t="str">
        <f aca="false">Stock_Seguridad!X653</f>
        <v>OK</v>
      </c>
      <c r="F653" s="20" t="n">
        <f aca="false">Stock_Seguridad!W653</f>
        <v>19.1745485812554</v>
      </c>
      <c r="G653" s="21" t="n">
        <f aca="false">Stock_Seguridad!T653</f>
        <v>4460</v>
      </c>
      <c r="H653" s="21" t="n">
        <f aca="false">Stock_Seguridad!R653</f>
        <v>114.777886088674</v>
      </c>
      <c r="I653" s="21" t="n">
        <f aca="false">Stock_Seguridad!S653</f>
        <v>347.377886088674</v>
      </c>
      <c r="J653" s="21" t="n">
        <f aca="false">Stock_Seguridad!U653</f>
        <v>0</v>
      </c>
      <c r="K653" s="22"/>
      <c r="L653" s="23" t="n">
        <v>0</v>
      </c>
      <c r="M653" s="23" t="n">
        <v>0</v>
      </c>
      <c r="N653" s="23" t="n">
        <v>0</v>
      </c>
      <c r="O653" s="24" t="n">
        <v>0.21</v>
      </c>
      <c r="P653" s="24" t="str">
        <f aca="false">IF(ISNUMBER(Stock_Seguridad!N653),Stock_Seguridad!N653,"")</f>
        <v/>
      </c>
      <c r="Q653" s="24" t="str">
        <f aca="false">IF(AND(ISNUMBER(O653),ISNUMBER(P653)),P653-O653,"")</f>
        <v/>
      </c>
      <c r="R653" s="23" t="n">
        <f aca="false">MAX(0,G653-N(L653))</f>
        <v>4460</v>
      </c>
      <c r="S653" s="23" t="n">
        <f aca="false">SUMIFS(Cadenas_vs_FCST!$D$17:$D$2437,Cadenas_vs_FCST!$A$17:$A$2437,A653)</f>
        <v>0</v>
      </c>
      <c r="T653" s="23" t="n">
        <f aca="false">SUMIFS(Cadenas_vs_FCST!$E$17:$E$2437,Cadenas_vs_FCST!$A$17:$A$2437,A653)</f>
        <v>0</v>
      </c>
      <c r="U653" s="24" t="str">
        <f aca="false">IF(T653&gt;0,S653/T653-1,"")</f>
        <v/>
      </c>
      <c r="V653" s="3" t="str">
        <f aca="false">IF(OR(E653="BAJO SS",E653="BAJO SS (XLIB CUBRE)"),"SÍ","")</f>
        <v/>
      </c>
      <c r="W653" s="3" t="str">
        <f aca="false">IF(AND(V653="",N(L653)&gt;=Parametros!$B$17,G653&gt;=H653,R653&lt;H653),"SÍ","")</f>
        <v/>
      </c>
      <c r="X653" s="3" t="str">
        <f aca="false">IF(OR(E653="SOBRE MAX VENDIBLE",N(N653)&gt;=Parametros!$B$17,N(M653)&gt;=Parametros!$B$17),"SÍ","")</f>
        <v/>
      </c>
      <c r="Y653" s="3" t="str">
        <f aca="false">IF(AND(ISNUMBER(U653),MAX(S653,T653)&gt;=Parametros!$B$15,ABS(N(U653))&gt;Parametros!$B$14),"SÍ","")</f>
        <v/>
      </c>
      <c r="Z653" s="3" t="n">
        <f aca="false">COUNTIF(V653:Y653,"SÍ")</f>
        <v>0</v>
      </c>
      <c r="AA653" s="3" t="n">
        <f aca="false">(3*(V653="SÍ")+2*(W653="SÍ")+2*(X653="SÍ")+(Y653="SÍ"))*IF(LEFT(D653,1)="A",3,IF(OR(LEFT(D653,1)="B",D653="SIN HIST"),2,1))</f>
        <v>0</v>
      </c>
      <c r="AB653" s="3" t="str">
        <f aca="false">IF(AA653&gt;=9,"1-ALTA",IF(AA653&gt;=4,"2-MEDIA",IF(AA653&gt;0,"3-BAJA","")))</f>
        <v/>
      </c>
      <c r="AC653" s="3" t="str">
        <f aca="false">IF(E653="BAJO SS","Stock + XLIB bajo el SS: riesgo real de quiebre, adelantar producción. ","")&amp;IF(E653="BAJO SS (XLIB CUBRE)","Disponible bajo el SS; depende de liberar "&amp;TEXT(J653,"#,##0")&amp;" kg"&amp;IF(ISNUMBER(K653)," el "&amp;TEXT(K653,"dd-mm"),"")&amp;". ","")&amp;IF(W653="SÍ","Stock parece sano pero "&amp;TEXT(L653,"#,##0")&amp;" kg no pasan filtro "&amp;Stock_Seguridad!O653&amp;": sin ellos queda bajo el SS para esa cadena. ","")&amp;IF(E653="SOBRE MAX VENDIBLE","Sobrestock vs vida útil: frenar producción/activar venta. ","")&amp;IF(N(N653)&gt;=Parametros!$B$17,TEXT(N653,"#,##0")&amp;" kg ya no los acepta ninguna cadena: venta intermedia/liquidación. ","")&amp;IF(N(M653)&gt;=Parametros!$B$17,TEXT(M653,"#,##0")&amp;" kg a punto de salir del filtro: despachar primero (FEFO). ","")&amp;IF(Y653="SÍ","Pedidos "&amp;IF(N(U653)&gt;0,"sobre","bajo")&amp;" FCST "&amp;TEXT(ABS(N(U653)),"0%")&amp;": revisar forecast con KAM.","")</f>
        <v/>
      </c>
    </row>
    <row r="654" customFormat="false" ht="15" hidden="false" customHeight="false" outlineLevel="0" collapsed="false">
      <c r="A654" s="18" t="n">
        <f aca="false">Stock_Seguridad!A654</f>
        <v>30002127</v>
      </c>
      <c r="B654" s="18" t="str">
        <f aca="false">Stock_Seguridad!B654</f>
        <v>BASE POLVO P/QUEQUE DOÑA JUANITA 20X1KG</v>
      </c>
      <c r="C654" s="18" t="str">
        <f aca="false">Stock_Seguridad!C654</f>
        <v>MARGARINAS</v>
      </c>
      <c r="D654" s="18" t="str">
        <f aca="false">Stock_Seguridad!F654</f>
        <v>SIN HIST</v>
      </c>
      <c r="E654" s="19" t="str">
        <f aca="false">Stock_Seguridad!X654</f>
        <v>OK</v>
      </c>
      <c r="F654" s="20" t="n">
        <f aca="false">Stock_Seguridad!W654</f>
        <v>4.12725709372313</v>
      </c>
      <c r="G654" s="21" t="n">
        <f aca="false">Stock_Seguridad!T654</f>
        <v>960</v>
      </c>
      <c r="H654" s="21" t="n">
        <f aca="false">Stock_Seguridad!R654</f>
        <v>114.777886088674</v>
      </c>
      <c r="I654" s="21" t="n">
        <f aca="false">Stock_Seguridad!S654</f>
        <v>347.377886088674</v>
      </c>
      <c r="J654" s="21" t="n">
        <f aca="false">Stock_Seguridad!U654</f>
        <v>0</v>
      </c>
      <c r="K654" s="22"/>
      <c r="L654" s="23" t="n">
        <v>0</v>
      </c>
      <c r="M654" s="23" t="n">
        <v>0</v>
      </c>
      <c r="N654" s="23" t="n">
        <v>0</v>
      </c>
      <c r="O654" s="24" t="n">
        <v>0.21</v>
      </c>
      <c r="P654" s="24" t="str">
        <f aca="false">IF(ISNUMBER(Stock_Seguridad!N654),Stock_Seguridad!N654,"")</f>
        <v/>
      </c>
      <c r="Q654" s="24" t="str">
        <f aca="false">IF(AND(ISNUMBER(O654),ISNUMBER(P654)),P654-O654,"")</f>
        <v/>
      </c>
      <c r="R654" s="23" t="n">
        <f aca="false">MAX(0,G654-N(L654))</f>
        <v>960</v>
      </c>
      <c r="S654" s="23" t="n">
        <f aca="false">SUMIFS(Cadenas_vs_FCST!$D$17:$D$2437,Cadenas_vs_FCST!$A$17:$A$2437,A654)</f>
        <v>0</v>
      </c>
      <c r="T654" s="23" t="n">
        <f aca="false">SUMIFS(Cadenas_vs_FCST!$E$17:$E$2437,Cadenas_vs_FCST!$A$17:$A$2437,A654)</f>
        <v>0</v>
      </c>
      <c r="U654" s="24" t="str">
        <f aca="false">IF(T654&gt;0,S654/T654-1,"")</f>
        <v/>
      </c>
      <c r="V654" s="3" t="str">
        <f aca="false">IF(OR(E654="BAJO SS",E654="BAJO SS (XLIB CUBRE)"),"SÍ","")</f>
        <v/>
      </c>
      <c r="W654" s="3" t="str">
        <f aca="false">IF(AND(V654="",N(L654)&gt;=Parametros!$B$17,G654&gt;=H654,R654&lt;H654),"SÍ","")</f>
        <v/>
      </c>
      <c r="X654" s="3" t="str">
        <f aca="false">IF(OR(E654="SOBRE MAX VENDIBLE",N(N654)&gt;=Parametros!$B$17,N(M654)&gt;=Parametros!$B$17),"SÍ","")</f>
        <v/>
      </c>
      <c r="Y654" s="3" t="str">
        <f aca="false">IF(AND(ISNUMBER(U654),MAX(S654,T654)&gt;=Parametros!$B$15,ABS(N(U654))&gt;Parametros!$B$14),"SÍ","")</f>
        <v/>
      </c>
      <c r="Z654" s="3" t="n">
        <f aca="false">COUNTIF(V654:Y654,"SÍ")</f>
        <v>0</v>
      </c>
      <c r="AA654" s="3" t="n">
        <f aca="false">(3*(V654="SÍ")+2*(W654="SÍ")+2*(X654="SÍ")+(Y654="SÍ"))*IF(LEFT(D654,1)="A",3,IF(OR(LEFT(D654,1)="B",D654="SIN HIST"),2,1))</f>
        <v>0</v>
      </c>
      <c r="AB654" s="3" t="str">
        <f aca="false">IF(AA654&gt;=9,"1-ALTA",IF(AA654&gt;=4,"2-MEDIA",IF(AA654&gt;0,"3-BAJA","")))</f>
        <v/>
      </c>
      <c r="AC654" s="3" t="str">
        <f aca="false">IF(E654="BAJO SS","Stock + XLIB bajo el SS: riesgo real de quiebre, adelantar producción. ","")&amp;IF(E654="BAJO SS (XLIB CUBRE)","Disponible bajo el SS; depende de liberar "&amp;TEXT(J654,"#,##0")&amp;" kg"&amp;IF(ISNUMBER(K654)," el "&amp;TEXT(K654,"dd-mm"),"")&amp;". ","")&amp;IF(W654="SÍ","Stock parece sano pero "&amp;TEXT(L654,"#,##0")&amp;" kg no pasan filtro "&amp;Stock_Seguridad!O654&amp;": sin ellos queda bajo el SS para esa cadena. ","")&amp;IF(E654="SOBRE MAX VENDIBLE","Sobrestock vs vida útil: frenar producción/activar venta. ","")&amp;IF(N(N654)&gt;=Parametros!$B$17,TEXT(N654,"#,##0")&amp;" kg ya no los acepta ninguna cadena: venta intermedia/liquidación. ","")&amp;IF(N(M654)&gt;=Parametros!$B$17,TEXT(M654,"#,##0")&amp;" kg a punto de salir del filtro: despachar primero (FEFO). ","")&amp;IF(Y654="SÍ","Pedidos "&amp;IF(N(U654)&gt;0,"sobre","bajo")&amp;" FCST "&amp;TEXT(ABS(N(U654)),"0%")&amp;": revisar forecast con KAM.","")</f>
        <v/>
      </c>
    </row>
    <row r="655" customFormat="false" ht="15" hidden="false" customHeight="false" outlineLevel="0" collapsed="false">
      <c r="A655" s="18" t="n">
        <f aca="false">Stock_Seguridad!A655</f>
        <v>30002295</v>
      </c>
      <c r="B655" s="18" t="str">
        <f aca="false">Stock_Seguridad!B655</f>
        <v>PASTEL DE CHOCLO FDM 12X550G</v>
      </c>
      <c r="C655" s="18" t="str">
        <f aca="false">Stock_Seguridad!C655</f>
        <v>FRUTAS Y HORTALIZAS CONGELADAS</v>
      </c>
      <c r="D655" s="18" t="str">
        <f aca="false">Stock_Seguridad!F655</f>
        <v>SIN HIST</v>
      </c>
      <c r="E655" s="19" t="str">
        <f aca="false">Stock_Seguridad!X655</f>
        <v>OK</v>
      </c>
      <c r="F655" s="20" t="n">
        <f aca="false">Stock_Seguridad!W655</f>
        <v>2.46861564918315</v>
      </c>
      <c r="G655" s="21" t="n">
        <f aca="false">Stock_Seguridad!T655</f>
        <v>574.2</v>
      </c>
      <c r="H655" s="21" t="n">
        <f aca="false">Stock_Seguridad!R655</f>
        <v>114.777886088674</v>
      </c>
      <c r="I655" s="21" t="n">
        <f aca="false">Stock_Seguridad!S655</f>
        <v>347.377886088674</v>
      </c>
      <c r="J655" s="21" t="n">
        <f aca="false">Stock_Seguridad!U655</f>
        <v>0</v>
      </c>
      <c r="K655" s="22"/>
      <c r="L655" s="23" t="n">
        <v>0</v>
      </c>
      <c r="M655" s="23" t="n">
        <v>0</v>
      </c>
      <c r="N655" s="23" t="n">
        <v>0</v>
      </c>
      <c r="O655" s="24" t="n">
        <v>0.0831034482758621</v>
      </c>
      <c r="P655" s="24" t="str">
        <f aca="false">IF(ISNUMBER(Stock_Seguridad!N655),Stock_Seguridad!N655,"")</f>
        <v/>
      </c>
      <c r="Q655" s="24" t="str">
        <f aca="false">IF(AND(ISNUMBER(O655),ISNUMBER(P655)),P655-O655,"")</f>
        <v/>
      </c>
      <c r="R655" s="23" t="n">
        <f aca="false">MAX(0,G655-N(L655))</f>
        <v>574.2</v>
      </c>
      <c r="S655" s="23" t="n">
        <f aca="false">SUMIFS(Cadenas_vs_FCST!$D$17:$D$2437,Cadenas_vs_FCST!$A$17:$A$2437,A655)</f>
        <v>0</v>
      </c>
      <c r="T655" s="23" t="n">
        <f aca="false">SUMIFS(Cadenas_vs_FCST!$E$17:$E$2437,Cadenas_vs_FCST!$A$17:$A$2437,A655)</f>
        <v>0</v>
      </c>
      <c r="U655" s="24" t="str">
        <f aca="false">IF(T655&gt;0,S655/T655-1,"")</f>
        <v/>
      </c>
      <c r="V655" s="3" t="str">
        <f aca="false">IF(OR(E655="BAJO SS",E655="BAJO SS (XLIB CUBRE)"),"SÍ","")</f>
        <v/>
      </c>
      <c r="W655" s="3" t="str">
        <f aca="false">IF(AND(V655="",N(L655)&gt;=Parametros!$B$17,G655&gt;=H655,R655&lt;H655),"SÍ","")</f>
        <v/>
      </c>
      <c r="X655" s="3" t="str">
        <f aca="false">IF(OR(E655="SOBRE MAX VENDIBLE",N(N655)&gt;=Parametros!$B$17,N(M655)&gt;=Parametros!$B$17),"SÍ","")</f>
        <v/>
      </c>
      <c r="Y655" s="3" t="str">
        <f aca="false">IF(AND(ISNUMBER(U655),MAX(S655,T655)&gt;=Parametros!$B$15,ABS(N(U655))&gt;Parametros!$B$14),"SÍ","")</f>
        <v/>
      </c>
      <c r="Z655" s="3" t="n">
        <f aca="false">COUNTIF(V655:Y655,"SÍ")</f>
        <v>0</v>
      </c>
      <c r="AA655" s="3" t="n">
        <f aca="false">(3*(V655="SÍ")+2*(W655="SÍ")+2*(X655="SÍ")+(Y655="SÍ"))*IF(LEFT(D655,1)="A",3,IF(OR(LEFT(D655,1)="B",D655="SIN HIST"),2,1))</f>
        <v>0</v>
      </c>
      <c r="AB655" s="3" t="str">
        <f aca="false">IF(AA655&gt;=9,"1-ALTA",IF(AA655&gt;=4,"2-MEDIA",IF(AA655&gt;0,"3-BAJA","")))</f>
        <v/>
      </c>
      <c r="AC655" s="3" t="str">
        <f aca="false">IF(E655="BAJO SS","Stock + XLIB bajo el SS: riesgo real de quiebre, adelantar producción. ","")&amp;IF(E655="BAJO SS (XLIB CUBRE)","Disponible bajo el SS; depende de liberar "&amp;TEXT(J655,"#,##0")&amp;" kg"&amp;IF(ISNUMBER(K655)," el "&amp;TEXT(K655,"dd-mm"),"")&amp;". ","")&amp;IF(W655="SÍ","Stock parece sano pero "&amp;TEXT(L655,"#,##0")&amp;" kg no pasan filtro "&amp;Stock_Seguridad!O655&amp;": sin ellos queda bajo el SS para esa cadena. ","")&amp;IF(E655="SOBRE MAX VENDIBLE","Sobrestock vs vida útil: frenar producción/activar venta. ","")&amp;IF(N(N655)&gt;=Parametros!$B$17,TEXT(N655,"#,##0")&amp;" kg ya no los acepta ninguna cadena: venta intermedia/liquidación. ","")&amp;IF(N(M655)&gt;=Parametros!$B$17,TEXT(M655,"#,##0")&amp;" kg a punto de salir del filtro: despachar primero (FEFO). ","")&amp;IF(Y655="SÍ","Pedidos "&amp;IF(N(U655)&gt;0,"sobre","bajo")&amp;" FCST "&amp;TEXT(ABS(N(U655)),"0%")&amp;": revisar forecast con KAM.","")</f>
        <v/>
      </c>
    </row>
    <row r="656" customFormat="false" ht="15" hidden="false" customHeight="false" outlineLevel="0" collapsed="false">
      <c r="A656" s="18" t="n">
        <f aca="false">Stock_Seguridad!A656</f>
        <v>30002294</v>
      </c>
      <c r="B656" s="18" t="str">
        <f aca="false">Stock_Seguridad!B656</f>
        <v>PASTEL DE PAPA FDM 12X550G</v>
      </c>
      <c r="C656" s="18" t="str">
        <f aca="false">Stock_Seguridad!C656</f>
        <v>FRUTAS Y HORTALIZAS CONGELADAS</v>
      </c>
      <c r="D656" s="18" t="str">
        <f aca="false">Stock_Seguridad!F656</f>
        <v>SIN HIST</v>
      </c>
      <c r="E656" s="19" t="str">
        <f aca="false">Stock_Seguridad!X656</f>
        <v>OK</v>
      </c>
      <c r="F656" s="20" t="n">
        <f aca="false">Stock_Seguridad!W656</f>
        <v>7.23559759243336</v>
      </c>
      <c r="G656" s="21" t="n">
        <f aca="false">Stock_Seguridad!T656</f>
        <v>1683</v>
      </c>
      <c r="H656" s="21" t="n">
        <f aca="false">Stock_Seguridad!R656</f>
        <v>114.777886088674</v>
      </c>
      <c r="I656" s="21" t="n">
        <f aca="false">Stock_Seguridad!S656</f>
        <v>347.377886088674</v>
      </c>
      <c r="J656" s="21" t="n">
        <f aca="false">Stock_Seguridad!U656</f>
        <v>0</v>
      </c>
      <c r="K656" s="22"/>
      <c r="L656" s="23" t="n">
        <v>0</v>
      </c>
      <c r="M656" s="23" t="n">
        <v>0</v>
      </c>
      <c r="N656" s="23" t="n">
        <v>0</v>
      </c>
      <c r="O656" s="24" t="n">
        <v>0.0829019607843137</v>
      </c>
      <c r="P656" s="24" t="str">
        <f aca="false">IF(ISNUMBER(Stock_Seguridad!N656),Stock_Seguridad!N656,"")</f>
        <v/>
      </c>
      <c r="Q656" s="24" t="str">
        <f aca="false">IF(AND(ISNUMBER(O656),ISNUMBER(P656)),P656-O656,"")</f>
        <v/>
      </c>
      <c r="R656" s="23" t="n">
        <f aca="false">MAX(0,G656-N(L656))</f>
        <v>1683</v>
      </c>
      <c r="S656" s="23" t="n">
        <f aca="false">SUMIFS(Cadenas_vs_FCST!$D$17:$D$2437,Cadenas_vs_FCST!$A$17:$A$2437,A656)</f>
        <v>0</v>
      </c>
      <c r="T656" s="23" t="n">
        <f aca="false">SUMIFS(Cadenas_vs_FCST!$E$17:$E$2437,Cadenas_vs_FCST!$A$17:$A$2437,A656)</f>
        <v>0</v>
      </c>
      <c r="U656" s="24" t="str">
        <f aca="false">IF(T656&gt;0,S656/T656-1,"")</f>
        <v/>
      </c>
      <c r="V656" s="3" t="str">
        <f aca="false">IF(OR(E656="BAJO SS",E656="BAJO SS (XLIB CUBRE)"),"SÍ","")</f>
        <v/>
      </c>
      <c r="W656" s="3" t="str">
        <f aca="false">IF(AND(V656="",N(L656)&gt;=Parametros!$B$17,G656&gt;=H656,R656&lt;H656),"SÍ","")</f>
        <v/>
      </c>
      <c r="X656" s="3" t="str">
        <f aca="false">IF(OR(E656="SOBRE MAX VENDIBLE",N(N656)&gt;=Parametros!$B$17,N(M656)&gt;=Parametros!$B$17),"SÍ","")</f>
        <v/>
      </c>
      <c r="Y656" s="3" t="str">
        <f aca="false">IF(AND(ISNUMBER(U656),MAX(S656,T656)&gt;=Parametros!$B$15,ABS(N(U656))&gt;Parametros!$B$14),"SÍ","")</f>
        <v/>
      </c>
      <c r="Z656" s="3" t="n">
        <f aca="false">COUNTIF(V656:Y656,"SÍ")</f>
        <v>0</v>
      </c>
      <c r="AA656" s="3" t="n">
        <f aca="false">(3*(V656="SÍ")+2*(W656="SÍ")+2*(X656="SÍ")+(Y656="SÍ"))*IF(LEFT(D656,1)="A",3,IF(OR(LEFT(D656,1)="B",D656="SIN HIST"),2,1))</f>
        <v>0</v>
      </c>
      <c r="AB656" s="3" t="str">
        <f aca="false">IF(AA656&gt;=9,"1-ALTA",IF(AA656&gt;=4,"2-MEDIA",IF(AA656&gt;0,"3-BAJA","")))</f>
        <v/>
      </c>
      <c r="AC656" s="3" t="str">
        <f aca="false">IF(E656="BAJO SS","Stock + XLIB bajo el SS: riesgo real de quiebre, adelantar producción. ","")&amp;IF(E656="BAJO SS (XLIB CUBRE)","Disponible bajo el SS; depende de liberar "&amp;TEXT(J656,"#,##0")&amp;" kg"&amp;IF(ISNUMBER(K656)," el "&amp;TEXT(K656,"dd-mm"),"")&amp;". ","")&amp;IF(W656="SÍ","Stock parece sano pero "&amp;TEXT(L656,"#,##0")&amp;" kg no pasan filtro "&amp;Stock_Seguridad!O656&amp;": sin ellos queda bajo el SS para esa cadena. ","")&amp;IF(E656="SOBRE MAX VENDIBLE","Sobrestock vs vida útil: frenar producción/activar venta. ","")&amp;IF(N(N656)&gt;=Parametros!$B$17,TEXT(N656,"#,##0")&amp;" kg ya no los acepta ninguna cadena: venta intermedia/liquidación. ","")&amp;IF(N(M656)&gt;=Parametros!$B$17,TEXT(M656,"#,##0")&amp;" kg a punto de salir del filtro: despachar primero (FEFO). ","")&amp;IF(Y656="SÍ","Pedidos "&amp;IF(N(U656)&gt;0,"sobre","bajo")&amp;" FCST "&amp;TEXT(ABS(N(U656)),"0%")&amp;": revisar forecast con KAM.","")</f>
        <v/>
      </c>
    </row>
    <row r="657" customFormat="false" ht="15" hidden="false" customHeight="false" outlineLevel="0" collapsed="false">
      <c r="A657" s="18" t="n">
        <f aca="false">Stock_Seguridad!A657</f>
        <v>30002129</v>
      </c>
      <c r="B657" s="18" t="str">
        <f aca="false">Stock_Seguridad!B657</f>
        <v>BASE POLVO BIZC/CHOC DOÑA JUANITA 20X1KG</v>
      </c>
      <c r="C657" s="18" t="str">
        <f aca="false">Stock_Seguridad!C657</f>
        <v>MARGARINAS</v>
      </c>
      <c r="D657" s="18" t="str">
        <f aca="false">Stock_Seguridad!F657</f>
        <v>SIN HIST</v>
      </c>
      <c r="E657" s="19" t="str">
        <f aca="false">Stock_Seguridad!X657</f>
        <v>OK</v>
      </c>
      <c r="F657" s="20" t="n">
        <f aca="false">Stock_Seguridad!W657</f>
        <v>18.8306104901118</v>
      </c>
      <c r="G657" s="21" t="n">
        <f aca="false">Stock_Seguridad!T657</f>
        <v>4380</v>
      </c>
      <c r="H657" s="21" t="n">
        <f aca="false">Stock_Seguridad!R657</f>
        <v>114.777886088674</v>
      </c>
      <c r="I657" s="21" t="n">
        <f aca="false">Stock_Seguridad!S657</f>
        <v>347.377886088674</v>
      </c>
      <c r="J657" s="21" t="n">
        <f aca="false">Stock_Seguridad!U657</f>
        <v>0</v>
      </c>
      <c r="K657" s="22"/>
      <c r="L657" s="23" t="n">
        <v>0</v>
      </c>
      <c r="M657" s="23" t="n">
        <v>0</v>
      </c>
      <c r="N657" s="23" t="n">
        <v>0</v>
      </c>
      <c r="O657" s="24" t="n">
        <v>0.22</v>
      </c>
      <c r="P657" s="24" t="str">
        <f aca="false">IF(ISNUMBER(Stock_Seguridad!N657),Stock_Seguridad!N657,"")</f>
        <v/>
      </c>
      <c r="Q657" s="24" t="str">
        <f aca="false">IF(AND(ISNUMBER(O657),ISNUMBER(P657)),P657-O657,"")</f>
        <v/>
      </c>
      <c r="R657" s="23" t="n">
        <f aca="false">MAX(0,G657-N(L657))</f>
        <v>4380</v>
      </c>
      <c r="S657" s="23" t="n">
        <f aca="false">SUMIFS(Cadenas_vs_FCST!$D$17:$D$2437,Cadenas_vs_FCST!$A$17:$A$2437,A657)</f>
        <v>0</v>
      </c>
      <c r="T657" s="23" t="n">
        <f aca="false">SUMIFS(Cadenas_vs_FCST!$E$17:$E$2437,Cadenas_vs_FCST!$A$17:$A$2437,A657)</f>
        <v>0</v>
      </c>
      <c r="U657" s="24" t="str">
        <f aca="false">IF(T657&gt;0,S657/T657-1,"")</f>
        <v/>
      </c>
      <c r="V657" s="3" t="str">
        <f aca="false">IF(OR(E657="BAJO SS",E657="BAJO SS (XLIB CUBRE)"),"SÍ","")</f>
        <v/>
      </c>
      <c r="W657" s="3" t="str">
        <f aca="false">IF(AND(V657="",N(L657)&gt;=Parametros!$B$17,G657&gt;=H657,R657&lt;H657),"SÍ","")</f>
        <v/>
      </c>
      <c r="X657" s="3" t="str">
        <f aca="false">IF(OR(E657="SOBRE MAX VENDIBLE",N(N657)&gt;=Parametros!$B$17,N(M657)&gt;=Parametros!$B$17),"SÍ","")</f>
        <v/>
      </c>
      <c r="Y657" s="3" t="str">
        <f aca="false">IF(AND(ISNUMBER(U657),MAX(S657,T657)&gt;=Parametros!$B$15,ABS(N(U657))&gt;Parametros!$B$14),"SÍ","")</f>
        <v/>
      </c>
      <c r="Z657" s="3" t="n">
        <f aca="false">COUNTIF(V657:Y657,"SÍ")</f>
        <v>0</v>
      </c>
      <c r="AA657" s="3" t="n">
        <f aca="false">(3*(V657="SÍ")+2*(W657="SÍ")+2*(X657="SÍ")+(Y657="SÍ"))*IF(LEFT(D657,1)="A",3,IF(OR(LEFT(D657,1)="B",D657="SIN HIST"),2,1))</f>
        <v>0</v>
      </c>
      <c r="AB657" s="3" t="str">
        <f aca="false">IF(AA657&gt;=9,"1-ALTA",IF(AA657&gt;=4,"2-MEDIA",IF(AA657&gt;0,"3-BAJA","")))</f>
        <v/>
      </c>
      <c r="AC657" s="3" t="str">
        <f aca="false">IF(E657="BAJO SS","Stock + XLIB bajo el SS: riesgo real de quiebre, adelantar producción. ","")&amp;IF(E657="BAJO SS (XLIB CUBRE)","Disponible bajo el SS; depende de liberar "&amp;TEXT(J657,"#,##0")&amp;" kg"&amp;IF(ISNUMBER(K657)," el "&amp;TEXT(K657,"dd-mm"),"")&amp;". ","")&amp;IF(W657="SÍ","Stock parece sano pero "&amp;TEXT(L657,"#,##0")&amp;" kg no pasan filtro "&amp;Stock_Seguridad!O657&amp;": sin ellos queda bajo el SS para esa cadena. ","")&amp;IF(E657="SOBRE MAX VENDIBLE","Sobrestock vs vida útil: frenar producción/activar venta. ","")&amp;IF(N(N657)&gt;=Parametros!$B$17,TEXT(N657,"#,##0")&amp;" kg ya no los acepta ninguna cadena: venta intermedia/liquidación. ","")&amp;IF(N(M657)&gt;=Parametros!$B$17,TEXT(M657,"#,##0")&amp;" kg a punto de salir del filtro: despachar primero (FEFO). ","")&amp;IF(Y657="SÍ","Pedidos "&amp;IF(N(U657)&gt;0,"sobre","bajo")&amp;" FCST "&amp;TEXT(ABS(N(U657)),"0%")&amp;": revisar forecast con KAM.","")</f>
        <v/>
      </c>
    </row>
    <row r="658" customFormat="false" ht="15" hidden="false" customHeight="false" outlineLevel="0" collapsed="false">
      <c r="A658" s="18" t="n">
        <f aca="false">Stock_Seguridad!A658</f>
        <v>30000810</v>
      </c>
      <c r="B658" s="18" t="str">
        <f aca="false">Stock_Seguridad!B658</f>
        <v>CEBOLLA CUBO 1X15KG</v>
      </c>
      <c r="C658" s="18" t="str">
        <f aca="false">Stock_Seguridad!C658</f>
        <v>FRUTAS Y HORTALIZAS CONGELADAS</v>
      </c>
      <c r="D658" s="18" t="str">
        <f aca="false">Stock_Seguridad!F658</f>
        <v>SIN HIST</v>
      </c>
      <c r="E658" s="19" t="str">
        <f aca="false">Stock_Seguridad!X658</f>
        <v>OK</v>
      </c>
      <c r="F658" s="20" t="n">
        <f aca="false">Stock_Seguridad!W658</f>
        <v>42.8202923473775</v>
      </c>
      <c r="G658" s="21" t="n">
        <f aca="false">Stock_Seguridad!T658</f>
        <v>5160</v>
      </c>
      <c r="H658" s="21" t="n">
        <f aca="false">Stock_Seguridad!R658</f>
        <v>114.777886088674</v>
      </c>
      <c r="I658" s="21" t="n">
        <f aca="false">Stock_Seguridad!S658</f>
        <v>347.377886088674</v>
      </c>
      <c r="J658" s="21" t="n">
        <f aca="false">Stock_Seguridad!U658</f>
        <v>4800</v>
      </c>
      <c r="K658" s="22"/>
      <c r="L658" s="23" t="n">
        <v>0</v>
      </c>
      <c r="M658" s="23" t="n">
        <v>0</v>
      </c>
      <c r="N658" s="23" t="n">
        <v>0</v>
      </c>
      <c r="O658" s="24" t="n">
        <v>0.170265151515152</v>
      </c>
      <c r="P658" s="24" t="str">
        <f aca="false">IF(ISNUMBER(Stock_Seguridad!N658),Stock_Seguridad!N658,"")</f>
        <v/>
      </c>
      <c r="Q658" s="24" t="str">
        <f aca="false">IF(AND(ISNUMBER(O658),ISNUMBER(P658)),P658-O658,"")</f>
        <v/>
      </c>
      <c r="R658" s="23" t="n">
        <f aca="false">MAX(0,G658-N(L658))</f>
        <v>5160</v>
      </c>
      <c r="S658" s="23" t="n">
        <f aca="false">SUMIFS(Cadenas_vs_FCST!$D$17:$D$2437,Cadenas_vs_FCST!$A$17:$A$2437,A658)</f>
        <v>0</v>
      </c>
      <c r="T658" s="23" t="n">
        <f aca="false">SUMIFS(Cadenas_vs_FCST!$E$17:$E$2437,Cadenas_vs_FCST!$A$17:$A$2437,A658)</f>
        <v>0</v>
      </c>
      <c r="U658" s="24" t="str">
        <f aca="false">IF(T658&gt;0,S658/T658-1,"")</f>
        <v/>
      </c>
      <c r="V658" s="3" t="str">
        <f aca="false">IF(OR(E658="BAJO SS",E658="BAJO SS (XLIB CUBRE)"),"SÍ","")</f>
        <v/>
      </c>
      <c r="W658" s="3" t="str">
        <f aca="false">IF(AND(V658="",N(L658)&gt;=Parametros!$B$17,G658&gt;=H658,R658&lt;H658),"SÍ","")</f>
        <v/>
      </c>
      <c r="X658" s="3" t="str">
        <f aca="false">IF(OR(E658="SOBRE MAX VENDIBLE",N(N658)&gt;=Parametros!$B$17,N(M658)&gt;=Parametros!$B$17),"SÍ","")</f>
        <v/>
      </c>
      <c r="Y658" s="3" t="str">
        <f aca="false">IF(AND(ISNUMBER(U658),MAX(S658,T658)&gt;=Parametros!$B$15,ABS(N(U658))&gt;Parametros!$B$14),"SÍ","")</f>
        <v/>
      </c>
      <c r="Z658" s="3" t="n">
        <f aca="false">COUNTIF(V658:Y658,"SÍ")</f>
        <v>0</v>
      </c>
      <c r="AA658" s="3" t="n">
        <f aca="false">(3*(V658="SÍ")+2*(W658="SÍ")+2*(X658="SÍ")+(Y658="SÍ"))*IF(LEFT(D658,1)="A",3,IF(OR(LEFT(D658,1)="B",D658="SIN HIST"),2,1))</f>
        <v>0</v>
      </c>
      <c r="AB658" s="3" t="str">
        <f aca="false">IF(AA658&gt;=9,"1-ALTA",IF(AA658&gt;=4,"2-MEDIA",IF(AA658&gt;0,"3-BAJA","")))</f>
        <v/>
      </c>
      <c r="AC658" s="3" t="str">
        <f aca="false">IF(E658="BAJO SS","Stock + XLIB bajo el SS: riesgo real de quiebre, adelantar producción. ","")&amp;IF(E658="BAJO SS (XLIB CUBRE)","Disponible bajo el SS; depende de liberar "&amp;TEXT(J658,"#,##0")&amp;" kg"&amp;IF(ISNUMBER(K658)," el "&amp;TEXT(K658,"dd-mm"),"")&amp;". ","")&amp;IF(W658="SÍ","Stock parece sano pero "&amp;TEXT(L658,"#,##0")&amp;" kg no pasan filtro "&amp;Stock_Seguridad!O658&amp;": sin ellos queda bajo el SS para esa cadena. ","")&amp;IF(E658="SOBRE MAX VENDIBLE","Sobrestock vs vida útil: frenar producción/activar venta. ","")&amp;IF(N(N658)&gt;=Parametros!$B$17,TEXT(N658,"#,##0")&amp;" kg ya no los acepta ninguna cadena: venta intermedia/liquidación. ","")&amp;IF(N(M658)&gt;=Parametros!$B$17,TEXT(M658,"#,##0")&amp;" kg a punto de salir del filtro: despachar primero (FEFO). ","")&amp;IF(Y658="SÍ","Pedidos "&amp;IF(N(U658)&gt;0,"sobre","bajo")&amp;" FCST "&amp;TEXT(ABS(N(U658)),"0%")&amp;": revisar forecast con KAM.","")</f>
        <v/>
      </c>
    </row>
    <row r="659" customFormat="false" ht="15" hidden="false" customHeight="false" outlineLevel="0" collapsed="false">
      <c r="A659" s="18" t="n">
        <f aca="false">Stock_Seguridad!A659</f>
        <v>30000935</v>
      </c>
      <c r="B659" s="18" t="str">
        <f aca="false">Stock_Seguridad!B659</f>
        <v>TOMATE CUBO B 1X10KG</v>
      </c>
      <c r="C659" s="18" t="str">
        <f aca="false">Stock_Seguridad!C659</f>
        <v>FRUTAS Y HORTALIZAS CONGELADAS</v>
      </c>
      <c r="D659" s="18" t="str">
        <f aca="false">Stock_Seguridad!F659</f>
        <v>SIN HIST</v>
      </c>
      <c r="E659" s="19" t="str">
        <f aca="false">Stock_Seguridad!X659</f>
        <v>BAJO SS</v>
      </c>
      <c r="F659" s="20" t="n">
        <f aca="false">Stock_Seguridad!W659</f>
        <v>0.171969045571797</v>
      </c>
      <c r="G659" s="21" t="n">
        <f aca="false">Stock_Seguridad!T659</f>
        <v>40</v>
      </c>
      <c r="H659" s="21" t="n">
        <f aca="false">Stock_Seguridad!R659</f>
        <v>114.777886088674</v>
      </c>
      <c r="I659" s="21" t="n">
        <f aca="false">Stock_Seguridad!S659</f>
        <v>347.377886088674</v>
      </c>
      <c r="J659" s="21" t="n">
        <f aca="false">Stock_Seguridad!U659</f>
        <v>0</v>
      </c>
      <c r="K659" s="22"/>
      <c r="L659" s="23"/>
      <c r="M659" s="23"/>
      <c r="N659" s="23"/>
      <c r="O659" s="24"/>
      <c r="P659" s="24" t="str">
        <f aca="false">IF(ISNUMBER(Stock_Seguridad!N659),Stock_Seguridad!N659,"")</f>
        <v/>
      </c>
      <c r="Q659" s="24" t="str">
        <f aca="false">IF(AND(ISNUMBER(O659),ISNUMBER(P659)),P659-O659,"")</f>
        <v/>
      </c>
      <c r="R659" s="23" t="n">
        <f aca="false">MAX(0,G659-N(L659))</f>
        <v>40</v>
      </c>
      <c r="S659" s="23" t="n">
        <f aca="false">SUMIFS(Cadenas_vs_FCST!$D$17:$D$2437,Cadenas_vs_FCST!$A$17:$A$2437,A659)</f>
        <v>0</v>
      </c>
      <c r="T659" s="23" t="n">
        <f aca="false">SUMIFS(Cadenas_vs_FCST!$E$17:$E$2437,Cadenas_vs_FCST!$A$17:$A$2437,A659)</f>
        <v>0</v>
      </c>
      <c r="U659" s="24" t="str">
        <f aca="false">IF(T659&gt;0,S659/T659-1,"")</f>
        <v/>
      </c>
      <c r="V659" s="3" t="str">
        <f aca="false">IF(OR(E659="BAJO SS",E659="BAJO SS (XLIB CUBRE)"),"SÍ","")</f>
        <v>SÍ</v>
      </c>
      <c r="W659" s="3" t="str">
        <f aca="false">IF(AND(V659="",N(L659)&gt;=Parametros!$B$17,G659&gt;=H659,R659&lt;H659),"SÍ","")</f>
        <v/>
      </c>
      <c r="X659" s="3" t="str">
        <f aca="false">IF(OR(E659="SOBRE MAX VENDIBLE",N(N659)&gt;=Parametros!$B$17,N(M659)&gt;=Parametros!$B$17),"SÍ","")</f>
        <v/>
      </c>
      <c r="Y659" s="3" t="str">
        <f aca="false">IF(AND(ISNUMBER(U659),MAX(S659,T659)&gt;=Parametros!$B$15,ABS(N(U659))&gt;Parametros!$B$14),"SÍ","")</f>
        <v/>
      </c>
      <c r="Z659" s="3" t="n">
        <f aca="false">COUNTIF(V659:Y659,"SÍ")</f>
        <v>1</v>
      </c>
      <c r="AA659" s="3" t="n">
        <f aca="false">(3*(V659="SÍ")+2*(W659="SÍ")+2*(X659="SÍ")+(Y659="SÍ"))*IF(LEFT(D659,1)="A",3,IF(OR(LEFT(D659,1)="B",D659="SIN HIST"),2,1))</f>
        <v>6</v>
      </c>
      <c r="AB659" s="3" t="str">
        <f aca="false">IF(AA659&gt;=9,"1-ALTA",IF(AA659&gt;=4,"2-MEDIA",IF(AA659&gt;0,"3-BAJA","")))</f>
        <v>2-MEDIA</v>
      </c>
      <c r="AC659" s="3" t="str">
        <f aca="false">IF(E659="BAJO SS","Stock + XLIB bajo el SS: riesgo real de quiebre, adelantar producción. ","")&amp;IF(E659="BAJO SS (XLIB CUBRE)","Disponible bajo el SS; depende de liberar "&amp;TEXT(J659,"#,##0")&amp;" kg"&amp;IF(ISNUMBER(K659)," el "&amp;TEXT(K659,"dd-mm"),"")&amp;". ","")&amp;IF(W659="SÍ","Stock parece sano pero "&amp;TEXT(L659,"#,##0")&amp;" kg no pasan filtro "&amp;Stock_Seguridad!O659&amp;": sin ellos queda bajo el SS para esa cadena. ","")&amp;IF(E659="SOBRE MAX VENDIBLE","Sobrestock vs vida útil: frenar producción/activar venta. ","")&amp;IF(N(N659)&gt;=Parametros!$B$17,TEXT(N659,"#,##0")&amp;" kg ya no los acepta ninguna cadena: venta intermedia/liquidación. ","")&amp;IF(N(M659)&gt;=Parametros!$B$17,TEXT(M659,"#,##0")&amp;" kg a punto de salir del filtro: despachar primero (FEFO). ","")&amp;IF(Y659="SÍ","Pedidos "&amp;IF(N(U659)&gt;0,"sobre","bajo")&amp;" FCST "&amp;TEXT(ABS(N(U659)),"0%")&amp;": revisar forecast con KAM.","")</f>
        <v>Stock + XLIB bajo el SS: riesgo real de quiebre, adelantar producción. </v>
      </c>
    </row>
    <row r="660" customFormat="false" ht="15" hidden="false" customHeight="false" outlineLevel="0" collapsed="false">
      <c r="A660" s="18" t="n">
        <f aca="false">Stock_Seguridad!A660</f>
        <v>30000047</v>
      </c>
      <c r="B660" s="18" t="str">
        <f aca="false">Stock_Seguridad!B660</f>
        <v>ACEITE LA REINA IND VEG 4X5LT</v>
      </c>
      <c r="C660" s="18" t="str">
        <f aca="false">Stock_Seguridad!C660</f>
        <v>ACEITES</v>
      </c>
      <c r="D660" s="18" t="str">
        <f aca="false">Stock_Seguridad!F660</f>
        <v>SIN HIST</v>
      </c>
      <c r="E660" s="19" t="str">
        <f aca="false">Stock_Seguridad!X660</f>
        <v>OK</v>
      </c>
      <c r="F660" s="20" t="n">
        <f aca="false">Stock_Seguridad!W660</f>
        <v>6.96130696474635</v>
      </c>
      <c r="G660" s="21" t="n">
        <f aca="false">Stock_Seguridad!T660</f>
        <v>1619.2</v>
      </c>
      <c r="H660" s="21" t="n">
        <f aca="false">Stock_Seguridad!R660</f>
        <v>114.777886088674</v>
      </c>
      <c r="I660" s="21" t="n">
        <f aca="false">Stock_Seguridad!S660</f>
        <v>347.377886088674</v>
      </c>
      <c r="J660" s="21" t="n">
        <f aca="false">Stock_Seguridad!U660</f>
        <v>0</v>
      </c>
      <c r="K660" s="22"/>
      <c r="L660" s="23" t="n">
        <v>349.6</v>
      </c>
      <c r="M660" s="23" t="n">
        <v>0</v>
      </c>
      <c r="N660" s="23" t="n">
        <v>0</v>
      </c>
      <c r="O660" s="24" t="n">
        <v>0.0877272727272727</v>
      </c>
      <c r="P660" s="24" t="n">
        <f aca="false">IF(ISNUMBER(Stock_Seguridad!N660),Stock_Seguridad!N660,"")</f>
        <v>0.272131147540984</v>
      </c>
      <c r="Q660" s="24" t="n">
        <f aca="false">IF(AND(ISNUMBER(O660),ISNUMBER(P660)),P660-O660,"")</f>
        <v>0.184403874813711</v>
      </c>
      <c r="R660" s="23" t="n">
        <f aca="false">MAX(0,G660-N(L660))</f>
        <v>1269.6</v>
      </c>
      <c r="S660" s="23" t="n">
        <f aca="false">SUMIFS(Cadenas_vs_FCST!$D$17:$D$2437,Cadenas_vs_FCST!$A$17:$A$2437,A660)</f>
        <v>0</v>
      </c>
      <c r="T660" s="23" t="n">
        <f aca="false">SUMIFS(Cadenas_vs_FCST!$E$17:$E$2437,Cadenas_vs_FCST!$A$17:$A$2437,A660)</f>
        <v>0</v>
      </c>
      <c r="U660" s="24" t="str">
        <f aca="false">IF(T660&gt;0,S660/T660-1,"")</f>
        <v/>
      </c>
      <c r="V660" s="3" t="str">
        <f aca="false">IF(OR(E660="BAJO SS",E660="BAJO SS (XLIB CUBRE)"),"SÍ","")</f>
        <v/>
      </c>
      <c r="W660" s="3" t="str">
        <f aca="false">IF(AND(V660="",N(L660)&gt;=Parametros!$B$17,G660&gt;=H660,R660&lt;H660),"SÍ","")</f>
        <v/>
      </c>
      <c r="X660" s="3" t="str">
        <f aca="false">IF(OR(E660="SOBRE MAX VENDIBLE",N(N660)&gt;=Parametros!$B$17,N(M660)&gt;=Parametros!$B$17),"SÍ","")</f>
        <v/>
      </c>
      <c r="Y660" s="3" t="str">
        <f aca="false">IF(AND(ISNUMBER(U660),MAX(S660,T660)&gt;=Parametros!$B$15,ABS(N(U660))&gt;Parametros!$B$14),"SÍ","")</f>
        <v/>
      </c>
      <c r="Z660" s="3" t="n">
        <f aca="false">COUNTIF(V660:Y660,"SÍ")</f>
        <v>0</v>
      </c>
      <c r="AA660" s="3" t="n">
        <f aca="false">(3*(V660="SÍ")+2*(W660="SÍ")+2*(X660="SÍ")+(Y660="SÍ"))*IF(LEFT(D660,1)="A",3,IF(OR(LEFT(D660,1)="B",D660="SIN HIST"),2,1))</f>
        <v>0</v>
      </c>
      <c r="AB660" s="3" t="str">
        <f aca="false">IF(AA660&gt;=9,"1-ALTA",IF(AA660&gt;=4,"2-MEDIA",IF(AA660&gt;0,"3-BAJA","")))</f>
        <v/>
      </c>
      <c r="AC660" s="3" t="str">
        <f aca="false">IF(E660="BAJO SS","Stock + XLIB bajo el SS: riesgo real de quiebre, adelantar producción. ","")&amp;IF(E660="BAJO SS (XLIB CUBRE)","Disponible bajo el SS; depende de liberar "&amp;TEXT(J660,"#,##0")&amp;" kg"&amp;IF(ISNUMBER(K660)," el "&amp;TEXT(K660,"dd-mm"),"")&amp;". ","")&amp;IF(W660="SÍ","Stock parece sano pero "&amp;TEXT(L660,"#,##0")&amp;" kg no pasan filtro "&amp;Stock_Seguridad!O660&amp;": sin ellos queda bajo el SS para esa cadena. ","")&amp;IF(E660="SOBRE MAX VENDIBLE","Sobrestock vs vida útil: frenar producción/activar venta. ","")&amp;IF(N(N660)&gt;=Parametros!$B$17,TEXT(N660,"#,##0")&amp;" kg ya no los acepta ninguna cadena: venta intermedia/liquidación. ","")&amp;IF(N(M660)&gt;=Parametros!$B$17,TEXT(M660,"#,##0")&amp;" kg a punto de salir del filtro: despachar primero (FEFO). ","")&amp;IF(Y660="SÍ","Pedidos "&amp;IF(N(U660)&gt;0,"sobre","bajo")&amp;" FCST "&amp;TEXT(ABS(N(U660)),"0%")&amp;": revisar forecast con KAM.","")</f>
        <v/>
      </c>
    </row>
    <row r="661" customFormat="false" ht="15" hidden="false" customHeight="false" outlineLevel="0" collapsed="false">
      <c r="A661" s="18" t="n">
        <f aca="false">Stock_Seguridad!A661</f>
        <v>30000933</v>
      </c>
      <c r="B661" s="18" t="str">
        <f aca="false">Stock_Seguridad!B661</f>
        <v>ZAPALLO 10X1KG</v>
      </c>
      <c r="C661" s="18" t="str">
        <f aca="false">Stock_Seguridad!C661</f>
        <v>FRUTAS Y HORTALIZAS CONGELADAS</v>
      </c>
      <c r="D661" s="18" t="str">
        <f aca="false">Stock_Seguridad!F661</f>
        <v>SIN HIST</v>
      </c>
      <c r="E661" s="19" t="str">
        <f aca="false">Stock_Seguridad!X661</f>
        <v>OK</v>
      </c>
      <c r="F661" s="20" t="n">
        <f aca="false">Stock_Seguridad!W661</f>
        <v>53.9354838709677</v>
      </c>
      <c r="G661" s="21" t="n">
        <f aca="false">Stock_Seguridad!T661</f>
        <v>11830</v>
      </c>
      <c r="H661" s="21" t="n">
        <f aca="false">Stock_Seguridad!R661</f>
        <v>114.728540479865</v>
      </c>
      <c r="I661" s="21" t="n">
        <f aca="false">Stock_Seguridad!S661</f>
        <v>347.228540479865</v>
      </c>
      <c r="J661" s="21" t="n">
        <f aca="false">Stock_Seguridad!U661</f>
        <v>710</v>
      </c>
      <c r="K661" s="22" t="n">
        <v>46256</v>
      </c>
      <c r="L661" s="23" t="n">
        <v>0</v>
      </c>
      <c r="M661" s="23" t="n">
        <v>0</v>
      </c>
      <c r="N661" s="23" t="n">
        <v>0</v>
      </c>
      <c r="O661" s="24" t="n">
        <v>0.109473684210526</v>
      </c>
      <c r="P661" s="24" t="str">
        <f aca="false">IF(ISNUMBER(Stock_Seguridad!N661),Stock_Seguridad!N661,"")</f>
        <v/>
      </c>
      <c r="Q661" s="24" t="str">
        <f aca="false">IF(AND(ISNUMBER(O661),ISNUMBER(P661)),P661-O661,"")</f>
        <v/>
      </c>
      <c r="R661" s="23" t="n">
        <f aca="false">MAX(0,G661-N(L661))</f>
        <v>11830</v>
      </c>
      <c r="S661" s="23" t="n">
        <f aca="false">SUMIFS(Cadenas_vs_FCST!$D$17:$D$2437,Cadenas_vs_FCST!$A$17:$A$2437,A661)</f>
        <v>0</v>
      </c>
      <c r="T661" s="23" t="n">
        <f aca="false">SUMIFS(Cadenas_vs_FCST!$E$17:$E$2437,Cadenas_vs_FCST!$A$17:$A$2437,A661)</f>
        <v>0</v>
      </c>
      <c r="U661" s="24" t="str">
        <f aca="false">IF(T661&gt;0,S661/T661-1,"")</f>
        <v/>
      </c>
      <c r="V661" s="3" t="str">
        <f aca="false">IF(OR(E661="BAJO SS",E661="BAJO SS (XLIB CUBRE)"),"SÍ","")</f>
        <v/>
      </c>
      <c r="W661" s="3" t="str">
        <f aca="false">IF(AND(V661="",N(L661)&gt;=Parametros!$B$17,G661&gt;=H661,R661&lt;H661),"SÍ","")</f>
        <v/>
      </c>
      <c r="X661" s="3" t="str">
        <f aca="false">IF(OR(E661="SOBRE MAX VENDIBLE",N(N661)&gt;=Parametros!$B$17,N(M661)&gt;=Parametros!$B$17),"SÍ","")</f>
        <v/>
      </c>
      <c r="Y661" s="3" t="str">
        <f aca="false">IF(AND(ISNUMBER(U661),MAX(S661,T661)&gt;=Parametros!$B$15,ABS(N(U661))&gt;Parametros!$B$14),"SÍ","")</f>
        <v/>
      </c>
      <c r="Z661" s="3" t="n">
        <f aca="false">COUNTIF(V661:Y661,"SÍ")</f>
        <v>0</v>
      </c>
      <c r="AA661" s="3" t="n">
        <f aca="false">(3*(V661="SÍ")+2*(W661="SÍ")+2*(X661="SÍ")+(Y661="SÍ"))*IF(LEFT(D661,1)="A",3,IF(OR(LEFT(D661,1)="B",D661="SIN HIST"),2,1))</f>
        <v>0</v>
      </c>
      <c r="AB661" s="3" t="str">
        <f aca="false">IF(AA661&gt;=9,"1-ALTA",IF(AA661&gt;=4,"2-MEDIA",IF(AA661&gt;0,"3-BAJA","")))</f>
        <v/>
      </c>
      <c r="AC661" s="3" t="str">
        <f aca="false">IF(E661="BAJO SS","Stock + XLIB bajo el SS: riesgo real de quiebre, adelantar producción. ","")&amp;IF(E661="BAJO SS (XLIB CUBRE)","Disponible bajo el SS; depende de liberar "&amp;TEXT(J661,"#,##0")&amp;" kg"&amp;IF(ISNUMBER(K661)," el "&amp;TEXT(K661,"dd-mm"),"")&amp;". ","")&amp;IF(W661="SÍ","Stock parece sano pero "&amp;TEXT(L661,"#,##0")&amp;" kg no pasan filtro "&amp;Stock_Seguridad!O661&amp;": sin ellos queda bajo el SS para esa cadena. ","")&amp;IF(E661="SOBRE MAX VENDIBLE","Sobrestock vs vida útil: frenar producción/activar venta. ","")&amp;IF(N(N661)&gt;=Parametros!$B$17,TEXT(N661,"#,##0")&amp;" kg ya no los acepta ninguna cadena: venta intermedia/liquidación. ","")&amp;IF(N(M661)&gt;=Parametros!$B$17,TEXT(M661,"#,##0")&amp;" kg a punto de salir del filtro: despachar primero (FEFO). ","")&amp;IF(Y661="SÍ","Pedidos "&amp;IF(N(U661)&gt;0,"sobre","bajo")&amp;" FCST "&amp;TEXT(ABS(N(U661)),"0%")&amp;": revisar forecast con KAM.","")</f>
        <v/>
      </c>
    </row>
    <row r="662" customFormat="false" ht="15" hidden="false" customHeight="false" outlineLevel="0" collapsed="false">
      <c r="A662" s="18" t="n">
        <f aca="false">Stock_Seguridad!A662</f>
        <v>30001006</v>
      </c>
      <c r="B662" s="18" t="str">
        <f aca="false">Stock_Seguridad!B662</f>
        <v>TUTIMANGO 15X400GR</v>
      </c>
      <c r="C662" s="18" t="str">
        <f aca="false">Stock_Seguridad!C662</f>
        <v>FRUTAS Y HORTALIZAS CONGELADAS</v>
      </c>
      <c r="D662" s="18" t="str">
        <f aca="false">Stock_Seguridad!F662</f>
        <v>SIN HIST</v>
      </c>
      <c r="E662" s="19" t="str">
        <f aca="false">Stock_Seguridad!X662</f>
        <v>OK</v>
      </c>
      <c r="F662" s="20" t="n">
        <f aca="false">Stock_Seguridad!W662</f>
        <v>26.1097620203983</v>
      </c>
      <c r="G662" s="21" t="n">
        <f aca="false">Stock_Seguridad!T662</f>
        <v>5376</v>
      </c>
      <c r="H662" s="21" t="n">
        <f aca="false">Stock_Seguridad!R662</f>
        <v>101.602608536792</v>
      </c>
      <c r="I662" s="21" t="n">
        <f aca="false">Stock_Seguridad!S662</f>
        <v>307.502608536792</v>
      </c>
      <c r="J662" s="21" t="n">
        <f aca="false">Stock_Seguridad!U662</f>
        <v>0</v>
      </c>
      <c r="K662" s="22"/>
      <c r="L662" s="23" t="n">
        <v>0</v>
      </c>
      <c r="M662" s="23" t="n">
        <v>0</v>
      </c>
      <c r="N662" s="23" t="n">
        <v>0</v>
      </c>
      <c r="O662" s="24" t="n">
        <v>0.101116071428571</v>
      </c>
      <c r="P662" s="24" t="str">
        <f aca="false">IF(ISNUMBER(Stock_Seguridad!N662),Stock_Seguridad!N662,"")</f>
        <v/>
      </c>
      <c r="Q662" s="24" t="str">
        <f aca="false">IF(AND(ISNUMBER(O662),ISNUMBER(P662)),P662-O662,"")</f>
        <v/>
      </c>
      <c r="R662" s="23" t="n">
        <f aca="false">MAX(0,G662-N(L662))</f>
        <v>5376</v>
      </c>
      <c r="S662" s="23" t="n">
        <f aca="false">SUMIFS(Cadenas_vs_FCST!$D$17:$D$2437,Cadenas_vs_FCST!$A$17:$A$2437,A662)</f>
        <v>0</v>
      </c>
      <c r="T662" s="23" t="n">
        <f aca="false">SUMIFS(Cadenas_vs_FCST!$E$17:$E$2437,Cadenas_vs_FCST!$A$17:$A$2437,A662)</f>
        <v>0</v>
      </c>
      <c r="U662" s="24" t="str">
        <f aca="false">IF(T662&gt;0,S662/T662-1,"")</f>
        <v/>
      </c>
      <c r="V662" s="3" t="str">
        <f aca="false">IF(OR(E662="BAJO SS",E662="BAJO SS (XLIB CUBRE)"),"SÍ","")</f>
        <v/>
      </c>
      <c r="W662" s="3" t="str">
        <f aca="false">IF(AND(V662="",N(L662)&gt;=Parametros!$B$17,G662&gt;=H662,R662&lt;H662),"SÍ","")</f>
        <v/>
      </c>
      <c r="X662" s="3" t="str">
        <f aca="false">IF(OR(E662="SOBRE MAX VENDIBLE",N(N662)&gt;=Parametros!$B$17,N(M662)&gt;=Parametros!$B$17),"SÍ","")</f>
        <v/>
      </c>
      <c r="Y662" s="3" t="str">
        <f aca="false">IF(AND(ISNUMBER(U662),MAX(S662,T662)&gt;=Parametros!$B$15,ABS(N(U662))&gt;Parametros!$B$14),"SÍ","")</f>
        <v/>
      </c>
      <c r="Z662" s="3" t="n">
        <f aca="false">COUNTIF(V662:Y662,"SÍ")</f>
        <v>0</v>
      </c>
      <c r="AA662" s="3" t="n">
        <f aca="false">(3*(V662="SÍ")+2*(W662="SÍ")+2*(X662="SÍ")+(Y662="SÍ"))*IF(LEFT(D662,1)="A",3,IF(OR(LEFT(D662,1)="B",D662="SIN HIST"),2,1))</f>
        <v>0</v>
      </c>
      <c r="AB662" s="3" t="str">
        <f aca="false">IF(AA662&gt;=9,"1-ALTA",IF(AA662&gt;=4,"2-MEDIA",IF(AA662&gt;0,"3-BAJA","")))</f>
        <v/>
      </c>
      <c r="AC662" s="3" t="str">
        <f aca="false">IF(E662="BAJO SS","Stock + XLIB bajo el SS: riesgo real de quiebre, adelantar producción. ","")&amp;IF(E662="BAJO SS (XLIB CUBRE)","Disponible bajo el SS; depende de liberar "&amp;TEXT(J662,"#,##0")&amp;" kg"&amp;IF(ISNUMBER(K662)," el "&amp;TEXT(K662,"dd-mm"),"")&amp;". ","")&amp;IF(W662="SÍ","Stock parece sano pero "&amp;TEXT(L662,"#,##0")&amp;" kg no pasan filtro "&amp;Stock_Seguridad!O662&amp;": sin ellos queda bajo el SS para esa cadena. ","")&amp;IF(E662="SOBRE MAX VENDIBLE","Sobrestock vs vida útil: frenar producción/activar venta. ","")&amp;IF(N(N662)&gt;=Parametros!$B$17,TEXT(N662,"#,##0")&amp;" kg ya no los acepta ninguna cadena: venta intermedia/liquidación. ","")&amp;IF(N(M662)&gt;=Parametros!$B$17,TEXT(M662,"#,##0")&amp;" kg a punto de salir del filtro: despachar primero (FEFO). ","")&amp;IF(Y662="SÍ","Pedidos "&amp;IF(N(U662)&gt;0,"sobre","bajo")&amp;" FCST "&amp;TEXT(ABS(N(U662)),"0%")&amp;": revisar forecast con KAM.","")</f>
        <v/>
      </c>
    </row>
    <row r="663" customFormat="false" ht="15" hidden="false" customHeight="false" outlineLevel="0" collapsed="false">
      <c r="A663" s="18" t="n">
        <f aca="false">Stock_Seguridad!A663</f>
        <v>30002284</v>
      </c>
      <c r="B663" s="18" t="str">
        <f aca="false">Stock_Seguridad!B663</f>
        <v>MANJAR EN BARRA LONCOLECHE 120X35GR</v>
      </c>
      <c r="C663" s="18" t="str">
        <f aca="false">Stock_Seguridad!C663</f>
        <v>MANJAR</v>
      </c>
      <c r="D663" s="18" t="str">
        <f aca="false">Stock_Seguridad!F663</f>
        <v>CY</v>
      </c>
      <c r="E663" s="19" t="str">
        <f aca="false">Stock_Seguridad!X663</f>
        <v>OK</v>
      </c>
      <c r="F663" s="20" t="n">
        <f aca="false">Stock_Seguridad!W663</f>
        <v>8.35227272727273</v>
      </c>
      <c r="G663" s="21" t="n">
        <f aca="false">Stock_Seguridad!T663</f>
        <v>1617</v>
      </c>
      <c r="H663" s="21" t="n">
        <f aca="false">Stock_Seguridad!R663</f>
        <v>383.153580065697</v>
      </c>
      <c r="I663" s="21" t="n">
        <f aca="false">Stock_Seguridad!S663</f>
        <v>576.753580065697</v>
      </c>
      <c r="J663" s="21" t="n">
        <f aca="false">Stock_Seguridad!U663</f>
        <v>0</v>
      </c>
      <c r="K663" s="22"/>
      <c r="L663" s="23" t="n">
        <v>0</v>
      </c>
      <c r="M663" s="23" t="n">
        <v>0</v>
      </c>
      <c r="N663" s="23" t="n">
        <v>0</v>
      </c>
      <c r="O663" s="24" t="n">
        <v>0.111818181818182</v>
      </c>
      <c r="P663" s="24" t="str">
        <f aca="false">IF(ISNUMBER(Stock_Seguridad!N663),Stock_Seguridad!N663,"")</f>
        <v/>
      </c>
      <c r="Q663" s="24" t="str">
        <f aca="false">IF(AND(ISNUMBER(O663),ISNUMBER(P663)),P663-O663,"")</f>
        <v/>
      </c>
      <c r="R663" s="23" t="n">
        <f aca="false">MAX(0,G663-N(L663))</f>
        <v>1617</v>
      </c>
      <c r="S663" s="23" t="n">
        <f aca="false">SUMIFS(Cadenas_vs_FCST!$D$17:$D$2437,Cadenas_vs_FCST!$A$17:$A$2437,A663)</f>
        <v>785.4</v>
      </c>
      <c r="T663" s="23" t="n">
        <f aca="false">SUMIFS(Cadenas_vs_FCST!$E$17:$E$2437,Cadenas_vs_FCST!$A$17:$A$2437,A663)</f>
        <v>1254.795</v>
      </c>
      <c r="U663" s="24" t="n">
        <f aca="false">IF(T663&gt;0,S663/T663-1,"")</f>
        <v>-0.374081025187381</v>
      </c>
      <c r="V663" s="3" t="str">
        <f aca="false">IF(OR(E663="BAJO SS",E663="BAJO SS (XLIB CUBRE)"),"SÍ","")</f>
        <v/>
      </c>
      <c r="W663" s="3" t="str">
        <f aca="false">IF(AND(V663="",N(L663)&gt;=Parametros!$B$17,G663&gt;=H663,R663&lt;H663),"SÍ","")</f>
        <v/>
      </c>
      <c r="X663" s="3" t="str">
        <f aca="false">IF(OR(E663="SOBRE MAX VENDIBLE",N(N663)&gt;=Parametros!$B$17,N(M663)&gt;=Parametros!$B$17),"SÍ","")</f>
        <v/>
      </c>
      <c r="Y663" s="3" t="str">
        <f aca="false">IF(AND(ISNUMBER(U663),MAX(S663,T663)&gt;=Parametros!$B$15,ABS(N(U663))&gt;Parametros!$B$14),"SÍ","")</f>
        <v/>
      </c>
      <c r="Z663" s="3" t="n">
        <f aca="false">COUNTIF(V663:Y663,"SÍ")</f>
        <v>0</v>
      </c>
      <c r="AA663" s="3" t="n">
        <f aca="false">(3*(V663="SÍ")+2*(W663="SÍ")+2*(X663="SÍ")+(Y663="SÍ"))*IF(LEFT(D663,1)="A",3,IF(OR(LEFT(D663,1)="B",D663="SIN HIST"),2,1))</f>
        <v>0</v>
      </c>
      <c r="AB663" s="3" t="str">
        <f aca="false">IF(AA663&gt;=9,"1-ALTA",IF(AA663&gt;=4,"2-MEDIA",IF(AA663&gt;0,"3-BAJA","")))</f>
        <v/>
      </c>
      <c r="AC663" s="3" t="str">
        <f aca="false">IF(E663="BAJO SS","Stock + XLIB bajo el SS: riesgo real de quiebre, adelantar producción. ","")&amp;IF(E663="BAJO SS (XLIB CUBRE)","Disponible bajo el SS; depende de liberar "&amp;TEXT(J663,"#,##0")&amp;" kg"&amp;IF(ISNUMBER(K663)," el "&amp;TEXT(K663,"dd-mm"),"")&amp;". ","")&amp;IF(W663="SÍ","Stock parece sano pero "&amp;TEXT(L663,"#,##0")&amp;" kg no pasan filtro "&amp;Stock_Seguridad!O663&amp;": sin ellos queda bajo el SS para esa cadena. ","")&amp;IF(E663="SOBRE MAX VENDIBLE","Sobrestock vs vida útil: frenar producción/activar venta. ","")&amp;IF(N(N663)&gt;=Parametros!$B$17,TEXT(N663,"#,##0")&amp;" kg ya no los acepta ninguna cadena: venta intermedia/liquidación. ","")&amp;IF(N(M663)&gt;=Parametros!$B$17,TEXT(M663,"#,##0")&amp;" kg a punto de salir del filtro: despachar primero (FEFO). ","")&amp;IF(Y663="SÍ","Pedidos "&amp;IF(N(U663)&gt;0,"sobre","bajo")&amp;" FCST "&amp;TEXT(ABS(N(U663)),"0%")&amp;": revisar forecast con KAM.","")</f>
        <v/>
      </c>
    </row>
    <row r="664" customFormat="false" ht="15" hidden="false" customHeight="false" outlineLevel="0" collapsed="false">
      <c r="A664" s="18" t="n">
        <f aca="false">Stock_Seguridad!A664</f>
        <v>30002104</v>
      </c>
      <c r="B664" s="18" t="str">
        <f aca="false">Stock_Seguridad!B664</f>
        <v>EMPANADAS CARNE MONGOLIANA FDM 25X200GR</v>
      </c>
      <c r="C664" s="18" t="str">
        <f aca="false">Stock_Seguridad!C664</f>
        <v>FRUTAS Y HORTALIZAS CONGELADAS</v>
      </c>
      <c r="D664" s="18" t="str">
        <f aca="false">Stock_Seguridad!F664</f>
        <v>SIN HIST</v>
      </c>
      <c r="E664" s="19" t="str">
        <f aca="false">Stock_Seguridad!X664</f>
        <v>OK</v>
      </c>
      <c r="F664" s="20" t="n">
        <f aca="false">Stock_Seguridad!W664</f>
        <v>4.90628445424476</v>
      </c>
      <c r="G664" s="21" t="n">
        <f aca="false">Stock_Seguridad!T664</f>
        <v>890</v>
      </c>
      <c r="H664" s="21" t="n">
        <f aca="false">Stock_Seguridad!R664</f>
        <v>89.5129343786991</v>
      </c>
      <c r="I664" s="21" t="n">
        <f aca="false">Stock_Seguridad!S664</f>
        <v>270.912934378699</v>
      </c>
      <c r="J664" s="21" t="n">
        <f aca="false">Stock_Seguridad!U664</f>
        <v>0</v>
      </c>
      <c r="K664" s="22"/>
      <c r="L664" s="23" t="n">
        <v>0</v>
      </c>
      <c r="M664" s="23" t="n">
        <v>0</v>
      </c>
      <c r="N664" s="23" t="n">
        <v>0</v>
      </c>
      <c r="O664" s="24" t="n">
        <v>0.16</v>
      </c>
      <c r="P664" s="24" t="str">
        <f aca="false">IF(ISNUMBER(Stock_Seguridad!N664),Stock_Seguridad!N664,"")</f>
        <v/>
      </c>
      <c r="Q664" s="24" t="str">
        <f aca="false">IF(AND(ISNUMBER(O664),ISNUMBER(P664)),P664-O664,"")</f>
        <v/>
      </c>
      <c r="R664" s="23" t="n">
        <f aca="false">MAX(0,G664-N(L664))</f>
        <v>890</v>
      </c>
      <c r="S664" s="23" t="n">
        <f aca="false">SUMIFS(Cadenas_vs_FCST!$D$17:$D$2437,Cadenas_vs_FCST!$A$17:$A$2437,A664)</f>
        <v>0</v>
      </c>
      <c r="T664" s="23" t="n">
        <f aca="false">SUMIFS(Cadenas_vs_FCST!$E$17:$E$2437,Cadenas_vs_FCST!$A$17:$A$2437,A664)</f>
        <v>0</v>
      </c>
      <c r="U664" s="24" t="str">
        <f aca="false">IF(T664&gt;0,S664/T664-1,"")</f>
        <v/>
      </c>
      <c r="V664" s="3" t="str">
        <f aca="false">IF(OR(E664="BAJO SS",E664="BAJO SS (XLIB CUBRE)"),"SÍ","")</f>
        <v/>
      </c>
      <c r="W664" s="3" t="str">
        <f aca="false">IF(AND(V664="",N(L664)&gt;=Parametros!$B$17,G664&gt;=H664,R664&lt;H664),"SÍ","")</f>
        <v/>
      </c>
      <c r="X664" s="3" t="str">
        <f aca="false">IF(OR(E664="SOBRE MAX VENDIBLE",N(N664)&gt;=Parametros!$B$17,N(M664)&gt;=Parametros!$B$17),"SÍ","")</f>
        <v/>
      </c>
      <c r="Y664" s="3" t="str">
        <f aca="false">IF(AND(ISNUMBER(U664),MAX(S664,T664)&gt;=Parametros!$B$15,ABS(N(U664))&gt;Parametros!$B$14),"SÍ","")</f>
        <v/>
      </c>
      <c r="Z664" s="3" t="n">
        <f aca="false">COUNTIF(V664:Y664,"SÍ")</f>
        <v>0</v>
      </c>
      <c r="AA664" s="3" t="n">
        <f aca="false">(3*(V664="SÍ")+2*(W664="SÍ")+2*(X664="SÍ")+(Y664="SÍ"))*IF(LEFT(D664,1)="A",3,IF(OR(LEFT(D664,1)="B",D664="SIN HIST"),2,1))</f>
        <v>0</v>
      </c>
      <c r="AB664" s="3" t="str">
        <f aca="false">IF(AA664&gt;=9,"1-ALTA",IF(AA664&gt;=4,"2-MEDIA",IF(AA664&gt;0,"3-BAJA","")))</f>
        <v/>
      </c>
      <c r="AC664" s="3" t="str">
        <f aca="false">IF(E664="BAJO SS","Stock + XLIB bajo el SS: riesgo real de quiebre, adelantar producción. ","")&amp;IF(E664="BAJO SS (XLIB CUBRE)","Disponible bajo el SS; depende de liberar "&amp;TEXT(J664,"#,##0")&amp;" kg"&amp;IF(ISNUMBER(K664)," el "&amp;TEXT(K664,"dd-mm"),"")&amp;". ","")&amp;IF(W664="SÍ","Stock parece sano pero "&amp;TEXT(L664,"#,##0")&amp;" kg no pasan filtro "&amp;Stock_Seguridad!O664&amp;": sin ellos queda bajo el SS para esa cadena. ","")&amp;IF(E664="SOBRE MAX VENDIBLE","Sobrestock vs vida útil: frenar producción/activar venta. ","")&amp;IF(N(N664)&gt;=Parametros!$B$17,TEXT(N664,"#,##0")&amp;" kg ya no los acepta ninguna cadena: venta intermedia/liquidación. ","")&amp;IF(N(M664)&gt;=Parametros!$B$17,TEXT(M664,"#,##0")&amp;" kg a punto de salir del filtro: despachar primero (FEFO). ","")&amp;IF(Y664="SÍ","Pedidos "&amp;IF(N(U664)&gt;0,"sobre","bajo")&amp;" FCST "&amp;TEXT(ABS(N(U664)),"0%")&amp;": revisar forecast con KAM.","")</f>
        <v/>
      </c>
    </row>
    <row r="665" customFormat="false" ht="15" hidden="false" customHeight="false" outlineLevel="0" collapsed="false">
      <c r="A665" s="18" t="n">
        <f aca="false">Stock_Seguridad!A665</f>
        <v>30002164</v>
      </c>
      <c r="B665" s="18" t="str">
        <f aca="false">Stock_Seguridad!B665</f>
        <v>QUESO LPV MERKEN RUEDA 16X200G</v>
      </c>
      <c r="C665" s="18" t="str">
        <f aca="false">Stock_Seguridad!C665</f>
        <v>QUESOS</v>
      </c>
      <c r="D665" s="18" t="str">
        <f aca="false">Stock_Seguridad!F665</f>
        <v>CX</v>
      </c>
      <c r="E665" s="19" t="str">
        <f aca="false">Stock_Seguridad!X665</f>
        <v>SOBRE MAX VENDIBLE</v>
      </c>
      <c r="F665" s="20" t="n">
        <f aca="false">Stock_Seguridad!W665</f>
        <v>6.41777777777778</v>
      </c>
      <c r="G665" s="21" t="n">
        <f aca="false">Stock_Seguridad!T665</f>
        <v>870.4</v>
      </c>
      <c r="H665" s="21" t="n">
        <f aca="false">Stock_Seguridad!R665</f>
        <v>224.459023498419</v>
      </c>
      <c r="I665" s="21" t="n">
        <f aca="false">Stock_Seguridad!S665</f>
        <v>404.459023498419</v>
      </c>
      <c r="J665" s="21" t="n">
        <f aca="false">Stock_Seguridad!U665</f>
        <v>284.8</v>
      </c>
      <c r="K665" s="22" t="n">
        <v>46318</v>
      </c>
      <c r="L665" s="23" t="n">
        <v>3.2</v>
      </c>
      <c r="M665" s="23" t="n">
        <v>201.6</v>
      </c>
      <c r="N665" s="23" t="n">
        <v>0</v>
      </c>
      <c r="O665" s="24" t="n">
        <v>0.072382271468144</v>
      </c>
      <c r="P665" s="24" t="n">
        <f aca="false">IF(ISNUMBER(Stock_Seguridad!N665),Stock_Seguridad!N665,"")</f>
        <v>0.211111111111111</v>
      </c>
      <c r="Q665" s="24" t="n">
        <f aca="false">IF(AND(ISNUMBER(O665),ISNUMBER(P665)),P665-O665,"")</f>
        <v>0.138728839642967</v>
      </c>
      <c r="R665" s="23" t="n">
        <f aca="false">MAX(0,G665-N(L665))</f>
        <v>867.2</v>
      </c>
      <c r="S665" s="23" t="n">
        <f aca="false">SUMIFS(Cadenas_vs_FCST!$D$17:$D$2437,Cadenas_vs_FCST!$A$17:$A$2437,A665)</f>
        <v>710.4</v>
      </c>
      <c r="T665" s="23" t="n">
        <f aca="false">SUMIFS(Cadenas_vs_FCST!$E$17:$E$2437,Cadenas_vs_FCST!$A$17:$A$2437,A665)</f>
        <v>1091.31755894616</v>
      </c>
      <c r="U665" s="24" t="n">
        <f aca="false">IF(T665&gt;0,S665/T665-1,"")</f>
        <v>-0.349043736924748</v>
      </c>
      <c r="V665" s="3" t="str">
        <f aca="false">IF(OR(E665="BAJO SS",E665="BAJO SS (XLIB CUBRE)"),"SÍ","")</f>
        <v/>
      </c>
      <c r="W665" s="3" t="str">
        <f aca="false">IF(AND(V665="",N(L665)&gt;=Parametros!$B$17,G665&gt;=H665,R665&lt;H665),"SÍ","")</f>
        <v/>
      </c>
      <c r="X665" s="3" t="str">
        <f aca="false">IF(OR(E665="SOBRE MAX VENDIBLE",N(N665)&gt;=Parametros!$B$17,N(M665)&gt;=Parametros!$B$17),"SÍ","")</f>
        <v>SÍ</v>
      </c>
      <c r="Y665" s="3" t="str">
        <f aca="false">IF(AND(ISNUMBER(U665),MAX(S665,T665)&gt;=Parametros!$B$15,ABS(N(U665))&gt;Parametros!$B$14),"SÍ","")</f>
        <v/>
      </c>
      <c r="Z665" s="3" t="n">
        <f aca="false">COUNTIF(V665:Y665,"SÍ")</f>
        <v>1</v>
      </c>
      <c r="AA665" s="3" t="n">
        <f aca="false">(3*(V665="SÍ")+2*(W665="SÍ")+2*(X665="SÍ")+(Y665="SÍ"))*IF(LEFT(D665,1)="A",3,IF(OR(LEFT(D665,1)="B",D665="SIN HIST"),2,1))</f>
        <v>2</v>
      </c>
      <c r="AB665" s="3" t="str">
        <f aca="false">IF(AA665&gt;=9,"1-ALTA",IF(AA665&gt;=4,"2-MEDIA",IF(AA665&gt;0,"3-BAJA","")))</f>
        <v>3-BAJA</v>
      </c>
      <c r="AC665" s="3" t="str">
        <f aca="false">IF(E665="BAJO SS","Stock + XLIB bajo el SS: riesgo real de quiebre, adelantar producción. ","")&amp;IF(E665="BAJO SS (XLIB CUBRE)","Disponible bajo el SS; depende de liberar "&amp;TEXT(J665,"#,##0")&amp;" kg"&amp;IF(ISNUMBER(K665)," el "&amp;TEXT(K665,"dd-mm"),"")&amp;". ","")&amp;IF(W665="SÍ","Stock parece sano pero "&amp;TEXT(L665,"#,##0")&amp;" kg no pasan filtro "&amp;Stock_Seguridad!O665&amp;": sin ellos queda bajo el SS para esa cadena. ","")&amp;IF(E665="SOBRE MAX VENDIBLE","Sobrestock vs vida útil: frenar producción/activar venta. ","")&amp;IF(N(N665)&gt;=Parametros!$B$17,TEXT(N665,"#,##0")&amp;" kg ya no los acepta ninguna cadena: venta intermedia/liquidación. ","")&amp;IF(N(M665)&gt;=Parametros!$B$17,TEXT(M665,"#,##0")&amp;" kg a punto de salir del filtro: despachar primero (FEFO). ","")&amp;IF(Y665="SÍ","Pedidos "&amp;IF(N(U665)&gt;0,"sobre","bajo")&amp;" FCST "&amp;TEXT(ABS(N(U665)),"0%")&amp;": revisar forecast con KAM.","")</f>
        <v>Sobrestock vs vida útil: frenar producción/activar venta. </v>
      </c>
    </row>
    <row r="666" customFormat="false" ht="15" hidden="false" customHeight="false" outlineLevel="0" collapsed="false">
      <c r="A666" s="18" t="n">
        <f aca="false">Stock_Seguridad!A666</f>
        <v>30002189</v>
      </c>
      <c r="B666" s="18" t="str">
        <f aca="false">Stock_Seguridad!B666</f>
        <v>RELLENO LES CREMES CINNAMON 1X6 KG</v>
      </c>
      <c r="C666" s="18" t="str">
        <f aca="false">Stock_Seguridad!C666</f>
        <v>RELLENO</v>
      </c>
      <c r="D666" s="18" t="str">
        <f aca="false">Stock_Seguridad!F666</f>
        <v>SIN HIST</v>
      </c>
      <c r="E666" s="19" t="str">
        <f aca="false">Stock_Seguridad!X666</f>
        <v>BAJO SS</v>
      </c>
      <c r="F666" s="20" t="n">
        <f aca="false">Stock_Seguridad!W666</f>
        <v>0.135746606334842</v>
      </c>
      <c r="G666" s="21" t="n">
        <f aca="false">Stock_Seguridad!T666</f>
        <v>24</v>
      </c>
      <c r="H666" s="21" t="n">
        <f aca="false">Stock_Seguridad!R666</f>
        <v>87.243036373506</v>
      </c>
      <c r="I666" s="21" t="n">
        <f aca="false">Stock_Seguridad!S666</f>
        <v>264.043036373506</v>
      </c>
      <c r="J666" s="21" t="n">
        <f aca="false">Stock_Seguridad!U666</f>
        <v>0</v>
      </c>
      <c r="K666" s="22"/>
      <c r="L666" s="23" t="n">
        <v>0</v>
      </c>
      <c r="M666" s="23" t="n">
        <v>0</v>
      </c>
      <c r="N666" s="23" t="n">
        <v>0</v>
      </c>
      <c r="O666" s="24" t="n">
        <v>0.91</v>
      </c>
      <c r="P666" s="24" t="str">
        <f aca="false">IF(ISNUMBER(Stock_Seguridad!N666),Stock_Seguridad!N666,"")</f>
        <v/>
      </c>
      <c r="Q666" s="24" t="str">
        <f aca="false">IF(AND(ISNUMBER(O666),ISNUMBER(P666)),P666-O666,"")</f>
        <v/>
      </c>
      <c r="R666" s="23" t="n">
        <f aca="false">MAX(0,G666-N(L666))</f>
        <v>24</v>
      </c>
      <c r="S666" s="23" t="n">
        <f aca="false">SUMIFS(Cadenas_vs_FCST!$D$17:$D$2437,Cadenas_vs_FCST!$A$17:$A$2437,A666)</f>
        <v>0</v>
      </c>
      <c r="T666" s="23" t="n">
        <f aca="false">SUMIFS(Cadenas_vs_FCST!$E$17:$E$2437,Cadenas_vs_FCST!$A$17:$A$2437,A666)</f>
        <v>0</v>
      </c>
      <c r="U666" s="24" t="str">
        <f aca="false">IF(T666&gt;0,S666/T666-1,"")</f>
        <v/>
      </c>
      <c r="V666" s="3" t="str">
        <f aca="false">IF(OR(E666="BAJO SS",E666="BAJO SS (XLIB CUBRE)"),"SÍ","")</f>
        <v>SÍ</v>
      </c>
      <c r="W666" s="3" t="str">
        <f aca="false">IF(AND(V666="",N(L666)&gt;=Parametros!$B$17,G666&gt;=H666,R666&lt;H666),"SÍ","")</f>
        <v/>
      </c>
      <c r="X666" s="3" t="str">
        <f aca="false">IF(OR(E666="SOBRE MAX VENDIBLE",N(N666)&gt;=Parametros!$B$17,N(M666)&gt;=Parametros!$B$17),"SÍ","")</f>
        <v/>
      </c>
      <c r="Y666" s="3" t="str">
        <f aca="false">IF(AND(ISNUMBER(U666),MAX(S666,T666)&gt;=Parametros!$B$15,ABS(N(U666))&gt;Parametros!$B$14),"SÍ","")</f>
        <v/>
      </c>
      <c r="Z666" s="3" t="n">
        <f aca="false">COUNTIF(V666:Y666,"SÍ")</f>
        <v>1</v>
      </c>
      <c r="AA666" s="3" t="n">
        <f aca="false">(3*(V666="SÍ")+2*(W666="SÍ")+2*(X666="SÍ")+(Y666="SÍ"))*IF(LEFT(D666,1)="A",3,IF(OR(LEFT(D666,1)="B",D666="SIN HIST"),2,1))</f>
        <v>6</v>
      </c>
      <c r="AB666" s="3" t="str">
        <f aca="false">IF(AA666&gt;=9,"1-ALTA",IF(AA666&gt;=4,"2-MEDIA",IF(AA666&gt;0,"3-BAJA","")))</f>
        <v>2-MEDIA</v>
      </c>
      <c r="AC666" s="3" t="str">
        <f aca="false">IF(E666="BAJO SS","Stock + XLIB bajo el SS: riesgo real de quiebre, adelantar producción. ","")&amp;IF(E666="BAJO SS (XLIB CUBRE)","Disponible bajo el SS; depende de liberar "&amp;TEXT(J666,"#,##0")&amp;" kg"&amp;IF(ISNUMBER(K666)," el "&amp;TEXT(K666,"dd-mm"),"")&amp;". ","")&amp;IF(W666="SÍ","Stock parece sano pero "&amp;TEXT(L666,"#,##0")&amp;" kg no pasan filtro "&amp;Stock_Seguridad!O666&amp;": sin ellos queda bajo el SS para esa cadena. ","")&amp;IF(E666="SOBRE MAX VENDIBLE","Sobrestock vs vida útil: frenar producción/activar venta. ","")&amp;IF(N(N666)&gt;=Parametros!$B$17,TEXT(N666,"#,##0")&amp;" kg ya no los acepta ninguna cadena: venta intermedia/liquidación. ","")&amp;IF(N(M666)&gt;=Parametros!$B$17,TEXT(M666,"#,##0")&amp;" kg a punto de salir del filtro: despachar primero (FEFO). ","")&amp;IF(Y666="SÍ","Pedidos "&amp;IF(N(U666)&gt;0,"sobre","bajo")&amp;" FCST "&amp;TEXT(ABS(N(U666)),"0%")&amp;": revisar forecast con KAM.","")</f>
        <v>Stock + XLIB bajo el SS: riesgo real de quiebre, adelantar producción. </v>
      </c>
    </row>
    <row r="667" customFormat="false" ht="15" hidden="false" customHeight="false" outlineLevel="0" collapsed="false">
      <c r="A667" s="18" t="n">
        <f aca="false">Stock_Seguridad!A667</f>
        <v>30002101</v>
      </c>
      <c r="B667" s="18" t="str">
        <f aca="false">Stock_Seguridad!B667</f>
        <v>ACEITE BELMONT 12X750ML</v>
      </c>
      <c r="C667" s="18" t="str">
        <f aca="false">Stock_Seguridad!C667</f>
        <v>ACEITES</v>
      </c>
      <c r="D667" s="18" t="str">
        <f aca="false">Stock_Seguridad!F667</f>
        <v>CY</v>
      </c>
      <c r="E667" s="19" t="str">
        <f aca="false">Stock_Seguridad!X667</f>
        <v>OK</v>
      </c>
      <c r="F667" s="20" t="n">
        <f aca="false">Stock_Seguridad!W667</f>
        <v>3.50114285714286</v>
      </c>
      <c r="G667" s="21" t="n">
        <f aca="false">Stock_Seguridad!T667</f>
        <v>612.7</v>
      </c>
      <c r="H667" s="21" t="n">
        <f aca="false">Stock_Seguridad!R667</f>
        <v>205.651884803147</v>
      </c>
      <c r="I667" s="21" t="n">
        <f aca="false">Stock_Seguridad!S667</f>
        <v>380.651884803147</v>
      </c>
      <c r="J667" s="21" t="n">
        <f aca="false">Stock_Seguridad!U667</f>
        <v>0</v>
      </c>
      <c r="K667" s="22"/>
      <c r="L667" s="23" t="n">
        <v>0</v>
      </c>
      <c r="M667" s="23" t="n">
        <v>612.72</v>
      </c>
      <c r="N667" s="23" t="n">
        <v>0</v>
      </c>
      <c r="O667" s="24" t="n">
        <v>0.24</v>
      </c>
      <c r="P667" s="24" t="n">
        <f aca="false">IF(ISNUMBER(Stock_Seguridad!N667),Stock_Seguridad!N667,"")</f>
        <v>0.273972602739726</v>
      </c>
      <c r="Q667" s="24" t="n">
        <f aca="false">IF(AND(ISNUMBER(O667),ISNUMBER(P667)),P667-O667,"")</f>
        <v>0.033972602739726</v>
      </c>
      <c r="R667" s="23" t="n">
        <f aca="false">MAX(0,G667-N(L667))</f>
        <v>612.7</v>
      </c>
      <c r="S667" s="23" t="n">
        <f aca="false">SUMIFS(Cadenas_vs_FCST!$D$17:$D$2437,Cadenas_vs_FCST!$A$17:$A$2437,A667)</f>
        <v>645.84</v>
      </c>
      <c r="T667" s="23" t="n">
        <f aca="false">SUMIFS(Cadenas_vs_FCST!$E$17:$E$2437,Cadenas_vs_FCST!$A$17:$A$2437,A667)</f>
        <v>550</v>
      </c>
      <c r="U667" s="24" t="n">
        <f aca="false">IF(T667&gt;0,S667/T667-1,"")</f>
        <v>0.174254545454545</v>
      </c>
      <c r="V667" s="3" t="str">
        <f aca="false">IF(OR(E667="BAJO SS",E667="BAJO SS (XLIB CUBRE)"),"SÍ","")</f>
        <v/>
      </c>
      <c r="W667" s="3" t="str">
        <f aca="false">IF(AND(V667="",N(L667)&gt;=Parametros!$B$17,G667&gt;=H667,R667&lt;H667),"SÍ","")</f>
        <v/>
      </c>
      <c r="X667" s="3" t="str">
        <f aca="false">IF(OR(E667="SOBRE MAX VENDIBLE",N(N667)&gt;=Parametros!$B$17,N(M667)&gt;=Parametros!$B$17),"SÍ","")</f>
        <v>SÍ</v>
      </c>
      <c r="Y667" s="3" t="str">
        <f aca="false">IF(AND(ISNUMBER(U667),MAX(S667,T667)&gt;=Parametros!$B$15,ABS(N(U667))&gt;Parametros!$B$14),"SÍ","")</f>
        <v/>
      </c>
      <c r="Z667" s="3" t="n">
        <f aca="false">COUNTIF(V667:Y667,"SÍ")</f>
        <v>1</v>
      </c>
      <c r="AA667" s="3" t="n">
        <f aca="false">(3*(V667="SÍ")+2*(W667="SÍ")+2*(X667="SÍ")+(Y667="SÍ"))*IF(LEFT(D667,1)="A",3,IF(OR(LEFT(D667,1)="B",D667="SIN HIST"),2,1))</f>
        <v>2</v>
      </c>
      <c r="AB667" s="3" t="str">
        <f aca="false">IF(AA667&gt;=9,"1-ALTA",IF(AA667&gt;=4,"2-MEDIA",IF(AA667&gt;0,"3-BAJA","")))</f>
        <v>3-BAJA</v>
      </c>
      <c r="AC667" s="3" t="str">
        <f aca="false">IF(E667="BAJO SS","Stock + XLIB bajo el SS: riesgo real de quiebre, adelantar producción. ","")&amp;IF(E667="BAJO SS (XLIB CUBRE)","Disponible bajo el SS; depende de liberar "&amp;TEXT(J667,"#,##0")&amp;" kg"&amp;IF(ISNUMBER(K667)," el "&amp;TEXT(K667,"dd-mm"),"")&amp;". ","")&amp;IF(W667="SÍ","Stock parece sano pero "&amp;TEXT(L667,"#,##0")&amp;" kg no pasan filtro "&amp;Stock_Seguridad!O667&amp;": sin ellos queda bajo el SS para esa cadena. ","")&amp;IF(E667="SOBRE MAX VENDIBLE","Sobrestock vs vida útil: frenar producción/activar venta. ","")&amp;IF(N(N667)&gt;=Parametros!$B$17,TEXT(N667,"#,##0")&amp;" kg ya no los acepta ninguna cadena: venta intermedia/liquidación. ","")&amp;IF(N(M667)&gt;=Parametros!$B$17,TEXT(M667,"#,##0")&amp;" kg a punto de salir del filtro: despachar primero (FEFO). ","")&amp;IF(Y667="SÍ","Pedidos "&amp;IF(N(U667)&gt;0,"sobre","bajo")&amp;" FCST "&amp;TEXT(ABS(N(U667)),"0%")&amp;": revisar forecast con KAM.","")</f>
        <v>613 kg a punto de salir del filtro: despachar primero (FEFO). </v>
      </c>
    </row>
    <row r="668" customFormat="false" ht="15" hidden="false" customHeight="false" outlineLevel="0" collapsed="false">
      <c r="A668" s="18" t="n">
        <f aca="false">Stock_Seguridad!A668</f>
        <v>30002095</v>
      </c>
      <c r="B668" s="18" t="str">
        <f aca="false">Stock_Seguridad!B668</f>
        <v>QUESO CABRA LPV TROZO 20X200GR</v>
      </c>
      <c r="C668" s="18" t="str">
        <f aca="false">Stock_Seguridad!C668</f>
        <v>QUESOS</v>
      </c>
      <c r="D668" s="18" t="str">
        <f aca="false">Stock_Seguridad!F668</f>
        <v>SIN HIST</v>
      </c>
      <c r="E668" s="19" t="str">
        <f aca="false">Stock_Seguridad!X668</f>
        <v>OK</v>
      </c>
      <c r="F668" s="20" t="n">
        <f aca="false">Stock_Seguridad!W668</f>
        <v>2.075</v>
      </c>
      <c r="G668" s="21" t="n">
        <f aca="false">Stock_Seguridad!T668</f>
        <v>332</v>
      </c>
      <c r="H668" s="21" t="n">
        <f aca="false">Stock_Seguridad!R668</f>
        <v>78.9529740936706</v>
      </c>
      <c r="I668" s="21" t="n">
        <f aca="false">Stock_Seguridad!S668</f>
        <v>238.952974093671</v>
      </c>
      <c r="J668" s="21" t="n">
        <f aca="false">Stock_Seguridad!U668</f>
        <v>0</v>
      </c>
      <c r="K668" s="22"/>
      <c r="L668" s="23" t="n">
        <v>180</v>
      </c>
      <c r="M668" s="23" t="n">
        <v>0</v>
      </c>
      <c r="N668" s="23" t="n">
        <v>180</v>
      </c>
      <c r="O668" s="24" t="n">
        <v>0.250963855421687</v>
      </c>
      <c r="P668" s="24" t="n">
        <f aca="false">IF(ISNUMBER(Stock_Seguridad!N668),Stock_Seguridad!N668,"")</f>
        <v>0.211111111111111</v>
      </c>
      <c r="Q668" s="24" t="n">
        <f aca="false">IF(AND(ISNUMBER(O668),ISNUMBER(P668)),P668-O668,"")</f>
        <v>-0.0398527443105756</v>
      </c>
      <c r="R668" s="23" t="n">
        <f aca="false">MAX(0,G668-N(L668))</f>
        <v>152</v>
      </c>
      <c r="S668" s="23" t="n">
        <f aca="false">SUMIFS(Cadenas_vs_FCST!$D$17:$D$2437,Cadenas_vs_FCST!$A$17:$A$2437,A668)</f>
        <v>0</v>
      </c>
      <c r="T668" s="23" t="n">
        <f aca="false">SUMIFS(Cadenas_vs_FCST!$E$17:$E$2437,Cadenas_vs_FCST!$A$17:$A$2437,A668)</f>
        <v>0</v>
      </c>
      <c r="U668" s="24" t="str">
        <f aca="false">IF(T668&gt;0,S668/T668-1,"")</f>
        <v/>
      </c>
      <c r="V668" s="3" t="str">
        <f aca="false">IF(OR(E668="BAJO SS",E668="BAJO SS (XLIB CUBRE)"),"SÍ","")</f>
        <v/>
      </c>
      <c r="W668" s="3" t="str">
        <f aca="false">IF(AND(V668="",N(L668)&gt;=Parametros!$B$17,G668&gt;=H668,R668&lt;H668),"SÍ","")</f>
        <v/>
      </c>
      <c r="X668" s="3" t="str">
        <f aca="false">IF(OR(E668="SOBRE MAX VENDIBLE",N(N668)&gt;=Parametros!$B$17,N(M668)&gt;=Parametros!$B$17),"SÍ","")</f>
        <v/>
      </c>
      <c r="Y668" s="3" t="str">
        <f aca="false">IF(AND(ISNUMBER(U668),MAX(S668,T668)&gt;=Parametros!$B$15,ABS(N(U668))&gt;Parametros!$B$14),"SÍ","")</f>
        <v/>
      </c>
      <c r="Z668" s="3" t="n">
        <f aca="false">COUNTIF(V668:Y668,"SÍ")</f>
        <v>0</v>
      </c>
      <c r="AA668" s="3" t="n">
        <f aca="false">(3*(V668="SÍ")+2*(W668="SÍ")+2*(X668="SÍ")+(Y668="SÍ"))*IF(LEFT(D668,1)="A",3,IF(OR(LEFT(D668,1)="B",D668="SIN HIST"),2,1))</f>
        <v>0</v>
      </c>
      <c r="AB668" s="3" t="str">
        <f aca="false">IF(AA668&gt;=9,"1-ALTA",IF(AA668&gt;=4,"2-MEDIA",IF(AA668&gt;0,"3-BAJA","")))</f>
        <v/>
      </c>
      <c r="AC668" s="3" t="str">
        <f aca="false">IF(E668="BAJO SS","Stock + XLIB bajo el SS: riesgo real de quiebre, adelantar producción. ","")&amp;IF(E668="BAJO SS (XLIB CUBRE)","Disponible bajo el SS; depende de liberar "&amp;TEXT(J668,"#,##0")&amp;" kg"&amp;IF(ISNUMBER(K668)," el "&amp;TEXT(K668,"dd-mm"),"")&amp;". ","")&amp;IF(W668="SÍ","Stock parece sano pero "&amp;TEXT(L668,"#,##0")&amp;" kg no pasan filtro "&amp;Stock_Seguridad!O668&amp;": sin ellos queda bajo el SS para esa cadena. ","")&amp;IF(E668="SOBRE MAX VENDIBLE","Sobrestock vs vida útil: frenar producción/activar venta. ","")&amp;IF(N(N668)&gt;=Parametros!$B$17,TEXT(N668,"#,##0")&amp;" kg ya no los acepta ninguna cadena: venta intermedia/liquidación. ","")&amp;IF(N(M668)&gt;=Parametros!$B$17,TEXT(M668,"#,##0")&amp;" kg a punto de salir del filtro: despachar primero (FEFO). ","")&amp;IF(Y668="SÍ","Pedidos "&amp;IF(N(U668)&gt;0,"sobre","bajo")&amp;" FCST "&amp;TEXT(ABS(N(U668)),"0%")&amp;": revisar forecast con KAM.","")</f>
        <v/>
      </c>
    </row>
    <row r="669" customFormat="false" ht="15" hidden="false" customHeight="false" outlineLevel="0" collapsed="false">
      <c r="A669" s="18" t="n">
        <f aca="false">Stock_Seguridad!A669</f>
        <v>30000187</v>
      </c>
      <c r="B669" s="18" t="str">
        <f aca="false">Stock_Seguridad!B669</f>
        <v>MERMELADA WATTS GOLD LUCUMA 1X5KG</v>
      </c>
      <c r="C669" s="18" t="str">
        <f aca="false">Stock_Seguridad!C669</f>
        <v>MERMELADAS</v>
      </c>
      <c r="D669" s="18" t="str">
        <f aca="false">Stock_Seguridad!F669</f>
        <v>SIN HIST</v>
      </c>
      <c r="E669" s="19" t="str">
        <f aca="false">Stock_Seguridad!X669</f>
        <v>SOBRE MAX VENDIBLE</v>
      </c>
      <c r="F669" s="20" t="n">
        <f aca="false">Stock_Seguridad!W669</f>
        <v>15.9139784946237</v>
      </c>
      <c r="G669" s="21" t="n">
        <f aca="false">Stock_Seguridad!T669</f>
        <v>2220</v>
      </c>
      <c r="H669" s="21" t="n">
        <f aca="false">Stock_Seguridad!R669</f>
        <v>68.8371242879191</v>
      </c>
      <c r="I669" s="21" t="n">
        <f aca="false">Stock_Seguridad!S669</f>
        <v>208.337124287919</v>
      </c>
      <c r="J669" s="21" t="n">
        <f aca="false">Stock_Seguridad!U669</f>
        <v>0</v>
      </c>
      <c r="K669" s="22"/>
      <c r="L669" s="23" t="n">
        <v>2210</v>
      </c>
      <c r="M669" s="23" t="n">
        <v>0</v>
      </c>
      <c r="N669" s="23" t="n">
        <v>820</v>
      </c>
      <c r="O669" s="24" t="n">
        <v>0.352850678733032</v>
      </c>
      <c r="P669" s="24" t="n">
        <f aca="false">IF(ISNUMBER(Stock_Seguridad!N669),Stock_Seguridad!N669,"")</f>
        <v>0.220408163265306</v>
      </c>
      <c r="Q669" s="24" t="n">
        <f aca="false">IF(AND(ISNUMBER(O669),ISNUMBER(P669)),P669-O669,"")</f>
        <v>-0.132442515467726</v>
      </c>
      <c r="R669" s="23" t="n">
        <f aca="false">MAX(0,G669-N(L669))</f>
        <v>10</v>
      </c>
      <c r="S669" s="23" t="n">
        <f aca="false">SUMIFS(Cadenas_vs_FCST!$D$17:$D$2437,Cadenas_vs_FCST!$A$17:$A$2437,A669)</f>
        <v>0</v>
      </c>
      <c r="T669" s="23" t="n">
        <f aca="false">SUMIFS(Cadenas_vs_FCST!$E$17:$E$2437,Cadenas_vs_FCST!$A$17:$A$2437,A669)</f>
        <v>0</v>
      </c>
      <c r="U669" s="24" t="str">
        <f aca="false">IF(T669&gt;0,S669/T669-1,"")</f>
        <v/>
      </c>
      <c r="V669" s="3" t="str">
        <f aca="false">IF(OR(E669="BAJO SS",E669="BAJO SS (XLIB CUBRE)"),"SÍ","")</f>
        <v/>
      </c>
      <c r="W669" s="3" t="str">
        <f aca="false">IF(AND(V669="",N(L669)&gt;=Parametros!$B$17,G669&gt;=H669,R669&lt;H669),"SÍ","")</f>
        <v>SÍ</v>
      </c>
      <c r="X669" s="3" t="str">
        <f aca="false">IF(OR(E669="SOBRE MAX VENDIBLE",N(N669)&gt;=Parametros!$B$17,N(M669)&gt;=Parametros!$B$17),"SÍ","")</f>
        <v>SÍ</v>
      </c>
      <c r="Y669" s="3" t="str">
        <f aca="false">IF(AND(ISNUMBER(U669),MAX(S669,T669)&gt;=Parametros!$B$15,ABS(N(U669))&gt;Parametros!$B$14),"SÍ","")</f>
        <v/>
      </c>
      <c r="Z669" s="3" t="n">
        <f aca="false">COUNTIF(V669:Y669,"SÍ")</f>
        <v>2</v>
      </c>
      <c r="AA669" s="3" t="n">
        <f aca="false">(3*(V669="SÍ")+2*(W669="SÍ")+2*(X669="SÍ")+(Y669="SÍ"))*IF(LEFT(D669,1)="A",3,IF(OR(LEFT(D669,1)="B",D669="SIN HIST"),2,1))</f>
        <v>8</v>
      </c>
      <c r="AB669" s="3" t="str">
        <f aca="false">IF(AA669&gt;=9,"1-ALTA",IF(AA669&gt;=4,"2-MEDIA",IF(AA669&gt;0,"3-BAJA","")))</f>
        <v>2-MEDIA</v>
      </c>
      <c r="AC669" s="3" t="str">
        <f aca="false">IF(E669="BAJO SS","Stock + XLIB bajo el SS: riesgo real de quiebre, adelantar producción. ","")&amp;IF(E669="BAJO SS (XLIB CUBRE)","Disponible bajo el SS; depende de liberar "&amp;TEXT(J669,"#,##0")&amp;" kg"&amp;IF(ISNUMBER(K669)," el "&amp;TEXT(K669,"dd-mm"),"")&amp;". ","")&amp;IF(W669="SÍ","Stock parece sano pero "&amp;TEXT(L669,"#,##0")&amp;" kg no pasan filtro "&amp;Stock_Seguridad!O669&amp;": sin ellos queda bajo el SS para esa cadena. ","")&amp;IF(E669="SOBRE MAX VENDIBLE","Sobrestock vs vida útil: frenar producción/activar venta. ","")&amp;IF(N(N669)&gt;=Parametros!$B$17,TEXT(N669,"#,##0")&amp;" kg ya no los acepta ninguna cadena: venta intermedia/liquidación. ","")&amp;IF(N(M669)&gt;=Parametros!$B$17,TEXT(M669,"#,##0")&amp;" kg a punto de salir del filtro: despachar primero (FEFO). ","")&amp;IF(Y669="SÍ","Pedidos "&amp;IF(N(U669)&gt;0,"sobre","bajo")&amp;" FCST "&amp;TEXT(ABS(N(U669)),"0%")&amp;": revisar forecast con KAM.","")</f>
        <v>Stock parece sano pero 2,210 kg no pasan filtro WALMART: sin ellos queda bajo el SS para esa cadena. Sobrestock vs vida útil: frenar producción/activar venta. 820 kg ya no los acepta ninguna cadena: venta intermedia/liquidación. </v>
      </c>
    </row>
    <row r="670" customFormat="false" ht="15" hidden="false" customHeight="false" outlineLevel="0" collapsed="false">
      <c r="A670" s="18" t="n">
        <f aca="false">Stock_Seguridad!A670</f>
        <v>30002193</v>
      </c>
      <c r="B670" s="18" t="str">
        <f aca="false">Stock_Seguridad!B670</f>
        <v>COBERTURA SACHER SUPREME 1X6 KG</v>
      </c>
      <c r="C670" s="18" t="str">
        <f aca="false">Stock_Seguridad!C670</f>
        <v>COBERTURA</v>
      </c>
      <c r="D670" s="18" t="str">
        <f aca="false">Stock_Seguridad!F670</f>
        <v>SIN HIST</v>
      </c>
      <c r="E670" s="19" t="str">
        <f aca="false">Stock_Seguridad!X670</f>
        <v>BAJO SS</v>
      </c>
      <c r="F670" s="20" t="n">
        <f aca="false">Stock_Seguridad!W670</f>
        <v>0.316742081447964</v>
      </c>
      <c r="G670" s="21" t="n">
        <f aca="false">Stock_Seguridad!T670</f>
        <v>42</v>
      </c>
      <c r="H670" s="21" t="n">
        <f aca="false">Stock_Seguridad!R670</f>
        <v>65.4322772801295</v>
      </c>
      <c r="I670" s="21" t="n">
        <f aca="false">Stock_Seguridad!S670</f>
        <v>198.03227728013</v>
      </c>
      <c r="J670" s="21" t="n">
        <f aca="false">Stock_Seguridad!U670</f>
        <v>0</v>
      </c>
      <c r="K670" s="22"/>
      <c r="L670" s="23" t="n">
        <v>0</v>
      </c>
      <c r="M670" s="23" t="n">
        <v>0</v>
      </c>
      <c r="N670" s="23" t="n">
        <v>0</v>
      </c>
      <c r="O670" s="24" t="n">
        <v>0.754285714285714</v>
      </c>
      <c r="P670" s="24" t="str">
        <f aca="false">IF(ISNUMBER(Stock_Seguridad!N670),Stock_Seguridad!N670,"")</f>
        <v/>
      </c>
      <c r="Q670" s="24" t="str">
        <f aca="false">IF(AND(ISNUMBER(O670),ISNUMBER(P670)),P670-O670,"")</f>
        <v/>
      </c>
      <c r="R670" s="23" t="n">
        <f aca="false">MAX(0,G670-N(L670))</f>
        <v>42</v>
      </c>
      <c r="S670" s="23" t="n">
        <f aca="false">SUMIFS(Cadenas_vs_FCST!$D$17:$D$2437,Cadenas_vs_FCST!$A$17:$A$2437,A670)</f>
        <v>0</v>
      </c>
      <c r="T670" s="23" t="n">
        <f aca="false">SUMIFS(Cadenas_vs_FCST!$E$17:$E$2437,Cadenas_vs_FCST!$A$17:$A$2437,A670)</f>
        <v>0</v>
      </c>
      <c r="U670" s="24" t="str">
        <f aca="false">IF(T670&gt;0,S670/T670-1,"")</f>
        <v/>
      </c>
      <c r="V670" s="3" t="str">
        <f aca="false">IF(OR(E670="BAJO SS",E670="BAJO SS (XLIB CUBRE)"),"SÍ","")</f>
        <v>SÍ</v>
      </c>
      <c r="W670" s="3" t="str">
        <f aca="false">IF(AND(V670="",N(L670)&gt;=Parametros!$B$17,G670&gt;=H670,R670&lt;H670),"SÍ","")</f>
        <v/>
      </c>
      <c r="X670" s="3" t="str">
        <f aca="false">IF(OR(E670="SOBRE MAX VENDIBLE",N(N670)&gt;=Parametros!$B$17,N(M670)&gt;=Parametros!$B$17),"SÍ","")</f>
        <v/>
      </c>
      <c r="Y670" s="3" t="str">
        <f aca="false">IF(AND(ISNUMBER(U670),MAX(S670,T670)&gt;=Parametros!$B$15,ABS(N(U670))&gt;Parametros!$B$14),"SÍ","")</f>
        <v/>
      </c>
      <c r="Z670" s="3" t="n">
        <f aca="false">COUNTIF(V670:Y670,"SÍ")</f>
        <v>1</v>
      </c>
      <c r="AA670" s="3" t="n">
        <f aca="false">(3*(V670="SÍ")+2*(W670="SÍ")+2*(X670="SÍ")+(Y670="SÍ"))*IF(LEFT(D670,1)="A",3,IF(OR(LEFT(D670,1)="B",D670="SIN HIST"),2,1))</f>
        <v>6</v>
      </c>
      <c r="AB670" s="3" t="str">
        <f aca="false">IF(AA670&gt;=9,"1-ALTA",IF(AA670&gt;=4,"2-MEDIA",IF(AA670&gt;0,"3-BAJA","")))</f>
        <v>2-MEDIA</v>
      </c>
      <c r="AC670" s="3" t="str">
        <f aca="false">IF(E670="BAJO SS","Stock + XLIB bajo el SS: riesgo real de quiebre, adelantar producción. ","")&amp;IF(E670="BAJO SS (XLIB CUBRE)","Disponible bajo el SS; depende de liberar "&amp;TEXT(J670,"#,##0")&amp;" kg"&amp;IF(ISNUMBER(K670)," el "&amp;TEXT(K670,"dd-mm"),"")&amp;". ","")&amp;IF(W670="SÍ","Stock parece sano pero "&amp;TEXT(L670,"#,##0")&amp;" kg no pasan filtro "&amp;Stock_Seguridad!O670&amp;": sin ellos queda bajo el SS para esa cadena. ","")&amp;IF(E670="SOBRE MAX VENDIBLE","Sobrestock vs vida útil: frenar producción/activar venta. ","")&amp;IF(N(N670)&gt;=Parametros!$B$17,TEXT(N670,"#,##0")&amp;" kg ya no los acepta ninguna cadena: venta intermedia/liquidación. ","")&amp;IF(N(M670)&gt;=Parametros!$B$17,TEXT(M670,"#,##0")&amp;" kg a punto de salir del filtro: despachar primero (FEFO). ","")&amp;IF(Y670="SÍ","Pedidos "&amp;IF(N(U670)&gt;0,"sobre","bajo")&amp;" FCST "&amp;TEXT(ABS(N(U670)),"0%")&amp;": revisar forecast con KAM.","")</f>
        <v>Stock + XLIB bajo el SS: riesgo real de quiebre, adelantar producción. </v>
      </c>
    </row>
    <row r="671" customFormat="false" ht="15" hidden="false" customHeight="false" outlineLevel="0" collapsed="false">
      <c r="A671" s="18" t="n">
        <f aca="false">Stock_Seguridad!A671</f>
        <v>30000186</v>
      </c>
      <c r="B671" s="18" t="str">
        <f aca="false">Stock_Seguridad!B671</f>
        <v>MERMELADA WATTS GOLD PIÑA 1X5KG</v>
      </c>
      <c r="C671" s="18" t="str">
        <f aca="false">Stock_Seguridad!C671</f>
        <v>MERMELADAS</v>
      </c>
      <c r="D671" s="18" t="str">
        <f aca="false">Stock_Seguridad!F671</f>
        <v>SIN HIST</v>
      </c>
      <c r="E671" s="19" t="str">
        <f aca="false">Stock_Seguridad!X671</f>
        <v>OK</v>
      </c>
      <c r="F671" s="20" t="n">
        <f aca="false">Stock_Seguridad!W671</f>
        <v>6.9811320754717</v>
      </c>
      <c r="G671" s="21" t="n">
        <f aca="false">Stock_Seguridad!T671</f>
        <v>925</v>
      </c>
      <c r="H671" s="21" t="n">
        <f aca="false">Stock_Seguridad!R671</f>
        <v>65.382931671321</v>
      </c>
      <c r="I671" s="21" t="n">
        <f aca="false">Stock_Seguridad!S671</f>
        <v>197.882931671321</v>
      </c>
      <c r="J671" s="21" t="n">
        <f aca="false">Stock_Seguridad!U671</f>
        <v>0</v>
      </c>
      <c r="K671" s="22"/>
      <c r="L671" s="23" t="n">
        <v>5</v>
      </c>
      <c r="M671" s="23" t="n">
        <v>0</v>
      </c>
      <c r="N671" s="23" t="n">
        <v>5</v>
      </c>
      <c r="O671" s="24" t="n">
        <v>0.0902185792349727</v>
      </c>
      <c r="P671" s="24" t="n">
        <f aca="false">IF(ISNUMBER(Stock_Seguridad!N671),Stock_Seguridad!N671,"")</f>
        <v>0.271739130434783</v>
      </c>
      <c r="Q671" s="24" t="n">
        <f aca="false">IF(AND(ISNUMBER(O671),ISNUMBER(P671)),P671-O671,"")</f>
        <v>0.18152055119981</v>
      </c>
      <c r="R671" s="23" t="n">
        <f aca="false">MAX(0,G671-N(L671))</f>
        <v>920</v>
      </c>
      <c r="S671" s="23" t="n">
        <f aca="false">SUMIFS(Cadenas_vs_FCST!$D$17:$D$2437,Cadenas_vs_FCST!$A$17:$A$2437,A671)</f>
        <v>0</v>
      </c>
      <c r="T671" s="23" t="n">
        <f aca="false">SUMIFS(Cadenas_vs_FCST!$E$17:$E$2437,Cadenas_vs_FCST!$A$17:$A$2437,A671)</f>
        <v>0</v>
      </c>
      <c r="U671" s="24" t="str">
        <f aca="false">IF(T671&gt;0,S671/T671-1,"")</f>
        <v/>
      </c>
      <c r="V671" s="3" t="str">
        <f aca="false">IF(OR(E671="BAJO SS",E671="BAJO SS (XLIB CUBRE)"),"SÍ","")</f>
        <v/>
      </c>
      <c r="W671" s="3" t="str">
        <f aca="false">IF(AND(V671="",N(L671)&gt;=Parametros!$B$17,G671&gt;=H671,R671&lt;H671),"SÍ","")</f>
        <v/>
      </c>
      <c r="X671" s="3" t="str">
        <f aca="false">IF(OR(E671="SOBRE MAX VENDIBLE",N(N671)&gt;=Parametros!$B$17,N(M671)&gt;=Parametros!$B$17),"SÍ","")</f>
        <v/>
      </c>
      <c r="Y671" s="3" t="str">
        <f aca="false">IF(AND(ISNUMBER(U671),MAX(S671,T671)&gt;=Parametros!$B$15,ABS(N(U671))&gt;Parametros!$B$14),"SÍ","")</f>
        <v/>
      </c>
      <c r="Z671" s="3" t="n">
        <f aca="false">COUNTIF(V671:Y671,"SÍ")</f>
        <v>0</v>
      </c>
      <c r="AA671" s="3" t="n">
        <f aca="false">(3*(V671="SÍ")+2*(W671="SÍ")+2*(X671="SÍ")+(Y671="SÍ"))*IF(LEFT(D671,1)="A",3,IF(OR(LEFT(D671,1)="B",D671="SIN HIST"),2,1))</f>
        <v>0</v>
      </c>
      <c r="AB671" s="3" t="str">
        <f aca="false">IF(AA671&gt;=9,"1-ALTA",IF(AA671&gt;=4,"2-MEDIA",IF(AA671&gt;0,"3-BAJA","")))</f>
        <v/>
      </c>
      <c r="AC671" s="3" t="str">
        <f aca="false">IF(E671="BAJO SS","Stock + XLIB bajo el SS: riesgo real de quiebre, adelantar producción. ","")&amp;IF(E671="BAJO SS (XLIB CUBRE)","Disponible bajo el SS; depende de liberar "&amp;TEXT(J671,"#,##0")&amp;" kg"&amp;IF(ISNUMBER(K671)," el "&amp;TEXT(K671,"dd-mm"),"")&amp;". ","")&amp;IF(W671="SÍ","Stock parece sano pero "&amp;TEXT(L671,"#,##0")&amp;" kg no pasan filtro "&amp;Stock_Seguridad!O671&amp;": sin ellos queda bajo el SS para esa cadena. ","")&amp;IF(E671="SOBRE MAX VENDIBLE","Sobrestock vs vida útil: frenar producción/activar venta. ","")&amp;IF(N(N671)&gt;=Parametros!$B$17,TEXT(N671,"#,##0")&amp;" kg ya no los acepta ninguna cadena: venta intermedia/liquidación. ","")&amp;IF(N(M671)&gt;=Parametros!$B$17,TEXT(M671,"#,##0")&amp;" kg a punto de salir del filtro: despachar primero (FEFO). ","")&amp;IF(Y671="SÍ","Pedidos "&amp;IF(N(U671)&gt;0,"sobre","bajo")&amp;" FCST "&amp;TEXT(ABS(N(U671)),"0%")&amp;": revisar forecast con KAM.","")</f>
        <v/>
      </c>
    </row>
    <row r="672" customFormat="false" ht="15" hidden="false" customHeight="false" outlineLevel="0" collapsed="false">
      <c r="A672" s="18" t="n">
        <f aca="false">Stock_Seguridad!A672</f>
        <v>30002192</v>
      </c>
      <c r="B672" s="18" t="str">
        <f aca="false">Stock_Seguridad!B672</f>
        <v>RELLENO VELA NOCCIOLA 1X6 KG</v>
      </c>
      <c r="C672" s="18" t="str">
        <f aca="false">Stock_Seguridad!C672</f>
        <v>RELLENO</v>
      </c>
      <c r="D672" s="18" t="str">
        <f aca="false">Stock_Seguridad!F672</f>
        <v>SIN HIST</v>
      </c>
      <c r="E672" s="19" t="str">
        <f aca="false">Stock_Seguridad!X672</f>
        <v>BAJO SS</v>
      </c>
      <c r="F672" s="20" t="n">
        <f aca="false">Stock_Seguridad!W672</f>
        <v>0</v>
      </c>
      <c r="G672" s="21" t="n">
        <f aca="false">Stock_Seguridad!T672</f>
        <v>0</v>
      </c>
      <c r="H672" s="21" t="n">
        <f aca="false">Stock_Seguridad!R672</f>
        <v>61.9780846635315</v>
      </c>
      <c r="I672" s="21" t="n">
        <f aca="false">Stock_Seguridad!S672</f>
        <v>187.578084663531</v>
      </c>
      <c r="J672" s="21" t="n">
        <f aca="false">Stock_Seguridad!U672</f>
        <v>0</v>
      </c>
      <c r="K672" s="22"/>
      <c r="L672" s="23"/>
      <c r="M672" s="23"/>
      <c r="N672" s="23"/>
      <c r="O672" s="24"/>
      <c r="P672" s="24" t="str">
        <f aca="false">IF(ISNUMBER(Stock_Seguridad!N672),Stock_Seguridad!N672,"")</f>
        <v/>
      </c>
      <c r="Q672" s="24" t="str">
        <f aca="false">IF(AND(ISNUMBER(O672),ISNUMBER(P672)),P672-O672,"")</f>
        <v/>
      </c>
      <c r="R672" s="23" t="n">
        <f aca="false">MAX(0,G672-N(L672))</f>
        <v>0</v>
      </c>
      <c r="S672" s="23" t="n">
        <f aca="false">SUMIFS(Cadenas_vs_FCST!$D$17:$D$2437,Cadenas_vs_FCST!$A$17:$A$2437,A672)</f>
        <v>0</v>
      </c>
      <c r="T672" s="23" t="n">
        <f aca="false">SUMIFS(Cadenas_vs_FCST!$E$17:$E$2437,Cadenas_vs_FCST!$A$17:$A$2437,A672)</f>
        <v>0</v>
      </c>
      <c r="U672" s="24" t="str">
        <f aca="false">IF(T672&gt;0,S672/T672-1,"")</f>
        <v/>
      </c>
      <c r="V672" s="3" t="str">
        <f aca="false">IF(OR(E672="BAJO SS",E672="BAJO SS (XLIB CUBRE)"),"SÍ","")</f>
        <v>SÍ</v>
      </c>
      <c r="W672" s="3" t="str">
        <f aca="false">IF(AND(V672="",N(L672)&gt;=Parametros!$B$17,G672&gt;=H672,R672&lt;H672),"SÍ","")</f>
        <v/>
      </c>
      <c r="X672" s="3" t="str">
        <f aca="false">IF(OR(E672="SOBRE MAX VENDIBLE",N(N672)&gt;=Parametros!$B$17,N(M672)&gt;=Parametros!$B$17),"SÍ","")</f>
        <v/>
      </c>
      <c r="Y672" s="3" t="str">
        <f aca="false">IF(AND(ISNUMBER(U672),MAX(S672,T672)&gt;=Parametros!$B$15,ABS(N(U672))&gt;Parametros!$B$14),"SÍ","")</f>
        <v/>
      </c>
      <c r="Z672" s="3" t="n">
        <f aca="false">COUNTIF(V672:Y672,"SÍ")</f>
        <v>1</v>
      </c>
      <c r="AA672" s="3" t="n">
        <f aca="false">(3*(V672="SÍ")+2*(W672="SÍ")+2*(X672="SÍ")+(Y672="SÍ"))*IF(LEFT(D672,1)="A",3,IF(OR(LEFT(D672,1)="B",D672="SIN HIST"),2,1))</f>
        <v>6</v>
      </c>
      <c r="AB672" s="3" t="str">
        <f aca="false">IF(AA672&gt;=9,"1-ALTA",IF(AA672&gt;=4,"2-MEDIA",IF(AA672&gt;0,"3-BAJA","")))</f>
        <v>2-MEDIA</v>
      </c>
      <c r="AC672" s="3" t="str">
        <f aca="false">IF(E672="BAJO SS","Stock + XLIB bajo el SS: riesgo real de quiebre, adelantar producción. ","")&amp;IF(E672="BAJO SS (XLIB CUBRE)","Disponible bajo el SS; depende de liberar "&amp;TEXT(J672,"#,##0")&amp;" kg"&amp;IF(ISNUMBER(K672)," el "&amp;TEXT(K672,"dd-mm"),"")&amp;". ","")&amp;IF(W672="SÍ","Stock parece sano pero "&amp;TEXT(L672,"#,##0")&amp;" kg no pasan filtro "&amp;Stock_Seguridad!O672&amp;": sin ellos queda bajo el SS para esa cadena. ","")&amp;IF(E672="SOBRE MAX VENDIBLE","Sobrestock vs vida útil: frenar producción/activar venta. ","")&amp;IF(N(N672)&gt;=Parametros!$B$17,TEXT(N672,"#,##0")&amp;" kg ya no los acepta ninguna cadena: venta intermedia/liquidación. ","")&amp;IF(N(M672)&gt;=Parametros!$B$17,TEXT(M672,"#,##0")&amp;" kg a punto de salir del filtro: despachar primero (FEFO). ","")&amp;IF(Y672="SÍ","Pedidos "&amp;IF(N(U672)&gt;0,"sobre","bajo")&amp;" FCST "&amp;TEXT(ABS(N(U672)),"0%")&amp;": revisar forecast con KAM.","")</f>
        <v>Stock + XLIB bajo el SS: riesgo real de quiebre, adelantar producción. </v>
      </c>
    </row>
    <row r="673" customFormat="false" ht="15" hidden="false" customHeight="false" outlineLevel="0" collapsed="false">
      <c r="A673" s="18" t="n">
        <f aca="false">Stock_Seguridad!A673</f>
        <v>30000818</v>
      </c>
      <c r="B673" s="18" t="str">
        <f aca="false">Stock_Seguridad!B673</f>
        <v>GARBANZO FM 8X2KG</v>
      </c>
      <c r="C673" s="18" t="str">
        <f aca="false">Stock_Seguridad!C673</f>
        <v>FRUTAS Y HORTALIZAS CONGELADAS</v>
      </c>
      <c r="D673" s="18" t="str">
        <f aca="false">Stock_Seguridad!F673</f>
        <v>SIN HIST</v>
      </c>
      <c r="E673" s="19" t="str">
        <f aca="false">Stock_Seguridad!X673</f>
        <v>OK</v>
      </c>
      <c r="F673" s="20" t="n">
        <f aca="false">Stock_Seguridad!W673</f>
        <v>20.2235597592433</v>
      </c>
      <c r="G673" s="21" t="n">
        <f aca="false">Stock_Seguridad!T673</f>
        <v>2352</v>
      </c>
      <c r="H673" s="21" t="n">
        <f aca="false">Stock_Seguridad!R673</f>
        <v>57.3889430443368</v>
      </c>
      <c r="I673" s="21" t="n">
        <f aca="false">Stock_Seguridad!S673</f>
        <v>173.688943044337</v>
      </c>
      <c r="J673" s="21" t="n">
        <f aca="false">Stock_Seguridad!U673</f>
        <v>0</v>
      </c>
      <c r="K673" s="22"/>
      <c r="L673" s="23" t="n">
        <v>0</v>
      </c>
      <c r="M673" s="23" t="n">
        <v>0</v>
      </c>
      <c r="N673" s="23" t="n">
        <v>0</v>
      </c>
      <c r="O673" s="24" t="n">
        <v>0.440272108843537</v>
      </c>
      <c r="P673" s="24" t="str">
        <f aca="false">IF(ISNUMBER(Stock_Seguridad!N673),Stock_Seguridad!N673,"")</f>
        <v/>
      </c>
      <c r="Q673" s="24" t="str">
        <f aca="false">IF(AND(ISNUMBER(O673),ISNUMBER(P673)),P673-O673,"")</f>
        <v/>
      </c>
      <c r="R673" s="23" t="n">
        <f aca="false">MAX(0,G673-N(L673))</f>
        <v>2352</v>
      </c>
      <c r="S673" s="23" t="n">
        <f aca="false">SUMIFS(Cadenas_vs_FCST!$D$17:$D$2437,Cadenas_vs_FCST!$A$17:$A$2437,A673)</f>
        <v>0</v>
      </c>
      <c r="T673" s="23" t="n">
        <f aca="false">SUMIFS(Cadenas_vs_FCST!$E$17:$E$2437,Cadenas_vs_FCST!$A$17:$A$2437,A673)</f>
        <v>0</v>
      </c>
      <c r="U673" s="24" t="str">
        <f aca="false">IF(T673&gt;0,S673/T673-1,"")</f>
        <v/>
      </c>
      <c r="V673" s="3" t="str">
        <f aca="false">IF(OR(E673="BAJO SS",E673="BAJO SS (XLIB CUBRE)"),"SÍ","")</f>
        <v/>
      </c>
      <c r="W673" s="3" t="str">
        <f aca="false">IF(AND(V673="",N(L673)&gt;=Parametros!$B$17,G673&gt;=H673,R673&lt;H673),"SÍ","")</f>
        <v/>
      </c>
      <c r="X673" s="3" t="str">
        <f aca="false">IF(OR(E673="SOBRE MAX VENDIBLE",N(N673)&gt;=Parametros!$B$17,N(M673)&gt;=Parametros!$B$17),"SÍ","")</f>
        <v/>
      </c>
      <c r="Y673" s="3" t="str">
        <f aca="false">IF(AND(ISNUMBER(U673),MAX(S673,T673)&gt;=Parametros!$B$15,ABS(N(U673))&gt;Parametros!$B$14),"SÍ","")</f>
        <v/>
      </c>
      <c r="Z673" s="3" t="n">
        <f aca="false">COUNTIF(V673:Y673,"SÍ")</f>
        <v>0</v>
      </c>
      <c r="AA673" s="3" t="n">
        <f aca="false">(3*(V673="SÍ")+2*(W673="SÍ")+2*(X673="SÍ")+(Y673="SÍ"))*IF(LEFT(D673,1)="A",3,IF(OR(LEFT(D673,1)="B",D673="SIN HIST"),2,1))</f>
        <v>0</v>
      </c>
      <c r="AB673" s="3" t="str">
        <f aca="false">IF(AA673&gt;=9,"1-ALTA",IF(AA673&gt;=4,"2-MEDIA",IF(AA673&gt;0,"3-BAJA","")))</f>
        <v/>
      </c>
      <c r="AC673" s="3" t="str">
        <f aca="false">IF(E673="BAJO SS","Stock + XLIB bajo el SS: riesgo real de quiebre, adelantar producción. ","")&amp;IF(E673="BAJO SS (XLIB CUBRE)","Disponible bajo el SS; depende de liberar "&amp;TEXT(J673,"#,##0")&amp;" kg"&amp;IF(ISNUMBER(K673)," el "&amp;TEXT(K673,"dd-mm"),"")&amp;". ","")&amp;IF(W673="SÍ","Stock parece sano pero "&amp;TEXT(L673,"#,##0")&amp;" kg no pasan filtro "&amp;Stock_Seguridad!O673&amp;": sin ellos queda bajo el SS para esa cadena. ","")&amp;IF(E673="SOBRE MAX VENDIBLE","Sobrestock vs vida útil: frenar producción/activar venta. ","")&amp;IF(N(N673)&gt;=Parametros!$B$17,TEXT(N673,"#,##0")&amp;" kg ya no los acepta ninguna cadena: venta intermedia/liquidación. ","")&amp;IF(N(M673)&gt;=Parametros!$B$17,TEXT(M673,"#,##0")&amp;" kg a punto de salir del filtro: despachar primero (FEFO). ","")&amp;IF(Y673="SÍ","Pedidos "&amp;IF(N(U673)&gt;0,"sobre","bajo")&amp;" FCST "&amp;TEXT(ABS(N(U673)),"0%")&amp;": revisar forecast con KAM.","")</f>
        <v/>
      </c>
    </row>
    <row r="674" customFormat="false" ht="15" hidden="false" customHeight="false" outlineLevel="0" collapsed="false">
      <c r="A674" s="18" t="n">
        <f aca="false">Stock_Seguridad!A674</f>
        <v>30001867</v>
      </c>
      <c r="B674" s="18" t="str">
        <f aca="false">Stock_Seguridad!B674</f>
        <v>PAPAS RELLENAS QUESO 15X220GR</v>
      </c>
      <c r="C674" s="18" t="str">
        <f aca="false">Stock_Seguridad!C674</f>
        <v>FRUTAS Y HORTALIZAS CONGELADAS</v>
      </c>
      <c r="D674" s="18" t="str">
        <f aca="false">Stock_Seguridad!F674</f>
        <v>SIN HIST</v>
      </c>
      <c r="E674" s="19" t="str">
        <f aca="false">Stock_Seguridad!X674</f>
        <v>OK</v>
      </c>
      <c r="F674" s="20" t="n">
        <f aca="false">Stock_Seguridad!W674</f>
        <v>8.39196940726577</v>
      </c>
      <c r="G674" s="21" t="n">
        <f aca="false">Stock_Seguridad!T674</f>
        <v>877.8</v>
      </c>
      <c r="H674" s="21" t="n">
        <f aca="false">Stock_Seguridad!R674</f>
        <v>51.6155068137372</v>
      </c>
      <c r="I674" s="21" t="n">
        <f aca="false">Stock_Seguridad!S674</f>
        <v>156.215506813737</v>
      </c>
      <c r="J674" s="21" t="n">
        <f aca="false">Stock_Seguridad!U674</f>
        <v>0</v>
      </c>
      <c r="K674" s="22"/>
      <c r="L674" s="23" t="n">
        <v>0</v>
      </c>
      <c r="M674" s="23" t="n">
        <v>0</v>
      </c>
      <c r="N674" s="23" t="n">
        <v>0</v>
      </c>
      <c r="O674" s="24" t="n">
        <v>0.0857142857142857</v>
      </c>
      <c r="P674" s="24" t="str">
        <f aca="false">IF(ISNUMBER(Stock_Seguridad!N674),Stock_Seguridad!N674,"")</f>
        <v/>
      </c>
      <c r="Q674" s="24" t="str">
        <f aca="false">IF(AND(ISNUMBER(O674),ISNUMBER(P674)),P674-O674,"")</f>
        <v/>
      </c>
      <c r="R674" s="23" t="n">
        <f aca="false">MAX(0,G674-N(L674))</f>
        <v>877.8</v>
      </c>
      <c r="S674" s="23" t="n">
        <f aca="false">SUMIFS(Cadenas_vs_FCST!$D$17:$D$2437,Cadenas_vs_FCST!$A$17:$A$2437,A674)</f>
        <v>0</v>
      </c>
      <c r="T674" s="23" t="n">
        <f aca="false">SUMIFS(Cadenas_vs_FCST!$E$17:$E$2437,Cadenas_vs_FCST!$A$17:$A$2437,A674)</f>
        <v>0</v>
      </c>
      <c r="U674" s="24" t="str">
        <f aca="false">IF(T674&gt;0,S674/T674-1,"")</f>
        <v/>
      </c>
      <c r="V674" s="3" t="str">
        <f aca="false">IF(OR(E674="BAJO SS",E674="BAJO SS (XLIB CUBRE)"),"SÍ","")</f>
        <v/>
      </c>
      <c r="W674" s="3" t="str">
        <f aca="false">IF(AND(V674="",N(L674)&gt;=Parametros!$B$17,G674&gt;=H674,R674&lt;H674),"SÍ","")</f>
        <v/>
      </c>
      <c r="X674" s="3" t="str">
        <f aca="false">IF(OR(E674="SOBRE MAX VENDIBLE",N(N674)&gt;=Parametros!$B$17,N(M674)&gt;=Parametros!$B$17),"SÍ","")</f>
        <v/>
      </c>
      <c r="Y674" s="3" t="str">
        <f aca="false">IF(AND(ISNUMBER(U674),MAX(S674,T674)&gt;=Parametros!$B$15,ABS(N(U674))&gt;Parametros!$B$14),"SÍ","")</f>
        <v/>
      </c>
      <c r="Z674" s="3" t="n">
        <f aca="false">COUNTIF(V674:Y674,"SÍ")</f>
        <v>0</v>
      </c>
      <c r="AA674" s="3" t="n">
        <f aca="false">(3*(V674="SÍ")+2*(W674="SÍ")+2*(X674="SÍ")+(Y674="SÍ"))*IF(LEFT(D674,1)="A",3,IF(OR(LEFT(D674,1)="B",D674="SIN HIST"),2,1))</f>
        <v>0</v>
      </c>
      <c r="AB674" s="3" t="str">
        <f aca="false">IF(AA674&gt;=9,"1-ALTA",IF(AA674&gt;=4,"2-MEDIA",IF(AA674&gt;0,"3-BAJA","")))</f>
        <v/>
      </c>
      <c r="AC674" s="3" t="str">
        <f aca="false">IF(E674="BAJO SS","Stock + XLIB bajo el SS: riesgo real de quiebre, adelantar producción. ","")&amp;IF(E674="BAJO SS (XLIB CUBRE)","Disponible bajo el SS; depende de liberar "&amp;TEXT(J674,"#,##0")&amp;" kg"&amp;IF(ISNUMBER(K674)," el "&amp;TEXT(K674,"dd-mm"),"")&amp;". ","")&amp;IF(W674="SÍ","Stock parece sano pero "&amp;TEXT(L674,"#,##0")&amp;" kg no pasan filtro "&amp;Stock_Seguridad!O674&amp;": sin ellos queda bajo el SS para esa cadena. ","")&amp;IF(E674="SOBRE MAX VENDIBLE","Sobrestock vs vida útil: frenar producción/activar venta. ","")&amp;IF(N(N674)&gt;=Parametros!$B$17,TEXT(N674,"#,##0")&amp;" kg ya no los acepta ninguna cadena: venta intermedia/liquidación. ","")&amp;IF(N(M674)&gt;=Parametros!$B$17,TEXT(M674,"#,##0")&amp;" kg a punto de salir del filtro: despachar primero (FEFO). ","")&amp;IF(Y674="SÍ","Pedidos "&amp;IF(N(U674)&gt;0,"sobre","bajo")&amp;" FCST "&amp;TEXT(ABS(N(U674)),"0%")&amp;": revisar forecast con KAM.","")</f>
        <v/>
      </c>
    </row>
    <row r="675" customFormat="false" ht="15" hidden="false" customHeight="false" outlineLevel="0" collapsed="false">
      <c r="A675" s="18" t="n">
        <f aca="false">Stock_Seguridad!A675</f>
        <v>30001037</v>
      </c>
      <c r="B675" s="18" t="str">
        <f aca="false">Stock_Seguridad!B675</f>
        <v>YOGURT DANONE L&amp;F  NAT BOT 6X900GR</v>
      </c>
      <c r="C675" s="18" t="str">
        <f aca="false">Stock_Seguridad!C675</f>
        <v>YOGURT</v>
      </c>
      <c r="D675" s="18" t="str">
        <f aca="false">Stock_Seguridad!F675</f>
        <v>CX</v>
      </c>
      <c r="E675" s="19" t="str">
        <f aca="false">Stock_Seguridad!X675</f>
        <v>SOBRE MAX VENDIBLE</v>
      </c>
      <c r="F675" s="20" t="n">
        <f aca="false">Stock_Seguridad!W675</f>
        <v>21.0519031141869</v>
      </c>
      <c r="G675" s="21" t="n">
        <f aca="false">Stock_Seguridad!T675</f>
        <v>1825.2</v>
      </c>
      <c r="H675" s="21" t="n">
        <f aca="false">Stock_Seguridad!R675</f>
        <v>61.9285714285714</v>
      </c>
      <c r="I675" s="21" t="n">
        <f aca="false">Stock_Seguridad!S675</f>
        <v>148.628571428571</v>
      </c>
      <c r="J675" s="21" t="n">
        <f aca="false">Stock_Seguridad!U675</f>
        <v>0</v>
      </c>
      <c r="K675" s="22"/>
      <c r="L675" s="23" t="n">
        <v>410.4</v>
      </c>
      <c r="M675" s="23" t="n">
        <v>0</v>
      </c>
      <c r="N675" s="23" t="n">
        <v>410.4</v>
      </c>
      <c r="O675" s="24" t="n">
        <v>0.170890207715134</v>
      </c>
      <c r="P675" s="24" t="n">
        <f aca="false">IF(ISNUMBER(Stock_Seguridad!N675),Stock_Seguridad!N675,"")</f>
        <v>0.193548387096774</v>
      </c>
      <c r="Q675" s="24" t="n">
        <f aca="false">IF(AND(ISNUMBER(O675),ISNUMBER(P675)),P675-O675,"")</f>
        <v>0.0226581793816406</v>
      </c>
      <c r="R675" s="23" t="n">
        <f aca="false">MAX(0,G675-N(L675))</f>
        <v>1414.8</v>
      </c>
      <c r="S675" s="23" t="n">
        <f aca="false">SUMIFS(Cadenas_vs_FCST!$D$17:$D$2437,Cadenas_vs_FCST!$A$17:$A$2437,A675)</f>
        <v>2052</v>
      </c>
      <c r="T675" s="23" t="n">
        <f aca="false">SUMIFS(Cadenas_vs_FCST!$E$17:$E$2437,Cadenas_vs_FCST!$A$17:$A$2437,A675)</f>
        <v>1133.12416823856</v>
      </c>
      <c r="U675" s="24" t="n">
        <f aca="false">IF(T675&gt;0,S675/T675-1,"")</f>
        <v>0.810922454500139</v>
      </c>
      <c r="V675" s="3" t="str">
        <f aca="false">IF(OR(E675="BAJO SS",E675="BAJO SS (XLIB CUBRE)"),"SÍ","")</f>
        <v/>
      </c>
      <c r="W675" s="3" t="str">
        <f aca="false">IF(AND(V675="",N(L675)&gt;=Parametros!$B$17,G675&gt;=H675,R675&lt;H675),"SÍ","")</f>
        <v/>
      </c>
      <c r="X675" s="3" t="str">
        <f aca="false">IF(OR(E675="SOBRE MAX VENDIBLE",N(N675)&gt;=Parametros!$B$17,N(M675)&gt;=Parametros!$B$17),"SÍ","")</f>
        <v>SÍ</v>
      </c>
      <c r="Y675" s="3" t="str">
        <f aca="false">IF(AND(ISNUMBER(U675),MAX(S675,T675)&gt;=Parametros!$B$15,ABS(N(U675))&gt;Parametros!$B$14),"SÍ","")</f>
        <v>SÍ</v>
      </c>
      <c r="Z675" s="3" t="n">
        <f aca="false">COUNTIF(V675:Y675,"SÍ")</f>
        <v>2</v>
      </c>
      <c r="AA675" s="3" t="n">
        <f aca="false">(3*(V675="SÍ")+2*(W675="SÍ")+2*(X675="SÍ")+(Y675="SÍ"))*IF(LEFT(D675,1)="A",3,IF(OR(LEFT(D675,1)="B",D675="SIN HIST"),2,1))</f>
        <v>3</v>
      </c>
      <c r="AB675" s="3" t="str">
        <f aca="false">IF(AA675&gt;=9,"1-ALTA",IF(AA675&gt;=4,"2-MEDIA",IF(AA675&gt;0,"3-BAJA","")))</f>
        <v>3-BAJA</v>
      </c>
      <c r="AC675" s="3" t="str">
        <f aca="false">IF(E675="BAJO SS","Stock + XLIB bajo el SS: riesgo real de quiebre, adelantar producción. ","")&amp;IF(E675="BAJO SS (XLIB CUBRE)","Disponible bajo el SS; depende de liberar "&amp;TEXT(J675,"#,##0")&amp;" kg"&amp;IF(ISNUMBER(K675)," el "&amp;TEXT(K675,"dd-mm"),"")&amp;". ","")&amp;IF(W675="SÍ","Stock parece sano pero "&amp;TEXT(L675,"#,##0")&amp;" kg no pasan filtro "&amp;Stock_Seguridad!O675&amp;": sin ellos queda bajo el SS para esa cadena. ","")&amp;IF(E675="SOBRE MAX VENDIBLE","Sobrestock vs vida útil: frenar producción/activar venta. ","")&amp;IF(N(N675)&gt;=Parametros!$B$17,TEXT(N675,"#,##0")&amp;" kg ya no los acepta ninguna cadena: venta intermedia/liquidación. ","")&amp;IF(N(M675)&gt;=Parametros!$B$17,TEXT(M675,"#,##0")&amp;" kg a punto de salir del filtro: despachar primero (FEFO). ","")&amp;IF(Y675="SÍ","Pedidos "&amp;IF(N(U675)&gt;0,"sobre","bajo")&amp;" FCST "&amp;TEXT(ABS(N(U675)),"0%")&amp;": revisar forecast con KAM.","")</f>
        <v>Sobrestock vs vida útil: frenar producción/activar venta. Pedidos sobre FCST 81%: revisar forecast con KAM.</v>
      </c>
    </row>
    <row r="676" customFormat="false" ht="15" hidden="false" customHeight="false" outlineLevel="0" collapsed="false">
      <c r="A676" s="18" t="n">
        <f aca="false">Stock_Seguridad!A676</f>
        <v>30002195</v>
      </c>
      <c r="B676" s="18" t="str">
        <f aca="false">Stock_Seguridad!B676</f>
        <v>COBERTURA SACHER BIANCA 1X6 KG</v>
      </c>
      <c r="C676" s="18" t="str">
        <f aca="false">Stock_Seguridad!C676</f>
        <v>COBERTURA</v>
      </c>
      <c r="D676" s="18" t="str">
        <f aca="false">Stock_Seguridad!F676</f>
        <v>SIN HIST</v>
      </c>
      <c r="E676" s="19" t="str">
        <f aca="false">Stock_Seguridad!X676</f>
        <v>OK</v>
      </c>
      <c r="F676" s="20" t="n">
        <f aca="false">Stock_Seguridad!W676</f>
        <v>10.0358422939068</v>
      </c>
      <c r="G676" s="21" t="n">
        <f aca="false">Stock_Seguridad!T676</f>
        <v>840</v>
      </c>
      <c r="H676" s="21" t="n">
        <f aca="false">Stock_Seguridad!R676</f>
        <v>41.3022745727515</v>
      </c>
      <c r="I676" s="21" t="n">
        <f aca="false">Stock_Seguridad!S676</f>
        <v>125.002274572751</v>
      </c>
      <c r="J676" s="21" t="n">
        <f aca="false">Stock_Seguridad!U676</f>
        <v>0</v>
      </c>
      <c r="K676" s="22"/>
      <c r="L676" s="23" t="n">
        <v>0</v>
      </c>
      <c r="M676" s="23" t="n">
        <v>0</v>
      </c>
      <c r="N676" s="23" t="n">
        <v>0</v>
      </c>
      <c r="O676" s="24" t="n">
        <v>0.73</v>
      </c>
      <c r="P676" s="24" t="str">
        <f aca="false">IF(ISNUMBER(Stock_Seguridad!N676),Stock_Seguridad!N676,"")</f>
        <v/>
      </c>
      <c r="Q676" s="24" t="str">
        <f aca="false">IF(AND(ISNUMBER(O676),ISNUMBER(P676)),P676-O676,"")</f>
        <v/>
      </c>
      <c r="R676" s="23" t="n">
        <f aca="false">MAX(0,G676-N(L676))</f>
        <v>840</v>
      </c>
      <c r="S676" s="23" t="n">
        <f aca="false">SUMIFS(Cadenas_vs_FCST!$D$17:$D$2437,Cadenas_vs_FCST!$A$17:$A$2437,A676)</f>
        <v>0</v>
      </c>
      <c r="T676" s="23" t="n">
        <f aca="false">SUMIFS(Cadenas_vs_FCST!$E$17:$E$2437,Cadenas_vs_FCST!$A$17:$A$2437,A676)</f>
        <v>0</v>
      </c>
      <c r="U676" s="24" t="str">
        <f aca="false">IF(T676&gt;0,S676/T676-1,"")</f>
        <v/>
      </c>
      <c r="V676" s="3" t="str">
        <f aca="false">IF(OR(E676="BAJO SS",E676="BAJO SS (XLIB CUBRE)"),"SÍ","")</f>
        <v/>
      </c>
      <c r="W676" s="3" t="str">
        <f aca="false">IF(AND(V676="",N(L676)&gt;=Parametros!$B$17,G676&gt;=H676,R676&lt;H676),"SÍ","")</f>
        <v/>
      </c>
      <c r="X676" s="3" t="str">
        <f aca="false">IF(OR(E676="SOBRE MAX VENDIBLE",N(N676)&gt;=Parametros!$B$17,N(M676)&gt;=Parametros!$B$17),"SÍ","")</f>
        <v/>
      </c>
      <c r="Y676" s="3" t="str">
        <f aca="false">IF(AND(ISNUMBER(U676),MAX(S676,T676)&gt;=Parametros!$B$15,ABS(N(U676))&gt;Parametros!$B$14),"SÍ","")</f>
        <v/>
      </c>
      <c r="Z676" s="3" t="n">
        <f aca="false">COUNTIF(V676:Y676,"SÍ")</f>
        <v>0</v>
      </c>
      <c r="AA676" s="3" t="n">
        <f aca="false">(3*(V676="SÍ")+2*(W676="SÍ")+2*(X676="SÍ")+(Y676="SÍ"))*IF(LEFT(D676,1)="A",3,IF(OR(LEFT(D676,1)="B",D676="SIN HIST"),2,1))</f>
        <v>0</v>
      </c>
      <c r="AB676" s="3" t="str">
        <f aca="false">IF(AA676&gt;=9,"1-ALTA",IF(AA676&gt;=4,"2-MEDIA",IF(AA676&gt;0,"3-BAJA","")))</f>
        <v/>
      </c>
      <c r="AC676" s="3" t="str">
        <f aca="false">IF(E676="BAJO SS","Stock + XLIB bajo el SS: riesgo real de quiebre, adelantar producción. ","")&amp;IF(E676="BAJO SS (XLIB CUBRE)","Disponible bajo el SS; depende de liberar "&amp;TEXT(J676,"#,##0")&amp;" kg"&amp;IF(ISNUMBER(K676)," el "&amp;TEXT(K676,"dd-mm"),"")&amp;". ","")&amp;IF(W676="SÍ","Stock parece sano pero "&amp;TEXT(L676,"#,##0")&amp;" kg no pasan filtro "&amp;Stock_Seguridad!O676&amp;": sin ellos queda bajo el SS para esa cadena. ","")&amp;IF(E676="SOBRE MAX VENDIBLE","Sobrestock vs vida útil: frenar producción/activar venta. ","")&amp;IF(N(N676)&gt;=Parametros!$B$17,TEXT(N676,"#,##0")&amp;" kg ya no los acepta ninguna cadena: venta intermedia/liquidación. ","")&amp;IF(N(M676)&gt;=Parametros!$B$17,TEXT(M676,"#,##0")&amp;" kg a punto de salir del filtro: despachar primero (FEFO). ","")&amp;IF(Y676="SÍ","Pedidos "&amp;IF(N(U676)&gt;0,"sobre","bajo")&amp;" FCST "&amp;TEXT(ABS(N(U676)),"0%")&amp;": revisar forecast con KAM.","")</f>
        <v/>
      </c>
    </row>
    <row r="677" customFormat="false" ht="15" hidden="false" customHeight="false" outlineLevel="0" collapsed="false">
      <c r="A677" s="18" t="n">
        <f aca="false">Stock_Seguridad!A677</f>
        <v>30001865</v>
      </c>
      <c r="B677" s="18" t="str">
        <f aca="false">Stock_Seguridad!B677</f>
        <v>PAPAS RELLENAS PINO CHAMPIÑON 15X220GR</v>
      </c>
      <c r="C677" s="18" t="str">
        <f aca="false">Stock_Seguridad!C677</f>
        <v>FRUTAS Y HORTALIZAS CONGELADAS</v>
      </c>
      <c r="D677" s="18" t="str">
        <f aca="false">Stock_Seguridad!F677</f>
        <v>SIN HIST</v>
      </c>
      <c r="E677" s="19" t="str">
        <f aca="false">Stock_Seguridad!X677</f>
        <v>BAJO SS</v>
      </c>
      <c r="F677" s="20" t="n">
        <f aca="false">Stock_Seguridad!W677</f>
        <v>0</v>
      </c>
      <c r="G677" s="21" t="n">
        <f aca="false">Stock_Seguridad!T677</f>
        <v>0</v>
      </c>
      <c r="H677" s="21" t="n">
        <f aca="false">Stock_Seguridad!R677</f>
        <v>36.7131329535568</v>
      </c>
      <c r="I677" s="21" t="n">
        <f aca="false">Stock_Seguridad!S677</f>
        <v>111.113132953557</v>
      </c>
      <c r="J677" s="21" t="n">
        <f aca="false">Stock_Seguridad!U677</f>
        <v>0</v>
      </c>
      <c r="K677" s="22"/>
      <c r="L677" s="23"/>
      <c r="M677" s="23"/>
      <c r="N677" s="23"/>
      <c r="O677" s="24"/>
      <c r="P677" s="24" t="str">
        <f aca="false">IF(ISNUMBER(Stock_Seguridad!N677),Stock_Seguridad!N677,"")</f>
        <v/>
      </c>
      <c r="Q677" s="24" t="str">
        <f aca="false">IF(AND(ISNUMBER(O677),ISNUMBER(P677)),P677-O677,"")</f>
        <v/>
      </c>
      <c r="R677" s="23" t="n">
        <f aca="false">MAX(0,G677-N(L677))</f>
        <v>0</v>
      </c>
      <c r="S677" s="23" t="n">
        <f aca="false">SUMIFS(Cadenas_vs_FCST!$D$17:$D$2437,Cadenas_vs_FCST!$A$17:$A$2437,A677)</f>
        <v>0</v>
      </c>
      <c r="T677" s="23" t="n">
        <f aca="false">SUMIFS(Cadenas_vs_FCST!$E$17:$E$2437,Cadenas_vs_FCST!$A$17:$A$2437,A677)</f>
        <v>0</v>
      </c>
      <c r="U677" s="24" t="str">
        <f aca="false">IF(T677&gt;0,S677/T677-1,"")</f>
        <v/>
      </c>
      <c r="V677" s="3" t="str">
        <f aca="false">IF(OR(E677="BAJO SS",E677="BAJO SS (XLIB CUBRE)"),"SÍ","")</f>
        <v>SÍ</v>
      </c>
      <c r="W677" s="3" t="str">
        <f aca="false">IF(AND(V677="",N(L677)&gt;=Parametros!$B$17,G677&gt;=H677,R677&lt;H677),"SÍ","")</f>
        <v/>
      </c>
      <c r="X677" s="3" t="str">
        <f aca="false">IF(OR(E677="SOBRE MAX VENDIBLE",N(N677)&gt;=Parametros!$B$17,N(M677)&gt;=Parametros!$B$17),"SÍ","")</f>
        <v/>
      </c>
      <c r="Y677" s="3" t="str">
        <f aca="false">IF(AND(ISNUMBER(U677),MAX(S677,T677)&gt;=Parametros!$B$15,ABS(N(U677))&gt;Parametros!$B$14),"SÍ","")</f>
        <v/>
      </c>
      <c r="Z677" s="3" t="n">
        <f aca="false">COUNTIF(V677:Y677,"SÍ")</f>
        <v>1</v>
      </c>
      <c r="AA677" s="3" t="n">
        <f aca="false">(3*(V677="SÍ")+2*(W677="SÍ")+2*(X677="SÍ")+(Y677="SÍ"))*IF(LEFT(D677,1)="A",3,IF(OR(LEFT(D677,1)="B",D677="SIN HIST"),2,1))</f>
        <v>6</v>
      </c>
      <c r="AB677" s="3" t="str">
        <f aca="false">IF(AA677&gt;=9,"1-ALTA",IF(AA677&gt;=4,"2-MEDIA",IF(AA677&gt;0,"3-BAJA","")))</f>
        <v>2-MEDIA</v>
      </c>
      <c r="AC677" s="3" t="str">
        <f aca="false">IF(E677="BAJO SS","Stock + XLIB bajo el SS: riesgo real de quiebre, adelantar producción. ","")&amp;IF(E677="BAJO SS (XLIB CUBRE)","Disponible bajo el SS; depende de liberar "&amp;TEXT(J677,"#,##0")&amp;" kg"&amp;IF(ISNUMBER(K677)," el "&amp;TEXT(K677,"dd-mm"),"")&amp;". ","")&amp;IF(W677="SÍ","Stock parece sano pero "&amp;TEXT(L677,"#,##0")&amp;" kg no pasan filtro "&amp;Stock_Seguridad!O677&amp;": sin ellos queda bajo el SS para esa cadena. ","")&amp;IF(E677="SOBRE MAX VENDIBLE","Sobrestock vs vida útil: frenar producción/activar venta. ","")&amp;IF(N(N677)&gt;=Parametros!$B$17,TEXT(N677,"#,##0")&amp;" kg ya no los acepta ninguna cadena: venta intermedia/liquidación. ","")&amp;IF(N(M677)&gt;=Parametros!$B$17,TEXT(M677,"#,##0")&amp;" kg a punto de salir del filtro: despachar primero (FEFO). ","")&amp;IF(Y677="SÍ","Pedidos "&amp;IF(N(U677)&gt;0,"sobre","bajo")&amp;" FCST "&amp;TEXT(ABS(N(U677)),"0%")&amp;": revisar forecast con KAM.","")</f>
        <v>Stock + XLIB bajo el SS: riesgo real de quiebre, adelantar producción. </v>
      </c>
    </row>
    <row r="678" customFormat="false" ht="15" hidden="false" customHeight="false" outlineLevel="0" collapsed="false">
      <c r="A678" s="18" t="n">
        <f aca="false">Stock_Seguridad!A678</f>
        <v>30001412</v>
      </c>
      <c r="B678" s="18" t="str">
        <f aca="false">Stock_Seguridad!B678</f>
        <v>LECHE LONCO PROTEIN CHOCOLATE 18X200ML</v>
      </c>
      <c r="C678" s="18" t="str">
        <f aca="false">Stock_Seguridad!C678</f>
        <v>LECHES LIQUIDAS</v>
      </c>
      <c r="D678" s="18" t="str">
        <f aca="false">Stock_Seguridad!F678</f>
        <v>CZ</v>
      </c>
      <c r="E678" s="19" t="str">
        <f aca="false">Stock_Seguridad!X678</f>
        <v>SOBRE MAX VENDIBLE</v>
      </c>
      <c r="F678" s="20" t="n">
        <f aca="false">Stock_Seguridad!W678</f>
        <v>19.3112582781457</v>
      </c>
      <c r="G678" s="21" t="n">
        <f aca="false">Stock_Seguridad!T678</f>
        <v>291.6</v>
      </c>
      <c r="H678" s="21" t="n">
        <f aca="false">Stock_Seguridad!R678</f>
        <v>71.1857142857143</v>
      </c>
      <c r="I678" s="21" t="n">
        <f aca="false">Stock_Seguridad!S678</f>
        <v>86.2857142857143</v>
      </c>
      <c r="J678" s="21" t="n">
        <f aca="false">Stock_Seguridad!U678</f>
        <v>0</v>
      </c>
      <c r="K678" s="22"/>
      <c r="L678" s="23" t="n">
        <v>291.6</v>
      </c>
      <c r="M678" s="23" t="n">
        <v>0</v>
      </c>
      <c r="N678" s="23" t="n">
        <v>291.6</v>
      </c>
      <c r="O678" s="24" t="n">
        <v>0.66</v>
      </c>
      <c r="P678" s="24" t="n">
        <f aca="false">IF(ISNUMBER(Stock_Seguridad!N678),Stock_Seguridad!N678,"")</f>
        <v>0.211640211640212</v>
      </c>
      <c r="Q678" s="24" t="n">
        <f aca="false">IF(AND(ISNUMBER(O678),ISNUMBER(P678)),P678-O678,"")</f>
        <v>-0.448359788359788</v>
      </c>
      <c r="R678" s="23" t="n">
        <f aca="false">MAX(0,G678-N(L678))</f>
        <v>0</v>
      </c>
      <c r="S678" s="23" t="n">
        <f aca="false">SUMIFS(Cadenas_vs_FCST!$D$17:$D$2437,Cadenas_vs_FCST!$A$17:$A$2437,A678)</f>
        <v>3.6</v>
      </c>
      <c r="T678" s="23" t="n">
        <f aca="false">SUMIFS(Cadenas_vs_FCST!$E$17:$E$2437,Cadenas_vs_FCST!$A$17:$A$2437,A678)</f>
        <v>101.348582240631</v>
      </c>
      <c r="U678" s="24" t="n">
        <f aca="false">IF(T678&gt;0,S678/T678-1,"")</f>
        <v>-0.964479029499865</v>
      </c>
      <c r="V678" s="3" t="str">
        <f aca="false">IF(OR(E678="BAJO SS",E678="BAJO SS (XLIB CUBRE)"),"SÍ","")</f>
        <v/>
      </c>
      <c r="W678" s="3" t="str">
        <f aca="false">IF(AND(V678="",N(L678)&gt;=Parametros!$B$17,G678&gt;=H678,R678&lt;H678),"SÍ","")</f>
        <v/>
      </c>
      <c r="X678" s="3" t="str">
        <f aca="false">IF(OR(E678="SOBRE MAX VENDIBLE",N(N678)&gt;=Parametros!$B$17,N(M678)&gt;=Parametros!$B$17),"SÍ","")</f>
        <v>SÍ</v>
      </c>
      <c r="Y678" s="3" t="str">
        <f aca="false">IF(AND(ISNUMBER(U678),MAX(S678,T678)&gt;=Parametros!$B$15,ABS(N(U678))&gt;Parametros!$B$14),"SÍ","")</f>
        <v/>
      </c>
      <c r="Z678" s="3" t="n">
        <f aca="false">COUNTIF(V678:Y678,"SÍ")</f>
        <v>1</v>
      </c>
      <c r="AA678" s="3" t="n">
        <f aca="false">(3*(V678="SÍ")+2*(W678="SÍ")+2*(X678="SÍ")+(Y678="SÍ"))*IF(LEFT(D678,1)="A",3,IF(OR(LEFT(D678,1)="B",D678="SIN HIST"),2,1))</f>
        <v>2</v>
      </c>
      <c r="AB678" s="3" t="str">
        <f aca="false">IF(AA678&gt;=9,"1-ALTA",IF(AA678&gt;=4,"2-MEDIA",IF(AA678&gt;0,"3-BAJA","")))</f>
        <v>3-BAJA</v>
      </c>
      <c r="AC678" s="3" t="str">
        <f aca="false">IF(E678="BAJO SS","Stock + XLIB bajo el SS: riesgo real de quiebre, adelantar producción. ","")&amp;IF(E678="BAJO SS (XLIB CUBRE)","Disponible bajo el SS; depende de liberar "&amp;TEXT(J678,"#,##0")&amp;" kg"&amp;IF(ISNUMBER(K678)," el "&amp;TEXT(K678,"dd-mm"),"")&amp;". ","")&amp;IF(W678="SÍ","Stock parece sano pero "&amp;TEXT(L678,"#,##0")&amp;" kg no pasan filtro "&amp;Stock_Seguridad!O678&amp;": sin ellos queda bajo el SS para esa cadena. ","")&amp;IF(E678="SOBRE MAX VENDIBLE","Sobrestock vs vida útil: frenar producción/activar venta. ","")&amp;IF(N(N678)&gt;=Parametros!$B$17,TEXT(N678,"#,##0")&amp;" kg ya no los acepta ninguna cadena: venta intermedia/liquidación. ","")&amp;IF(N(M678)&gt;=Parametros!$B$17,TEXT(M678,"#,##0")&amp;" kg a punto de salir del filtro: despachar primero (FEFO). ","")&amp;IF(Y678="SÍ","Pedidos "&amp;IF(N(U678)&gt;0,"sobre","bajo")&amp;" FCST "&amp;TEXT(ABS(N(U678)),"0%")&amp;": revisar forecast con KAM.","")</f>
        <v>Sobrestock vs vida útil: frenar producción/activar venta. </v>
      </c>
    </row>
    <row r="679" customFormat="false" ht="15" hidden="false" customHeight="false" outlineLevel="0" collapsed="false">
      <c r="A679" s="18" t="n">
        <f aca="false">Stock_Seguridad!A679</f>
        <v>30000583</v>
      </c>
      <c r="B679" s="18" t="str">
        <f aca="false">Stock_Seguridad!B679</f>
        <v>VINO TTO OCHAG SILVESTRE BOT 12X750ML</v>
      </c>
      <c r="C679" s="18" t="str">
        <f aca="false">Stock_Seguridad!C679</f>
        <v>VINOS</v>
      </c>
      <c r="D679" s="18" t="str">
        <f aca="false">Stock_Seguridad!F679</f>
        <v>SIN HIST</v>
      </c>
      <c r="E679" s="19" t="str">
        <f aca="false">Stock_Seguridad!X679</f>
        <v>OK</v>
      </c>
      <c r="F679" s="20" t="n">
        <f aca="false">Stock_Seguridad!W679</f>
        <v>333.243243243243</v>
      </c>
      <c r="G679" s="21" t="n">
        <f aca="false">Stock_Seguridad!T679</f>
        <v>1233</v>
      </c>
      <c r="H679" s="21" t="n">
        <f aca="false">Stock_Seguridad!R679</f>
        <v>1.82578752591613</v>
      </c>
      <c r="I679" s="21" t="n">
        <f aca="false">Stock_Seguridad!S679</f>
        <v>5.52578752591613</v>
      </c>
      <c r="J679" s="21" t="n">
        <f aca="false">Stock_Seguridad!U679</f>
        <v>0</v>
      </c>
      <c r="K679" s="22"/>
      <c r="L679" s="23" t="n">
        <v>0</v>
      </c>
      <c r="M679" s="23" t="n">
        <v>0</v>
      </c>
      <c r="N679" s="23" t="n">
        <v>0</v>
      </c>
      <c r="O679" s="24" t="n">
        <v>0.775620437956204</v>
      </c>
      <c r="P679" s="24" t="str">
        <f aca="false">IF(ISNUMBER(Stock_Seguridad!N679),Stock_Seguridad!N679,"")</f>
        <v/>
      </c>
      <c r="Q679" s="24" t="str">
        <f aca="false">IF(AND(ISNUMBER(O679),ISNUMBER(P679)),P679-O679,"")</f>
        <v/>
      </c>
      <c r="R679" s="23" t="n">
        <f aca="false">MAX(0,G679-N(L679))</f>
        <v>1233</v>
      </c>
      <c r="S679" s="23" t="n">
        <f aca="false">SUMIFS(Cadenas_vs_FCST!$D$17:$D$2437,Cadenas_vs_FCST!$A$17:$A$2437,A679)</f>
        <v>0</v>
      </c>
      <c r="T679" s="23" t="n">
        <f aca="false">SUMIFS(Cadenas_vs_FCST!$E$17:$E$2437,Cadenas_vs_FCST!$A$17:$A$2437,A679)</f>
        <v>0</v>
      </c>
      <c r="U679" s="24" t="str">
        <f aca="false">IF(T679&gt;0,S679/T679-1,"")</f>
        <v/>
      </c>
      <c r="V679" s="3" t="str">
        <f aca="false">IF(OR(E679="BAJO SS",E679="BAJO SS (XLIB CUBRE)"),"SÍ","")</f>
        <v/>
      </c>
      <c r="W679" s="3" t="str">
        <f aca="false">IF(AND(V679="",N(L679)&gt;=Parametros!$B$17,G679&gt;=H679,R679&lt;H679),"SÍ","")</f>
        <v/>
      </c>
      <c r="X679" s="3" t="str">
        <f aca="false">IF(OR(E679="SOBRE MAX VENDIBLE",N(N679)&gt;=Parametros!$B$17,N(M679)&gt;=Parametros!$B$17),"SÍ","")</f>
        <v/>
      </c>
      <c r="Y679" s="3" t="str">
        <f aca="false">IF(AND(ISNUMBER(U679),MAX(S679,T679)&gt;=Parametros!$B$15,ABS(N(U679))&gt;Parametros!$B$14),"SÍ","")</f>
        <v/>
      </c>
      <c r="Z679" s="3" t="n">
        <f aca="false">COUNTIF(V679:Y679,"SÍ")</f>
        <v>0</v>
      </c>
      <c r="AA679" s="3" t="n">
        <f aca="false">(3*(V679="SÍ")+2*(W679="SÍ")+2*(X679="SÍ")+(Y679="SÍ"))*IF(LEFT(D679,1)="A",3,IF(OR(LEFT(D679,1)="B",D679="SIN HIST"),2,1))</f>
        <v>0</v>
      </c>
      <c r="AB679" s="3" t="str">
        <f aca="false">IF(AA679&gt;=9,"1-ALTA",IF(AA679&gt;=4,"2-MEDIA",IF(AA679&gt;0,"3-BAJA","")))</f>
        <v/>
      </c>
      <c r="AC679" s="3" t="str">
        <f aca="false">IF(E679="BAJO SS","Stock + XLIB bajo el SS: riesgo real de quiebre, adelantar producción. ","")&amp;IF(E679="BAJO SS (XLIB CUBRE)","Disponible bajo el SS; depende de liberar "&amp;TEXT(J679,"#,##0")&amp;" kg"&amp;IF(ISNUMBER(K679)," el "&amp;TEXT(K679,"dd-mm"),"")&amp;". ","")&amp;IF(W679="SÍ","Stock parece sano pero "&amp;TEXT(L679,"#,##0")&amp;" kg no pasan filtro "&amp;Stock_Seguridad!O679&amp;": sin ellos queda bajo el SS para esa cadena. ","")&amp;IF(E679="SOBRE MAX VENDIBLE","Sobrestock vs vida útil: frenar producción/activar venta. ","")&amp;IF(N(N679)&gt;=Parametros!$B$17,TEXT(N679,"#,##0")&amp;" kg ya no los acepta ninguna cadena: venta intermedia/liquidación. ","")&amp;IF(N(M679)&gt;=Parametros!$B$17,TEXT(M679,"#,##0")&amp;" kg a punto de salir del filtro: despachar primero (FEFO). ","")&amp;IF(Y679="SÍ","Pedidos "&amp;IF(N(U679)&gt;0,"sobre","bajo")&amp;" FCST "&amp;TEXT(ABS(N(U679)),"0%")&amp;": revisar forecast con KAM.","")</f>
        <v/>
      </c>
    </row>
    <row r="680" customFormat="false" ht="15" hidden="false" customHeight="false" outlineLevel="0" collapsed="false">
      <c r="A680" s="18" t="n">
        <f aca="false">Stock_Seguridad!A680</f>
        <v>30001973</v>
      </c>
      <c r="B680" s="18" t="str">
        <f aca="false">Stock_Seguridad!B680</f>
        <v>BEBIDA LONCOLECHE AVENA CHOCOLATE 6X1LT</v>
      </c>
      <c r="C680" s="18" t="str">
        <f aca="false">Stock_Seguridad!C680</f>
        <v>LECHES LIQUIDAS</v>
      </c>
      <c r="D680" s="18" t="str">
        <f aca="false">Stock_Seguridad!F680</f>
        <v>CZ</v>
      </c>
      <c r="E680" s="19" t="str">
        <f aca="false">Stock_Seguridad!X680</f>
        <v>BAJO SS</v>
      </c>
      <c r="F680" s="20" t="n">
        <f aca="false">Stock_Seguridad!W680</f>
        <v>0</v>
      </c>
      <c r="G680" s="21" t="n">
        <f aca="false">Stock_Seguridad!T680</f>
        <v>0</v>
      </c>
      <c r="H680" s="21" t="n">
        <f aca="false">Stock_Seguridad!R680</f>
        <v>66.0480189959245</v>
      </c>
      <c r="I680" s="21" t="n">
        <f aca="false">Stock_Seguridad!S680</f>
        <v>69.4480189959245</v>
      </c>
      <c r="J680" s="21" t="n">
        <f aca="false">Stock_Seguridad!U680</f>
        <v>0</v>
      </c>
      <c r="K680" s="22"/>
      <c r="L680" s="23"/>
      <c r="M680" s="23"/>
      <c r="N680" s="23"/>
      <c r="O680" s="24"/>
      <c r="P680" s="24" t="n">
        <f aca="false">IF(ISNUMBER(Stock_Seguridad!N680),Stock_Seguridad!N680,"")</f>
        <v>0.498630136986301</v>
      </c>
      <c r="Q680" s="24" t="str">
        <f aca="false">IF(AND(ISNUMBER(O680),ISNUMBER(P680)),P680-O680,"")</f>
        <v/>
      </c>
      <c r="R680" s="23" t="n">
        <f aca="false">MAX(0,G680-N(L680))</f>
        <v>0</v>
      </c>
      <c r="S680" s="23" t="n">
        <f aca="false">SUMIFS(Cadenas_vs_FCST!$D$17:$D$2437,Cadenas_vs_FCST!$A$17:$A$2437,A680)</f>
        <v>0</v>
      </c>
      <c r="T680" s="23" t="n">
        <f aca="false">SUMIFS(Cadenas_vs_FCST!$E$17:$E$2437,Cadenas_vs_FCST!$A$17:$A$2437,A680)</f>
        <v>127.791666666667</v>
      </c>
      <c r="U680" s="24" t="n">
        <f aca="false">IF(T680&gt;0,S680/T680-1,"")</f>
        <v>-1</v>
      </c>
      <c r="V680" s="3" t="str">
        <f aca="false">IF(OR(E680="BAJO SS",E680="BAJO SS (XLIB CUBRE)"),"SÍ","")</f>
        <v>SÍ</v>
      </c>
      <c r="W680" s="3" t="str">
        <f aca="false">IF(AND(V680="",N(L680)&gt;=Parametros!$B$17,G680&gt;=H680,R680&lt;H680),"SÍ","")</f>
        <v/>
      </c>
      <c r="X680" s="3" t="str">
        <f aca="false">IF(OR(E680="SOBRE MAX VENDIBLE",N(N680)&gt;=Parametros!$B$17,N(M680)&gt;=Parametros!$B$17),"SÍ","")</f>
        <v/>
      </c>
      <c r="Y680" s="3" t="str">
        <f aca="false">IF(AND(ISNUMBER(U680),MAX(S680,T680)&gt;=Parametros!$B$15,ABS(N(U680))&gt;Parametros!$B$14),"SÍ","")</f>
        <v/>
      </c>
      <c r="Z680" s="3" t="n">
        <f aca="false">COUNTIF(V680:Y680,"SÍ")</f>
        <v>1</v>
      </c>
      <c r="AA680" s="3" t="n">
        <f aca="false">(3*(V680="SÍ")+2*(W680="SÍ")+2*(X680="SÍ")+(Y680="SÍ"))*IF(LEFT(D680,1)="A",3,IF(OR(LEFT(D680,1)="B",D680="SIN HIST"),2,1))</f>
        <v>3</v>
      </c>
      <c r="AB680" s="3" t="str">
        <f aca="false">IF(AA680&gt;=9,"1-ALTA",IF(AA680&gt;=4,"2-MEDIA",IF(AA680&gt;0,"3-BAJA","")))</f>
        <v>3-BAJA</v>
      </c>
      <c r="AC680" s="3" t="str">
        <f aca="false">IF(E680="BAJO SS","Stock + XLIB bajo el SS: riesgo real de quiebre, adelantar producción. ","")&amp;IF(E680="BAJO SS (XLIB CUBRE)","Disponible bajo el SS; depende de liberar "&amp;TEXT(J680,"#,##0")&amp;" kg"&amp;IF(ISNUMBER(K680)," el "&amp;TEXT(K680,"dd-mm"),"")&amp;". ","")&amp;IF(W680="SÍ","Stock parece sano pero "&amp;TEXT(L680,"#,##0")&amp;" kg no pasan filtro "&amp;Stock_Seguridad!O680&amp;": sin ellos queda bajo el SS para esa cadena. ","")&amp;IF(E680="SOBRE MAX VENDIBLE","Sobrestock vs vida útil: frenar producción/activar venta. ","")&amp;IF(N(N680)&gt;=Parametros!$B$17,TEXT(N680,"#,##0")&amp;" kg ya no los acepta ninguna cadena: venta intermedia/liquidación. ","")&amp;IF(N(M680)&gt;=Parametros!$B$17,TEXT(M680,"#,##0")&amp;" kg a punto de salir del filtro: despachar primero (FEFO). ","")&amp;IF(Y680="SÍ","Pedidos "&amp;IF(N(U680)&gt;0,"sobre","bajo")&amp;" FCST "&amp;TEXT(ABS(N(U680)),"0%")&amp;": revisar forecast con KAM.","")</f>
        <v>Stock + XLIB bajo el SS: riesgo real de quiebre, adelantar producción. </v>
      </c>
    </row>
    <row r="681" customFormat="false" ht="15" hidden="false" customHeight="false" outlineLevel="0" collapsed="false">
      <c r="A681" s="18" t="n">
        <f aca="false">Stock_Seguridad!A681</f>
        <v>30002062</v>
      </c>
      <c r="B681" s="18" t="str">
        <f aca="false">Stock_Seguridad!B681</f>
        <v>VINO STA CAROLINA GRV BLEND ANIV 6X750ML</v>
      </c>
      <c r="C681" s="18" t="str">
        <f aca="false">Stock_Seguridad!C681</f>
        <v>VINOS</v>
      </c>
      <c r="D681" s="18" t="str">
        <f aca="false">Stock_Seguridad!F681</f>
        <v>SIN HIST</v>
      </c>
      <c r="E681" s="19" t="str">
        <f aca="false">Stock_Seguridad!X681</f>
        <v>OK</v>
      </c>
      <c r="F681" s="20" t="n">
        <f aca="false">Stock_Seguridad!W681</f>
        <v>256.666666666667</v>
      </c>
      <c r="G681" s="21" t="n">
        <f aca="false">Stock_Seguridad!T681</f>
        <v>693</v>
      </c>
      <c r="H681" s="21" t="n">
        <f aca="false">Stock_Seguridad!R681</f>
        <v>1.33233143783069</v>
      </c>
      <c r="I681" s="21" t="n">
        <f aca="false">Stock_Seguridad!S681</f>
        <v>4.03233143783069</v>
      </c>
      <c r="J681" s="21" t="n">
        <f aca="false">Stock_Seguridad!U681</f>
        <v>0</v>
      </c>
      <c r="K681" s="22"/>
      <c r="L681" s="23" t="n">
        <v>0</v>
      </c>
      <c r="M681" s="23" t="n">
        <v>0</v>
      </c>
      <c r="N681" s="23" t="n">
        <v>0</v>
      </c>
      <c r="O681" s="24" t="n">
        <v>0.242857142857143</v>
      </c>
      <c r="P681" s="24" t="str">
        <f aca="false">IF(ISNUMBER(Stock_Seguridad!N681),Stock_Seguridad!N681,"")</f>
        <v/>
      </c>
      <c r="Q681" s="24" t="str">
        <f aca="false">IF(AND(ISNUMBER(O681),ISNUMBER(P681)),P681-O681,"")</f>
        <v/>
      </c>
      <c r="R681" s="23" t="n">
        <f aca="false">MAX(0,G681-N(L681))</f>
        <v>693</v>
      </c>
      <c r="S681" s="23" t="n">
        <f aca="false">SUMIFS(Cadenas_vs_FCST!$D$17:$D$2437,Cadenas_vs_FCST!$A$17:$A$2437,A681)</f>
        <v>0</v>
      </c>
      <c r="T681" s="23" t="n">
        <f aca="false">SUMIFS(Cadenas_vs_FCST!$E$17:$E$2437,Cadenas_vs_FCST!$A$17:$A$2437,A681)</f>
        <v>0</v>
      </c>
      <c r="U681" s="24" t="str">
        <f aca="false">IF(T681&gt;0,S681/T681-1,"")</f>
        <v/>
      </c>
      <c r="V681" s="3" t="str">
        <f aca="false">IF(OR(E681="BAJO SS",E681="BAJO SS (XLIB CUBRE)"),"SÍ","")</f>
        <v/>
      </c>
      <c r="W681" s="3" t="str">
        <f aca="false">IF(AND(V681="",N(L681)&gt;=Parametros!$B$17,G681&gt;=H681,R681&lt;H681),"SÍ","")</f>
        <v/>
      </c>
      <c r="X681" s="3" t="str">
        <f aca="false">IF(OR(E681="SOBRE MAX VENDIBLE",N(N681)&gt;=Parametros!$B$17,N(M681)&gt;=Parametros!$B$17),"SÍ","")</f>
        <v/>
      </c>
      <c r="Y681" s="3" t="str">
        <f aca="false">IF(AND(ISNUMBER(U681),MAX(S681,T681)&gt;=Parametros!$B$15,ABS(N(U681))&gt;Parametros!$B$14),"SÍ","")</f>
        <v/>
      </c>
      <c r="Z681" s="3" t="n">
        <f aca="false">COUNTIF(V681:Y681,"SÍ")</f>
        <v>0</v>
      </c>
      <c r="AA681" s="3" t="n">
        <f aca="false">(3*(V681="SÍ")+2*(W681="SÍ")+2*(X681="SÍ")+(Y681="SÍ"))*IF(LEFT(D681,1)="A",3,IF(OR(LEFT(D681,1)="B",D681="SIN HIST"),2,1))</f>
        <v>0</v>
      </c>
      <c r="AB681" s="3" t="str">
        <f aca="false">IF(AA681&gt;=9,"1-ALTA",IF(AA681&gt;=4,"2-MEDIA",IF(AA681&gt;0,"3-BAJA","")))</f>
        <v/>
      </c>
      <c r="AC681" s="3" t="str">
        <f aca="false">IF(E681="BAJO SS","Stock + XLIB bajo el SS: riesgo real de quiebre, adelantar producción. ","")&amp;IF(E681="BAJO SS (XLIB CUBRE)","Disponible bajo el SS; depende de liberar "&amp;TEXT(J681,"#,##0")&amp;" kg"&amp;IF(ISNUMBER(K681)," el "&amp;TEXT(K681,"dd-mm"),"")&amp;". ","")&amp;IF(W681="SÍ","Stock parece sano pero "&amp;TEXT(L681,"#,##0")&amp;" kg no pasan filtro "&amp;Stock_Seguridad!O681&amp;": sin ellos queda bajo el SS para esa cadena. ","")&amp;IF(E681="SOBRE MAX VENDIBLE","Sobrestock vs vida útil: frenar producción/activar venta. ","")&amp;IF(N(N681)&gt;=Parametros!$B$17,TEXT(N681,"#,##0")&amp;" kg ya no los acepta ninguna cadena: venta intermedia/liquidación. ","")&amp;IF(N(M681)&gt;=Parametros!$B$17,TEXT(M681,"#,##0")&amp;" kg a punto de salir del filtro: despachar primero (FEFO). ","")&amp;IF(Y681="SÍ","Pedidos "&amp;IF(N(U681)&gt;0,"sobre","bajo")&amp;" FCST "&amp;TEXT(ABS(N(U681)),"0%")&amp;": revisar forecast con KAM.","")</f>
        <v/>
      </c>
    </row>
    <row r="682" customFormat="false" ht="15" hidden="false" customHeight="false" outlineLevel="0" collapsed="false">
      <c r="A682" s="18" t="n">
        <f aca="false">Stock_Seguridad!A682</f>
        <v>30000859</v>
      </c>
      <c r="B682" s="18" t="str">
        <f aca="false">Stock_Seguridad!B682</f>
        <v>MIX DEL HUERTO 30X500GR</v>
      </c>
      <c r="C682" s="18" t="str">
        <f aca="false">Stock_Seguridad!C682</f>
        <v>FRUTAS Y HORTALIZAS CONGELADAS</v>
      </c>
      <c r="D682" s="18" t="str">
        <f aca="false">Stock_Seguridad!F682</f>
        <v>SIN HIST</v>
      </c>
      <c r="E682" s="19" t="str">
        <f aca="false">Stock_Seguridad!X682</f>
        <v>BAJO SS</v>
      </c>
      <c r="F682" s="20" t="n">
        <f aca="false">Stock_Seguridad!W682</f>
        <v>0</v>
      </c>
      <c r="G682" s="21" t="n">
        <f aca="false">Stock_Seguridad!T682</f>
        <v>0</v>
      </c>
      <c r="H682" s="21" t="n">
        <f aca="false">Stock_Seguridad!R682</f>
        <v>1.18429461140506</v>
      </c>
      <c r="I682" s="21" t="n">
        <f aca="false">Stock_Seguridad!S682</f>
        <v>3.58429461140506</v>
      </c>
      <c r="J682" s="21" t="n">
        <f aca="false">Stock_Seguridad!U682</f>
        <v>0</v>
      </c>
      <c r="K682" s="22"/>
      <c r="L682" s="23"/>
      <c r="M682" s="23"/>
      <c r="N682" s="23"/>
      <c r="O682" s="24"/>
      <c r="P682" s="24" t="str">
        <f aca="false">IF(ISNUMBER(Stock_Seguridad!N682),Stock_Seguridad!N682,"")</f>
        <v/>
      </c>
      <c r="Q682" s="24" t="str">
        <f aca="false">IF(AND(ISNUMBER(O682),ISNUMBER(P682)),P682-O682,"")</f>
        <v/>
      </c>
      <c r="R682" s="23" t="n">
        <f aca="false">MAX(0,G682-N(L682))</f>
        <v>0</v>
      </c>
      <c r="S682" s="23" t="n">
        <f aca="false">SUMIFS(Cadenas_vs_FCST!$D$17:$D$2437,Cadenas_vs_FCST!$A$17:$A$2437,A682)</f>
        <v>0</v>
      </c>
      <c r="T682" s="23" t="n">
        <f aca="false">SUMIFS(Cadenas_vs_FCST!$E$17:$E$2437,Cadenas_vs_FCST!$A$17:$A$2437,A682)</f>
        <v>0</v>
      </c>
      <c r="U682" s="24" t="str">
        <f aca="false">IF(T682&gt;0,S682/T682-1,"")</f>
        <v/>
      </c>
      <c r="V682" s="3" t="str">
        <f aca="false">IF(OR(E682="BAJO SS",E682="BAJO SS (XLIB CUBRE)"),"SÍ","")</f>
        <v>SÍ</v>
      </c>
      <c r="W682" s="3" t="str">
        <f aca="false">IF(AND(V682="",N(L682)&gt;=Parametros!$B$17,G682&gt;=H682,R682&lt;H682),"SÍ","")</f>
        <v/>
      </c>
      <c r="X682" s="3" t="str">
        <f aca="false">IF(OR(E682="SOBRE MAX VENDIBLE",N(N682)&gt;=Parametros!$B$17,N(M682)&gt;=Parametros!$B$17),"SÍ","")</f>
        <v/>
      </c>
      <c r="Y682" s="3" t="str">
        <f aca="false">IF(AND(ISNUMBER(U682),MAX(S682,T682)&gt;=Parametros!$B$15,ABS(N(U682))&gt;Parametros!$B$14),"SÍ","")</f>
        <v/>
      </c>
      <c r="Z682" s="3" t="n">
        <f aca="false">COUNTIF(V682:Y682,"SÍ")</f>
        <v>1</v>
      </c>
      <c r="AA682" s="3" t="n">
        <f aca="false">(3*(V682="SÍ")+2*(W682="SÍ")+2*(X682="SÍ")+(Y682="SÍ"))*IF(LEFT(D682,1)="A",3,IF(OR(LEFT(D682,1)="B",D682="SIN HIST"),2,1))</f>
        <v>6</v>
      </c>
      <c r="AB682" s="3" t="str">
        <f aca="false">IF(AA682&gt;=9,"1-ALTA",IF(AA682&gt;=4,"2-MEDIA",IF(AA682&gt;0,"3-BAJA","")))</f>
        <v>2-MEDIA</v>
      </c>
      <c r="AC682" s="3" t="str">
        <f aca="false">IF(E682="BAJO SS","Stock + XLIB bajo el SS: riesgo real de quiebre, adelantar producción. ","")&amp;IF(E682="BAJO SS (XLIB CUBRE)","Disponible bajo el SS; depende de liberar "&amp;TEXT(J682,"#,##0")&amp;" kg"&amp;IF(ISNUMBER(K682)," el "&amp;TEXT(K682,"dd-mm"),"")&amp;". ","")&amp;IF(W682="SÍ","Stock parece sano pero "&amp;TEXT(L682,"#,##0")&amp;" kg no pasan filtro "&amp;Stock_Seguridad!O682&amp;": sin ellos queda bajo el SS para esa cadena. ","")&amp;IF(E682="SOBRE MAX VENDIBLE","Sobrestock vs vida útil: frenar producción/activar venta. ","")&amp;IF(N(N682)&gt;=Parametros!$B$17,TEXT(N682,"#,##0")&amp;" kg ya no los acepta ninguna cadena: venta intermedia/liquidación. ","")&amp;IF(N(M682)&gt;=Parametros!$B$17,TEXT(M682,"#,##0")&amp;" kg a punto de salir del filtro: despachar primero (FEFO). ","")&amp;IF(Y682="SÍ","Pedidos "&amp;IF(N(U682)&gt;0,"sobre","bajo")&amp;" FCST "&amp;TEXT(ABS(N(U682)),"0%")&amp;": revisar forecast con KAM.","")</f>
        <v>Stock + XLIB bajo el SS: riesgo real de quiebre, adelantar producción. </v>
      </c>
    </row>
    <row r="683" customFormat="false" ht="15" hidden="false" customHeight="false" outlineLevel="0" collapsed="false">
      <c r="A683" s="18" t="n">
        <f aca="false">Stock_Seguridad!A683</f>
        <v>30000290</v>
      </c>
      <c r="B683" s="18" t="str">
        <f aca="false">Stock_Seguridad!B683</f>
        <v>VINO TTO ORO MER 14,5º BOT 12X750ML</v>
      </c>
      <c r="C683" s="18" t="str">
        <f aca="false">Stock_Seguridad!C683</f>
        <v>VINOS</v>
      </c>
      <c r="D683" s="18" t="str">
        <f aca="false">Stock_Seguridad!F683</f>
        <v>SIN HIST</v>
      </c>
      <c r="E683" s="19" t="str">
        <f aca="false">Stock_Seguridad!X683</f>
        <v>OK</v>
      </c>
      <c r="F683" s="20" t="n">
        <f aca="false">Stock_Seguridad!W683</f>
        <v>630</v>
      </c>
      <c r="G683" s="21" t="n">
        <f aca="false">Stock_Seguridad!T683</f>
        <v>1386</v>
      </c>
      <c r="H683" s="21" t="n">
        <f aca="false">Stock_Seguridad!R683</f>
        <v>1.08560339378797</v>
      </c>
      <c r="I683" s="21" t="n">
        <f aca="false">Stock_Seguridad!S683</f>
        <v>3.28560339378797</v>
      </c>
      <c r="J683" s="21" t="n">
        <f aca="false">Stock_Seguridad!U683</f>
        <v>0</v>
      </c>
      <c r="K683" s="22"/>
      <c r="L683" s="23" t="n">
        <v>0</v>
      </c>
      <c r="M683" s="23" t="n">
        <v>0</v>
      </c>
      <c r="N683" s="23" t="n">
        <v>0</v>
      </c>
      <c r="O683" s="24" t="n">
        <v>0.156753246753247</v>
      </c>
      <c r="P683" s="24" t="str">
        <f aca="false">IF(ISNUMBER(Stock_Seguridad!N683),Stock_Seguridad!N683,"")</f>
        <v/>
      </c>
      <c r="Q683" s="24" t="str">
        <f aca="false">IF(AND(ISNUMBER(O683),ISNUMBER(P683)),P683-O683,"")</f>
        <v/>
      </c>
      <c r="R683" s="23" t="n">
        <f aca="false">MAX(0,G683-N(L683))</f>
        <v>1386</v>
      </c>
      <c r="S683" s="23" t="n">
        <f aca="false">SUMIFS(Cadenas_vs_FCST!$D$17:$D$2437,Cadenas_vs_FCST!$A$17:$A$2437,A683)</f>
        <v>0</v>
      </c>
      <c r="T683" s="23" t="n">
        <f aca="false">SUMIFS(Cadenas_vs_FCST!$E$17:$E$2437,Cadenas_vs_FCST!$A$17:$A$2437,A683)</f>
        <v>0</v>
      </c>
      <c r="U683" s="24" t="str">
        <f aca="false">IF(T683&gt;0,S683/T683-1,"")</f>
        <v/>
      </c>
      <c r="V683" s="3" t="str">
        <f aca="false">IF(OR(E683="BAJO SS",E683="BAJO SS (XLIB CUBRE)"),"SÍ","")</f>
        <v/>
      </c>
      <c r="W683" s="3" t="str">
        <f aca="false">IF(AND(V683="",N(L683)&gt;=Parametros!$B$17,G683&gt;=H683,R683&lt;H683),"SÍ","")</f>
        <v/>
      </c>
      <c r="X683" s="3" t="str">
        <f aca="false">IF(OR(E683="SOBRE MAX VENDIBLE",N(N683)&gt;=Parametros!$B$17,N(M683)&gt;=Parametros!$B$17),"SÍ","")</f>
        <v/>
      </c>
      <c r="Y683" s="3" t="str">
        <f aca="false">IF(AND(ISNUMBER(U683),MAX(S683,T683)&gt;=Parametros!$B$15,ABS(N(U683))&gt;Parametros!$B$14),"SÍ","")</f>
        <v/>
      </c>
      <c r="Z683" s="3" t="n">
        <f aca="false">COUNTIF(V683:Y683,"SÍ")</f>
        <v>0</v>
      </c>
      <c r="AA683" s="3" t="n">
        <f aca="false">(3*(V683="SÍ")+2*(W683="SÍ")+2*(X683="SÍ")+(Y683="SÍ"))*IF(LEFT(D683,1)="A",3,IF(OR(LEFT(D683,1)="B",D683="SIN HIST"),2,1))</f>
        <v>0</v>
      </c>
      <c r="AB683" s="3" t="str">
        <f aca="false">IF(AA683&gt;=9,"1-ALTA",IF(AA683&gt;=4,"2-MEDIA",IF(AA683&gt;0,"3-BAJA","")))</f>
        <v/>
      </c>
      <c r="AC683" s="3" t="str">
        <f aca="false">IF(E683="BAJO SS","Stock + XLIB bajo el SS: riesgo real de quiebre, adelantar producción. ","")&amp;IF(E683="BAJO SS (XLIB CUBRE)","Disponible bajo el SS; depende de liberar "&amp;TEXT(J683,"#,##0")&amp;" kg"&amp;IF(ISNUMBER(K683)," el "&amp;TEXT(K683,"dd-mm"),"")&amp;". ","")&amp;IF(W683="SÍ","Stock parece sano pero "&amp;TEXT(L683,"#,##0")&amp;" kg no pasan filtro "&amp;Stock_Seguridad!O683&amp;": sin ellos queda bajo el SS para esa cadena. ","")&amp;IF(E683="SOBRE MAX VENDIBLE","Sobrestock vs vida útil: frenar producción/activar venta. ","")&amp;IF(N(N683)&gt;=Parametros!$B$17,TEXT(N683,"#,##0")&amp;" kg ya no los acepta ninguna cadena: venta intermedia/liquidación. ","")&amp;IF(N(M683)&gt;=Parametros!$B$17,TEXT(M683,"#,##0")&amp;" kg a punto de salir del filtro: despachar primero (FEFO). ","")&amp;IF(Y683="SÍ","Pedidos "&amp;IF(N(U683)&gt;0,"sobre","bajo")&amp;" FCST "&amp;TEXT(ABS(N(U683)),"0%")&amp;": revisar forecast con KAM.","")</f>
        <v/>
      </c>
    </row>
    <row r="684" customFormat="false" ht="15" hidden="false" customHeight="false" outlineLevel="0" collapsed="false">
      <c r="A684" s="18" t="n">
        <f aca="false">Stock_Seguridad!A684</f>
        <v>30000273</v>
      </c>
      <c r="B684" s="18" t="str">
        <f aca="false">Stock_Seguridad!B684</f>
        <v>VINO TTO 3EST CAB 13,5º BOT 12X750ML</v>
      </c>
      <c r="C684" s="18" t="str">
        <f aca="false">Stock_Seguridad!C684</f>
        <v>VINOS</v>
      </c>
      <c r="D684" s="18" t="str">
        <f aca="false">Stock_Seguridad!F684</f>
        <v>SIN HIST</v>
      </c>
      <c r="E684" s="19" t="str">
        <f aca="false">Stock_Seguridad!X684</f>
        <v>OK</v>
      </c>
      <c r="F684" s="20" t="n">
        <f aca="false">Stock_Seguridad!W684</f>
        <v>4917.27272727273</v>
      </c>
      <c r="G684" s="21" t="n">
        <f aca="false">Stock_Seguridad!T684</f>
        <v>10818</v>
      </c>
      <c r="H684" s="21" t="n">
        <f aca="false">Stock_Seguridad!R684</f>
        <v>1.08560339378797</v>
      </c>
      <c r="I684" s="21" t="n">
        <f aca="false">Stock_Seguridad!S684</f>
        <v>3.28560339378797</v>
      </c>
      <c r="J684" s="21" t="n">
        <f aca="false">Stock_Seguridad!U684</f>
        <v>0</v>
      </c>
      <c r="K684" s="22"/>
      <c r="L684" s="23" t="n">
        <v>0</v>
      </c>
      <c r="M684" s="23" t="n">
        <v>0</v>
      </c>
      <c r="N684" s="23" t="n">
        <v>0</v>
      </c>
      <c r="O684" s="24" t="n">
        <v>0.0245257903494176</v>
      </c>
      <c r="P684" s="24" t="str">
        <f aca="false">IF(ISNUMBER(Stock_Seguridad!N684),Stock_Seguridad!N684,"")</f>
        <v/>
      </c>
      <c r="Q684" s="24" t="str">
        <f aca="false">IF(AND(ISNUMBER(O684),ISNUMBER(P684)),P684-O684,"")</f>
        <v/>
      </c>
      <c r="R684" s="23" t="n">
        <f aca="false">MAX(0,G684-N(L684))</f>
        <v>10818</v>
      </c>
      <c r="S684" s="23" t="n">
        <f aca="false">SUMIFS(Cadenas_vs_FCST!$D$17:$D$2437,Cadenas_vs_FCST!$A$17:$A$2437,A684)</f>
        <v>0</v>
      </c>
      <c r="T684" s="23" t="n">
        <f aca="false">SUMIFS(Cadenas_vs_FCST!$E$17:$E$2437,Cadenas_vs_FCST!$A$17:$A$2437,A684)</f>
        <v>0</v>
      </c>
      <c r="U684" s="24" t="str">
        <f aca="false">IF(T684&gt;0,S684/T684-1,"")</f>
        <v/>
      </c>
      <c r="V684" s="3" t="str">
        <f aca="false">IF(OR(E684="BAJO SS",E684="BAJO SS (XLIB CUBRE)"),"SÍ","")</f>
        <v/>
      </c>
      <c r="W684" s="3" t="str">
        <f aca="false">IF(AND(V684="",N(L684)&gt;=Parametros!$B$17,G684&gt;=H684,R684&lt;H684),"SÍ","")</f>
        <v/>
      </c>
      <c r="X684" s="3" t="str">
        <f aca="false">IF(OR(E684="SOBRE MAX VENDIBLE",N(N684)&gt;=Parametros!$B$17,N(M684)&gt;=Parametros!$B$17),"SÍ","")</f>
        <v/>
      </c>
      <c r="Y684" s="3" t="str">
        <f aca="false">IF(AND(ISNUMBER(U684),MAX(S684,T684)&gt;=Parametros!$B$15,ABS(N(U684))&gt;Parametros!$B$14),"SÍ","")</f>
        <v/>
      </c>
      <c r="Z684" s="3" t="n">
        <f aca="false">COUNTIF(V684:Y684,"SÍ")</f>
        <v>0</v>
      </c>
      <c r="AA684" s="3" t="n">
        <f aca="false">(3*(V684="SÍ")+2*(W684="SÍ")+2*(X684="SÍ")+(Y684="SÍ"))*IF(LEFT(D684,1)="A",3,IF(OR(LEFT(D684,1)="B",D684="SIN HIST"),2,1))</f>
        <v>0</v>
      </c>
      <c r="AB684" s="3" t="str">
        <f aca="false">IF(AA684&gt;=9,"1-ALTA",IF(AA684&gt;=4,"2-MEDIA",IF(AA684&gt;0,"3-BAJA","")))</f>
        <v/>
      </c>
      <c r="AC684" s="3" t="str">
        <f aca="false">IF(E684="BAJO SS","Stock + XLIB bajo el SS: riesgo real de quiebre, adelantar producción. ","")&amp;IF(E684="BAJO SS (XLIB CUBRE)","Disponible bajo el SS; depende de liberar "&amp;TEXT(J684,"#,##0")&amp;" kg"&amp;IF(ISNUMBER(K684)," el "&amp;TEXT(K684,"dd-mm"),"")&amp;". ","")&amp;IF(W684="SÍ","Stock parece sano pero "&amp;TEXT(L684,"#,##0")&amp;" kg no pasan filtro "&amp;Stock_Seguridad!O684&amp;": sin ellos queda bajo el SS para esa cadena. ","")&amp;IF(E684="SOBRE MAX VENDIBLE","Sobrestock vs vida útil: frenar producción/activar venta. ","")&amp;IF(N(N684)&gt;=Parametros!$B$17,TEXT(N684,"#,##0")&amp;" kg ya no los acepta ninguna cadena: venta intermedia/liquidación. ","")&amp;IF(N(M684)&gt;=Parametros!$B$17,TEXT(M684,"#,##0")&amp;" kg a punto de salir del filtro: despachar primero (FEFO). ","")&amp;IF(Y684="SÍ","Pedidos "&amp;IF(N(U684)&gt;0,"sobre","bajo")&amp;" FCST "&amp;TEXT(ABS(N(U684)),"0%")&amp;": revisar forecast con KAM.","")</f>
        <v/>
      </c>
    </row>
    <row r="685" customFormat="false" ht="15" hidden="false" customHeight="false" outlineLevel="0" collapsed="false">
      <c r="A685" s="18" t="n">
        <f aca="false">Stock_Seguridad!A685</f>
        <v>30000292</v>
      </c>
      <c r="B685" s="18" t="str">
        <f aca="false">Stock_Seguridad!B685</f>
        <v>VINO TTO ORO CR 14,5º BOT 12X750ML</v>
      </c>
      <c r="C685" s="18" t="str">
        <f aca="false">Stock_Seguridad!C685</f>
        <v>VINOS</v>
      </c>
      <c r="D685" s="18" t="str">
        <f aca="false">Stock_Seguridad!F685</f>
        <v>SIN HIST</v>
      </c>
      <c r="E685" s="19" t="str">
        <f aca="false">Stock_Seguridad!X685</f>
        <v>OK</v>
      </c>
      <c r="F685" s="20" t="n">
        <f aca="false">Stock_Seguridad!W685</f>
        <v>1701.81818181818</v>
      </c>
      <c r="G685" s="21" t="n">
        <f aca="false">Stock_Seguridad!T685</f>
        <v>3744</v>
      </c>
      <c r="H685" s="21" t="n">
        <f aca="false">Stock_Seguridad!R685</f>
        <v>1.08560339378797</v>
      </c>
      <c r="I685" s="21" t="n">
        <f aca="false">Stock_Seguridad!S685</f>
        <v>3.28560339378797</v>
      </c>
      <c r="J685" s="21" t="n">
        <f aca="false">Stock_Seguridad!U685</f>
        <v>0</v>
      </c>
      <c r="K685" s="22"/>
      <c r="L685" s="23" t="n">
        <v>0</v>
      </c>
      <c r="M685" s="23" t="n">
        <v>0</v>
      </c>
      <c r="N685" s="23" t="n">
        <v>0</v>
      </c>
      <c r="O685" s="24" t="n">
        <v>0.108485576923077</v>
      </c>
      <c r="P685" s="24" t="str">
        <f aca="false">IF(ISNUMBER(Stock_Seguridad!N685),Stock_Seguridad!N685,"")</f>
        <v/>
      </c>
      <c r="Q685" s="24" t="str">
        <f aca="false">IF(AND(ISNUMBER(O685),ISNUMBER(P685)),P685-O685,"")</f>
        <v/>
      </c>
      <c r="R685" s="23" t="n">
        <f aca="false">MAX(0,G685-N(L685))</f>
        <v>3744</v>
      </c>
      <c r="S685" s="23" t="n">
        <f aca="false">SUMIFS(Cadenas_vs_FCST!$D$17:$D$2437,Cadenas_vs_FCST!$A$17:$A$2437,A685)</f>
        <v>0</v>
      </c>
      <c r="T685" s="23" t="n">
        <f aca="false">SUMIFS(Cadenas_vs_FCST!$E$17:$E$2437,Cadenas_vs_FCST!$A$17:$A$2437,A685)</f>
        <v>0</v>
      </c>
      <c r="U685" s="24" t="str">
        <f aca="false">IF(T685&gt;0,S685/T685-1,"")</f>
        <v/>
      </c>
      <c r="V685" s="3" t="str">
        <f aca="false">IF(OR(E685="BAJO SS",E685="BAJO SS (XLIB CUBRE)"),"SÍ","")</f>
        <v/>
      </c>
      <c r="W685" s="3" t="str">
        <f aca="false">IF(AND(V685="",N(L685)&gt;=Parametros!$B$17,G685&gt;=H685,R685&lt;H685),"SÍ","")</f>
        <v/>
      </c>
      <c r="X685" s="3" t="str">
        <f aca="false">IF(OR(E685="SOBRE MAX VENDIBLE",N(N685)&gt;=Parametros!$B$17,N(M685)&gt;=Parametros!$B$17),"SÍ","")</f>
        <v/>
      </c>
      <c r="Y685" s="3" t="str">
        <f aca="false">IF(AND(ISNUMBER(U685),MAX(S685,T685)&gt;=Parametros!$B$15,ABS(N(U685))&gt;Parametros!$B$14),"SÍ","")</f>
        <v/>
      </c>
      <c r="Z685" s="3" t="n">
        <f aca="false">COUNTIF(V685:Y685,"SÍ")</f>
        <v>0</v>
      </c>
      <c r="AA685" s="3" t="n">
        <f aca="false">(3*(V685="SÍ")+2*(W685="SÍ")+2*(X685="SÍ")+(Y685="SÍ"))*IF(LEFT(D685,1)="A",3,IF(OR(LEFT(D685,1)="B",D685="SIN HIST"),2,1))</f>
        <v>0</v>
      </c>
      <c r="AB685" s="3" t="str">
        <f aca="false">IF(AA685&gt;=9,"1-ALTA",IF(AA685&gt;=4,"2-MEDIA",IF(AA685&gt;0,"3-BAJA","")))</f>
        <v/>
      </c>
      <c r="AC685" s="3" t="str">
        <f aca="false">IF(E685="BAJO SS","Stock + XLIB bajo el SS: riesgo real de quiebre, adelantar producción. ","")&amp;IF(E685="BAJO SS (XLIB CUBRE)","Disponible bajo el SS; depende de liberar "&amp;TEXT(J685,"#,##0")&amp;" kg"&amp;IF(ISNUMBER(K685)," el "&amp;TEXT(K685,"dd-mm"),"")&amp;". ","")&amp;IF(W685="SÍ","Stock parece sano pero "&amp;TEXT(L685,"#,##0")&amp;" kg no pasan filtro "&amp;Stock_Seguridad!O685&amp;": sin ellos queda bajo el SS para esa cadena. ","")&amp;IF(E685="SOBRE MAX VENDIBLE","Sobrestock vs vida útil: frenar producción/activar venta. ","")&amp;IF(N(N685)&gt;=Parametros!$B$17,TEXT(N685,"#,##0")&amp;" kg ya no los acepta ninguna cadena: venta intermedia/liquidación. ","")&amp;IF(N(M685)&gt;=Parametros!$B$17,TEXT(M685,"#,##0")&amp;" kg a punto de salir del filtro: despachar primero (FEFO). ","")&amp;IF(Y685="SÍ","Pedidos "&amp;IF(N(U685)&gt;0,"sobre","bajo")&amp;" FCST "&amp;TEXT(ABS(N(U685)),"0%")&amp;": revisar forecast con KAM.","")</f>
        <v/>
      </c>
    </row>
    <row r="686" customFormat="false" ht="15" hidden="false" customHeight="false" outlineLevel="0" collapsed="false">
      <c r="A686" s="18" t="n">
        <f aca="false">Stock_Seguridad!A686</f>
        <v>30000289</v>
      </c>
      <c r="B686" s="18" t="str">
        <f aca="false">Stock_Seguridad!B686</f>
        <v>VINO BCO ORO SB 13.5º BOT 12X750ML</v>
      </c>
      <c r="C686" s="18" t="str">
        <f aca="false">Stock_Seguridad!C686</f>
        <v>VINOS</v>
      </c>
      <c r="D686" s="18" t="str">
        <f aca="false">Stock_Seguridad!F686</f>
        <v>SIN HIST</v>
      </c>
      <c r="E686" s="19" t="str">
        <f aca="false">Stock_Seguridad!X686</f>
        <v>OK</v>
      </c>
      <c r="F686" s="20" t="n">
        <f aca="false">Stock_Seguridad!W686</f>
        <v>975</v>
      </c>
      <c r="G686" s="21" t="n">
        <f aca="false">Stock_Seguridad!T686</f>
        <v>1755</v>
      </c>
      <c r="H686" s="21" t="n">
        <f aca="false">Stock_Seguridad!R686</f>
        <v>0.888220958553795</v>
      </c>
      <c r="I686" s="21" t="n">
        <f aca="false">Stock_Seguridad!S686</f>
        <v>2.6882209585538</v>
      </c>
      <c r="J686" s="21" t="n">
        <f aca="false">Stock_Seguridad!U686</f>
        <v>0</v>
      </c>
      <c r="K686" s="22"/>
      <c r="L686" s="23" t="n">
        <v>0</v>
      </c>
      <c r="M686" s="23" t="n">
        <v>0</v>
      </c>
      <c r="N686" s="23" t="n">
        <v>0</v>
      </c>
      <c r="O686" s="24" t="n">
        <v>0.22225641025641</v>
      </c>
      <c r="P686" s="24" t="str">
        <f aca="false">IF(ISNUMBER(Stock_Seguridad!N686),Stock_Seguridad!N686,"")</f>
        <v/>
      </c>
      <c r="Q686" s="24" t="str">
        <f aca="false">IF(AND(ISNUMBER(O686),ISNUMBER(P686)),P686-O686,"")</f>
        <v/>
      </c>
      <c r="R686" s="23" t="n">
        <f aca="false">MAX(0,G686-N(L686))</f>
        <v>1755</v>
      </c>
      <c r="S686" s="23" t="n">
        <f aca="false">SUMIFS(Cadenas_vs_FCST!$D$17:$D$2437,Cadenas_vs_FCST!$A$17:$A$2437,A686)</f>
        <v>0</v>
      </c>
      <c r="T686" s="23" t="n">
        <f aca="false">SUMIFS(Cadenas_vs_FCST!$E$17:$E$2437,Cadenas_vs_FCST!$A$17:$A$2437,A686)</f>
        <v>0</v>
      </c>
      <c r="U686" s="24" t="str">
        <f aca="false">IF(T686&gt;0,S686/T686-1,"")</f>
        <v/>
      </c>
      <c r="V686" s="3" t="str">
        <f aca="false">IF(OR(E686="BAJO SS",E686="BAJO SS (XLIB CUBRE)"),"SÍ","")</f>
        <v/>
      </c>
      <c r="W686" s="3" t="str">
        <f aca="false">IF(AND(V686="",N(L686)&gt;=Parametros!$B$17,G686&gt;=H686,R686&lt;H686),"SÍ","")</f>
        <v/>
      </c>
      <c r="X686" s="3" t="str">
        <f aca="false">IF(OR(E686="SOBRE MAX VENDIBLE",N(N686)&gt;=Parametros!$B$17,N(M686)&gt;=Parametros!$B$17),"SÍ","")</f>
        <v/>
      </c>
      <c r="Y686" s="3" t="str">
        <f aca="false">IF(AND(ISNUMBER(U686),MAX(S686,T686)&gt;=Parametros!$B$15,ABS(N(U686))&gt;Parametros!$B$14),"SÍ","")</f>
        <v/>
      </c>
      <c r="Z686" s="3" t="n">
        <f aca="false">COUNTIF(V686:Y686,"SÍ")</f>
        <v>0</v>
      </c>
      <c r="AA686" s="3" t="n">
        <f aca="false">(3*(V686="SÍ")+2*(W686="SÍ")+2*(X686="SÍ")+(Y686="SÍ"))*IF(LEFT(D686,1)="A",3,IF(OR(LEFT(D686,1)="B",D686="SIN HIST"),2,1))</f>
        <v>0</v>
      </c>
      <c r="AB686" s="3" t="str">
        <f aca="false">IF(AA686&gt;=9,"1-ALTA",IF(AA686&gt;=4,"2-MEDIA",IF(AA686&gt;0,"3-BAJA","")))</f>
        <v/>
      </c>
      <c r="AC686" s="3" t="str">
        <f aca="false">IF(E686="BAJO SS","Stock + XLIB bajo el SS: riesgo real de quiebre, adelantar producción. ","")&amp;IF(E686="BAJO SS (XLIB CUBRE)","Disponible bajo el SS; depende de liberar "&amp;TEXT(J686,"#,##0")&amp;" kg"&amp;IF(ISNUMBER(K686)," el "&amp;TEXT(K686,"dd-mm"),"")&amp;". ","")&amp;IF(W686="SÍ","Stock parece sano pero "&amp;TEXT(L686,"#,##0")&amp;" kg no pasan filtro "&amp;Stock_Seguridad!O686&amp;": sin ellos queda bajo el SS para esa cadena. ","")&amp;IF(E686="SOBRE MAX VENDIBLE","Sobrestock vs vida útil: frenar producción/activar venta. ","")&amp;IF(N(N686)&gt;=Parametros!$B$17,TEXT(N686,"#,##0")&amp;" kg ya no los acepta ninguna cadena: venta intermedia/liquidación. ","")&amp;IF(N(M686)&gt;=Parametros!$B$17,TEXT(M686,"#,##0")&amp;" kg a punto de salir del filtro: despachar primero (FEFO). ","")&amp;IF(Y686="SÍ","Pedidos "&amp;IF(N(U686)&gt;0,"sobre","bajo")&amp;" FCST "&amp;TEXT(ABS(N(U686)),"0%")&amp;": revisar forecast con KAM.","")</f>
        <v/>
      </c>
    </row>
    <row r="687" customFormat="false" ht="15" hidden="false" customHeight="false" outlineLevel="0" collapsed="false">
      <c r="A687" s="18" t="n">
        <f aca="false">Stock_Seguridad!A687</f>
        <v>30000288</v>
      </c>
      <c r="B687" s="18" t="str">
        <f aca="false">Stock_Seguridad!B687</f>
        <v>VINO TTO ORO CS 14º BOT 12X750ML</v>
      </c>
      <c r="C687" s="18" t="str">
        <f aca="false">Stock_Seguridad!C687</f>
        <v>VINOS</v>
      </c>
      <c r="D687" s="18" t="str">
        <f aca="false">Stock_Seguridad!F687</f>
        <v>SIN HIST</v>
      </c>
      <c r="E687" s="19" t="str">
        <f aca="false">Stock_Seguridad!X687</f>
        <v>OK</v>
      </c>
      <c r="F687" s="20" t="n">
        <f aca="false">Stock_Seguridad!W687</f>
        <v>1350</v>
      </c>
      <c r="G687" s="21" t="n">
        <f aca="false">Stock_Seguridad!T687</f>
        <v>2430</v>
      </c>
      <c r="H687" s="21" t="n">
        <f aca="false">Stock_Seguridad!R687</f>
        <v>0.888220958553795</v>
      </c>
      <c r="I687" s="21" t="n">
        <f aca="false">Stock_Seguridad!S687</f>
        <v>2.6882209585538</v>
      </c>
      <c r="J687" s="21" t="n">
        <f aca="false">Stock_Seguridad!U687</f>
        <v>0</v>
      </c>
      <c r="K687" s="22"/>
      <c r="L687" s="23" t="n">
        <v>0</v>
      </c>
      <c r="M687" s="23" t="n">
        <v>0</v>
      </c>
      <c r="N687" s="23" t="n">
        <v>0</v>
      </c>
      <c r="O687" s="24" t="n">
        <v>0.044</v>
      </c>
      <c r="P687" s="24" t="str">
        <f aca="false">IF(ISNUMBER(Stock_Seguridad!N687),Stock_Seguridad!N687,"")</f>
        <v/>
      </c>
      <c r="Q687" s="24" t="str">
        <f aca="false">IF(AND(ISNUMBER(O687),ISNUMBER(P687)),P687-O687,"")</f>
        <v/>
      </c>
      <c r="R687" s="23" t="n">
        <f aca="false">MAX(0,G687-N(L687))</f>
        <v>2430</v>
      </c>
      <c r="S687" s="23" t="n">
        <f aca="false">SUMIFS(Cadenas_vs_FCST!$D$17:$D$2437,Cadenas_vs_FCST!$A$17:$A$2437,A687)</f>
        <v>0</v>
      </c>
      <c r="T687" s="23" t="n">
        <f aca="false">SUMIFS(Cadenas_vs_FCST!$E$17:$E$2437,Cadenas_vs_FCST!$A$17:$A$2437,A687)</f>
        <v>0</v>
      </c>
      <c r="U687" s="24" t="str">
        <f aca="false">IF(T687&gt;0,S687/T687-1,"")</f>
        <v/>
      </c>
      <c r="V687" s="3" t="str">
        <f aca="false">IF(OR(E687="BAJO SS",E687="BAJO SS (XLIB CUBRE)"),"SÍ","")</f>
        <v/>
      </c>
      <c r="W687" s="3" t="str">
        <f aca="false">IF(AND(V687="",N(L687)&gt;=Parametros!$B$17,G687&gt;=H687,R687&lt;H687),"SÍ","")</f>
        <v/>
      </c>
      <c r="X687" s="3" t="str">
        <f aca="false">IF(OR(E687="SOBRE MAX VENDIBLE",N(N687)&gt;=Parametros!$B$17,N(M687)&gt;=Parametros!$B$17),"SÍ","")</f>
        <v/>
      </c>
      <c r="Y687" s="3" t="str">
        <f aca="false">IF(AND(ISNUMBER(U687),MAX(S687,T687)&gt;=Parametros!$B$15,ABS(N(U687))&gt;Parametros!$B$14),"SÍ","")</f>
        <v/>
      </c>
      <c r="Z687" s="3" t="n">
        <f aca="false">COUNTIF(V687:Y687,"SÍ")</f>
        <v>0</v>
      </c>
      <c r="AA687" s="3" t="n">
        <f aca="false">(3*(V687="SÍ")+2*(W687="SÍ")+2*(X687="SÍ")+(Y687="SÍ"))*IF(LEFT(D687,1)="A",3,IF(OR(LEFT(D687,1)="B",D687="SIN HIST"),2,1))</f>
        <v>0</v>
      </c>
      <c r="AB687" s="3" t="str">
        <f aca="false">IF(AA687&gt;=9,"1-ALTA",IF(AA687&gt;=4,"2-MEDIA",IF(AA687&gt;0,"3-BAJA","")))</f>
        <v/>
      </c>
      <c r="AC687" s="3" t="str">
        <f aca="false">IF(E687="BAJO SS","Stock + XLIB bajo el SS: riesgo real de quiebre, adelantar producción. ","")&amp;IF(E687="BAJO SS (XLIB CUBRE)","Disponible bajo el SS; depende de liberar "&amp;TEXT(J687,"#,##0")&amp;" kg"&amp;IF(ISNUMBER(K687)," el "&amp;TEXT(K687,"dd-mm"),"")&amp;". ","")&amp;IF(W687="SÍ","Stock parece sano pero "&amp;TEXT(L687,"#,##0")&amp;" kg no pasan filtro "&amp;Stock_Seguridad!O687&amp;": sin ellos queda bajo el SS para esa cadena. ","")&amp;IF(E687="SOBRE MAX VENDIBLE","Sobrestock vs vida útil: frenar producción/activar venta. ","")&amp;IF(N(N687)&gt;=Parametros!$B$17,TEXT(N687,"#,##0")&amp;" kg ya no los acepta ninguna cadena: venta intermedia/liquidación. ","")&amp;IF(N(M687)&gt;=Parametros!$B$17,TEXT(M687,"#,##0")&amp;" kg a punto de salir del filtro: despachar primero (FEFO). ","")&amp;IF(Y687="SÍ","Pedidos "&amp;IF(N(U687)&gt;0,"sobre","bajo")&amp;" FCST "&amp;TEXT(ABS(N(U687)),"0%")&amp;": revisar forecast con KAM.","")</f>
        <v/>
      </c>
    </row>
    <row r="688" customFormat="false" ht="15" hidden="false" customHeight="false" outlineLevel="0" collapsed="false">
      <c r="A688" s="18" t="n">
        <f aca="false">Stock_Seguridad!A688</f>
        <v>30001433</v>
      </c>
      <c r="B688" s="18" t="str">
        <f aca="false">Stock_Seguridad!B688</f>
        <v>VINO STA CAROLIN GR CS NAC TN21 6X750ML</v>
      </c>
      <c r="C688" s="18" t="str">
        <f aca="false">Stock_Seguridad!C688</f>
        <v>VINOS</v>
      </c>
      <c r="D688" s="18" t="str">
        <f aca="false">Stock_Seguridad!F688</f>
        <v>SIN HIST</v>
      </c>
      <c r="E688" s="19" t="str">
        <f aca="false">Stock_Seguridad!X688</f>
        <v>OK</v>
      </c>
      <c r="F688" s="20" t="n">
        <f aca="false">Stock_Seguridad!W688</f>
        <v>1100.76923076923</v>
      </c>
      <c r="G688" s="21" t="n">
        <f aca="false">Stock_Seguridad!T688</f>
        <v>1431</v>
      </c>
      <c r="H688" s="21" t="n">
        <f aca="false">Stock_Seguridad!R688</f>
        <v>0.641492914511074</v>
      </c>
      <c r="I688" s="21" t="n">
        <f aca="false">Stock_Seguridad!S688</f>
        <v>1.94149291451107</v>
      </c>
      <c r="J688" s="21" t="n">
        <f aca="false">Stock_Seguridad!U688</f>
        <v>0</v>
      </c>
      <c r="K688" s="22"/>
      <c r="L688" s="23" t="n">
        <v>0</v>
      </c>
      <c r="M688" s="23" t="n">
        <v>0</v>
      </c>
      <c r="N688" s="23" t="n">
        <v>0</v>
      </c>
      <c r="O688" s="24" t="n">
        <v>-0.311635220125786</v>
      </c>
      <c r="P688" s="24" t="str">
        <f aca="false">IF(ISNUMBER(Stock_Seguridad!N688),Stock_Seguridad!N688,"")</f>
        <v/>
      </c>
      <c r="Q688" s="24" t="str">
        <f aca="false">IF(AND(ISNUMBER(O688),ISNUMBER(P688)),P688-O688,"")</f>
        <v/>
      </c>
      <c r="R688" s="23" t="n">
        <f aca="false">MAX(0,G688-N(L688))</f>
        <v>1431</v>
      </c>
      <c r="S688" s="23" t="n">
        <f aca="false">SUMIFS(Cadenas_vs_FCST!$D$17:$D$2437,Cadenas_vs_FCST!$A$17:$A$2437,A688)</f>
        <v>0</v>
      </c>
      <c r="T688" s="23" t="n">
        <f aca="false">SUMIFS(Cadenas_vs_FCST!$E$17:$E$2437,Cadenas_vs_FCST!$A$17:$A$2437,A688)</f>
        <v>0</v>
      </c>
      <c r="U688" s="24" t="str">
        <f aca="false">IF(T688&gt;0,S688/T688-1,"")</f>
        <v/>
      </c>
      <c r="V688" s="3" t="str">
        <f aca="false">IF(OR(E688="BAJO SS",E688="BAJO SS (XLIB CUBRE)"),"SÍ","")</f>
        <v/>
      </c>
      <c r="W688" s="3" t="str">
        <f aca="false">IF(AND(V688="",N(L688)&gt;=Parametros!$B$17,G688&gt;=H688,R688&lt;H688),"SÍ","")</f>
        <v/>
      </c>
      <c r="X688" s="3" t="str">
        <f aca="false">IF(OR(E688="SOBRE MAX VENDIBLE",N(N688)&gt;=Parametros!$B$17,N(M688)&gt;=Parametros!$B$17),"SÍ","")</f>
        <v/>
      </c>
      <c r="Y688" s="3" t="str">
        <f aca="false">IF(AND(ISNUMBER(U688),MAX(S688,T688)&gt;=Parametros!$B$15,ABS(N(U688))&gt;Parametros!$B$14),"SÍ","")</f>
        <v/>
      </c>
      <c r="Z688" s="3" t="n">
        <f aca="false">COUNTIF(V688:Y688,"SÍ")</f>
        <v>0</v>
      </c>
      <c r="AA688" s="3" t="n">
        <f aca="false">(3*(V688="SÍ")+2*(W688="SÍ")+2*(X688="SÍ")+(Y688="SÍ"))*IF(LEFT(D688,1)="A",3,IF(OR(LEFT(D688,1)="B",D688="SIN HIST"),2,1))</f>
        <v>0</v>
      </c>
      <c r="AB688" s="3" t="str">
        <f aca="false">IF(AA688&gt;=9,"1-ALTA",IF(AA688&gt;=4,"2-MEDIA",IF(AA688&gt;0,"3-BAJA","")))</f>
        <v/>
      </c>
      <c r="AC688" s="3" t="str">
        <f aca="false">IF(E688="BAJO SS","Stock + XLIB bajo el SS: riesgo real de quiebre, adelantar producción. ","")&amp;IF(E688="BAJO SS (XLIB CUBRE)","Disponible bajo el SS; depende de liberar "&amp;TEXT(J688,"#,##0")&amp;" kg"&amp;IF(ISNUMBER(K688)," el "&amp;TEXT(K688,"dd-mm"),"")&amp;". ","")&amp;IF(W688="SÍ","Stock parece sano pero "&amp;TEXT(L688,"#,##0")&amp;" kg no pasan filtro "&amp;Stock_Seguridad!O688&amp;": sin ellos queda bajo el SS para esa cadena. ","")&amp;IF(E688="SOBRE MAX VENDIBLE","Sobrestock vs vida útil: frenar producción/activar venta. ","")&amp;IF(N(N688)&gt;=Parametros!$B$17,TEXT(N688,"#,##0")&amp;" kg ya no los acepta ninguna cadena: venta intermedia/liquidación. ","")&amp;IF(N(M688)&gt;=Parametros!$B$17,TEXT(M688,"#,##0")&amp;" kg a punto de salir del filtro: despachar primero (FEFO). ","")&amp;IF(Y688="SÍ","Pedidos "&amp;IF(N(U688)&gt;0,"sobre","bajo")&amp;" FCST "&amp;TEXT(ABS(N(U688)),"0%")&amp;": revisar forecast con KAM.","")</f>
        <v/>
      </c>
    </row>
    <row r="689" customFormat="false" ht="15" hidden="false" customHeight="false" outlineLevel="0" collapsed="false">
      <c r="A689" s="18" t="n">
        <f aca="false">Stock_Seguridad!A689</f>
        <v>30000285</v>
      </c>
      <c r="B689" s="18" t="str">
        <f aca="false">Stock_Seguridad!B689</f>
        <v>VINO BCO LATEHAR SAUV13º BOT 12X500ML</v>
      </c>
      <c r="C689" s="18" t="str">
        <f aca="false">Stock_Seguridad!C689</f>
        <v>VINOS</v>
      </c>
      <c r="D689" s="18" t="str">
        <f aca="false">Stock_Seguridad!F689</f>
        <v>SIN HIST</v>
      </c>
      <c r="E689" s="19" t="str">
        <f aca="false">Stock_Seguridad!X689</f>
        <v>OK</v>
      </c>
      <c r="F689" s="20" t="n">
        <f aca="false">Stock_Seguridad!W689</f>
        <v>1440</v>
      </c>
      <c r="G689" s="21" t="n">
        <f aca="false">Stock_Seguridad!T689</f>
        <v>1728</v>
      </c>
      <c r="H689" s="21" t="n">
        <f aca="false">Stock_Seguridad!R689</f>
        <v>0.59214730570253</v>
      </c>
      <c r="I689" s="21" t="n">
        <f aca="false">Stock_Seguridad!S689</f>
        <v>1.79214730570253</v>
      </c>
      <c r="J689" s="21" t="n">
        <f aca="false">Stock_Seguridad!U689</f>
        <v>0</v>
      </c>
      <c r="K689" s="22"/>
      <c r="L689" s="23" t="n">
        <v>0</v>
      </c>
      <c r="M689" s="23" t="n">
        <v>0</v>
      </c>
      <c r="N689" s="23" t="n">
        <v>0</v>
      </c>
      <c r="O689" s="24" t="n">
        <v>0.175451388888889</v>
      </c>
      <c r="P689" s="24" t="str">
        <f aca="false">IF(ISNUMBER(Stock_Seguridad!N689),Stock_Seguridad!N689,"")</f>
        <v/>
      </c>
      <c r="Q689" s="24" t="str">
        <f aca="false">IF(AND(ISNUMBER(O689),ISNUMBER(P689)),P689-O689,"")</f>
        <v/>
      </c>
      <c r="R689" s="23" t="n">
        <f aca="false">MAX(0,G689-N(L689))</f>
        <v>1728</v>
      </c>
      <c r="S689" s="23" t="n">
        <f aca="false">SUMIFS(Cadenas_vs_FCST!$D$17:$D$2437,Cadenas_vs_FCST!$A$17:$A$2437,A689)</f>
        <v>0</v>
      </c>
      <c r="T689" s="23" t="n">
        <f aca="false">SUMIFS(Cadenas_vs_FCST!$E$17:$E$2437,Cadenas_vs_FCST!$A$17:$A$2437,A689)</f>
        <v>0</v>
      </c>
      <c r="U689" s="24" t="str">
        <f aca="false">IF(T689&gt;0,S689/T689-1,"")</f>
        <v/>
      </c>
      <c r="V689" s="3" t="str">
        <f aca="false">IF(OR(E689="BAJO SS",E689="BAJO SS (XLIB CUBRE)"),"SÍ","")</f>
        <v/>
      </c>
      <c r="W689" s="3" t="str">
        <f aca="false">IF(AND(V689="",N(L689)&gt;=Parametros!$B$17,G689&gt;=H689,R689&lt;H689),"SÍ","")</f>
        <v/>
      </c>
      <c r="X689" s="3" t="str">
        <f aca="false">IF(OR(E689="SOBRE MAX VENDIBLE",N(N689)&gt;=Parametros!$B$17,N(M689)&gt;=Parametros!$B$17),"SÍ","")</f>
        <v/>
      </c>
      <c r="Y689" s="3" t="str">
        <f aca="false">IF(AND(ISNUMBER(U689),MAX(S689,T689)&gt;=Parametros!$B$15,ABS(N(U689))&gt;Parametros!$B$14),"SÍ","")</f>
        <v/>
      </c>
      <c r="Z689" s="3" t="n">
        <f aca="false">COUNTIF(V689:Y689,"SÍ")</f>
        <v>0</v>
      </c>
      <c r="AA689" s="3" t="n">
        <f aca="false">(3*(V689="SÍ")+2*(W689="SÍ")+2*(X689="SÍ")+(Y689="SÍ"))*IF(LEFT(D689,1)="A",3,IF(OR(LEFT(D689,1)="B",D689="SIN HIST"),2,1))</f>
        <v>0</v>
      </c>
      <c r="AB689" s="3" t="str">
        <f aca="false">IF(AA689&gt;=9,"1-ALTA",IF(AA689&gt;=4,"2-MEDIA",IF(AA689&gt;0,"3-BAJA","")))</f>
        <v/>
      </c>
      <c r="AC689" s="3" t="str">
        <f aca="false">IF(E689="BAJO SS","Stock + XLIB bajo el SS: riesgo real de quiebre, adelantar producción. ","")&amp;IF(E689="BAJO SS (XLIB CUBRE)","Disponible bajo el SS; depende de liberar "&amp;TEXT(J689,"#,##0")&amp;" kg"&amp;IF(ISNUMBER(K689)," el "&amp;TEXT(K689,"dd-mm"),"")&amp;". ","")&amp;IF(W689="SÍ","Stock parece sano pero "&amp;TEXT(L689,"#,##0")&amp;" kg no pasan filtro "&amp;Stock_Seguridad!O689&amp;": sin ellos queda bajo el SS para esa cadena. ","")&amp;IF(E689="SOBRE MAX VENDIBLE","Sobrestock vs vida útil: frenar producción/activar venta. ","")&amp;IF(N(N689)&gt;=Parametros!$B$17,TEXT(N689,"#,##0")&amp;" kg ya no los acepta ninguna cadena: venta intermedia/liquidación. ","")&amp;IF(N(M689)&gt;=Parametros!$B$17,TEXT(M689,"#,##0")&amp;" kg a punto de salir del filtro: despachar primero (FEFO). ","")&amp;IF(Y689="SÍ","Pedidos "&amp;IF(N(U689)&gt;0,"sobre","bajo")&amp;" FCST "&amp;TEXT(ABS(N(U689)),"0%")&amp;": revisar forecast con KAM.","")</f>
        <v/>
      </c>
    </row>
    <row r="690" customFormat="false" ht="15" hidden="false" customHeight="false" outlineLevel="0" collapsed="false">
      <c r="A690" s="18" t="n">
        <f aca="false">Stock_Seguridad!A690</f>
        <v>30000590</v>
      </c>
      <c r="B690" s="18" t="str">
        <f aca="false">Stock_Seguridad!B690</f>
        <v>VINO TTO RSVA ESP VSC ME BOT 6X750ML</v>
      </c>
      <c r="C690" s="18" t="str">
        <f aca="false">Stock_Seguridad!C690</f>
        <v>VINOS</v>
      </c>
      <c r="D690" s="18" t="str">
        <f aca="false">Stock_Seguridad!F690</f>
        <v>SIN HIST</v>
      </c>
      <c r="E690" s="19" t="str">
        <f aca="false">Stock_Seguridad!X690</f>
        <v>OK</v>
      </c>
      <c r="F690" s="20" t="n">
        <f aca="false">Stock_Seguridad!W690</f>
        <v>1427.72727272727</v>
      </c>
      <c r="G690" s="21" t="n">
        <f aca="false">Stock_Seguridad!T690</f>
        <v>1570.5</v>
      </c>
      <c r="H690" s="21" t="n">
        <f aca="false">Stock_Seguridad!R690</f>
        <v>0.542801696893986</v>
      </c>
      <c r="I690" s="21" t="n">
        <f aca="false">Stock_Seguridad!S690</f>
        <v>1.64280169689399</v>
      </c>
      <c r="J690" s="21" t="n">
        <f aca="false">Stock_Seguridad!U690</f>
        <v>0</v>
      </c>
      <c r="K690" s="22"/>
      <c r="L690" s="23" t="n">
        <v>0</v>
      </c>
      <c r="M690" s="23" t="n">
        <v>0</v>
      </c>
      <c r="N690" s="23" t="n">
        <v>0</v>
      </c>
      <c r="O690" s="24" t="n">
        <v>0.259942693409742</v>
      </c>
      <c r="P690" s="24" t="str">
        <f aca="false">IF(ISNUMBER(Stock_Seguridad!N690),Stock_Seguridad!N690,"")</f>
        <v/>
      </c>
      <c r="Q690" s="24" t="str">
        <f aca="false">IF(AND(ISNUMBER(O690),ISNUMBER(P690)),P690-O690,"")</f>
        <v/>
      </c>
      <c r="R690" s="23" t="n">
        <f aca="false">MAX(0,G690-N(L690))</f>
        <v>1570.5</v>
      </c>
      <c r="S690" s="23" t="n">
        <f aca="false">SUMIFS(Cadenas_vs_FCST!$D$17:$D$2437,Cadenas_vs_FCST!$A$17:$A$2437,A690)</f>
        <v>0</v>
      </c>
      <c r="T690" s="23" t="n">
        <f aca="false">SUMIFS(Cadenas_vs_FCST!$E$17:$E$2437,Cadenas_vs_FCST!$A$17:$A$2437,A690)</f>
        <v>0</v>
      </c>
      <c r="U690" s="24" t="str">
        <f aca="false">IF(T690&gt;0,S690/T690-1,"")</f>
        <v/>
      </c>
      <c r="V690" s="3" t="str">
        <f aca="false">IF(OR(E690="BAJO SS",E690="BAJO SS (XLIB CUBRE)"),"SÍ","")</f>
        <v/>
      </c>
      <c r="W690" s="3" t="str">
        <f aca="false">IF(AND(V690="",N(L690)&gt;=Parametros!$B$17,G690&gt;=H690,R690&lt;H690),"SÍ","")</f>
        <v/>
      </c>
      <c r="X690" s="3" t="str">
        <f aca="false">IF(OR(E690="SOBRE MAX VENDIBLE",N(N690)&gt;=Parametros!$B$17,N(M690)&gt;=Parametros!$B$17),"SÍ","")</f>
        <v/>
      </c>
      <c r="Y690" s="3" t="str">
        <f aca="false">IF(AND(ISNUMBER(U690),MAX(S690,T690)&gt;=Parametros!$B$15,ABS(N(U690))&gt;Parametros!$B$14),"SÍ","")</f>
        <v/>
      </c>
      <c r="Z690" s="3" t="n">
        <f aca="false">COUNTIF(V690:Y690,"SÍ")</f>
        <v>0</v>
      </c>
      <c r="AA690" s="3" t="n">
        <f aca="false">(3*(V690="SÍ")+2*(W690="SÍ")+2*(X690="SÍ")+(Y690="SÍ"))*IF(LEFT(D690,1)="A",3,IF(OR(LEFT(D690,1)="B",D690="SIN HIST"),2,1))</f>
        <v>0</v>
      </c>
      <c r="AB690" s="3" t="str">
        <f aca="false">IF(AA690&gt;=9,"1-ALTA",IF(AA690&gt;=4,"2-MEDIA",IF(AA690&gt;0,"3-BAJA","")))</f>
        <v/>
      </c>
      <c r="AC690" s="3" t="str">
        <f aca="false">IF(E690="BAJO SS","Stock + XLIB bajo el SS: riesgo real de quiebre, adelantar producción. ","")&amp;IF(E690="BAJO SS (XLIB CUBRE)","Disponible bajo el SS; depende de liberar "&amp;TEXT(J690,"#,##0")&amp;" kg"&amp;IF(ISNUMBER(K690)," el "&amp;TEXT(K690,"dd-mm"),"")&amp;". ","")&amp;IF(W690="SÍ","Stock parece sano pero "&amp;TEXT(L690,"#,##0")&amp;" kg no pasan filtro "&amp;Stock_Seguridad!O690&amp;": sin ellos queda bajo el SS para esa cadena. ","")&amp;IF(E690="SOBRE MAX VENDIBLE","Sobrestock vs vida útil: frenar producción/activar venta. ","")&amp;IF(N(N690)&gt;=Parametros!$B$17,TEXT(N690,"#,##0")&amp;" kg ya no los acepta ninguna cadena: venta intermedia/liquidación. ","")&amp;IF(N(M690)&gt;=Parametros!$B$17,TEXT(M690,"#,##0")&amp;" kg a punto de salir del filtro: despachar primero (FEFO). ","")&amp;IF(Y690="SÍ","Pedidos "&amp;IF(N(U690)&gt;0,"sobre","bajo")&amp;" FCST "&amp;TEXT(ABS(N(U690)),"0%")&amp;": revisar forecast con KAM.","")</f>
        <v/>
      </c>
    </row>
    <row r="691" customFormat="false" ht="15" hidden="false" customHeight="false" outlineLevel="0" collapsed="false">
      <c r="A691" s="18" t="n">
        <f aca="false">Stock_Seguridad!A691</f>
        <v>30000295</v>
      </c>
      <c r="B691" s="18" t="str">
        <f aca="false">Stock_Seguridad!B691</f>
        <v>VINO TTO R.FMLIA CR 14,5º BOT 6X750ML</v>
      </c>
      <c r="C691" s="18" t="str">
        <f aca="false">Stock_Seguridad!C691</f>
        <v>VINOS</v>
      </c>
      <c r="D691" s="18" t="str">
        <f aca="false">Stock_Seguridad!F691</f>
        <v>SIN HIST</v>
      </c>
      <c r="E691" s="19" t="str">
        <f aca="false">Stock_Seguridad!X691</f>
        <v>OK</v>
      </c>
      <c r="F691" s="20" t="n">
        <f aca="false">Stock_Seguridad!W691</f>
        <v>660</v>
      </c>
      <c r="G691" s="21" t="n">
        <f aca="false">Stock_Seguridad!T691</f>
        <v>594</v>
      </c>
      <c r="H691" s="21" t="n">
        <f aca="false">Stock_Seguridad!R691</f>
        <v>0.444110479276897</v>
      </c>
      <c r="I691" s="21" t="n">
        <f aca="false">Stock_Seguridad!S691</f>
        <v>1.3441104792769</v>
      </c>
      <c r="J691" s="21" t="n">
        <f aca="false">Stock_Seguridad!U691</f>
        <v>0</v>
      </c>
      <c r="K691" s="22"/>
      <c r="L691" s="23" t="n">
        <v>0</v>
      </c>
      <c r="M691" s="23" t="n">
        <v>0</v>
      </c>
      <c r="N691" s="23" t="n">
        <v>0</v>
      </c>
      <c r="O691" s="24" t="n">
        <v>0.157727272727273</v>
      </c>
      <c r="P691" s="24" t="str">
        <f aca="false">IF(ISNUMBER(Stock_Seguridad!N691),Stock_Seguridad!N691,"")</f>
        <v/>
      </c>
      <c r="Q691" s="24" t="str">
        <f aca="false">IF(AND(ISNUMBER(O691),ISNUMBER(P691)),P691-O691,"")</f>
        <v/>
      </c>
      <c r="R691" s="23" t="n">
        <f aca="false">MAX(0,G691-N(L691))</f>
        <v>594</v>
      </c>
      <c r="S691" s="23" t="n">
        <f aca="false">SUMIFS(Cadenas_vs_FCST!$D$17:$D$2437,Cadenas_vs_FCST!$A$17:$A$2437,A691)</f>
        <v>0</v>
      </c>
      <c r="T691" s="23" t="n">
        <f aca="false">SUMIFS(Cadenas_vs_FCST!$E$17:$E$2437,Cadenas_vs_FCST!$A$17:$A$2437,A691)</f>
        <v>0</v>
      </c>
      <c r="U691" s="24" t="str">
        <f aca="false">IF(T691&gt;0,S691/T691-1,"")</f>
        <v/>
      </c>
      <c r="V691" s="3" t="str">
        <f aca="false">IF(OR(E691="BAJO SS",E691="BAJO SS (XLIB CUBRE)"),"SÍ","")</f>
        <v/>
      </c>
      <c r="W691" s="3" t="str">
        <f aca="false">IF(AND(V691="",N(L691)&gt;=Parametros!$B$17,G691&gt;=H691,R691&lt;H691),"SÍ","")</f>
        <v/>
      </c>
      <c r="X691" s="3" t="str">
        <f aca="false">IF(OR(E691="SOBRE MAX VENDIBLE",N(N691)&gt;=Parametros!$B$17,N(M691)&gt;=Parametros!$B$17),"SÍ","")</f>
        <v/>
      </c>
      <c r="Y691" s="3" t="str">
        <f aca="false">IF(AND(ISNUMBER(U691),MAX(S691,T691)&gt;=Parametros!$B$15,ABS(N(U691))&gt;Parametros!$B$14),"SÍ","")</f>
        <v/>
      </c>
      <c r="Z691" s="3" t="n">
        <f aca="false">COUNTIF(V691:Y691,"SÍ")</f>
        <v>0</v>
      </c>
      <c r="AA691" s="3" t="n">
        <f aca="false">(3*(V691="SÍ")+2*(W691="SÍ")+2*(X691="SÍ")+(Y691="SÍ"))*IF(LEFT(D691,1)="A",3,IF(OR(LEFT(D691,1)="B",D691="SIN HIST"),2,1))</f>
        <v>0</v>
      </c>
      <c r="AB691" s="3" t="str">
        <f aca="false">IF(AA691&gt;=9,"1-ALTA",IF(AA691&gt;=4,"2-MEDIA",IF(AA691&gt;0,"3-BAJA","")))</f>
        <v/>
      </c>
      <c r="AC691" s="3" t="str">
        <f aca="false">IF(E691="BAJO SS","Stock + XLIB bajo el SS: riesgo real de quiebre, adelantar producción. ","")&amp;IF(E691="BAJO SS (XLIB CUBRE)","Disponible bajo el SS; depende de liberar "&amp;TEXT(J691,"#,##0")&amp;" kg"&amp;IF(ISNUMBER(K691)," el "&amp;TEXT(K691,"dd-mm"),"")&amp;". ","")&amp;IF(W691="SÍ","Stock parece sano pero "&amp;TEXT(L691,"#,##0")&amp;" kg no pasan filtro "&amp;Stock_Seguridad!O691&amp;": sin ellos queda bajo el SS para esa cadena. ","")&amp;IF(E691="SOBRE MAX VENDIBLE","Sobrestock vs vida útil: frenar producción/activar venta. ","")&amp;IF(N(N691)&gt;=Parametros!$B$17,TEXT(N691,"#,##0")&amp;" kg ya no los acepta ninguna cadena: venta intermedia/liquidación. ","")&amp;IF(N(M691)&gt;=Parametros!$B$17,TEXT(M691,"#,##0")&amp;" kg a punto de salir del filtro: despachar primero (FEFO). ","")&amp;IF(Y691="SÍ","Pedidos "&amp;IF(N(U691)&gt;0,"sobre","bajo")&amp;" FCST "&amp;TEXT(ABS(N(U691)),"0%")&amp;": revisar forecast con KAM.","")</f>
        <v/>
      </c>
    </row>
    <row r="692" customFormat="false" ht="15" hidden="false" customHeight="false" outlineLevel="0" collapsed="false">
      <c r="A692" s="18" t="n">
        <f aca="false">Stock_Seguridad!A692</f>
        <v>30000591</v>
      </c>
      <c r="B692" s="18" t="str">
        <f aca="false">Stock_Seguridad!B692</f>
        <v>VINO RSVA ESP VSC SB BOT 6X750ML</v>
      </c>
      <c r="C692" s="18" t="str">
        <f aca="false">Stock_Seguridad!C692</f>
        <v>VINOS</v>
      </c>
      <c r="D692" s="18" t="str">
        <f aca="false">Stock_Seguridad!F692</f>
        <v>SIN HIST</v>
      </c>
      <c r="E692" s="19" t="str">
        <f aca="false">Stock_Seguridad!X692</f>
        <v>OK</v>
      </c>
      <c r="F692" s="20" t="n">
        <f aca="false">Stock_Seguridad!W692</f>
        <v>930</v>
      </c>
      <c r="G692" s="21" t="n">
        <f aca="false">Stock_Seguridad!T692</f>
        <v>837</v>
      </c>
      <c r="H692" s="21" t="n">
        <f aca="false">Stock_Seguridad!R692</f>
        <v>0.444110479276897</v>
      </c>
      <c r="I692" s="21" t="n">
        <f aca="false">Stock_Seguridad!S692</f>
        <v>1.3441104792769</v>
      </c>
      <c r="J692" s="21" t="n">
        <f aca="false">Stock_Seguridad!U692</f>
        <v>0</v>
      </c>
      <c r="K692" s="22"/>
      <c r="L692" s="23" t="n">
        <v>0</v>
      </c>
      <c r="M692" s="23" t="n">
        <v>0</v>
      </c>
      <c r="N692" s="23" t="n">
        <v>0</v>
      </c>
      <c r="O692" s="24" t="n">
        <v>0.09</v>
      </c>
      <c r="P692" s="24" t="str">
        <f aca="false">IF(ISNUMBER(Stock_Seguridad!N692),Stock_Seguridad!N692,"")</f>
        <v/>
      </c>
      <c r="Q692" s="24" t="str">
        <f aca="false">IF(AND(ISNUMBER(O692),ISNUMBER(P692)),P692-O692,"")</f>
        <v/>
      </c>
      <c r="R692" s="23" t="n">
        <f aca="false">MAX(0,G692-N(L692))</f>
        <v>837</v>
      </c>
      <c r="S692" s="23" t="n">
        <f aca="false">SUMIFS(Cadenas_vs_FCST!$D$17:$D$2437,Cadenas_vs_FCST!$A$17:$A$2437,A692)</f>
        <v>0</v>
      </c>
      <c r="T692" s="23" t="n">
        <f aca="false">SUMIFS(Cadenas_vs_FCST!$E$17:$E$2437,Cadenas_vs_FCST!$A$17:$A$2437,A692)</f>
        <v>0</v>
      </c>
      <c r="U692" s="24" t="str">
        <f aca="false">IF(T692&gt;0,S692/T692-1,"")</f>
        <v/>
      </c>
      <c r="V692" s="3" t="str">
        <f aca="false">IF(OR(E692="BAJO SS",E692="BAJO SS (XLIB CUBRE)"),"SÍ","")</f>
        <v/>
      </c>
      <c r="W692" s="3" t="str">
        <f aca="false">IF(AND(V692="",N(L692)&gt;=Parametros!$B$17,G692&gt;=H692,R692&lt;H692),"SÍ","")</f>
        <v/>
      </c>
      <c r="X692" s="3" t="str">
        <f aca="false">IF(OR(E692="SOBRE MAX VENDIBLE",N(N692)&gt;=Parametros!$B$17,N(M692)&gt;=Parametros!$B$17),"SÍ","")</f>
        <v/>
      </c>
      <c r="Y692" s="3" t="str">
        <f aca="false">IF(AND(ISNUMBER(U692),MAX(S692,T692)&gt;=Parametros!$B$15,ABS(N(U692))&gt;Parametros!$B$14),"SÍ","")</f>
        <v/>
      </c>
      <c r="Z692" s="3" t="n">
        <f aca="false">COUNTIF(V692:Y692,"SÍ")</f>
        <v>0</v>
      </c>
      <c r="AA692" s="3" t="n">
        <f aca="false">(3*(V692="SÍ")+2*(W692="SÍ")+2*(X692="SÍ")+(Y692="SÍ"))*IF(LEFT(D692,1)="A",3,IF(OR(LEFT(D692,1)="B",D692="SIN HIST"),2,1))</f>
        <v>0</v>
      </c>
      <c r="AB692" s="3" t="str">
        <f aca="false">IF(AA692&gt;=9,"1-ALTA",IF(AA692&gt;=4,"2-MEDIA",IF(AA692&gt;0,"3-BAJA","")))</f>
        <v/>
      </c>
      <c r="AC692" s="3" t="str">
        <f aca="false">IF(E692="BAJO SS","Stock + XLIB bajo el SS: riesgo real de quiebre, adelantar producción. ","")&amp;IF(E692="BAJO SS (XLIB CUBRE)","Disponible bajo el SS; depende de liberar "&amp;TEXT(J692,"#,##0")&amp;" kg"&amp;IF(ISNUMBER(K692)," el "&amp;TEXT(K692,"dd-mm"),"")&amp;". ","")&amp;IF(W692="SÍ","Stock parece sano pero "&amp;TEXT(L692,"#,##0")&amp;" kg no pasan filtro "&amp;Stock_Seguridad!O692&amp;": sin ellos queda bajo el SS para esa cadena. ","")&amp;IF(E692="SOBRE MAX VENDIBLE","Sobrestock vs vida útil: frenar producción/activar venta. ","")&amp;IF(N(N692)&gt;=Parametros!$B$17,TEXT(N692,"#,##0")&amp;" kg ya no los acepta ninguna cadena: venta intermedia/liquidación. ","")&amp;IF(N(M692)&gt;=Parametros!$B$17,TEXT(M692,"#,##0")&amp;" kg a punto de salir del filtro: despachar primero (FEFO). ","")&amp;IF(Y692="SÍ","Pedidos "&amp;IF(N(U692)&gt;0,"sobre","bajo")&amp;" FCST "&amp;TEXT(ABS(N(U692)),"0%")&amp;": revisar forecast con KAM.","")</f>
        <v/>
      </c>
    </row>
    <row r="693" customFormat="false" ht="15" hidden="false" customHeight="false" outlineLevel="0" collapsed="false">
      <c r="A693" s="18" t="n">
        <f aca="false">Stock_Seguridad!A693</f>
        <v>30000394</v>
      </c>
      <c r="B693" s="18" t="str">
        <f aca="false">Stock_Seguridad!B693</f>
        <v>LECHE POLVO CALO CRECER 1+ 10X800GR</v>
      </c>
      <c r="C693" s="18" t="str">
        <f aca="false">Stock_Seguridad!C693</f>
        <v>LECHES EN POLVO</v>
      </c>
      <c r="D693" s="18" t="str">
        <f aca="false">Stock_Seguridad!F693</f>
        <v>CZ</v>
      </c>
      <c r="E693" s="19" t="str">
        <f aca="false">Stock_Seguridad!X693</f>
        <v>SIN FCST</v>
      </c>
      <c r="F693" s="20" t="str">
        <f aca="false">Stock_Seguridad!W693</f>
        <v/>
      </c>
      <c r="G693" s="21" t="n">
        <f aca="false">Stock_Seguridad!T693</f>
        <v>320</v>
      </c>
      <c r="H693" s="21" t="n">
        <f aca="false">Stock_Seguridad!R693</f>
        <v>0</v>
      </c>
      <c r="I693" s="21" t="n">
        <f aca="false">Stock_Seguridad!S693</f>
        <v>0</v>
      </c>
      <c r="J693" s="21" t="n">
        <f aca="false">Stock_Seguridad!U693</f>
        <v>0</v>
      </c>
      <c r="K693" s="22"/>
      <c r="L693" s="23" t="n">
        <v>320</v>
      </c>
      <c r="M693" s="23" t="n">
        <v>0</v>
      </c>
      <c r="N693" s="23" t="n">
        <v>320</v>
      </c>
      <c r="O693" s="24" t="n">
        <v>0.48</v>
      </c>
      <c r="P693" s="24" t="n">
        <f aca="false">IF(ISNUMBER(Stock_Seguridad!N693),Stock_Seguridad!N693,"")</f>
        <v>0.32054794520548</v>
      </c>
      <c r="Q693" s="24" t="n">
        <f aca="false">IF(AND(ISNUMBER(O693),ISNUMBER(P693)),P693-O693,"")</f>
        <v>-0.15945205479452</v>
      </c>
      <c r="R693" s="23" t="n">
        <f aca="false">MAX(0,G693-N(L693))</f>
        <v>0</v>
      </c>
      <c r="S693" s="23" t="n">
        <f aca="false">SUMIFS(Cadenas_vs_FCST!$D$17:$D$2437,Cadenas_vs_FCST!$A$17:$A$2437,A693)</f>
        <v>0</v>
      </c>
      <c r="T693" s="23" t="n">
        <f aca="false">SUMIFS(Cadenas_vs_FCST!$E$17:$E$2437,Cadenas_vs_FCST!$A$17:$A$2437,A693)</f>
        <v>0</v>
      </c>
      <c r="U693" s="24" t="str">
        <f aca="false">IF(T693&gt;0,S693/T693-1,"")</f>
        <v/>
      </c>
      <c r="V693" s="3" t="str">
        <f aca="false">IF(OR(E693="BAJO SS",E693="BAJO SS (XLIB CUBRE)"),"SÍ","")</f>
        <v/>
      </c>
      <c r="W693" s="3" t="str">
        <f aca="false">IF(AND(V693="",N(L693)&gt;=Parametros!$B$17,G693&gt;=H693,R693&lt;H693),"SÍ","")</f>
        <v/>
      </c>
      <c r="X693" s="3" t="str">
        <f aca="false">IF(OR(E693="SOBRE MAX VENDIBLE",N(N693)&gt;=Parametros!$B$17,N(M693)&gt;=Parametros!$B$17),"SÍ","")</f>
        <v/>
      </c>
      <c r="Y693" s="3" t="str">
        <f aca="false">IF(AND(ISNUMBER(U693),MAX(S693,T693)&gt;=Parametros!$B$15,ABS(N(U693))&gt;Parametros!$B$14),"SÍ","")</f>
        <v/>
      </c>
      <c r="Z693" s="3" t="n">
        <f aca="false">COUNTIF(V693:Y693,"SÍ")</f>
        <v>0</v>
      </c>
      <c r="AA693" s="3" t="n">
        <f aca="false">(3*(V693="SÍ")+2*(W693="SÍ")+2*(X693="SÍ")+(Y693="SÍ"))*IF(LEFT(D693,1)="A",3,IF(OR(LEFT(D693,1)="B",D693="SIN HIST"),2,1))</f>
        <v>0</v>
      </c>
      <c r="AB693" s="3" t="str">
        <f aca="false">IF(AA693&gt;=9,"1-ALTA",IF(AA693&gt;=4,"2-MEDIA",IF(AA693&gt;0,"3-BAJA","")))</f>
        <v/>
      </c>
      <c r="AC693" s="3" t="str">
        <f aca="false">IF(E693="BAJO SS","Stock + XLIB bajo el SS: riesgo real de quiebre, adelantar producción. ","")&amp;IF(E693="BAJO SS (XLIB CUBRE)","Disponible bajo el SS; depende de liberar "&amp;TEXT(J693,"#,##0")&amp;" kg"&amp;IF(ISNUMBER(K693)," el "&amp;TEXT(K693,"dd-mm"),"")&amp;". ","")&amp;IF(W693="SÍ","Stock parece sano pero "&amp;TEXT(L693,"#,##0")&amp;" kg no pasan filtro "&amp;Stock_Seguridad!O693&amp;": sin ellos queda bajo el SS para esa cadena. ","")&amp;IF(E693="SOBRE MAX VENDIBLE","Sobrestock vs vida útil: frenar producción/activar venta. ","")&amp;IF(N(N693)&gt;=Parametros!$B$17,TEXT(N693,"#,##0")&amp;" kg ya no los acepta ninguna cadena: venta intermedia/liquidación. ","")&amp;IF(N(M693)&gt;=Parametros!$B$17,TEXT(M693,"#,##0")&amp;" kg a punto de salir del filtro: despachar primero (FEFO). ","")&amp;IF(Y693="SÍ","Pedidos "&amp;IF(N(U693)&gt;0,"sobre","bajo")&amp;" FCST "&amp;TEXT(ABS(N(U693)),"0%")&amp;": revisar forecast con KAM.","")</f>
        <v/>
      </c>
    </row>
    <row r="694" customFormat="false" ht="15" hidden="false" customHeight="false" outlineLevel="0" collapsed="false">
      <c r="A694" s="18" t="n">
        <f aca="false">Stock_Seguridad!A694</f>
        <v>30001746</v>
      </c>
      <c r="B694" s="18" t="str">
        <f aca="false">Stock_Seguridad!B694</f>
        <v>POUCH WATTS HALLOWEEN MANZANA 36X90GR</v>
      </c>
      <c r="C694" s="18" t="str">
        <f aca="false">Stock_Seguridad!C694</f>
        <v>COLACIONES EN CONSERVA</v>
      </c>
      <c r="D694" s="18" t="str">
        <f aca="false">Stock_Seguridad!F694</f>
        <v>BY</v>
      </c>
      <c r="E694" s="19" t="str">
        <f aca="false">Stock_Seguridad!X694</f>
        <v>SIN FCST</v>
      </c>
      <c r="F694" s="20" t="str">
        <f aca="false">Stock_Seguridad!W694</f>
        <v/>
      </c>
      <c r="G694" s="21" t="n">
        <f aca="false">Stock_Seguridad!T694</f>
        <v>392</v>
      </c>
      <c r="H694" s="21" t="n">
        <f aca="false">Stock_Seguridad!R694</f>
        <v>0</v>
      </c>
      <c r="I694" s="21" t="n">
        <f aca="false">Stock_Seguridad!S694</f>
        <v>0</v>
      </c>
      <c r="J694" s="21" t="n">
        <f aca="false">Stock_Seguridad!U694</f>
        <v>0</v>
      </c>
      <c r="K694" s="22"/>
      <c r="L694" s="23" t="n">
        <v>0</v>
      </c>
      <c r="M694" s="23" t="n">
        <v>0</v>
      </c>
      <c r="N694" s="23" t="n">
        <v>0</v>
      </c>
      <c r="O694" s="24" t="n">
        <v>0.158039215686275</v>
      </c>
      <c r="P694" s="24" t="n">
        <f aca="false">IF(ISNUMBER(Stock_Seguridad!N694),Stock_Seguridad!N694,"")</f>
        <v>0.273972602739726</v>
      </c>
      <c r="Q694" s="24" t="n">
        <f aca="false">IF(AND(ISNUMBER(O694),ISNUMBER(P694)),P694-O694,"")</f>
        <v>0.115933387053452</v>
      </c>
      <c r="R694" s="23" t="n">
        <f aca="false">MAX(0,G694-N(L694))</f>
        <v>392</v>
      </c>
      <c r="S694" s="23" t="n">
        <f aca="false">SUMIFS(Cadenas_vs_FCST!$D$17:$D$2437,Cadenas_vs_FCST!$A$17:$A$2437,A694)</f>
        <v>28262.52</v>
      </c>
      <c r="T694" s="23" t="n">
        <f aca="false">SUMIFS(Cadenas_vs_FCST!$E$17:$E$2437,Cadenas_vs_FCST!$A$17:$A$2437,A694)</f>
        <v>19945.6</v>
      </c>
      <c r="U694" s="24" t="n">
        <f aca="false">IF(T694&gt;0,S694/T694-1,"")</f>
        <v>0.416980186106209</v>
      </c>
      <c r="V694" s="3" t="str">
        <f aca="false">IF(OR(E694="BAJO SS",E694="BAJO SS (XLIB CUBRE)"),"SÍ","")</f>
        <v/>
      </c>
      <c r="W694" s="3" t="str">
        <f aca="false">IF(AND(V694="",N(L694)&gt;=Parametros!$B$17,G694&gt;=H694,R694&lt;H694),"SÍ","")</f>
        <v/>
      </c>
      <c r="X694" s="3" t="str">
        <f aca="false">IF(OR(E694="SOBRE MAX VENDIBLE",N(N694)&gt;=Parametros!$B$17,N(M694)&gt;=Parametros!$B$17),"SÍ","")</f>
        <v/>
      </c>
      <c r="Y694" s="3" t="str">
        <f aca="false">IF(AND(ISNUMBER(U694),MAX(S694,T694)&gt;=Parametros!$B$15,ABS(N(U694))&gt;Parametros!$B$14),"SÍ","")</f>
        <v>SÍ</v>
      </c>
      <c r="Z694" s="3" t="n">
        <f aca="false">COUNTIF(V694:Y694,"SÍ")</f>
        <v>1</v>
      </c>
      <c r="AA694" s="3" t="n">
        <f aca="false">(3*(V694="SÍ")+2*(W694="SÍ")+2*(X694="SÍ")+(Y694="SÍ"))*IF(LEFT(D694,1)="A",3,IF(OR(LEFT(D694,1)="B",D694="SIN HIST"),2,1))</f>
        <v>2</v>
      </c>
      <c r="AB694" s="3" t="str">
        <f aca="false">IF(AA694&gt;=9,"1-ALTA",IF(AA694&gt;=4,"2-MEDIA",IF(AA694&gt;0,"3-BAJA","")))</f>
        <v>3-BAJA</v>
      </c>
      <c r="AC694" s="3" t="str">
        <f aca="false">IF(E694="BAJO SS","Stock + XLIB bajo el SS: riesgo real de quiebre, adelantar producción. ","")&amp;IF(E694="BAJO SS (XLIB CUBRE)","Disponible bajo el SS; depende de liberar "&amp;TEXT(J694,"#,##0")&amp;" kg"&amp;IF(ISNUMBER(K694)," el "&amp;TEXT(K694,"dd-mm"),"")&amp;". ","")&amp;IF(W694="SÍ","Stock parece sano pero "&amp;TEXT(L694,"#,##0")&amp;" kg no pasan filtro "&amp;Stock_Seguridad!O694&amp;": sin ellos queda bajo el SS para esa cadena. ","")&amp;IF(E694="SOBRE MAX VENDIBLE","Sobrestock vs vida útil: frenar producción/activar venta. ","")&amp;IF(N(N694)&gt;=Parametros!$B$17,TEXT(N694,"#,##0")&amp;" kg ya no los acepta ninguna cadena: venta intermedia/liquidación. ","")&amp;IF(N(M694)&gt;=Parametros!$B$17,TEXT(M694,"#,##0")&amp;" kg a punto de salir del filtro: despachar primero (FEFO). ","")&amp;IF(Y694="SÍ","Pedidos "&amp;IF(N(U694)&gt;0,"sobre","bajo")&amp;" FCST "&amp;TEXT(ABS(N(U694)),"0%")&amp;": revisar forecast con KAM.","")</f>
        <v>Pedidos sobre FCST 42%: revisar forecast con KAM.</v>
      </c>
    </row>
    <row r="695" customFormat="false" ht="15" hidden="false" customHeight="false" outlineLevel="0" collapsed="false">
      <c r="A695" s="18" t="n">
        <f aca="false">Stock_Seguridad!A695</f>
        <v>30001741</v>
      </c>
      <c r="B695" s="18" t="str">
        <f aca="false">Stock_Seguridad!B695</f>
        <v>POROTOS BLANCOS SIN SAL WASIL 16X340GR</v>
      </c>
      <c r="C695" s="18" t="str">
        <f aca="false">Stock_Seguridad!C695</f>
        <v>CONSERVAS Y PLATOS LISTOS</v>
      </c>
      <c r="D695" s="18" t="str">
        <f aca="false">Stock_Seguridad!F695</f>
        <v>SIN HIST</v>
      </c>
      <c r="E695" s="19" t="str">
        <f aca="false">Stock_Seguridad!X695</f>
        <v>SIN FCST</v>
      </c>
      <c r="F695" s="20" t="str">
        <f aca="false">Stock_Seguridad!W695</f>
        <v/>
      </c>
      <c r="G695" s="21" t="n">
        <f aca="false">Stock_Seguridad!T695</f>
        <v>70.7</v>
      </c>
      <c r="H695" s="21" t="n">
        <f aca="false">Stock_Seguridad!R695</f>
        <v>0</v>
      </c>
      <c r="I695" s="21" t="n">
        <f aca="false">Stock_Seguridad!S695</f>
        <v>0</v>
      </c>
      <c r="J695" s="21" t="n">
        <f aca="false">Stock_Seguridad!U695</f>
        <v>0</v>
      </c>
      <c r="K695" s="22"/>
      <c r="L695" s="23" t="n">
        <v>70.72</v>
      </c>
      <c r="M695" s="23" t="n">
        <v>0</v>
      </c>
      <c r="N695" s="23" t="n">
        <v>0</v>
      </c>
      <c r="O695" s="24" t="n">
        <v>0.58</v>
      </c>
      <c r="P695" s="24" t="n">
        <f aca="false">IF(ISNUMBER(Stock_Seguridad!N695),Stock_Seguridad!N695,"")</f>
        <v>0.277899343544858</v>
      </c>
      <c r="Q695" s="24" t="n">
        <f aca="false">IF(AND(ISNUMBER(O695),ISNUMBER(P695)),P695-O695,"")</f>
        <v>-0.302100656455142</v>
      </c>
      <c r="R695" s="23" t="n">
        <f aca="false">MAX(0,G695-N(L695))</f>
        <v>0</v>
      </c>
      <c r="S695" s="23" t="n">
        <f aca="false">SUMIFS(Cadenas_vs_FCST!$D$17:$D$2437,Cadenas_vs_FCST!$A$17:$A$2437,A695)</f>
        <v>0</v>
      </c>
      <c r="T695" s="23" t="n">
        <f aca="false">SUMIFS(Cadenas_vs_FCST!$E$17:$E$2437,Cadenas_vs_FCST!$A$17:$A$2437,A695)</f>
        <v>0</v>
      </c>
      <c r="U695" s="24" t="str">
        <f aca="false">IF(T695&gt;0,S695/T695-1,"")</f>
        <v/>
      </c>
      <c r="V695" s="3" t="str">
        <f aca="false">IF(OR(E695="BAJO SS",E695="BAJO SS (XLIB CUBRE)"),"SÍ","")</f>
        <v/>
      </c>
      <c r="W695" s="3" t="str">
        <f aca="false">IF(AND(V695="",N(L695)&gt;=Parametros!$B$17,G695&gt;=H695,R695&lt;H695),"SÍ","")</f>
        <v/>
      </c>
      <c r="X695" s="3" t="str">
        <f aca="false">IF(OR(E695="SOBRE MAX VENDIBLE",N(N695)&gt;=Parametros!$B$17,N(M695)&gt;=Parametros!$B$17),"SÍ","")</f>
        <v/>
      </c>
      <c r="Y695" s="3" t="str">
        <f aca="false">IF(AND(ISNUMBER(U695),MAX(S695,T695)&gt;=Parametros!$B$15,ABS(N(U695))&gt;Parametros!$B$14),"SÍ","")</f>
        <v/>
      </c>
      <c r="Z695" s="3" t="n">
        <f aca="false">COUNTIF(V695:Y695,"SÍ")</f>
        <v>0</v>
      </c>
      <c r="AA695" s="3" t="n">
        <f aca="false">(3*(V695="SÍ")+2*(W695="SÍ")+2*(X695="SÍ")+(Y695="SÍ"))*IF(LEFT(D695,1)="A",3,IF(OR(LEFT(D695,1)="B",D695="SIN HIST"),2,1))</f>
        <v>0</v>
      </c>
      <c r="AB695" s="3" t="str">
        <f aca="false">IF(AA695&gt;=9,"1-ALTA",IF(AA695&gt;=4,"2-MEDIA",IF(AA695&gt;0,"3-BAJA","")))</f>
        <v/>
      </c>
      <c r="AC695" s="3" t="str">
        <f aca="false">IF(E695="BAJO SS","Stock + XLIB bajo el SS: riesgo real de quiebre, adelantar producción. ","")&amp;IF(E695="BAJO SS (XLIB CUBRE)","Disponible bajo el SS; depende de liberar "&amp;TEXT(J695,"#,##0")&amp;" kg"&amp;IF(ISNUMBER(K695)," el "&amp;TEXT(K695,"dd-mm"),"")&amp;". ","")&amp;IF(W695="SÍ","Stock parece sano pero "&amp;TEXT(L695,"#,##0")&amp;" kg no pasan filtro "&amp;Stock_Seguridad!O695&amp;": sin ellos queda bajo el SS para esa cadena. ","")&amp;IF(E695="SOBRE MAX VENDIBLE","Sobrestock vs vida útil: frenar producción/activar venta. ","")&amp;IF(N(N695)&gt;=Parametros!$B$17,TEXT(N695,"#,##0")&amp;" kg ya no los acepta ninguna cadena: venta intermedia/liquidación. ","")&amp;IF(N(M695)&gt;=Parametros!$B$17,TEXT(M695,"#,##0")&amp;" kg a punto de salir del filtro: despachar primero (FEFO). ","")&amp;IF(Y695="SÍ","Pedidos "&amp;IF(N(U695)&gt;0,"sobre","bajo")&amp;" FCST "&amp;TEXT(ABS(N(U695)),"0%")&amp;": revisar forecast con KAM.","")</f>
        <v/>
      </c>
    </row>
    <row r="696" customFormat="false" ht="15" hidden="false" customHeight="false" outlineLevel="0" collapsed="false">
      <c r="A696" s="18" t="n">
        <f aca="false">Stock_Seguridad!A696</f>
        <v>30000592</v>
      </c>
      <c r="B696" s="18" t="str">
        <f aca="false">Stock_Seguridad!B696</f>
        <v>ESPUMANTE STA CAROLINA BRUT RRP 6X750ML</v>
      </c>
      <c r="C696" s="18" t="str">
        <f aca="false">Stock_Seguridad!C696</f>
        <v>ESPUMANTE</v>
      </c>
      <c r="D696" s="18" t="str">
        <f aca="false">Stock_Seguridad!F696</f>
        <v>SIN HIST</v>
      </c>
      <c r="E696" s="19" t="str">
        <f aca="false">Stock_Seguridad!X696</f>
        <v>SIN FCST</v>
      </c>
      <c r="F696" s="20" t="str">
        <f aca="false">Stock_Seguridad!W696</f>
        <v/>
      </c>
      <c r="G696" s="21" t="n">
        <f aca="false">Stock_Seguridad!T696</f>
        <v>10674</v>
      </c>
      <c r="H696" s="21" t="n">
        <f aca="false">Stock_Seguridad!R696</f>
        <v>0</v>
      </c>
      <c r="I696" s="21" t="n">
        <f aca="false">Stock_Seguridad!S696</f>
        <v>0</v>
      </c>
      <c r="J696" s="21" t="n">
        <f aca="false">Stock_Seguridad!U696</f>
        <v>0</v>
      </c>
      <c r="K696" s="22"/>
      <c r="L696" s="23" t="n">
        <v>0</v>
      </c>
      <c r="M696" s="23" t="n">
        <v>0</v>
      </c>
      <c r="N696" s="23" t="n">
        <v>0</v>
      </c>
      <c r="O696" s="24" t="n">
        <v>0.081243676222597</v>
      </c>
      <c r="P696" s="24" t="str">
        <f aca="false">IF(ISNUMBER(Stock_Seguridad!N696),Stock_Seguridad!N696,"")</f>
        <v/>
      </c>
      <c r="Q696" s="24" t="str">
        <f aca="false">IF(AND(ISNUMBER(O696),ISNUMBER(P696)),P696-O696,"")</f>
        <v/>
      </c>
      <c r="R696" s="23" t="n">
        <f aca="false">MAX(0,G696-N(L696))</f>
        <v>10674</v>
      </c>
      <c r="S696" s="23" t="n">
        <f aca="false">SUMIFS(Cadenas_vs_FCST!$D$17:$D$2437,Cadenas_vs_FCST!$A$17:$A$2437,A696)</f>
        <v>0</v>
      </c>
      <c r="T696" s="23" t="n">
        <f aca="false">SUMIFS(Cadenas_vs_FCST!$E$17:$E$2437,Cadenas_vs_FCST!$A$17:$A$2437,A696)</f>
        <v>0</v>
      </c>
      <c r="U696" s="24" t="str">
        <f aca="false">IF(T696&gt;0,S696/T696-1,"")</f>
        <v/>
      </c>
      <c r="V696" s="3" t="str">
        <f aca="false">IF(OR(E696="BAJO SS",E696="BAJO SS (XLIB CUBRE)"),"SÍ","")</f>
        <v/>
      </c>
      <c r="W696" s="3" t="str">
        <f aca="false">IF(AND(V696="",N(L696)&gt;=Parametros!$B$17,G696&gt;=H696,R696&lt;H696),"SÍ","")</f>
        <v/>
      </c>
      <c r="X696" s="3" t="str">
        <f aca="false">IF(OR(E696="SOBRE MAX VENDIBLE",N(N696)&gt;=Parametros!$B$17,N(M696)&gt;=Parametros!$B$17),"SÍ","")</f>
        <v/>
      </c>
      <c r="Y696" s="3" t="str">
        <f aca="false">IF(AND(ISNUMBER(U696),MAX(S696,T696)&gt;=Parametros!$B$15,ABS(N(U696))&gt;Parametros!$B$14),"SÍ","")</f>
        <v/>
      </c>
      <c r="Z696" s="3" t="n">
        <f aca="false">COUNTIF(V696:Y696,"SÍ")</f>
        <v>0</v>
      </c>
      <c r="AA696" s="3" t="n">
        <f aca="false">(3*(V696="SÍ")+2*(W696="SÍ")+2*(X696="SÍ")+(Y696="SÍ"))*IF(LEFT(D696,1)="A",3,IF(OR(LEFT(D696,1)="B",D696="SIN HIST"),2,1))</f>
        <v>0</v>
      </c>
      <c r="AB696" s="3" t="str">
        <f aca="false">IF(AA696&gt;=9,"1-ALTA",IF(AA696&gt;=4,"2-MEDIA",IF(AA696&gt;0,"3-BAJA","")))</f>
        <v/>
      </c>
      <c r="AC696" s="3" t="str">
        <f aca="false">IF(E696="BAJO SS","Stock + XLIB bajo el SS: riesgo real de quiebre, adelantar producción. ","")&amp;IF(E696="BAJO SS (XLIB CUBRE)","Disponible bajo el SS; depende de liberar "&amp;TEXT(J696,"#,##0")&amp;" kg"&amp;IF(ISNUMBER(K696)," el "&amp;TEXT(K696,"dd-mm"),"")&amp;". ","")&amp;IF(W696="SÍ","Stock parece sano pero "&amp;TEXT(L696,"#,##0")&amp;" kg no pasan filtro "&amp;Stock_Seguridad!O696&amp;": sin ellos queda bajo el SS para esa cadena. ","")&amp;IF(E696="SOBRE MAX VENDIBLE","Sobrestock vs vida útil: frenar producción/activar venta. ","")&amp;IF(N(N696)&gt;=Parametros!$B$17,TEXT(N696,"#,##0")&amp;" kg ya no los acepta ninguna cadena: venta intermedia/liquidación. ","")&amp;IF(N(M696)&gt;=Parametros!$B$17,TEXT(M696,"#,##0")&amp;" kg a punto de salir del filtro: despachar primero (FEFO). ","")&amp;IF(Y696="SÍ","Pedidos "&amp;IF(N(U696)&gt;0,"sobre","bajo")&amp;" FCST "&amp;TEXT(ABS(N(U696)),"0%")&amp;": revisar forecast con KAM.","")</f>
        <v/>
      </c>
    </row>
    <row r="697" customFormat="false" ht="15" hidden="false" customHeight="false" outlineLevel="0" collapsed="false">
      <c r="A697" s="18" t="n">
        <f aca="false">Stock_Seguridad!A697</f>
        <v>30000681</v>
      </c>
      <c r="B697" s="18" t="str">
        <f aca="false">Stock_Seguridad!B697</f>
        <v>GARBANZO WASIL 16X500GR</v>
      </c>
      <c r="C697" s="18" t="str">
        <f aca="false">Stock_Seguridad!C697</f>
        <v>CONSERVAS Y PLATOS LISTOS</v>
      </c>
      <c r="D697" s="18" t="str">
        <f aca="false">Stock_Seguridad!F697</f>
        <v>CX</v>
      </c>
      <c r="E697" s="19" t="str">
        <f aca="false">Stock_Seguridad!X697</f>
        <v>SIN FCST</v>
      </c>
      <c r="F697" s="20" t="str">
        <f aca="false">Stock_Seguridad!W697</f>
        <v/>
      </c>
      <c r="G697" s="21" t="n">
        <f aca="false">Stock_Seguridad!T697</f>
        <v>3600</v>
      </c>
      <c r="H697" s="21" t="n">
        <f aca="false">Stock_Seguridad!R697</f>
        <v>0</v>
      </c>
      <c r="I697" s="21" t="n">
        <f aca="false">Stock_Seguridad!S697</f>
        <v>0</v>
      </c>
      <c r="J697" s="21" t="n">
        <f aca="false">Stock_Seguridad!U697</f>
        <v>0</v>
      </c>
      <c r="K697" s="22"/>
      <c r="L697" s="23" t="n">
        <v>3600</v>
      </c>
      <c r="M697" s="23" t="n">
        <v>0</v>
      </c>
      <c r="N697" s="23" t="n">
        <v>0</v>
      </c>
      <c r="O697" s="24" t="n">
        <v>0.6</v>
      </c>
      <c r="P697" s="24" t="n">
        <f aca="false">IF(ISNUMBER(Stock_Seguridad!N697),Stock_Seguridad!N697,"")</f>
        <v>0.198030634573304</v>
      </c>
      <c r="Q697" s="24" t="n">
        <f aca="false">IF(AND(ISNUMBER(O697),ISNUMBER(P697)),P697-O697,"")</f>
        <v>-0.401969365426696</v>
      </c>
      <c r="R697" s="23" t="n">
        <f aca="false">MAX(0,G697-N(L697))</f>
        <v>0</v>
      </c>
      <c r="S697" s="23" t="n">
        <f aca="false">SUMIFS(Cadenas_vs_FCST!$D$17:$D$2437,Cadenas_vs_FCST!$A$17:$A$2437,A697)</f>
        <v>216</v>
      </c>
      <c r="T697" s="23" t="n">
        <f aca="false">SUMIFS(Cadenas_vs_FCST!$E$17:$E$2437,Cadenas_vs_FCST!$A$17:$A$2437,A697)</f>
        <v>0</v>
      </c>
      <c r="U697" s="24" t="str">
        <f aca="false">IF(T697&gt;0,S697/T697-1,"")</f>
        <v/>
      </c>
      <c r="V697" s="3" t="str">
        <f aca="false">IF(OR(E697="BAJO SS",E697="BAJO SS (XLIB CUBRE)"),"SÍ","")</f>
        <v/>
      </c>
      <c r="W697" s="3" t="str">
        <f aca="false">IF(AND(V697="",N(L697)&gt;=Parametros!$B$17,G697&gt;=H697,R697&lt;H697),"SÍ","")</f>
        <v/>
      </c>
      <c r="X697" s="3" t="str">
        <f aca="false">IF(OR(E697="SOBRE MAX VENDIBLE",N(N697)&gt;=Parametros!$B$17,N(M697)&gt;=Parametros!$B$17),"SÍ","")</f>
        <v/>
      </c>
      <c r="Y697" s="3" t="str">
        <f aca="false">IF(AND(ISNUMBER(U697),MAX(S697,T697)&gt;=Parametros!$B$15,ABS(N(U697))&gt;Parametros!$B$14),"SÍ","")</f>
        <v/>
      </c>
      <c r="Z697" s="3" t="n">
        <f aca="false">COUNTIF(V697:Y697,"SÍ")</f>
        <v>0</v>
      </c>
      <c r="AA697" s="3" t="n">
        <f aca="false">(3*(V697="SÍ")+2*(W697="SÍ")+2*(X697="SÍ")+(Y697="SÍ"))*IF(LEFT(D697,1)="A",3,IF(OR(LEFT(D697,1)="B",D697="SIN HIST"),2,1))</f>
        <v>0</v>
      </c>
      <c r="AB697" s="3" t="str">
        <f aca="false">IF(AA697&gt;=9,"1-ALTA",IF(AA697&gt;=4,"2-MEDIA",IF(AA697&gt;0,"3-BAJA","")))</f>
        <v/>
      </c>
      <c r="AC697" s="3" t="str">
        <f aca="false">IF(E697="BAJO SS","Stock + XLIB bajo el SS: riesgo real de quiebre, adelantar producción. ","")&amp;IF(E697="BAJO SS (XLIB CUBRE)","Disponible bajo el SS; depende de liberar "&amp;TEXT(J697,"#,##0")&amp;" kg"&amp;IF(ISNUMBER(K697)," el "&amp;TEXT(K697,"dd-mm"),"")&amp;". ","")&amp;IF(W697="SÍ","Stock parece sano pero "&amp;TEXT(L697,"#,##0")&amp;" kg no pasan filtro "&amp;Stock_Seguridad!O697&amp;": sin ellos queda bajo el SS para esa cadena. ","")&amp;IF(E697="SOBRE MAX VENDIBLE","Sobrestock vs vida útil: frenar producción/activar venta. ","")&amp;IF(N(N697)&gt;=Parametros!$B$17,TEXT(N697,"#,##0")&amp;" kg ya no los acepta ninguna cadena: venta intermedia/liquidación. ","")&amp;IF(N(M697)&gt;=Parametros!$B$17,TEXT(M697,"#,##0")&amp;" kg a punto de salir del filtro: despachar primero (FEFO). ","")&amp;IF(Y697="SÍ","Pedidos "&amp;IF(N(U697)&gt;0,"sobre","bajo")&amp;" FCST "&amp;TEXT(ABS(N(U697)),"0%")&amp;": revisar forecast con KAM.","")</f>
        <v/>
      </c>
    </row>
    <row r="698" customFormat="false" ht="15" hidden="false" customHeight="false" outlineLevel="0" collapsed="false">
      <c r="A698" s="18" t="n">
        <f aca="false">Stock_Seguridad!A698</f>
        <v>30001151</v>
      </c>
      <c r="B698" s="18" t="str">
        <f aca="false">Stock_Seguridad!B698</f>
        <v>LENTEJAS NEGRAS WASIL 16X380GR</v>
      </c>
      <c r="C698" s="18" t="str">
        <f aca="false">Stock_Seguridad!C698</f>
        <v>CONSERVAS Y PLATOS LISTOS</v>
      </c>
      <c r="D698" s="18" t="str">
        <f aca="false">Stock_Seguridad!F698</f>
        <v>CZ</v>
      </c>
      <c r="E698" s="19" t="str">
        <f aca="false">Stock_Seguridad!X698</f>
        <v>SIN FCST</v>
      </c>
      <c r="F698" s="20" t="str">
        <f aca="false">Stock_Seguridad!W698</f>
        <v/>
      </c>
      <c r="G698" s="21" t="n">
        <f aca="false">Stock_Seguridad!T698</f>
        <v>85.1</v>
      </c>
      <c r="H698" s="21" t="n">
        <f aca="false">Stock_Seguridad!R698</f>
        <v>0</v>
      </c>
      <c r="I698" s="21" t="n">
        <f aca="false">Stock_Seguridad!S698</f>
        <v>0</v>
      </c>
      <c r="J698" s="21" t="n">
        <f aca="false">Stock_Seguridad!U698</f>
        <v>0</v>
      </c>
      <c r="K698" s="22"/>
      <c r="L698" s="23" t="n">
        <v>85.12</v>
      </c>
      <c r="M698" s="23" t="n">
        <v>0</v>
      </c>
      <c r="N698" s="23" t="n">
        <v>0</v>
      </c>
      <c r="O698" s="24" t="n">
        <v>0.58</v>
      </c>
      <c r="P698" s="24" t="n">
        <f aca="false">IF(ISNUMBER(Stock_Seguridad!N698),Stock_Seguridad!N698,"")</f>
        <v>0.463894967177243</v>
      </c>
      <c r="Q698" s="24" t="n">
        <f aca="false">IF(AND(ISNUMBER(O698),ISNUMBER(P698)),P698-O698,"")</f>
        <v>-0.116105032822757</v>
      </c>
      <c r="R698" s="23" t="n">
        <f aca="false">MAX(0,G698-N(L698))</f>
        <v>0</v>
      </c>
      <c r="S698" s="23" t="n">
        <f aca="false">SUMIFS(Cadenas_vs_FCST!$D$17:$D$2437,Cadenas_vs_FCST!$A$17:$A$2437,A698)</f>
        <v>0</v>
      </c>
      <c r="T698" s="23" t="n">
        <f aca="false">SUMIFS(Cadenas_vs_FCST!$E$17:$E$2437,Cadenas_vs_FCST!$A$17:$A$2437,A698)</f>
        <v>0</v>
      </c>
      <c r="U698" s="24" t="str">
        <f aca="false">IF(T698&gt;0,S698/T698-1,"")</f>
        <v/>
      </c>
      <c r="V698" s="3" t="str">
        <f aca="false">IF(OR(E698="BAJO SS",E698="BAJO SS (XLIB CUBRE)"),"SÍ","")</f>
        <v/>
      </c>
      <c r="W698" s="3" t="str">
        <f aca="false">IF(AND(V698="",N(L698)&gt;=Parametros!$B$17,G698&gt;=H698,R698&lt;H698),"SÍ","")</f>
        <v/>
      </c>
      <c r="X698" s="3" t="str">
        <f aca="false">IF(OR(E698="SOBRE MAX VENDIBLE",N(N698)&gt;=Parametros!$B$17,N(M698)&gt;=Parametros!$B$17),"SÍ","")</f>
        <v/>
      </c>
      <c r="Y698" s="3" t="str">
        <f aca="false">IF(AND(ISNUMBER(U698),MAX(S698,T698)&gt;=Parametros!$B$15,ABS(N(U698))&gt;Parametros!$B$14),"SÍ","")</f>
        <v/>
      </c>
      <c r="Z698" s="3" t="n">
        <f aca="false">COUNTIF(V698:Y698,"SÍ")</f>
        <v>0</v>
      </c>
      <c r="AA698" s="3" t="n">
        <f aca="false">(3*(V698="SÍ")+2*(W698="SÍ")+2*(X698="SÍ")+(Y698="SÍ"))*IF(LEFT(D698,1)="A",3,IF(OR(LEFT(D698,1)="B",D698="SIN HIST"),2,1))</f>
        <v>0</v>
      </c>
      <c r="AB698" s="3" t="str">
        <f aca="false">IF(AA698&gt;=9,"1-ALTA",IF(AA698&gt;=4,"2-MEDIA",IF(AA698&gt;0,"3-BAJA","")))</f>
        <v/>
      </c>
      <c r="AC698" s="3" t="str">
        <f aca="false">IF(E698="BAJO SS","Stock + XLIB bajo el SS: riesgo real de quiebre, adelantar producción. ","")&amp;IF(E698="BAJO SS (XLIB CUBRE)","Disponible bajo el SS; depende de liberar "&amp;TEXT(J698,"#,##0")&amp;" kg"&amp;IF(ISNUMBER(K698)," el "&amp;TEXT(K698,"dd-mm"),"")&amp;". ","")&amp;IF(W698="SÍ","Stock parece sano pero "&amp;TEXT(L698,"#,##0")&amp;" kg no pasan filtro "&amp;Stock_Seguridad!O698&amp;": sin ellos queda bajo el SS para esa cadena. ","")&amp;IF(E698="SOBRE MAX VENDIBLE","Sobrestock vs vida útil: frenar producción/activar venta. ","")&amp;IF(N(N698)&gt;=Parametros!$B$17,TEXT(N698,"#,##0")&amp;" kg ya no los acepta ninguna cadena: venta intermedia/liquidación. ","")&amp;IF(N(M698)&gt;=Parametros!$B$17,TEXT(M698,"#,##0")&amp;" kg a punto de salir del filtro: despachar primero (FEFO). ","")&amp;IF(Y698="SÍ","Pedidos "&amp;IF(N(U698)&gt;0,"sobre","bajo")&amp;" FCST "&amp;TEXT(ABS(N(U698)),"0%")&amp;": revisar forecast con KAM.","")</f>
        <v/>
      </c>
    </row>
    <row r="699" customFormat="false" ht="15" hidden="false" customHeight="false" outlineLevel="0" collapsed="false">
      <c r="A699" s="18" t="n">
        <f aca="false">Stock_Seguridad!A699</f>
        <v>30000971</v>
      </c>
      <c r="B699" s="18" t="str">
        <f aca="false">Stock_Seguridad!B699</f>
        <v>ARANDANO CONVENCIONAL IQF 13,62KG</v>
      </c>
      <c r="C699" s="18" t="str">
        <f aca="false">Stock_Seguridad!C699</f>
        <v>FRUTAS Y HORTALIZAS CONGELADAS</v>
      </c>
      <c r="D699" s="18" t="str">
        <f aca="false">Stock_Seguridad!F699</f>
        <v>SIN HIST</v>
      </c>
      <c r="E699" s="19" t="str">
        <f aca="false">Stock_Seguridad!X699</f>
        <v>SIN FCST</v>
      </c>
      <c r="F699" s="20" t="str">
        <f aca="false">Stock_Seguridad!W699</f>
        <v/>
      </c>
      <c r="G699" s="21" t="n">
        <f aca="false">Stock_Seguridad!T699</f>
        <v>3432.2</v>
      </c>
      <c r="H699" s="21" t="n">
        <f aca="false">Stock_Seguridad!R699</f>
        <v>0</v>
      </c>
      <c r="I699" s="21" t="n">
        <f aca="false">Stock_Seguridad!S699</f>
        <v>0</v>
      </c>
      <c r="J699" s="21" t="n">
        <f aca="false">Stock_Seguridad!U699</f>
        <v>0</v>
      </c>
      <c r="K699" s="22"/>
      <c r="L699" s="23" t="n">
        <v>0</v>
      </c>
      <c r="M699" s="23" t="n">
        <v>0</v>
      </c>
      <c r="N699" s="23" t="n">
        <v>0</v>
      </c>
      <c r="O699" s="24" t="n">
        <v>0.250873015873016</v>
      </c>
      <c r="P699" s="24" t="str">
        <f aca="false">IF(ISNUMBER(Stock_Seguridad!N699),Stock_Seguridad!N699,"")</f>
        <v/>
      </c>
      <c r="Q699" s="24" t="str">
        <f aca="false">IF(AND(ISNUMBER(O699),ISNUMBER(P699)),P699-O699,"")</f>
        <v/>
      </c>
      <c r="R699" s="23" t="n">
        <f aca="false">MAX(0,G699-N(L699))</f>
        <v>3432.2</v>
      </c>
      <c r="S699" s="23" t="n">
        <f aca="false">SUMIFS(Cadenas_vs_FCST!$D$17:$D$2437,Cadenas_vs_FCST!$A$17:$A$2437,A699)</f>
        <v>0</v>
      </c>
      <c r="T699" s="23" t="n">
        <f aca="false">SUMIFS(Cadenas_vs_FCST!$E$17:$E$2437,Cadenas_vs_FCST!$A$17:$A$2437,A699)</f>
        <v>0</v>
      </c>
      <c r="U699" s="24" t="str">
        <f aca="false">IF(T699&gt;0,S699/T699-1,"")</f>
        <v/>
      </c>
      <c r="V699" s="3" t="str">
        <f aca="false">IF(OR(E699="BAJO SS",E699="BAJO SS (XLIB CUBRE)"),"SÍ","")</f>
        <v/>
      </c>
      <c r="W699" s="3" t="str">
        <f aca="false">IF(AND(V699="",N(L699)&gt;=Parametros!$B$17,G699&gt;=H699,R699&lt;H699),"SÍ","")</f>
        <v/>
      </c>
      <c r="X699" s="3" t="str">
        <f aca="false">IF(OR(E699="SOBRE MAX VENDIBLE",N(N699)&gt;=Parametros!$B$17,N(M699)&gt;=Parametros!$B$17),"SÍ","")</f>
        <v/>
      </c>
      <c r="Y699" s="3" t="str">
        <f aca="false">IF(AND(ISNUMBER(U699),MAX(S699,T699)&gt;=Parametros!$B$15,ABS(N(U699))&gt;Parametros!$B$14),"SÍ","")</f>
        <v/>
      </c>
      <c r="Z699" s="3" t="n">
        <f aca="false">COUNTIF(V699:Y699,"SÍ")</f>
        <v>0</v>
      </c>
      <c r="AA699" s="3" t="n">
        <f aca="false">(3*(V699="SÍ")+2*(W699="SÍ")+2*(X699="SÍ")+(Y699="SÍ"))*IF(LEFT(D699,1)="A",3,IF(OR(LEFT(D699,1)="B",D699="SIN HIST"),2,1))</f>
        <v>0</v>
      </c>
      <c r="AB699" s="3" t="str">
        <f aca="false">IF(AA699&gt;=9,"1-ALTA",IF(AA699&gt;=4,"2-MEDIA",IF(AA699&gt;0,"3-BAJA","")))</f>
        <v/>
      </c>
      <c r="AC699" s="3" t="str">
        <f aca="false">IF(E699="BAJO SS","Stock + XLIB bajo el SS: riesgo real de quiebre, adelantar producción. ","")&amp;IF(E699="BAJO SS (XLIB CUBRE)","Disponible bajo el SS; depende de liberar "&amp;TEXT(J699,"#,##0")&amp;" kg"&amp;IF(ISNUMBER(K699)," el "&amp;TEXT(K699,"dd-mm"),"")&amp;". ","")&amp;IF(W699="SÍ","Stock parece sano pero "&amp;TEXT(L699,"#,##0")&amp;" kg no pasan filtro "&amp;Stock_Seguridad!O699&amp;": sin ellos queda bajo el SS para esa cadena. ","")&amp;IF(E699="SOBRE MAX VENDIBLE","Sobrestock vs vida útil: frenar producción/activar venta. ","")&amp;IF(N(N699)&gt;=Parametros!$B$17,TEXT(N699,"#,##0")&amp;" kg ya no los acepta ninguna cadena: venta intermedia/liquidación. ","")&amp;IF(N(M699)&gt;=Parametros!$B$17,TEXT(M699,"#,##0")&amp;" kg a punto de salir del filtro: despachar primero (FEFO). ","")&amp;IF(Y699="SÍ","Pedidos "&amp;IF(N(U699)&gt;0,"sobre","bajo")&amp;" FCST "&amp;TEXT(ABS(N(U699)),"0%")&amp;": revisar forecast con KAM.","")</f>
        <v/>
      </c>
    </row>
    <row r="700" customFormat="false" ht="15" hidden="false" customHeight="false" outlineLevel="0" collapsed="false">
      <c r="A700" s="18" t="n">
        <f aca="false">Stock_Seguridad!A700</f>
        <v>30000968</v>
      </c>
      <c r="B700" s="18" t="str">
        <f aca="false">Stock_Seguridad!B700</f>
        <v>ARVEJA IQF 8X2KG</v>
      </c>
      <c r="C700" s="18" t="str">
        <f aca="false">Stock_Seguridad!C700</f>
        <v>FRUTAS Y HORTALIZAS CONGELADAS</v>
      </c>
      <c r="D700" s="18" t="str">
        <f aca="false">Stock_Seguridad!F700</f>
        <v>SIN HIST</v>
      </c>
      <c r="E700" s="19" t="str">
        <f aca="false">Stock_Seguridad!X700</f>
        <v>SIN FCST</v>
      </c>
      <c r="F700" s="20" t="str">
        <f aca="false">Stock_Seguridad!W700</f>
        <v/>
      </c>
      <c r="G700" s="21" t="n">
        <f aca="false">Stock_Seguridad!T700</f>
        <v>4480</v>
      </c>
      <c r="H700" s="21" t="n">
        <f aca="false">Stock_Seguridad!R700</f>
        <v>0</v>
      </c>
      <c r="I700" s="21" t="n">
        <f aca="false">Stock_Seguridad!S700</f>
        <v>0</v>
      </c>
      <c r="J700" s="21" t="n">
        <f aca="false">Stock_Seguridad!U700</f>
        <v>0</v>
      </c>
      <c r="K700" s="22"/>
      <c r="L700" s="23" t="n">
        <v>0</v>
      </c>
      <c r="M700" s="23" t="n">
        <v>0</v>
      </c>
      <c r="N700" s="23" t="n">
        <v>0</v>
      </c>
      <c r="O700" s="24" t="n">
        <v>0.79</v>
      </c>
      <c r="P700" s="24" t="str">
        <f aca="false">IF(ISNUMBER(Stock_Seguridad!N700),Stock_Seguridad!N700,"")</f>
        <v/>
      </c>
      <c r="Q700" s="24" t="str">
        <f aca="false">IF(AND(ISNUMBER(O700),ISNUMBER(P700)),P700-O700,"")</f>
        <v/>
      </c>
      <c r="R700" s="23" t="n">
        <f aca="false">MAX(0,G700-N(L700))</f>
        <v>4480</v>
      </c>
      <c r="S700" s="23" t="n">
        <f aca="false">SUMIFS(Cadenas_vs_FCST!$D$17:$D$2437,Cadenas_vs_FCST!$A$17:$A$2437,A700)</f>
        <v>0</v>
      </c>
      <c r="T700" s="23" t="n">
        <f aca="false">SUMIFS(Cadenas_vs_FCST!$E$17:$E$2437,Cadenas_vs_FCST!$A$17:$A$2437,A700)</f>
        <v>0</v>
      </c>
      <c r="U700" s="24" t="str">
        <f aca="false">IF(T700&gt;0,S700/T700-1,"")</f>
        <v/>
      </c>
      <c r="V700" s="3" t="str">
        <f aca="false">IF(OR(E700="BAJO SS",E700="BAJO SS (XLIB CUBRE)"),"SÍ","")</f>
        <v/>
      </c>
      <c r="W700" s="3" t="str">
        <f aca="false">IF(AND(V700="",N(L700)&gt;=Parametros!$B$17,G700&gt;=H700,R700&lt;H700),"SÍ","")</f>
        <v/>
      </c>
      <c r="X700" s="3" t="str">
        <f aca="false">IF(OR(E700="SOBRE MAX VENDIBLE",N(N700)&gt;=Parametros!$B$17,N(M700)&gt;=Parametros!$B$17),"SÍ","")</f>
        <v/>
      </c>
      <c r="Y700" s="3" t="str">
        <f aca="false">IF(AND(ISNUMBER(U700),MAX(S700,T700)&gt;=Parametros!$B$15,ABS(N(U700))&gt;Parametros!$B$14),"SÍ","")</f>
        <v/>
      </c>
      <c r="Z700" s="3" t="n">
        <f aca="false">COUNTIF(V700:Y700,"SÍ")</f>
        <v>0</v>
      </c>
      <c r="AA700" s="3" t="n">
        <f aca="false">(3*(V700="SÍ")+2*(W700="SÍ")+2*(X700="SÍ")+(Y700="SÍ"))*IF(LEFT(D700,1)="A",3,IF(OR(LEFT(D700,1)="B",D700="SIN HIST"),2,1))</f>
        <v>0</v>
      </c>
      <c r="AB700" s="3" t="str">
        <f aca="false">IF(AA700&gt;=9,"1-ALTA",IF(AA700&gt;=4,"2-MEDIA",IF(AA700&gt;0,"3-BAJA","")))</f>
        <v/>
      </c>
      <c r="AC700" s="3" t="str">
        <f aca="false">IF(E700="BAJO SS","Stock + XLIB bajo el SS: riesgo real de quiebre, adelantar producción. ","")&amp;IF(E700="BAJO SS (XLIB CUBRE)","Disponible bajo el SS; depende de liberar "&amp;TEXT(J700,"#,##0")&amp;" kg"&amp;IF(ISNUMBER(K700)," el "&amp;TEXT(K700,"dd-mm"),"")&amp;". ","")&amp;IF(W700="SÍ","Stock parece sano pero "&amp;TEXT(L700,"#,##0")&amp;" kg no pasan filtro "&amp;Stock_Seguridad!O700&amp;": sin ellos queda bajo el SS para esa cadena. ","")&amp;IF(E700="SOBRE MAX VENDIBLE","Sobrestock vs vida útil: frenar producción/activar venta. ","")&amp;IF(N(N700)&gt;=Parametros!$B$17,TEXT(N700,"#,##0")&amp;" kg ya no los acepta ninguna cadena: venta intermedia/liquidación. ","")&amp;IF(N(M700)&gt;=Parametros!$B$17,TEXT(M700,"#,##0")&amp;" kg a punto de salir del filtro: despachar primero (FEFO). ","")&amp;IF(Y700="SÍ","Pedidos "&amp;IF(N(U700)&gt;0,"sobre","bajo")&amp;" FCST "&amp;TEXT(ABS(N(U700)),"0%")&amp;": revisar forecast con KAM.","")</f>
        <v/>
      </c>
    </row>
    <row r="701" customFormat="false" ht="15" hidden="false" customHeight="false" outlineLevel="0" collapsed="false">
      <c r="A701" s="18" t="n">
        <f aca="false">Stock_Seguridad!A701</f>
        <v>30000963</v>
      </c>
      <c r="B701" s="18" t="str">
        <f aca="false">Stock_Seguridad!B701</f>
        <v>PAPAYA FUERA DE CORTE 1X10KG</v>
      </c>
      <c r="C701" s="18" t="str">
        <f aca="false">Stock_Seguridad!C701</f>
        <v>FRUTAS Y HORTALIZAS CONGELADAS</v>
      </c>
      <c r="D701" s="18" t="str">
        <f aca="false">Stock_Seguridad!F701</f>
        <v>SIN HIST</v>
      </c>
      <c r="E701" s="19" t="str">
        <f aca="false">Stock_Seguridad!X701</f>
        <v>SIN FCST</v>
      </c>
      <c r="F701" s="20" t="str">
        <f aca="false">Stock_Seguridad!W701</f>
        <v/>
      </c>
      <c r="G701" s="21" t="n">
        <f aca="false">Stock_Seguridad!T701</f>
        <v>620</v>
      </c>
      <c r="H701" s="21" t="n">
        <f aca="false">Stock_Seguridad!R701</f>
        <v>0</v>
      </c>
      <c r="I701" s="21" t="n">
        <f aca="false">Stock_Seguridad!S701</f>
        <v>0</v>
      </c>
      <c r="J701" s="21" t="n">
        <f aca="false">Stock_Seguridad!U701</f>
        <v>0</v>
      </c>
      <c r="K701" s="22"/>
      <c r="L701" s="23"/>
      <c r="M701" s="23"/>
      <c r="N701" s="23"/>
      <c r="O701" s="24"/>
      <c r="P701" s="24" t="str">
        <f aca="false">IF(ISNUMBER(Stock_Seguridad!N701),Stock_Seguridad!N701,"")</f>
        <v/>
      </c>
      <c r="Q701" s="24" t="str">
        <f aca="false">IF(AND(ISNUMBER(O701),ISNUMBER(P701)),P701-O701,"")</f>
        <v/>
      </c>
      <c r="R701" s="23" t="n">
        <f aca="false">MAX(0,G701-N(L701))</f>
        <v>620</v>
      </c>
      <c r="S701" s="23" t="n">
        <f aca="false">SUMIFS(Cadenas_vs_FCST!$D$17:$D$2437,Cadenas_vs_FCST!$A$17:$A$2437,A701)</f>
        <v>0</v>
      </c>
      <c r="T701" s="23" t="n">
        <f aca="false">SUMIFS(Cadenas_vs_FCST!$E$17:$E$2437,Cadenas_vs_FCST!$A$17:$A$2437,A701)</f>
        <v>0</v>
      </c>
      <c r="U701" s="24" t="str">
        <f aca="false">IF(T701&gt;0,S701/T701-1,"")</f>
        <v/>
      </c>
      <c r="V701" s="3" t="str">
        <f aca="false">IF(OR(E701="BAJO SS",E701="BAJO SS (XLIB CUBRE)"),"SÍ","")</f>
        <v/>
      </c>
      <c r="W701" s="3" t="str">
        <f aca="false">IF(AND(V701="",N(L701)&gt;=Parametros!$B$17,G701&gt;=H701,R701&lt;H701),"SÍ","")</f>
        <v/>
      </c>
      <c r="X701" s="3" t="str">
        <f aca="false">IF(OR(E701="SOBRE MAX VENDIBLE",N(N701)&gt;=Parametros!$B$17,N(M701)&gt;=Parametros!$B$17),"SÍ","")</f>
        <v/>
      </c>
      <c r="Y701" s="3" t="str">
        <f aca="false">IF(AND(ISNUMBER(U701),MAX(S701,T701)&gt;=Parametros!$B$15,ABS(N(U701))&gt;Parametros!$B$14),"SÍ","")</f>
        <v/>
      </c>
      <c r="Z701" s="3" t="n">
        <f aca="false">COUNTIF(V701:Y701,"SÍ")</f>
        <v>0</v>
      </c>
      <c r="AA701" s="3" t="n">
        <f aca="false">(3*(V701="SÍ")+2*(W701="SÍ")+2*(X701="SÍ")+(Y701="SÍ"))*IF(LEFT(D701,1)="A",3,IF(OR(LEFT(D701,1)="B",D701="SIN HIST"),2,1))</f>
        <v>0</v>
      </c>
      <c r="AB701" s="3" t="str">
        <f aca="false">IF(AA701&gt;=9,"1-ALTA",IF(AA701&gt;=4,"2-MEDIA",IF(AA701&gt;0,"3-BAJA","")))</f>
        <v/>
      </c>
      <c r="AC701" s="3" t="str">
        <f aca="false">IF(E701="BAJO SS","Stock + XLIB bajo el SS: riesgo real de quiebre, adelantar producción. ","")&amp;IF(E701="BAJO SS (XLIB CUBRE)","Disponible bajo el SS; depende de liberar "&amp;TEXT(J701,"#,##0")&amp;" kg"&amp;IF(ISNUMBER(K701)," el "&amp;TEXT(K701,"dd-mm"),"")&amp;". ","")&amp;IF(W701="SÍ","Stock parece sano pero "&amp;TEXT(L701,"#,##0")&amp;" kg no pasan filtro "&amp;Stock_Seguridad!O701&amp;": sin ellos queda bajo el SS para esa cadena. ","")&amp;IF(E701="SOBRE MAX VENDIBLE","Sobrestock vs vida útil: frenar producción/activar venta. ","")&amp;IF(N(N701)&gt;=Parametros!$B$17,TEXT(N701,"#,##0")&amp;" kg ya no los acepta ninguna cadena: venta intermedia/liquidación. ","")&amp;IF(N(M701)&gt;=Parametros!$B$17,TEXT(M701,"#,##0")&amp;" kg a punto de salir del filtro: despachar primero (FEFO). ","")&amp;IF(Y701="SÍ","Pedidos "&amp;IF(N(U701)&gt;0,"sobre","bajo")&amp;" FCST "&amp;TEXT(ABS(N(U701)),"0%")&amp;": revisar forecast con KAM.","")</f>
        <v/>
      </c>
    </row>
    <row r="702" customFormat="false" ht="15" hidden="false" customHeight="false" outlineLevel="0" collapsed="false">
      <c r="A702" s="18" t="n">
        <f aca="false">Stock_Seguridad!A702</f>
        <v>30000956</v>
      </c>
      <c r="B702" s="18" t="str">
        <f aca="false">Stock_Seguridad!B702</f>
        <v>FRAMBUESA IQF WATTS 1X14KG</v>
      </c>
      <c r="C702" s="18" t="str">
        <f aca="false">Stock_Seguridad!C702</f>
        <v>FRUTAS Y HORTALIZAS CONGELADAS</v>
      </c>
      <c r="D702" s="18" t="str">
        <f aca="false">Stock_Seguridad!F702</f>
        <v>SIN HIST</v>
      </c>
      <c r="E702" s="19" t="str">
        <f aca="false">Stock_Seguridad!X702</f>
        <v>SIN FCST</v>
      </c>
      <c r="F702" s="20" t="str">
        <f aca="false">Stock_Seguridad!W702</f>
        <v/>
      </c>
      <c r="G702" s="21" t="n">
        <f aca="false">Stock_Seguridad!T702</f>
        <v>1568</v>
      </c>
      <c r="H702" s="21" t="n">
        <f aca="false">Stock_Seguridad!R702</f>
        <v>0</v>
      </c>
      <c r="I702" s="21" t="n">
        <f aca="false">Stock_Seguridad!S702</f>
        <v>0</v>
      </c>
      <c r="J702" s="21" t="n">
        <f aca="false">Stock_Seguridad!U702</f>
        <v>0</v>
      </c>
      <c r="K702" s="22"/>
      <c r="L702" s="23"/>
      <c r="M702" s="23"/>
      <c r="N702" s="23"/>
      <c r="O702" s="24"/>
      <c r="P702" s="24" t="str">
        <f aca="false">IF(ISNUMBER(Stock_Seguridad!N702),Stock_Seguridad!N702,"")</f>
        <v/>
      </c>
      <c r="Q702" s="24" t="str">
        <f aca="false">IF(AND(ISNUMBER(O702),ISNUMBER(P702)),P702-O702,"")</f>
        <v/>
      </c>
      <c r="R702" s="23" t="n">
        <f aca="false">MAX(0,G702-N(L702))</f>
        <v>1568</v>
      </c>
      <c r="S702" s="23" t="n">
        <f aca="false">SUMIFS(Cadenas_vs_FCST!$D$17:$D$2437,Cadenas_vs_FCST!$A$17:$A$2437,A702)</f>
        <v>0</v>
      </c>
      <c r="T702" s="23" t="n">
        <f aca="false">SUMIFS(Cadenas_vs_FCST!$E$17:$E$2437,Cadenas_vs_FCST!$A$17:$A$2437,A702)</f>
        <v>0</v>
      </c>
      <c r="U702" s="24" t="str">
        <f aca="false">IF(T702&gt;0,S702/T702-1,"")</f>
        <v/>
      </c>
      <c r="V702" s="3" t="str">
        <f aca="false">IF(OR(E702="BAJO SS",E702="BAJO SS (XLIB CUBRE)"),"SÍ","")</f>
        <v/>
      </c>
      <c r="W702" s="3" t="str">
        <f aca="false">IF(AND(V702="",N(L702)&gt;=Parametros!$B$17,G702&gt;=H702,R702&lt;H702),"SÍ","")</f>
        <v/>
      </c>
      <c r="X702" s="3" t="str">
        <f aca="false">IF(OR(E702="SOBRE MAX VENDIBLE",N(N702)&gt;=Parametros!$B$17,N(M702)&gt;=Parametros!$B$17),"SÍ","")</f>
        <v/>
      </c>
      <c r="Y702" s="3" t="str">
        <f aca="false">IF(AND(ISNUMBER(U702),MAX(S702,T702)&gt;=Parametros!$B$15,ABS(N(U702))&gt;Parametros!$B$14),"SÍ","")</f>
        <v/>
      </c>
      <c r="Z702" s="3" t="n">
        <f aca="false">COUNTIF(V702:Y702,"SÍ")</f>
        <v>0</v>
      </c>
      <c r="AA702" s="3" t="n">
        <f aca="false">(3*(V702="SÍ")+2*(W702="SÍ")+2*(X702="SÍ")+(Y702="SÍ"))*IF(LEFT(D702,1)="A",3,IF(OR(LEFT(D702,1)="B",D702="SIN HIST"),2,1))</f>
        <v>0</v>
      </c>
      <c r="AB702" s="3" t="str">
        <f aca="false">IF(AA702&gt;=9,"1-ALTA",IF(AA702&gt;=4,"2-MEDIA",IF(AA702&gt;0,"3-BAJA","")))</f>
        <v/>
      </c>
      <c r="AC702" s="3" t="str">
        <f aca="false">IF(E702="BAJO SS","Stock + XLIB bajo el SS: riesgo real de quiebre, adelantar producción. ","")&amp;IF(E702="BAJO SS (XLIB CUBRE)","Disponible bajo el SS; depende de liberar "&amp;TEXT(J702,"#,##0")&amp;" kg"&amp;IF(ISNUMBER(K702)," el "&amp;TEXT(K702,"dd-mm"),"")&amp;". ","")&amp;IF(W702="SÍ","Stock parece sano pero "&amp;TEXT(L702,"#,##0")&amp;" kg no pasan filtro "&amp;Stock_Seguridad!O702&amp;": sin ellos queda bajo el SS para esa cadena. ","")&amp;IF(E702="SOBRE MAX VENDIBLE","Sobrestock vs vida útil: frenar producción/activar venta. ","")&amp;IF(N(N702)&gt;=Parametros!$B$17,TEXT(N702,"#,##0")&amp;" kg ya no los acepta ninguna cadena: venta intermedia/liquidación. ","")&amp;IF(N(M702)&gt;=Parametros!$B$17,TEXT(M702,"#,##0")&amp;" kg a punto de salir del filtro: despachar primero (FEFO). ","")&amp;IF(Y702="SÍ","Pedidos "&amp;IF(N(U702)&gt;0,"sobre","bajo")&amp;" FCST "&amp;TEXT(ABS(N(U702)),"0%")&amp;": revisar forecast con KAM.","")</f>
        <v/>
      </c>
    </row>
    <row r="703" customFormat="false" ht="15" hidden="false" customHeight="false" outlineLevel="0" collapsed="false">
      <c r="A703" s="18" t="n">
        <f aca="false">Stock_Seguridad!A703</f>
        <v>30000944</v>
      </c>
      <c r="B703" s="18" t="str">
        <f aca="false">Stock_Seguridad!B703</f>
        <v>DAMASCO IQF MITADES 1X13KG</v>
      </c>
      <c r="C703" s="18" t="str">
        <f aca="false">Stock_Seguridad!C703</f>
        <v>FRUTAS Y HORTALIZAS CONGELADAS</v>
      </c>
      <c r="D703" s="18" t="str">
        <f aca="false">Stock_Seguridad!F703</f>
        <v>SIN HIST</v>
      </c>
      <c r="E703" s="19" t="str">
        <f aca="false">Stock_Seguridad!X703</f>
        <v>SIN FCST</v>
      </c>
      <c r="F703" s="20" t="str">
        <f aca="false">Stock_Seguridad!W703</f>
        <v/>
      </c>
      <c r="G703" s="21" t="n">
        <f aca="false">Stock_Seguridad!T703</f>
        <v>338</v>
      </c>
      <c r="H703" s="21" t="n">
        <f aca="false">Stock_Seguridad!R703</f>
        <v>0</v>
      </c>
      <c r="I703" s="21" t="n">
        <f aca="false">Stock_Seguridad!S703</f>
        <v>0</v>
      </c>
      <c r="J703" s="21" t="n">
        <f aca="false">Stock_Seguridad!U703</f>
        <v>0</v>
      </c>
      <c r="K703" s="22"/>
      <c r="L703" s="23"/>
      <c r="M703" s="23"/>
      <c r="N703" s="23"/>
      <c r="O703" s="24"/>
      <c r="P703" s="24" t="str">
        <f aca="false">IF(ISNUMBER(Stock_Seguridad!N703),Stock_Seguridad!N703,"")</f>
        <v/>
      </c>
      <c r="Q703" s="24" t="str">
        <f aca="false">IF(AND(ISNUMBER(O703),ISNUMBER(P703)),P703-O703,"")</f>
        <v/>
      </c>
      <c r="R703" s="23" t="n">
        <f aca="false">MAX(0,G703-N(L703))</f>
        <v>338</v>
      </c>
      <c r="S703" s="23" t="n">
        <f aca="false">SUMIFS(Cadenas_vs_FCST!$D$17:$D$2437,Cadenas_vs_FCST!$A$17:$A$2437,A703)</f>
        <v>0</v>
      </c>
      <c r="T703" s="23" t="n">
        <f aca="false">SUMIFS(Cadenas_vs_FCST!$E$17:$E$2437,Cadenas_vs_FCST!$A$17:$A$2437,A703)</f>
        <v>0</v>
      </c>
      <c r="U703" s="24" t="str">
        <f aca="false">IF(T703&gt;0,S703/T703-1,"")</f>
        <v/>
      </c>
      <c r="V703" s="3" t="str">
        <f aca="false">IF(OR(E703="BAJO SS",E703="BAJO SS (XLIB CUBRE)"),"SÍ","")</f>
        <v/>
      </c>
      <c r="W703" s="3" t="str">
        <f aca="false">IF(AND(V703="",N(L703)&gt;=Parametros!$B$17,G703&gt;=H703,R703&lt;H703),"SÍ","")</f>
        <v/>
      </c>
      <c r="X703" s="3" t="str">
        <f aca="false">IF(OR(E703="SOBRE MAX VENDIBLE",N(N703)&gt;=Parametros!$B$17,N(M703)&gt;=Parametros!$B$17),"SÍ","")</f>
        <v/>
      </c>
      <c r="Y703" s="3" t="str">
        <f aca="false">IF(AND(ISNUMBER(U703),MAX(S703,T703)&gt;=Parametros!$B$15,ABS(N(U703))&gt;Parametros!$B$14),"SÍ","")</f>
        <v/>
      </c>
      <c r="Z703" s="3" t="n">
        <f aca="false">COUNTIF(V703:Y703,"SÍ")</f>
        <v>0</v>
      </c>
      <c r="AA703" s="3" t="n">
        <f aca="false">(3*(V703="SÍ")+2*(W703="SÍ")+2*(X703="SÍ")+(Y703="SÍ"))*IF(LEFT(D703,1)="A",3,IF(OR(LEFT(D703,1)="B",D703="SIN HIST"),2,1))</f>
        <v>0</v>
      </c>
      <c r="AB703" s="3" t="str">
        <f aca="false">IF(AA703&gt;=9,"1-ALTA",IF(AA703&gt;=4,"2-MEDIA",IF(AA703&gt;0,"3-BAJA","")))</f>
        <v/>
      </c>
      <c r="AC703" s="3" t="str">
        <f aca="false">IF(E703="BAJO SS","Stock + XLIB bajo el SS: riesgo real de quiebre, adelantar producción. ","")&amp;IF(E703="BAJO SS (XLIB CUBRE)","Disponible bajo el SS; depende de liberar "&amp;TEXT(J703,"#,##0")&amp;" kg"&amp;IF(ISNUMBER(K703)," el "&amp;TEXT(K703,"dd-mm"),"")&amp;". ","")&amp;IF(W703="SÍ","Stock parece sano pero "&amp;TEXT(L703,"#,##0")&amp;" kg no pasan filtro "&amp;Stock_Seguridad!O703&amp;": sin ellos queda bajo el SS para esa cadena. ","")&amp;IF(E703="SOBRE MAX VENDIBLE","Sobrestock vs vida útil: frenar producción/activar venta. ","")&amp;IF(N(N703)&gt;=Parametros!$B$17,TEXT(N703,"#,##0")&amp;" kg ya no los acepta ninguna cadena: venta intermedia/liquidación. ","")&amp;IF(N(M703)&gt;=Parametros!$B$17,TEXT(M703,"#,##0")&amp;" kg a punto de salir del filtro: despachar primero (FEFO). ","")&amp;IF(Y703="SÍ","Pedidos "&amp;IF(N(U703)&gt;0,"sobre","bajo")&amp;" FCST "&amp;TEXT(ABS(N(U703)),"0%")&amp;": revisar forecast con KAM.","")</f>
        <v/>
      </c>
    </row>
    <row r="704" customFormat="false" ht="15" hidden="false" customHeight="false" outlineLevel="0" collapsed="false">
      <c r="A704" s="18" t="n">
        <f aca="false">Stock_Seguridad!A704</f>
        <v>30000954</v>
      </c>
      <c r="B704" s="18" t="str">
        <f aca="false">Stock_Seguridad!B704</f>
        <v>MORA CULTIVADA 1X14KG</v>
      </c>
      <c r="C704" s="18" t="str">
        <f aca="false">Stock_Seguridad!C704</f>
        <v>FRUTAS Y HORTALIZAS CONGELADAS</v>
      </c>
      <c r="D704" s="18" t="str">
        <f aca="false">Stock_Seguridad!F704</f>
        <v>SIN HIST</v>
      </c>
      <c r="E704" s="19" t="str">
        <f aca="false">Stock_Seguridad!X704</f>
        <v>SIN FCST</v>
      </c>
      <c r="F704" s="20" t="str">
        <f aca="false">Stock_Seguridad!W704</f>
        <v/>
      </c>
      <c r="G704" s="21" t="n">
        <f aca="false">Stock_Seguridad!T704</f>
        <v>21126</v>
      </c>
      <c r="H704" s="21" t="n">
        <f aca="false">Stock_Seguridad!R704</f>
        <v>0</v>
      </c>
      <c r="I704" s="21" t="n">
        <f aca="false">Stock_Seguridad!S704</f>
        <v>0</v>
      </c>
      <c r="J704" s="21" t="n">
        <f aca="false">Stock_Seguridad!U704</f>
        <v>0</v>
      </c>
      <c r="K704" s="22"/>
      <c r="L704" s="23"/>
      <c r="M704" s="23"/>
      <c r="N704" s="23"/>
      <c r="O704" s="24"/>
      <c r="P704" s="24" t="str">
        <f aca="false">IF(ISNUMBER(Stock_Seguridad!N704),Stock_Seguridad!N704,"")</f>
        <v/>
      </c>
      <c r="Q704" s="24" t="str">
        <f aca="false">IF(AND(ISNUMBER(O704),ISNUMBER(P704)),P704-O704,"")</f>
        <v/>
      </c>
      <c r="R704" s="23" t="n">
        <f aca="false">MAX(0,G704-N(L704))</f>
        <v>21126</v>
      </c>
      <c r="S704" s="23" t="n">
        <f aca="false">SUMIFS(Cadenas_vs_FCST!$D$17:$D$2437,Cadenas_vs_FCST!$A$17:$A$2437,A704)</f>
        <v>0</v>
      </c>
      <c r="T704" s="23" t="n">
        <f aca="false">SUMIFS(Cadenas_vs_FCST!$E$17:$E$2437,Cadenas_vs_FCST!$A$17:$A$2437,A704)</f>
        <v>0</v>
      </c>
      <c r="U704" s="24" t="str">
        <f aca="false">IF(T704&gt;0,S704/T704-1,"")</f>
        <v/>
      </c>
      <c r="V704" s="3" t="str">
        <f aca="false">IF(OR(E704="BAJO SS",E704="BAJO SS (XLIB CUBRE)"),"SÍ","")</f>
        <v/>
      </c>
      <c r="W704" s="3" t="str">
        <f aca="false">IF(AND(V704="",N(L704)&gt;=Parametros!$B$17,G704&gt;=H704,R704&lt;H704),"SÍ","")</f>
        <v/>
      </c>
      <c r="X704" s="3" t="str">
        <f aca="false">IF(OR(E704="SOBRE MAX VENDIBLE",N(N704)&gt;=Parametros!$B$17,N(M704)&gt;=Parametros!$B$17),"SÍ","")</f>
        <v/>
      </c>
      <c r="Y704" s="3" t="str">
        <f aca="false">IF(AND(ISNUMBER(U704),MAX(S704,T704)&gt;=Parametros!$B$15,ABS(N(U704))&gt;Parametros!$B$14),"SÍ","")</f>
        <v/>
      </c>
      <c r="Z704" s="3" t="n">
        <f aca="false">COUNTIF(V704:Y704,"SÍ")</f>
        <v>0</v>
      </c>
      <c r="AA704" s="3" t="n">
        <f aca="false">(3*(V704="SÍ")+2*(W704="SÍ")+2*(X704="SÍ")+(Y704="SÍ"))*IF(LEFT(D704,1)="A",3,IF(OR(LEFT(D704,1)="B",D704="SIN HIST"),2,1))</f>
        <v>0</v>
      </c>
      <c r="AB704" s="3" t="str">
        <f aca="false">IF(AA704&gt;=9,"1-ALTA",IF(AA704&gt;=4,"2-MEDIA",IF(AA704&gt;0,"3-BAJA","")))</f>
        <v/>
      </c>
      <c r="AC704" s="3" t="str">
        <f aca="false">IF(E704="BAJO SS","Stock + XLIB bajo el SS: riesgo real de quiebre, adelantar producción. ","")&amp;IF(E704="BAJO SS (XLIB CUBRE)","Disponible bajo el SS; depende de liberar "&amp;TEXT(J704,"#,##0")&amp;" kg"&amp;IF(ISNUMBER(K704)," el "&amp;TEXT(K704,"dd-mm"),"")&amp;". ","")&amp;IF(W704="SÍ","Stock parece sano pero "&amp;TEXT(L704,"#,##0")&amp;" kg no pasan filtro "&amp;Stock_Seguridad!O704&amp;": sin ellos queda bajo el SS para esa cadena. ","")&amp;IF(E704="SOBRE MAX VENDIBLE","Sobrestock vs vida útil: frenar producción/activar venta. ","")&amp;IF(N(N704)&gt;=Parametros!$B$17,TEXT(N704,"#,##0")&amp;" kg ya no los acepta ninguna cadena: venta intermedia/liquidación. ","")&amp;IF(N(M704)&gt;=Parametros!$B$17,TEXT(M704,"#,##0")&amp;" kg a punto de salir del filtro: despachar primero (FEFO). ","")&amp;IF(Y704="SÍ","Pedidos "&amp;IF(N(U704)&gt;0,"sobre","bajo")&amp;" FCST "&amp;TEXT(ABS(N(U704)),"0%")&amp;": revisar forecast con KAM.","")</f>
        <v/>
      </c>
    </row>
    <row r="705" customFormat="false" ht="15" hidden="false" customHeight="false" outlineLevel="0" collapsed="false">
      <c r="A705" s="18" t="n">
        <f aca="false">Stock_Seguridad!A705</f>
        <v>30001679</v>
      </c>
      <c r="B705" s="18" t="str">
        <f aca="false">Stock_Seguridad!B705</f>
        <v>QUINOA BLANCA 10X1KG</v>
      </c>
      <c r="C705" s="18" t="str">
        <f aca="false">Stock_Seguridad!C705</f>
        <v>FRUTAS Y HORTALIZAS CONGELADAS</v>
      </c>
      <c r="D705" s="18" t="str">
        <f aca="false">Stock_Seguridad!F705</f>
        <v>SIN HIST</v>
      </c>
      <c r="E705" s="19" t="str">
        <f aca="false">Stock_Seguridad!X705</f>
        <v>SIN FCST</v>
      </c>
      <c r="F705" s="20" t="str">
        <f aca="false">Stock_Seguridad!W705</f>
        <v/>
      </c>
      <c r="G705" s="21" t="n">
        <f aca="false">Stock_Seguridad!T705</f>
        <v>100</v>
      </c>
      <c r="H705" s="21" t="n">
        <f aca="false">Stock_Seguridad!R705</f>
        <v>0</v>
      </c>
      <c r="I705" s="21" t="n">
        <f aca="false">Stock_Seguridad!S705</f>
        <v>0</v>
      </c>
      <c r="J705" s="21" t="n">
        <f aca="false">Stock_Seguridad!U705</f>
        <v>0</v>
      </c>
      <c r="K705" s="22"/>
      <c r="L705" s="23" t="n">
        <v>0</v>
      </c>
      <c r="M705" s="23" t="n">
        <v>0</v>
      </c>
      <c r="N705" s="23" t="n">
        <v>0</v>
      </c>
      <c r="O705" s="24" t="n">
        <v>0.68</v>
      </c>
      <c r="P705" s="24" t="str">
        <f aca="false">IF(ISNUMBER(Stock_Seguridad!N705),Stock_Seguridad!N705,"")</f>
        <v/>
      </c>
      <c r="Q705" s="24" t="str">
        <f aca="false">IF(AND(ISNUMBER(O705),ISNUMBER(P705)),P705-O705,"")</f>
        <v/>
      </c>
      <c r="R705" s="23" t="n">
        <f aca="false">MAX(0,G705-N(L705))</f>
        <v>100</v>
      </c>
      <c r="S705" s="23" t="n">
        <f aca="false">SUMIFS(Cadenas_vs_FCST!$D$17:$D$2437,Cadenas_vs_FCST!$A$17:$A$2437,A705)</f>
        <v>0</v>
      </c>
      <c r="T705" s="23" t="n">
        <f aca="false">SUMIFS(Cadenas_vs_FCST!$E$17:$E$2437,Cadenas_vs_FCST!$A$17:$A$2437,A705)</f>
        <v>0</v>
      </c>
      <c r="U705" s="24" t="str">
        <f aca="false">IF(T705&gt;0,S705/T705-1,"")</f>
        <v/>
      </c>
      <c r="V705" s="3" t="str">
        <f aca="false">IF(OR(E705="BAJO SS",E705="BAJO SS (XLIB CUBRE)"),"SÍ","")</f>
        <v/>
      </c>
      <c r="W705" s="3" t="str">
        <f aca="false">IF(AND(V705="",N(L705)&gt;=Parametros!$B$17,G705&gt;=H705,R705&lt;H705),"SÍ","")</f>
        <v/>
      </c>
      <c r="X705" s="3" t="str">
        <f aca="false">IF(OR(E705="SOBRE MAX VENDIBLE",N(N705)&gt;=Parametros!$B$17,N(M705)&gt;=Parametros!$B$17),"SÍ","")</f>
        <v/>
      </c>
      <c r="Y705" s="3" t="str">
        <f aca="false">IF(AND(ISNUMBER(U705),MAX(S705,T705)&gt;=Parametros!$B$15,ABS(N(U705))&gt;Parametros!$B$14),"SÍ","")</f>
        <v/>
      </c>
      <c r="Z705" s="3" t="n">
        <f aca="false">COUNTIF(V705:Y705,"SÍ")</f>
        <v>0</v>
      </c>
      <c r="AA705" s="3" t="n">
        <f aca="false">(3*(V705="SÍ")+2*(W705="SÍ")+2*(X705="SÍ")+(Y705="SÍ"))*IF(LEFT(D705,1)="A",3,IF(OR(LEFT(D705,1)="B",D705="SIN HIST"),2,1))</f>
        <v>0</v>
      </c>
      <c r="AB705" s="3" t="str">
        <f aca="false">IF(AA705&gt;=9,"1-ALTA",IF(AA705&gt;=4,"2-MEDIA",IF(AA705&gt;0,"3-BAJA","")))</f>
        <v/>
      </c>
      <c r="AC705" s="3" t="str">
        <f aca="false">IF(E705="BAJO SS","Stock + XLIB bajo el SS: riesgo real de quiebre, adelantar producción. ","")&amp;IF(E705="BAJO SS (XLIB CUBRE)","Disponible bajo el SS; depende de liberar "&amp;TEXT(J705,"#,##0")&amp;" kg"&amp;IF(ISNUMBER(K705)," el "&amp;TEXT(K705,"dd-mm"),"")&amp;". ","")&amp;IF(W705="SÍ","Stock parece sano pero "&amp;TEXT(L705,"#,##0")&amp;" kg no pasan filtro "&amp;Stock_Seguridad!O705&amp;": sin ellos queda bajo el SS para esa cadena. ","")&amp;IF(E705="SOBRE MAX VENDIBLE","Sobrestock vs vida útil: frenar producción/activar venta. ","")&amp;IF(N(N705)&gt;=Parametros!$B$17,TEXT(N705,"#,##0")&amp;" kg ya no los acepta ninguna cadena: venta intermedia/liquidación. ","")&amp;IF(N(M705)&gt;=Parametros!$B$17,TEXT(M705,"#,##0")&amp;" kg a punto de salir del filtro: despachar primero (FEFO). ","")&amp;IF(Y705="SÍ","Pedidos "&amp;IF(N(U705)&gt;0,"sobre","bajo")&amp;" FCST "&amp;TEXT(ABS(N(U705)),"0%")&amp;": revisar forecast con KAM.","")</f>
        <v/>
      </c>
    </row>
    <row r="706" customFormat="false" ht="15" hidden="false" customHeight="false" outlineLevel="0" collapsed="false">
      <c r="A706" s="18" t="n">
        <f aca="false">Stock_Seguridad!A706</f>
        <v>30000876</v>
      </c>
      <c r="B706" s="18" t="str">
        <f aca="false">Stock_Seguridad!B706</f>
        <v>ESPARRAGOS COLAS CAJA F 1X13KG</v>
      </c>
      <c r="C706" s="18" t="str">
        <f aca="false">Stock_Seguridad!C706</f>
        <v>FRUTAS Y HORTALIZAS CONGELADAS</v>
      </c>
      <c r="D706" s="18" t="str">
        <f aca="false">Stock_Seguridad!F706</f>
        <v>SIN HIST</v>
      </c>
      <c r="E706" s="19" t="str">
        <f aca="false">Stock_Seguridad!X706</f>
        <v>SIN FCST</v>
      </c>
      <c r="F706" s="20" t="str">
        <f aca="false">Stock_Seguridad!W706</f>
        <v/>
      </c>
      <c r="G706" s="21" t="n">
        <f aca="false">Stock_Seguridad!T706</f>
        <v>3640</v>
      </c>
      <c r="H706" s="21" t="n">
        <f aca="false">Stock_Seguridad!R706</f>
        <v>0</v>
      </c>
      <c r="I706" s="21" t="n">
        <f aca="false">Stock_Seguridad!S706</f>
        <v>0</v>
      </c>
      <c r="J706" s="21" t="n">
        <f aca="false">Stock_Seguridad!U706</f>
        <v>0</v>
      </c>
      <c r="K706" s="22"/>
      <c r="L706" s="23"/>
      <c r="M706" s="23"/>
      <c r="N706" s="23"/>
      <c r="O706" s="24"/>
      <c r="P706" s="24" t="str">
        <f aca="false">IF(ISNUMBER(Stock_Seguridad!N706),Stock_Seguridad!N706,"")</f>
        <v/>
      </c>
      <c r="Q706" s="24" t="str">
        <f aca="false">IF(AND(ISNUMBER(O706),ISNUMBER(P706)),P706-O706,"")</f>
        <v/>
      </c>
      <c r="R706" s="23" t="n">
        <f aca="false">MAX(0,G706-N(L706))</f>
        <v>3640</v>
      </c>
      <c r="S706" s="23" t="n">
        <f aca="false">SUMIFS(Cadenas_vs_FCST!$D$17:$D$2437,Cadenas_vs_FCST!$A$17:$A$2437,A706)</f>
        <v>0</v>
      </c>
      <c r="T706" s="23" t="n">
        <f aca="false">SUMIFS(Cadenas_vs_FCST!$E$17:$E$2437,Cadenas_vs_FCST!$A$17:$A$2437,A706)</f>
        <v>0</v>
      </c>
      <c r="U706" s="24" t="str">
        <f aca="false">IF(T706&gt;0,S706/T706-1,"")</f>
        <v/>
      </c>
      <c r="V706" s="3" t="str">
        <f aca="false">IF(OR(E706="BAJO SS",E706="BAJO SS (XLIB CUBRE)"),"SÍ","")</f>
        <v/>
      </c>
      <c r="W706" s="3" t="str">
        <f aca="false">IF(AND(V706="",N(L706)&gt;=Parametros!$B$17,G706&gt;=H706,R706&lt;H706),"SÍ","")</f>
        <v/>
      </c>
      <c r="X706" s="3" t="str">
        <f aca="false">IF(OR(E706="SOBRE MAX VENDIBLE",N(N706)&gt;=Parametros!$B$17,N(M706)&gt;=Parametros!$B$17),"SÍ","")</f>
        <v/>
      </c>
      <c r="Y706" s="3" t="str">
        <f aca="false">IF(AND(ISNUMBER(U706),MAX(S706,T706)&gt;=Parametros!$B$15,ABS(N(U706))&gt;Parametros!$B$14),"SÍ","")</f>
        <v/>
      </c>
      <c r="Z706" s="3" t="n">
        <f aca="false">COUNTIF(V706:Y706,"SÍ")</f>
        <v>0</v>
      </c>
      <c r="AA706" s="3" t="n">
        <f aca="false">(3*(V706="SÍ")+2*(W706="SÍ")+2*(X706="SÍ")+(Y706="SÍ"))*IF(LEFT(D706,1)="A",3,IF(OR(LEFT(D706,1)="B",D706="SIN HIST"),2,1))</f>
        <v>0</v>
      </c>
      <c r="AB706" s="3" t="str">
        <f aca="false">IF(AA706&gt;=9,"1-ALTA",IF(AA706&gt;=4,"2-MEDIA",IF(AA706&gt;0,"3-BAJA","")))</f>
        <v/>
      </c>
      <c r="AC706" s="3" t="str">
        <f aca="false">IF(E706="BAJO SS","Stock + XLIB bajo el SS: riesgo real de quiebre, adelantar producción. ","")&amp;IF(E706="BAJO SS (XLIB CUBRE)","Disponible bajo el SS; depende de liberar "&amp;TEXT(J706,"#,##0")&amp;" kg"&amp;IF(ISNUMBER(K706)," el "&amp;TEXT(K706,"dd-mm"),"")&amp;". ","")&amp;IF(W706="SÍ","Stock parece sano pero "&amp;TEXT(L706,"#,##0")&amp;" kg no pasan filtro "&amp;Stock_Seguridad!O706&amp;": sin ellos queda bajo el SS para esa cadena. ","")&amp;IF(E706="SOBRE MAX VENDIBLE","Sobrestock vs vida útil: frenar producción/activar venta. ","")&amp;IF(N(N706)&gt;=Parametros!$B$17,TEXT(N706,"#,##0")&amp;" kg ya no los acepta ninguna cadena: venta intermedia/liquidación. ","")&amp;IF(N(M706)&gt;=Parametros!$B$17,TEXT(M706,"#,##0")&amp;" kg a punto de salir del filtro: despachar primero (FEFO). ","")&amp;IF(Y706="SÍ","Pedidos "&amp;IF(N(U706)&gt;0,"sobre","bajo")&amp;" FCST "&amp;TEXT(ABS(N(U706)),"0%")&amp;": revisar forecast con KAM.","")</f>
        <v/>
      </c>
    </row>
    <row r="707" customFormat="false" ht="15" hidden="false" customHeight="false" outlineLevel="0" collapsed="false">
      <c r="A707" s="18" t="n">
        <f aca="false">Stock_Seguridad!A707</f>
        <v>30001705</v>
      </c>
      <c r="B707" s="18" t="str">
        <f aca="false">Stock_Seguridad!B707</f>
        <v>PAPA PREFRITA RODAJAS 4X2,5KG</v>
      </c>
      <c r="C707" s="18" t="str">
        <f aca="false">Stock_Seguridad!C707</f>
        <v>FRUTAS Y HORTALIZAS CONGELADAS</v>
      </c>
      <c r="D707" s="18" t="str">
        <f aca="false">Stock_Seguridad!F707</f>
        <v>SIN HIST</v>
      </c>
      <c r="E707" s="19" t="str">
        <f aca="false">Stock_Seguridad!X707</f>
        <v>SIN FCST</v>
      </c>
      <c r="F707" s="20" t="str">
        <f aca="false">Stock_Seguridad!W707</f>
        <v/>
      </c>
      <c r="G707" s="21" t="n">
        <f aca="false">Stock_Seguridad!T707</f>
        <v>31090</v>
      </c>
      <c r="H707" s="21" t="n">
        <f aca="false">Stock_Seguridad!R707</f>
        <v>0</v>
      </c>
      <c r="I707" s="21" t="n">
        <f aca="false">Stock_Seguridad!S707</f>
        <v>0</v>
      </c>
      <c r="J707" s="21" t="n">
        <f aca="false">Stock_Seguridad!U707</f>
        <v>0</v>
      </c>
      <c r="K707" s="22"/>
      <c r="L707" s="23" t="n">
        <v>0</v>
      </c>
      <c r="M707" s="23" t="n">
        <v>0</v>
      </c>
      <c r="N707" s="23" t="n">
        <v>0</v>
      </c>
      <c r="O707" s="24" t="n">
        <v>0.524268253457703</v>
      </c>
      <c r="P707" s="24" t="str">
        <f aca="false">IF(ISNUMBER(Stock_Seguridad!N707),Stock_Seguridad!N707,"")</f>
        <v/>
      </c>
      <c r="Q707" s="24" t="str">
        <f aca="false">IF(AND(ISNUMBER(O707),ISNUMBER(P707)),P707-O707,"")</f>
        <v/>
      </c>
      <c r="R707" s="23" t="n">
        <f aca="false">MAX(0,G707-N(L707))</f>
        <v>31090</v>
      </c>
      <c r="S707" s="23" t="n">
        <f aca="false">SUMIFS(Cadenas_vs_FCST!$D$17:$D$2437,Cadenas_vs_FCST!$A$17:$A$2437,A707)</f>
        <v>0</v>
      </c>
      <c r="T707" s="23" t="n">
        <f aca="false">SUMIFS(Cadenas_vs_FCST!$E$17:$E$2437,Cadenas_vs_FCST!$A$17:$A$2437,A707)</f>
        <v>0</v>
      </c>
      <c r="U707" s="24" t="str">
        <f aca="false">IF(T707&gt;0,S707/T707-1,"")</f>
        <v/>
      </c>
      <c r="V707" s="3" t="str">
        <f aca="false">IF(OR(E707="BAJO SS",E707="BAJO SS (XLIB CUBRE)"),"SÍ","")</f>
        <v/>
      </c>
      <c r="W707" s="3" t="str">
        <f aca="false">IF(AND(V707="",N(L707)&gt;=Parametros!$B$17,G707&gt;=H707,R707&lt;H707),"SÍ","")</f>
        <v/>
      </c>
      <c r="X707" s="3" t="str">
        <f aca="false">IF(OR(E707="SOBRE MAX VENDIBLE",N(N707)&gt;=Parametros!$B$17,N(M707)&gt;=Parametros!$B$17),"SÍ","")</f>
        <v/>
      </c>
      <c r="Y707" s="3" t="str">
        <f aca="false">IF(AND(ISNUMBER(U707),MAX(S707,T707)&gt;=Parametros!$B$15,ABS(N(U707))&gt;Parametros!$B$14),"SÍ","")</f>
        <v/>
      </c>
      <c r="Z707" s="3" t="n">
        <f aca="false">COUNTIF(V707:Y707,"SÍ")</f>
        <v>0</v>
      </c>
      <c r="AA707" s="3" t="n">
        <f aca="false">(3*(V707="SÍ")+2*(W707="SÍ")+2*(X707="SÍ")+(Y707="SÍ"))*IF(LEFT(D707,1)="A",3,IF(OR(LEFT(D707,1)="B",D707="SIN HIST"),2,1))</f>
        <v>0</v>
      </c>
      <c r="AB707" s="3" t="str">
        <f aca="false">IF(AA707&gt;=9,"1-ALTA",IF(AA707&gt;=4,"2-MEDIA",IF(AA707&gt;0,"3-BAJA","")))</f>
        <v/>
      </c>
      <c r="AC707" s="3" t="str">
        <f aca="false">IF(E707="BAJO SS","Stock + XLIB bajo el SS: riesgo real de quiebre, adelantar producción. ","")&amp;IF(E707="BAJO SS (XLIB CUBRE)","Disponible bajo el SS; depende de liberar "&amp;TEXT(J707,"#,##0")&amp;" kg"&amp;IF(ISNUMBER(K707)," el "&amp;TEXT(K707,"dd-mm"),"")&amp;". ","")&amp;IF(W707="SÍ","Stock parece sano pero "&amp;TEXT(L707,"#,##0")&amp;" kg no pasan filtro "&amp;Stock_Seguridad!O707&amp;": sin ellos queda bajo el SS para esa cadena. ","")&amp;IF(E707="SOBRE MAX VENDIBLE","Sobrestock vs vida útil: frenar producción/activar venta. ","")&amp;IF(N(N707)&gt;=Parametros!$B$17,TEXT(N707,"#,##0")&amp;" kg ya no los acepta ninguna cadena: venta intermedia/liquidación. ","")&amp;IF(N(M707)&gt;=Parametros!$B$17,TEXT(M707,"#,##0")&amp;" kg a punto de salir del filtro: despachar primero (FEFO). ","")&amp;IF(Y707="SÍ","Pedidos "&amp;IF(N(U707)&gt;0,"sobre","bajo")&amp;" FCST "&amp;TEXT(ABS(N(U707)),"0%")&amp;": revisar forecast con KAM.","")</f>
        <v/>
      </c>
    </row>
    <row r="708" customFormat="false" ht="15" hidden="false" customHeight="false" outlineLevel="0" collapsed="false">
      <c r="A708" s="18" t="n">
        <f aca="false">Stock_Seguridad!A708</f>
        <v>30001725</v>
      </c>
      <c r="B708" s="18" t="str">
        <f aca="false">Stock_Seguridad!B708</f>
        <v>ESPARRAGOS VERLEAL 20X300GR</v>
      </c>
      <c r="C708" s="18" t="str">
        <f aca="false">Stock_Seguridad!C708</f>
        <v>FRUTAS Y HORTALIZAS CONGELADAS</v>
      </c>
      <c r="D708" s="18" t="str">
        <f aca="false">Stock_Seguridad!F708</f>
        <v>SIN HIST</v>
      </c>
      <c r="E708" s="19" t="str">
        <f aca="false">Stock_Seguridad!X708</f>
        <v>SIN FCST</v>
      </c>
      <c r="F708" s="20" t="str">
        <f aca="false">Stock_Seguridad!W708</f>
        <v/>
      </c>
      <c r="G708" s="21" t="n">
        <f aca="false">Stock_Seguridad!T708</f>
        <v>18456</v>
      </c>
      <c r="H708" s="21" t="n">
        <f aca="false">Stock_Seguridad!R708</f>
        <v>0</v>
      </c>
      <c r="I708" s="21" t="n">
        <f aca="false">Stock_Seguridad!S708</f>
        <v>0</v>
      </c>
      <c r="J708" s="21" t="n">
        <f aca="false">Stock_Seguridad!U708</f>
        <v>0</v>
      </c>
      <c r="K708" s="22"/>
      <c r="L708" s="23" t="n">
        <v>0</v>
      </c>
      <c r="M708" s="23" t="n">
        <v>0</v>
      </c>
      <c r="N708" s="23" t="n">
        <v>0</v>
      </c>
      <c r="O708" s="24" t="n">
        <v>0.0271488946684005</v>
      </c>
      <c r="P708" s="24" t="str">
        <f aca="false">IF(ISNUMBER(Stock_Seguridad!N708),Stock_Seguridad!N708,"")</f>
        <v/>
      </c>
      <c r="Q708" s="24" t="str">
        <f aca="false">IF(AND(ISNUMBER(O708),ISNUMBER(P708)),P708-O708,"")</f>
        <v/>
      </c>
      <c r="R708" s="23" t="n">
        <f aca="false">MAX(0,G708-N(L708))</f>
        <v>18456</v>
      </c>
      <c r="S708" s="23" t="n">
        <f aca="false">SUMIFS(Cadenas_vs_FCST!$D$17:$D$2437,Cadenas_vs_FCST!$A$17:$A$2437,A708)</f>
        <v>0</v>
      </c>
      <c r="T708" s="23" t="n">
        <f aca="false">SUMIFS(Cadenas_vs_FCST!$E$17:$E$2437,Cadenas_vs_FCST!$A$17:$A$2437,A708)</f>
        <v>0</v>
      </c>
      <c r="U708" s="24" t="str">
        <f aca="false">IF(T708&gt;0,S708/T708-1,"")</f>
        <v/>
      </c>
      <c r="V708" s="3" t="str">
        <f aca="false">IF(OR(E708="BAJO SS",E708="BAJO SS (XLIB CUBRE)"),"SÍ","")</f>
        <v/>
      </c>
      <c r="W708" s="3" t="str">
        <f aca="false">IF(AND(V708="",N(L708)&gt;=Parametros!$B$17,G708&gt;=H708,R708&lt;H708),"SÍ","")</f>
        <v/>
      </c>
      <c r="X708" s="3" t="str">
        <f aca="false">IF(OR(E708="SOBRE MAX VENDIBLE",N(N708)&gt;=Parametros!$B$17,N(M708)&gt;=Parametros!$B$17),"SÍ","")</f>
        <v/>
      </c>
      <c r="Y708" s="3" t="str">
        <f aca="false">IF(AND(ISNUMBER(U708),MAX(S708,T708)&gt;=Parametros!$B$15,ABS(N(U708))&gt;Parametros!$B$14),"SÍ","")</f>
        <v/>
      </c>
      <c r="Z708" s="3" t="n">
        <f aca="false">COUNTIF(V708:Y708,"SÍ")</f>
        <v>0</v>
      </c>
      <c r="AA708" s="3" t="n">
        <f aca="false">(3*(V708="SÍ")+2*(W708="SÍ")+2*(X708="SÍ")+(Y708="SÍ"))*IF(LEFT(D708,1)="A",3,IF(OR(LEFT(D708,1)="B",D708="SIN HIST"),2,1))</f>
        <v>0</v>
      </c>
      <c r="AB708" s="3" t="str">
        <f aca="false">IF(AA708&gt;=9,"1-ALTA",IF(AA708&gt;=4,"2-MEDIA",IF(AA708&gt;0,"3-BAJA","")))</f>
        <v/>
      </c>
      <c r="AC708" s="3" t="str">
        <f aca="false">IF(E708="BAJO SS","Stock + XLIB bajo el SS: riesgo real de quiebre, adelantar producción. ","")&amp;IF(E708="BAJO SS (XLIB CUBRE)","Disponible bajo el SS; depende de liberar "&amp;TEXT(J708,"#,##0")&amp;" kg"&amp;IF(ISNUMBER(K708)," el "&amp;TEXT(K708,"dd-mm"),"")&amp;". ","")&amp;IF(W708="SÍ","Stock parece sano pero "&amp;TEXT(L708,"#,##0")&amp;" kg no pasan filtro "&amp;Stock_Seguridad!O708&amp;": sin ellos queda bajo el SS para esa cadena. ","")&amp;IF(E708="SOBRE MAX VENDIBLE","Sobrestock vs vida útil: frenar producción/activar venta. ","")&amp;IF(N(N708)&gt;=Parametros!$B$17,TEXT(N708,"#,##0")&amp;" kg ya no los acepta ninguna cadena: venta intermedia/liquidación. ","")&amp;IF(N(M708)&gt;=Parametros!$B$17,TEXT(M708,"#,##0")&amp;" kg a punto de salir del filtro: despachar primero (FEFO). ","")&amp;IF(Y708="SÍ","Pedidos "&amp;IF(N(U708)&gt;0,"sobre","bajo")&amp;" FCST "&amp;TEXT(ABS(N(U708)),"0%")&amp;": revisar forecast con KAM.","")</f>
        <v/>
      </c>
    </row>
    <row r="709" customFormat="false" ht="15" hidden="false" customHeight="false" outlineLevel="0" collapsed="false">
      <c r="A709" s="18" t="n">
        <f aca="false">Stock_Seguridad!A709</f>
        <v>30001457</v>
      </c>
      <c r="B709" s="18" t="str">
        <f aca="false">Stock_Seguridad!B709</f>
        <v>ARANDANOS CONSERVAS 13-16 1X14 KG</v>
      </c>
      <c r="C709" s="18" t="str">
        <f aca="false">Stock_Seguridad!C709</f>
        <v>FRUTAS Y HORTALIZAS CONGELADAS</v>
      </c>
      <c r="D709" s="18" t="str">
        <f aca="false">Stock_Seguridad!F709</f>
        <v>SIN HIST</v>
      </c>
      <c r="E709" s="19" t="str">
        <f aca="false">Stock_Seguridad!X709</f>
        <v>SIN FCST</v>
      </c>
      <c r="F709" s="20" t="str">
        <f aca="false">Stock_Seguridad!W709</f>
        <v/>
      </c>
      <c r="G709" s="21" t="n">
        <f aca="false">Stock_Seguridad!T709</f>
        <v>1918</v>
      </c>
      <c r="H709" s="21" t="n">
        <f aca="false">Stock_Seguridad!R709</f>
        <v>0</v>
      </c>
      <c r="I709" s="21" t="n">
        <f aca="false">Stock_Seguridad!S709</f>
        <v>0</v>
      </c>
      <c r="J709" s="21" t="n">
        <f aca="false">Stock_Seguridad!U709</f>
        <v>0</v>
      </c>
      <c r="K709" s="22"/>
      <c r="L709" s="23"/>
      <c r="M709" s="23"/>
      <c r="N709" s="23"/>
      <c r="O709" s="24"/>
      <c r="P709" s="24" t="str">
        <f aca="false">IF(ISNUMBER(Stock_Seguridad!N709),Stock_Seguridad!N709,"")</f>
        <v/>
      </c>
      <c r="Q709" s="24" t="str">
        <f aca="false">IF(AND(ISNUMBER(O709),ISNUMBER(P709)),P709-O709,"")</f>
        <v/>
      </c>
      <c r="R709" s="23" t="n">
        <f aca="false">MAX(0,G709-N(L709))</f>
        <v>1918</v>
      </c>
      <c r="S709" s="23" t="n">
        <f aca="false">SUMIFS(Cadenas_vs_FCST!$D$17:$D$2437,Cadenas_vs_FCST!$A$17:$A$2437,A709)</f>
        <v>0</v>
      </c>
      <c r="T709" s="23" t="n">
        <f aca="false">SUMIFS(Cadenas_vs_FCST!$E$17:$E$2437,Cadenas_vs_FCST!$A$17:$A$2437,A709)</f>
        <v>0</v>
      </c>
      <c r="U709" s="24" t="str">
        <f aca="false">IF(T709&gt;0,S709/T709-1,"")</f>
        <v/>
      </c>
      <c r="V709" s="3" t="str">
        <f aca="false">IF(OR(E709="BAJO SS",E709="BAJO SS (XLIB CUBRE)"),"SÍ","")</f>
        <v/>
      </c>
      <c r="W709" s="3" t="str">
        <f aca="false">IF(AND(V709="",N(L709)&gt;=Parametros!$B$17,G709&gt;=H709,R709&lt;H709),"SÍ","")</f>
        <v/>
      </c>
      <c r="X709" s="3" t="str">
        <f aca="false">IF(OR(E709="SOBRE MAX VENDIBLE",N(N709)&gt;=Parametros!$B$17,N(M709)&gt;=Parametros!$B$17),"SÍ","")</f>
        <v/>
      </c>
      <c r="Y709" s="3" t="str">
        <f aca="false">IF(AND(ISNUMBER(U709),MAX(S709,T709)&gt;=Parametros!$B$15,ABS(N(U709))&gt;Parametros!$B$14),"SÍ","")</f>
        <v/>
      </c>
      <c r="Z709" s="3" t="n">
        <f aca="false">COUNTIF(V709:Y709,"SÍ")</f>
        <v>0</v>
      </c>
      <c r="AA709" s="3" t="n">
        <f aca="false">(3*(V709="SÍ")+2*(W709="SÍ")+2*(X709="SÍ")+(Y709="SÍ"))*IF(LEFT(D709,1)="A",3,IF(OR(LEFT(D709,1)="B",D709="SIN HIST"),2,1))</f>
        <v>0</v>
      </c>
      <c r="AB709" s="3" t="str">
        <f aca="false">IF(AA709&gt;=9,"1-ALTA",IF(AA709&gt;=4,"2-MEDIA",IF(AA709&gt;0,"3-BAJA","")))</f>
        <v/>
      </c>
      <c r="AC709" s="3" t="str">
        <f aca="false">IF(E709="BAJO SS","Stock + XLIB bajo el SS: riesgo real de quiebre, adelantar producción. ","")&amp;IF(E709="BAJO SS (XLIB CUBRE)","Disponible bajo el SS; depende de liberar "&amp;TEXT(J709,"#,##0")&amp;" kg"&amp;IF(ISNUMBER(K709)," el "&amp;TEXT(K709,"dd-mm"),"")&amp;". ","")&amp;IF(W709="SÍ","Stock parece sano pero "&amp;TEXT(L709,"#,##0")&amp;" kg no pasan filtro "&amp;Stock_Seguridad!O709&amp;": sin ellos queda bajo el SS para esa cadena. ","")&amp;IF(E709="SOBRE MAX VENDIBLE","Sobrestock vs vida útil: frenar producción/activar venta. ","")&amp;IF(N(N709)&gt;=Parametros!$B$17,TEXT(N709,"#,##0")&amp;" kg ya no los acepta ninguna cadena: venta intermedia/liquidación. ","")&amp;IF(N(M709)&gt;=Parametros!$B$17,TEXT(M709,"#,##0")&amp;" kg a punto de salir del filtro: despachar primero (FEFO). ","")&amp;IF(Y709="SÍ","Pedidos "&amp;IF(N(U709)&gt;0,"sobre","bajo")&amp;" FCST "&amp;TEXT(ABS(N(U709)),"0%")&amp;": revisar forecast con KAM.","")</f>
        <v/>
      </c>
    </row>
    <row r="710" customFormat="false" ht="15" hidden="false" customHeight="false" outlineLevel="0" collapsed="false">
      <c r="A710" s="18" t="n">
        <f aca="false">Stock_Seguridad!A710</f>
        <v>30001513</v>
      </c>
      <c r="B710" s="18" t="str">
        <f aca="false">Stock_Seguridad!B710</f>
        <v>QUINOA VEGGIE 25X400GR</v>
      </c>
      <c r="C710" s="18" t="str">
        <f aca="false">Stock_Seguridad!C710</f>
        <v>FRUTAS Y HORTALIZAS CONGELADAS</v>
      </c>
      <c r="D710" s="18" t="str">
        <f aca="false">Stock_Seguridad!F710</f>
        <v>SIN HIST</v>
      </c>
      <c r="E710" s="19" t="str">
        <f aca="false">Stock_Seguridad!X710</f>
        <v>SIN FCST</v>
      </c>
      <c r="F710" s="20" t="str">
        <f aca="false">Stock_Seguridad!W710</f>
        <v/>
      </c>
      <c r="G710" s="21" t="n">
        <f aca="false">Stock_Seguridad!T710</f>
        <v>2290</v>
      </c>
      <c r="H710" s="21" t="n">
        <f aca="false">Stock_Seguridad!R710</f>
        <v>0</v>
      </c>
      <c r="I710" s="21" t="n">
        <f aca="false">Stock_Seguridad!S710</f>
        <v>0</v>
      </c>
      <c r="J710" s="21" t="n">
        <f aca="false">Stock_Seguridad!U710</f>
        <v>0</v>
      </c>
      <c r="K710" s="22"/>
      <c r="L710" s="23" t="n">
        <v>0</v>
      </c>
      <c r="M710" s="23" t="n">
        <v>0</v>
      </c>
      <c r="N710" s="23" t="n">
        <v>0</v>
      </c>
      <c r="O710" s="24" t="n">
        <v>0.55</v>
      </c>
      <c r="P710" s="24" t="str">
        <f aca="false">IF(ISNUMBER(Stock_Seguridad!N710),Stock_Seguridad!N710,"")</f>
        <v/>
      </c>
      <c r="Q710" s="24" t="str">
        <f aca="false">IF(AND(ISNUMBER(O710),ISNUMBER(P710)),P710-O710,"")</f>
        <v/>
      </c>
      <c r="R710" s="23" t="n">
        <f aca="false">MAX(0,G710-N(L710))</f>
        <v>2290</v>
      </c>
      <c r="S710" s="23" t="n">
        <f aca="false">SUMIFS(Cadenas_vs_FCST!$D$17:$D$2437,Cadenas_vs_FCST!$A$17:$A$2437,A710)</f>
        <v>0</v>
      </c>
      <c r="T710" s="23" t="n">
        <f aca="false">SUMIFS(Cadenas_vs_FCST!$E$17:$E$2437,Cadenas_vs_FCST!$A$17:$A$2437,A710)</f>
        <v>0</v>
      </c>
      <c r="U710" s="24" t="str">
        <f aca="false">IF(T710&gt;0,S710/T710-1,"")</f>
        <v/>
      </c>
      <c r="V710" s="3" t="str">
        <f aca="false">IF(OR(E710="BAJO SS",E710="BAJO SS (XLIB CUBRE)"),"SÍ","")</f>
        <v/>
      </c>
      <c r="W710" s="3" t="str">
        <f aca="false">IF(AND(V710="",N(L710)&gt;=Parametros!$B$17,G710&gt;=H710,R710&lt;H710),"SÍ","")</f>
        <v/>
      </c>
      <c r="X710" s="3" t="str">
        <f aca="false">IF(OR(E710="SOBRE MAX VENDIBLE",N(N710)&gt;=Parametros!$B$17,N(M710)&gt;=Parametros!$B$17),"SÍ","")</f>
        <v/>
      </c>
      <c r="Y710" s="3" t="str">
        <f aca="false">IF(AND(ISNUMBER(U710),MAX(S710,T710)&gt;=Parametros!$B$15,ABS(N(U710))&gt;Parametros!$B$14),"SÍ","")</f>
        <v/>
      </c>
      <c r="Z710" s="3" t="n">
        <f aca="false">COUNTIF(V710:Y710,"SÍ")</f>
        <v>0</v>
      </c>
      <c r="AA710" s="3" t="n">
        <f aca="false">(3*(V710="SÍ")+2*(W710="SÍ")+2*(X710="SÍ")+(Y710="SÍ"))*IF(LEFT(D710,1)="A",3,IF(OR(LEFT(D710,1)="B",D710="SIN HIST"),2,1))</f>
        <v>0</v>
      </c>
      <c r="AB710" s="3" t="str">
        <f aca="false">IF(AA710&gt;=9,"1-ALTA",IF(AA710&gt;=4,"2-MEDIA",IF(AA710&gt;0,"3-BAJA","")))</f>
        <v/>
      </c>
      <c r="AC710" s="3" t="str">
        <f aca="false">IF(E710="BAJO SS","Stock + XLIB bajo el SS: riesgo real de quiebre, adelantar producción. ","")&amp;IF(E710="BAJO SS (XLIB CUBRE)","Disponible bajo el SS; depende de liberar "&amp;TEXT(J710,"#,##0")&amp;" kg"&amp;IF(ISNUMBER(K710)," el "&amp;TEXT(K710,"dd-mm"),"")&amp;". ","")&amp;IF(W710="SÍ","Stock parece sano pero "&amp;TEXT(L710,"#,##0")&amp;" kg no pasan filtro "&amp;Stock_Seguridad!O710&amp;": sin ellos queda bajo el SS para esa cadena. ","")&amp;IF(E710="SOBRE MAX VENDIBLE","Sobrestock vs vida útil: frenar producción/activar venta. ","")&amp;IF(N(N710)&gt;=Parametros!$B$17,TEXT(N710,"#,##0")&amp;" kg ya no los acepta ninguna cadena: venta intermedia/liquidación. ","")&amp;IF(N(M710)&gt;=Parametros!$B$17,TEXT(M710,"#,##0")&amp;" kg a punto de salir del filtro: despachar primero (FEFO). ","")&amp;IF(Y710="SÍ","Pedidos "&amp;IF(N(U710)&gt;0,"sobre","bajo")&amp;" FCST "&amp;TEXT(ABS(N(U710)),"0%")&amp;": revisar forecast con KAM.","")</f>
        <v/>
      </c>
    </row>
    <row r="711" customFormat="false" ht="15" hidden="false" customHeight="false" outlineLevel="0" collapsed="false">
      <c r="A711" s="18" t="n">
        <f aca="false">Stock_Seguridad!A711</f>
        <v>30001525</v>
      </c>
      <c r="B711" s="18" t="str">
        <f aca="false">Stock_Seguridad!B711</f>
        <v>HABAS TIERNAS 1X16KG</v>
      </c>
      <c r="C711" s="18" t="str">
        <f aca="false">Stock_Seguridad!C711</f>
        <v>FRUTAS Y HORTALIZAS CONGELADAS</v>
      </c>
      <c r="D711" s="18" t="str">
        <f aca="false">Stock_Seguridad!F711</f>
        <v>SIN HIST</v>
      </c>
      <c r="E711" s="19" t="str">
        <f aca="false">Stock_Seguridad!X711</f>
        <v>SIN FCST</v>
      </c>
      <c r="F711" s="20" t="str">
        <f aca="false">Stock_Seguridad!W711</f>
        <v/>
      </c>
      <c r="G711" s="21" t="n">
        <f aca="false">Stock_Seguridad!T711</f>
        <v>0</v>
      </c>
      <c r="H711" s="21" t="n">
        <f aca="false">Stock_Seguridad!R711</f>
        <v>0</v>
      </c>
      <c r="I711" s="21" t="n">
        <f aca="false">Stock_Seguridad!S711</f>
        <v>0</v>
      </c>
      <c r="J711" s="21" t="n">
        <f aca="false">Stock_Seguridad!U711</f>
        <v>0</v>
      </c>
      <c r="K711" s="22"/>
      <c r="L711" s="23"/>
      <c r="M711" s="23"/>
      <c r="N711" s="23"/>
      <c r="O711" s="24"/>
      <c r="P711" s="24" t="str">
        <f aca="false">IF(ISNUMBER(Stock_Seguridad!N711),Stock_Seguridad!N711,"")</f>
        <v/>
      </c>
      <c r="Q711" s="24" t="str">
        <f aca="false">IF(AND(ISNUMBER(O711),ISNUMBER(P711)),P711-O711,"")</f>
        <v/>
      </c>
      <c r="R711" s="23" t="n">
        <f aca="false">MAX(0,G711-N(L711))</f>
        <v>0</v>
      </c>
      <c r="S711" s="23" t="n">
        <f aca="false">SUMIFS(Cadenas_vs_FCST!$D$17:$D$2437,Cadenas_vs_FCST!$A$17:$A$2437,A711)</f>
        <v>0</v>
      </c>
      <c r="T711" s="23" t="n">
        <f aca="false">SUMIFS(Cadenas_vs_FCST!$E$17:$E$2437,Cadenas_vs_FCST!$A$17:$A$2437,A711)</f>
        <v>0</v>
      </c>
      <c r="U711" s="24" t="str">
        <f aca="false">IF(T711&gt;0,S711/T711-1,"")</f>
        <v/>
      </c>
      <c r="V711" s="3" t="str">
        <f aca="false">IF(OR(E711="BAJO SS",E711="BAJO SS (XLIB CUBRE)"),"SÍ","")</f>
        <v/>
      </c>
      <c r="W711" s="3" t="str">
        <f aca="false">IF(AND(V711="",N(L711)&gt;=Parametros!$B$17,G711&gt;=H711,R711&lt;H711),"SÍ","")</f>
        <v/>
      </c>
      <c r="X711" s="3" t="str">
        <f aca="false">IF(OR(E711="SOBRE MAX VENDIBLE",N(N711)&gt;=Parametros!$B$17,N(M711)&gt;=Parametros!$B$17),"SÍ","")</f>
        <v/>
      </c>
      <c r="Y711" s="3" t="str">
        <f aca="false">IF(AND(ISNUMBER(U711),MAX(S711,T711)&gt;=Parametros!$B$15,ABS(N(U711))&gt;Parametros!$B$14),"SÍ","")</f>
        <v/>
      </c>
      <c r="Z711" s="3" t="n">
        <f aca="false">COUNTIF(V711:Y711,"SÍ")</f>
        <v>0</v>
      </c>
      <c r="AA711" s="3" t="n">
        <f aca="false">(3*(V711="SÍ")+2*(W711="SÍ")+2*(X711="SÍ")+(Y711="SÍ"))*IF(LEFT(D711,1)="A",3,IF(OR(LEFT(D711,1)="B",D711="SIN HIST"),2,1))</f>
        <v>0</v>
      </c>
      <c r="AB711" s="3" t="str">
        <f aca="false">IF(AA711&gt;=9,"1-ALTA",IF(AA711&gt;=4,"2-MEDIA",IF(AA711&gt;0,"3-BAJA","")))</f>
        <v/>
      </c>
      <c r="AC711" s="3" t="str">
        <f aca="false">IF(E711="BAJO SS","Stock + XLIB bajo el SS: riesgo real de quiebre, adelantar producción. ","")&amp;IF(E711="BAJO SS (XLIB CUBRE)","Disponible bajo el SS; depende de liberar "&amp;TEXT(J711,"#,##0")&amp;" kg"&amp;IF(ISNUMBER(K711)," el "&amp;TEXT(K711,"dd-mm"),"")&amp;". ","")&amp;IF(W711="SÍ","Stock parece sano pero "&amp;TEXT(L711,"#,##0")&amp;" kg no pasan filtro "&amp;Stock_Seguridad!O711&amp;": sin ellos queda bajo el SS para esa cadena. ","")&amp;IF(E711="SOBRE MAX VENDIBLE","Sobrestock vs vida útil: frenar producción/activar venta. ","")&amp;IF(N(N711)&gt;=Parametros!$B$17,TEXT(N711,"#,##0")&amp;" kg ya no los acepta ninguna cadena: venta intermedia/liquidación. ","")&amp;IF(N(M711)&gt;=Parametros!$B$17,TEXT(M711,"#,##0")&amp;" kg a punto de salir del filtro: despachar primero (FEFO). ","")&amp;IF(Y711="SÍ","Pedidos "&amp;IF(N(U711)&gt;0,"sobre","bajo")&amp;" FCST "&amp;TEXT(ABS(N(U711)),"0%")&amp;": revisar forecast con KAM.","")</f>
        <v/>
      </c>
    </row>
    <row r="712" customFormat="false" ht="15" hidden="false" customHeight="false" outlineLevel="0" collapsed="false">
      <c r="A712" s="18" t="n">
        <f aca="false">Stock_Seguridad!A712</f>
        <v>30001538</v>
      </c>
      <c r="B712" s="18" t="str">
        <f aca="false">Stock_Seguridad!B712</f>
        <v>CHOCLO G.BUTTER-HARDY 1X16KG</v>
      </c>
      <c r="C712" s="18" t="str">
        <f aca="false">Stock_Seguridad!C712</f>
        <v>FRUTAS Y HORTALIZAS CONGELADAS</v>
      </c>
      <c r="D712" s="18" t="str">
        <f aca="false">Stock_Seguridad!F712</f>
        <v>SIN HIST</v>
      </c>
      <c r="E712" s="19" t="str">
        <f aca="false">Stock_Seguridad!X712</f>
        <v>SIN FCST</v>
      </c>
      <c r="F712" s="20" t="str">
        <f aca="false">Stock_Seguridad!W712</f>
        <v/>
      </c>
      <c r="G712" s="21" t="n">
        <f aca="false">Stock_Seguridad!T712</f>
        <v>2848</v>
      </c>
      <c r="H712" s="21" t="n">
        <f aca="false">Stock_Seguridad!R712</f>
        <v>0</v>
      </c>
      <c r="I712" s="21" t="n">
        <f aca="false">Stock_Seguridad!S712</f>
        <v>0</v>
      </c>
      <c r="J712" s="21" t="n">
        <f aca="false">Stock_Seguridad!U712</f>
        <v>0</v>
      </c>
      <c r="K712" s="22"/>
      <c r="L712" s="23" t="n">
        <v>0</v>
      </c>
      <c r="M712" s="23" t="n">
        <v>0</v>
      </c>
      <c r="N712" s="23" t="n">
        <v>0</v>
      </c>
      <c r="O712" s="24" t="n">
        <v>0.5</v>
      </c>
      <c r="P712" s="24" t="str">
        <f aca="false">IF(ISNUMBER(Stock_Seguridad!N712),Stock_Seguridad!N712,"")</f>
        <v/>
      </c>
      <c r="Q712" s="24" t="str">
        <f aca="false">IF(AND(ISNUMBER(O712),ISNUMBER(P712)),P712-O712,"")</f>
        <v/>
      </c>
      <c r="R712" s="23" t="n">
        <f aca="false">MAX(0,G712-N(L712))</f>
        <v>2848</v>
      </c>
      <c r="S712" s="23" t="n">
        <f aca="false">SUMIFS(Cadenas_vs_FCST!$D$17:$D$2437,Cadenas_vs_FCST!$A$17:$A$2437,A712)</f>
        <v>0</v>
      </c>
      <c r="T712" s="23" t="n">
        <f aca="false">SUMIFS(Cadenas_vs_FCST!$E$17:$E$2437,Cadenas_vs_FCST!$A$17:$A$2437,A712)</f>
        <v>0</v>
      </c>
      <c r="U712" s="24" t="str">
        <f aca="false">IF(T712&gt;0,S712/T712-1,"")</f>
        <v/>
      </c>
      <c r="V712" s="3" t="str">
        <f aca="false">IF(OR(E712="BAJO SS",E712="BAJO SS (XLIB CUBRE)"),"SÍ","")</f>
        <v/>
      </c>
      <c r="W712" s="3" t="str">
        <f aca="false">IF(AND(V712="",N(L712)&gt;=Parametros!$B$17,G712&gt;=H712,R712&lt;H712),"SÍ","")</f>
        <v/>
      </c>
      <c r="X712" s="3" t="str">
        <f aca="false">IF(OR(E712="SOBRE MAX VENDIBLE",N(N712)&gt;=Parametros!$B$17,N(M712)&gt;=Parametros!$B$17),"SÍ","")</f>
        <v/>
      </c>
      <c r="Y712" s="3" t="str">
        <f aca="false">IF(AND(ISNUMBER(U712),MAX(S712,T712)&gt;=Parametros!$B$15,ABS(N(U712))&gt;Parametros!$B$14),"SÍ","")</f>
        <v/>
      </c>
      <c r="Z712" s="3" t="n">
        <f aca="false">COUNTIF(V712:Y712,"SÍ")</f>
        <v>0</v>
      </c>
      <c r="AA712" s="3" t="n">
        <f aca="false">(3*(V712="SÍ")+2*(W712="SÍ")+2*(X712="SÍ")+(Y712="SÍ"))*IF(LEFT(D712,1)="A",3,IF(OR(LEFT(D712,1)="B",D712="SIN HIST"),2,1))</f>
        <v>0</v>
      </c>
      <c r="AB712" s="3" t="str">
        <f aca="false">IF(AA712&gt;=9,"1-ALTA",IF(AA712&gt;=4,"2-MEDIA",IF(AA712&gt;0,"3-BAJA","")))</f>
        <v/>
      </c>
      <c r="AC712" s="3" t="str">
        <f aca="false">IF(E712="BAJO SS","Stock + XLIB bajo el SS: riesgo real de quiebre, adelantar producción. ","")&amp;IF(E712="BAJO SS (XLIB CUBRE)","Disponible bajo el SS; depende de liberar "&amp;TEXT(J712,"#,##0")&amp;" kg"&amp;IF(ISNUMBER(K712)," el "&amp;TEXT(K712,"dd-mm"),"")&amp;". ","")&amp;IF(W712="SÍ","Stock parece sano pero "&amp;TEXT(L712,"#,##0")&amp;" kg no pasan filtro "&amp;Stock_Seguridad!O712&amp;": sin ellos queda bajo el SS para esa cadena. ","")&amp;IF(E712="SOBRE MAX VENDIBLE","Sobrestock vs vida útil: frenar producción/activar venta. ","")&amp;IF(N(N712)&gt;=Parametros!$B$17,TEXT(N712,"#,##0")&amp;" kg ya no los acepta ninguna cadena: venta intermedia/liquidación. ","")&amp;IF(N(M712)&gt;=Parametros!$B$17,TEXT(M712,"#,##0")&amp;" kg a punto de salir del filtro: despachar primero (FEFO). ","")&amp;IF(Y712="SÍ","Pedidos "&amp;IF(N(U712)&gt;0,"sobre","bajo")&amp;" FCST "&amp;TEXT(ABS(N(U712)),"0%")&amp;": revisar forecast con KAM.","")</f>
        <v/>
      </c>
    </row>
    <row r="713" customFormat="false" ht="15" hidden="false" customHeight="false" outlineLevel="0" collapsed="false">
      <c r="A713" s="18" t="n">
        <f aca="false">Stock_Seguridad!A713</f>
        <v>30001539</v>
      </c>
      <c r="B713" s="18" t="str">
        <f aca="false">Stock_Seguridad!B713</f>
        <v>CHOCLO GRANO TURBO O TAMARAK 1X16KG</v>
      </c>
      <c r="C713" s="18" t="str">
        <f aca="false">Stock_Seguridad!C713</f>
        <v>FRUTAS Y HORTALIZAS CONGELADAS</v>
      </c>
      <c r="D713" s="18" t="str">
        <f aca="false">Stock_Seguridad!F713</f>
        <v>SIN HIST</v>
      </c>
      <c r="E713" s="19" t="str">
        <f aca="false">Stock_Seguridad!X713</f>
        <v>SIN FCST</v>
      </c>
      <c r="F713" s="20" t="str">
        <f aca="false">Stock_Seguridad!W713</f>
        <v/>
      </c>
      <c r="G713" s="21" t="n">
        <f aca="false">Stock_Seguridad!T713</f>
        <v>14384</v>
      </c>
      <c r="H713" s="21" t="n">
        <f aca="false">Stock_Seguridad!R713</f>
        <v>0</v>
      </c>
      <c r="I713" s="21" t="n">
        <f aca="false">Stock_Seguridad!S713</f>
        <v>0</v>
      </c>
      <c r="J713" s="21" t="n">
        <f aca="false">Stock_Seguridad!U713</f>
        <v>0</v>
      </c>
      <c r="K713" s="22"/>
      <c r="L713" s="23"/>
      <c r="M713" s="23"/>
      <c r="N713" s="23"/>
      <c r="O713" s="24"/>
      <c r="P713" s="24" t="str">
        <f aca="false">IF(ISNUMBER(Stock_Seguridad!N713),Stock_Seguridad!N713,"")</f>
        <v/>
      </c>
      <c r="Q713" s="24" t="str">
        <f aca="false">IF(AND(ISNUMBER(O713),ISNUMBER(P713)),P713-O713,"")</f>
        <v/>
      </c>
      <c r="R713" s="23" t="n">
        <f aca="false">MAX(0,G713-N(L713))</f>
        <v>14384</v>
      </c>
      <c r="S713" s="23" t="n">
        <f aca="false">SUMIFS(Cadenas_vs_FCST!$D$17:$D$2437,Cadenas_vs_FCST!$A$17:$A$2437,A713)</f>
        <v>0</v>
      </c>
      <c r="T713" s="23" t="n">
        <f aca="false">SUMIFS(Cadenas_vs_FCST!$E$17:$E$2437,Cadenas_vs_FCST!$A$17:$A$2437,A713)</f>
        <v>0</v>
      </c>
      <c r="U713" s="24" t="str">
        <f aca="false">IF(T713&gt;0,S713/T713-1,"")</f>
        <v/>
      </c>
      <c r="V713" s="3" t="str">
        <f aca="false">IF(OR(E713="BAJO SS",E713="BAJO SS (XLIB CUBRE)"),"SÍ","")</f>
        <v/>
      </c>
      <c r="W713" s="3" t="str">
        <f aca="false">IF(AND(V713="",N(L713)&gt;=Parametros!$B$17,G713&gt;=H713,R713&lt;H713),"SÍ","")</f>
        <v/>
      </c>
      <c r="X713" s="3" t="str">
        <f aca="false">IF(OR(E713="SOBRE MAX VENDIBLE",N(N713)&gt;=Parametros!$B$17,N(M713)&gt;=Parametros!$B$17),"SÍ","")</f>
        <v/>
      </c>
      <c r="Y713" s="3" t="str">
        <f aca="false">IF(AND(ISNUMBER(U713),MAX(S713,T713)&gt;=Parametros!$B$15,ABS(N(U713))&gt;Parametros!$B$14),"SÍ","")</f>
        <v/>
      </c>
      <c r="Z713" s="3" t="n">
        <f aca="false">COUNTIF(V713:Y713,"SÍ")</f>
        <v>0</v>
      </c>
      <c r="AA713" s="3" t="n">
        <f aca="false">(3*(V713="SÍ")+2*(W713="SÍ")+2*(X713="SÍ")+(Y713="SÍ"))*IF(LEFT(D713,1)="A",3,IF(OR(LEFT(D713,1)="B",D713="SIN HIST"),2,1))</f>
        <v>0</v>
      </c>
      <c r="AB713" s="3" t="str">
        <f aca="false">IF(AA713&gt;=9,"1-ALTA",IF(AA713&gt;=4,"2-MEDIA",IF(AA713&gt;0,"3-BAJA","")))</f>
        <v/>
      </c>
      <c r="AC713" s="3" t="str">
        <f aca="false">IF(E713="BAJO SS","Stock + XLIB bajo el SS: riesgo real de quiebre, adelantar producción. ","")&amp;IF(E713="BAJO SS (XLIB CUBRE)","Disponible bajo el SS; depende de liberar "&amp;TEXT(J713,"#,##0")&amp;" kg"&amp;IF(ISNUMBER(K713)," el "&amp;TEXT(K713,"dd-mm"),"")&amp;". ","")&amp;IF(W713="SÍ","Stock parece sano pero "&amp;TEXT(L713,"#,##0")&amp;" kg no pasan filtro "&amp;Stock_Seguridad!O713&amp;": sin ellos queda bajo el SS para esa cadena. ","")&amp;IF(E713="SOBRE MAX VENDIBLE","Sobrestock vs vida útil: frenar producción/activar venta. ","")&amp;IF(N(N713)&gt;=Parametros!$B$17,TEXT(N713,"#,##0")&amp;" kg ya no los acepta ninguna cadena: venta intermedia/liquidación. ","")&amp;IF(N(M713)&gt;=Parametros!$B$17,TEXT(M713,"#,##0")&amp;" kg a punto de salir del filtro: despachar primero (FEFO). ","")&amp;IF(Y713="SÍ","Pedidos "&amp;IF(N(U713)&gt;0,"sobre","bajo")&amp;" FCST "&amp;TEXT(ABS(N(U713)),"0%")&amp;": revisar forecast con KAM.","")</f>
        <v/>
      </c>
    </row>
    <row r="714" customFormat="false" ht="15" hidden="false" customHeight="false" outlineLevel="0" collapsed="false">
      <c r="A714" s="18" t="n">
        <f aca="false">Stock_Seguridad!A714</f>
        <v>30001570</v>
      </c>
      <c r="B714" s="18" t="str">
        <f aca="false">Stock_Seguridad!B714</f>
        <v>PAPAS DUQUESAS FINAS HIERBAS 26X500GR</v>
      </c>
      <c r="C714" s="18" t="str">
        <f aca="false">Stock_Seguridad!C714</f>
        <v>FRUTAS Y HORTALIZAS CONGELADAS</v>
      </c>
      <c r="D714" s="18" t="str">
        <f aca="false">Stock_Seguridad!F714</f>
        <v>SIN HIST</v>
      </c>
      <c r="E714" s="19" t="str">
        <f aca="false">Stock_Seguridad!X714</f>
        <v>SIN FCST</v>
      </c>
      <c r="F714" s="20" t="str">
        <f aca="false">Stock_Seguridad!W714</f>
        <v/>
      </c>
      <c r="G714" s="21" t="n">
        <f aca="false">Stock_Seguridad!T714</f>
        <v>273</v>
      </c>
      <c r="H714" s="21" t="n">
        <f aca="false">Stock_Seguridad!R714</f>
        <v>0</v>
      </c>
      <c r="I714" s="21" t="n">
        <f aca="false">Stock_Seguridad!S714</f>
        <v>0</v>
      </c>
      <c r="J714" s="21" t="n">
        <f aca="false">Stock_Seguridad!U714</f>
        <v>0</v>
      </c>
      <c r="K714" s="22"/>
      <c r="L714" s="23"/>
      <c r="M714" s="23"/>
      <c r="N714" s="23"/>
      <c r="O714" s="24"/>
      <c r="P714" s="24" t="str">
        <f aca="false">IF(ISNUMBER(Stock_Seguridad!N714),Stock_Seguridad!N714,"")</f>
        <v/>
      </c>
      <c r="Q714" s="24" t="str">
        <f aca="false">IF(AND(ISNUMBER(O714),ISNUMBER(P714)),P714-O714,"")</f>
        <v/>
      </c>
      <c r="R714" s="23" t="n">
        <f aca="false">MAX(0,G714-N(L714))</f>
        <v>273</v>
      </c>
      <c r="S714" s="23" t="n">
        <f aca="false">SUMIFS(Cadenas_vs_FCST!$D$17:$D$2437,Cadenas_vs_FCST!$A$17:$A$2437,A714)</f>
        <v>0</v>
      </c>
      <c r="T714" s="23" t="n">
        <f aca="false">SUMIFS(Cadenas_vs_FCST!$E$17:$E$2437,Cadenas_vs_FCST!$A$17:$A$2437,A714)</f>
        <v>0</v>
      </c>
      <c r="U714" s="24" t="str">
        <f aca="false">IF(T714&gt;0,S714/T714-1,"")</f>
        <v/>
      </c>
      <c r="V714" s="3" t="str">
        <f aca="false">IF(OR(E714="BAJO SS",E714="BAJO SS (XLIB CUBRE)"),"SÍ","")</f>
        <v/>
      </c>
      <c r="W714" s="3" t="str">
        <f aca="false">IF(AND(V714="",N(L714)&gt;=Parametros!$B$17,G714&gt;=H714,R714&lt;H714),"SÍ","")</f>
        <v/>
      </c>
      <c r="X714" s="3" t="str">
        <f aca="false">IF(OR(E714="SOBRE MAX VENDIBLE",N(N714)&gt;=Parametros!$B$17,N(M714)&gt;=Parametros!$B$17),"SÍ","")</f>
        <v/>
      </c>
      <c r="Y714" s="3" t="str">
        <f aca="false">IF(AND(ISNUMBER(U714),MAX(S714,T714)&gt;=Parametros!$B$15,ABS(N(U714))&gt;Parametros!$B$14),"SÍ","")</f>
        <v/>
      </c>
      <c r="Z714" s="3" t="n">
        <f aca="false">COUNTIF(V714:Y714,"SÍ")</f>
        <v>0</v>
      </c>
      <c r="AA714" s="3" t="n">
        <f aca="false">(3*(V714="SÍ")+2*(W714="SÍ")+2*(X714="SÍ")+(Y714="SÍ"))*IF(LEFT(D714,1)="A",3,IF(OR(LEFT(D714,1)="B",D714="SIN HIST"),2,1))</f>
        <v>0</v>
      </c>
      <c r="AB714" s="3" t="str">
        <f aca="false">IF(AA714&gt;=9,"1-ALTA",IF(AA714&gt;=4,"2-MEDIA",IF(AA714&gt;0,"3-BAJA","")))</f>
        <v/>
      </c>
      <c r="AC714" s="3" t="str">
        <f aca="false">IF(E714="BAJO SS","Stock + XLIB bajo el SS: riesgo real de quiebre, adelantar producción. ","")&amp;IF(E714="BAJO SS (XLIB CUBRE)","Disponible bajo el SS; depende de liberar "&amp;TEXT(J714,"#,##0")&amp;" kg"&amp;IF(ISNUMBER(K714)," el "&amp;TEXT(K714,"dd-mm"),"")&amp;". ","")&amp;IF(W714="SÍ","Stock parece sano pero "&amp;TEXT(L714,"#,##0")&amp;" kg no pasan filtro "&amp;Stock_Seguridad!O714&amp;": sin ellos queda bajo el SS para esa cadena. ","")&amp;IF(E714="SOBRE MAX VENDIBLE","Sobrestock vs vida útil: frenar producción/activar venta. ","")&amp;IF(N(N714)&gt;=Parametros!$B$17,TEXT(N714,"#,##0")&amp;" kg ya no los acepta ninguna cadena: venta intermedia/liquidación. ","")&amp;IF(N(M714)&gt;=Parametros!$B$17,TEXT(M714,"#,##0")&amp;" kg a punto de salir del filtro: despachar primero (FEFO). ","")&amp;IF(Y714="SÍ","Pedidos "&amp;IF(N(U714)&gt;0,"sobre","bajo")&amp;" FCST "&amp;TEXT(ABS(N(U714)),"0%")&amp;": revisar forecast con KAM.","")</f>
        <v/>
      </c>
    </row>
    <row r="715" customFormat="false" ht="15" hidden="false" customHeight="false" outlineLevel="0" collapsed="false">
      <c r="A715" s="18" t="n">
        <f aca="false">Stock_Seguridad!A715</f>
        <v>30001153</v>
      </c>
      <c r="B715" s="18" t="str">
        <f aca="false">Stock_Seguridad!B715</f>
        <v>MAIZ SUP DULCE G°A GUSTAD 1X16KG</v>
      </c>
      <c r="C715" s="18" t="str">
        <f aca="false">Stock_Seguridad!C715</f>
        <v>FRUTAS Y HORTALIZAS CONGELADAS</v>
      </c>
      <c r="D715" s="18" t="str">
        <f aca="false">Stock_Seguridad!F715</f>
        <v>SIN HIST</v>
      </c>
      <c r="E715" s="19" t="str">
        <f aca="false">Stock_Seguridad!X715</f>
        <v>SIN FCST</v>
      </c>
      <c r="F715" s="20" t="str">
        <f aca="false">Stock_Seguridad!W715</f>
        <v/>
      </c>
      <c r="G715" s="21" t="n">
        <f aca="false">Stock_Seguridad!T715</f>
        <v>24736</v>
      </c>
      <c r="H715" s="21" t="n">
        <f aca="false">Stock_Seguridad!R715</f>
        <v>0</v>
      </c>
      <c r="I715" s="21" t="n">
        <f aca="false">Stock_Seguridad!S715</f>
        <v>0</v>
      </c>
      <c r="J715" s="21" t="n">
        <f aca="false">Stock_Seguridad!U715</f>
        <v>0</v>
      </c>
      <c r="K715" s="22"/>
      <c r="L715" s="23"/>
      <c r="M715" s="23"/>
      <c r="N715" s="23"/>
      <c r="O715" s="24"/>
      <c r="P715" s="24" t="str">
        <f aca="false">IF(ISNUMBER(Stock_Seguridad!N715),Stock_Seguridad!N715,"")</f>
        <v/>
      </c>
      <c r="Q715" s="24" t="str">
        <f aca="false">IF(AND(ISNUMBER(O715),ISNUMBER(P715)),P715-O715,"")</f>
        <v/>
      </c>
      <c r="R715" s="23" t="n">
        <f aca="false">MAX(0,G715-N(L715))</f>
        <v>24736</v>
      </c>
      <c r="S715" s="23" t="n">
        <f aca="false">SUMIFS(Cadenas_vs_FCST!$D$17:$D$2437,Cadenas_vs_FCST!$A$17:$A$2437,A715)</f>
        <v>0</v>
      </c>
      <c r="T715" s="23" t="n">
        <f aca="false">SUMIFS(Cadenas_vs_FCST!$E$17:$E$2437,Cadenas_vs_FCST!$A$17:$A$2437,A715)</f>
        <v>0</v>
      </c>
      <c r="U715" s="24" t="str">
        <f aca="false">IF(T715&gt;0,S715/T715-1,"")</f>
        <v/>
      </c>
      <c r="V715" s="3" t="str">
        <f aca="false">IF(OR(E715="BAJO SS",E715="BAJO SS (XLIB CUBRE)"),"SÍ","")</f>
        <v/>
      </c>
      <c r="W715" s="3" t="str">
        <f aca="false">IF(AND(V715="",N(L715)&gt;=Parametros!$B$17,G715&gt;=H715,R715&lt;H715),"SÍ","")</f>
        <v/>
      </c>
      <c r="X715" s="3" t="str">
        <f aca="false">IF(OR(E715="SOBRE MAX VENDIBLE",N(N715)&gt;=Parametros!$B$17,N(M715)&gt;=Parametros!$B$17),"SÍ","")</f>
        <v/>
      </c>
      <c r="Y715" s="3" t="str">
        <f aca="false">IF(AND(ISNUMBER(U715),MAX(S715,T715)&gt;=Parametros!$B$15,ABS(N(U715))&gt;Parametros!$B$14),"SÍ","")</f>
        <v/>
      </c>
      <c r="Z715" s="3" t="n">
        <f aca="false">COUNTIF(V715:Y715,"SÍ")</f>
        <v>0</v>
      </c>
      <c r="AA715" s="3" t="n">
        <f aca="false">(3*(V715="SÍ")+2*(W715="SÍ")+2*(X715="SÍ")+(Y715="SÍ"))*IF(LEFT(D715,1)="A",3,IF(OR(LEFT(D715,1)="B",D715="SIN HIST"),2,1))</f>
        <v>0</v>
      </c>
      <c r="AB715" s="3" t="str">
        <f aca="false">IF(AA715&gt;=9,"1-ALTA",IF(AA715&gt;=4,"2-MEDIA",IF(AA715&gt;0,"3-BAJA","")))</f>
        <v/>
      </c>
      <c r="AC715" s="3" t="str">
        <f aca="false">IF(E715="BAJO SS","Stock + XLIB bajo el SS: riesgo real de quiebre, adelantar producción. ","")&amp;IF(E715="BAJO SS (XLIB CUBRE)","Disponible bajo el SS; depende de liberar "&amp;TEXT(J715,"#,##0")&amp;" kg"&amp;IF(ISNUMBER(K715)," el "&amp;TEXT(K715,"dd-mm"),"")&amp;". ","")&amp;IF(W715="SÍ","Stock parece sano pero "&amp;TEXT(L715,"#,##0")&amp;" kg no pasan filtro "&amp;Stock_Seguridad!O715&amp;": sin ellos queda bajo el SS para esa cadena. ","")&amp;IF(E715="SOBRE MAX VENDIBLE","Sobrestock vs vida útil: frenar producción/activar venta. ","")&amp;IF(N(N715)&gt;=Parametros!$B$17,TEXT(N715,"#,##0")&amp;" kg ya no los acepta ninguna cadena: venta intermedia/liquidación. ","")&amp;IF(N(M715)&gt;=Parametros!$B$17,TEXT(M715,"#,##0")&amp;" kg a punto de salir del filtro: despachar primero (FEFO). ","")&amp;IF(Y715="SÍ","Pedidos "&amp;IF(N(U715)&gt;0,"sobre","bajo")&amp;" FCST "&amp;TEXT(ABS(N(U715)),"0%")&amp;": revisar forecast con KAM.","")</f>
        <v/>
      </c>
    </row>
    <row r="716" customFormat="false" ht="15" hidden="false" customHeight="false" outlineLevel="0" collapsed="false">
      <c r="A716" s="18" t="n">
        <f aca="false">Stock_Seguridad!A716</f>
        <v>30001354</v>
      </c>
      <c r="B716" s="18" t="str">
        <f aca="false">Stock_Seguridad!B716</f>
        <v>ARANDANO CALIBRADO 13.16MM 1X16 KG WATTS</v>
      </c>
      <c r="C716" s="18" t="str">
        <f aca="false">Stock_Seguridad!C716</f>
        <v>FRUTAS Y HORTALIZAS CONGELADAS</v>
      </c>
      <c r="D716" s="18" t="str">
        <f aca="false">Stock_Seguridad!F716</f>
        <v>SIN HIST</v>
      </c>
      <c r="E716" s="19" t="str">
        <f aca="false">Stock_Seguridad!X716</f>
        <v>SIN FCST</v>
      </c>
      <c r="F716" s="20" t="str">
        <f aca="false">Stock_Seguridad!W716</f>
        <v/>
      </c>
      <c r="G716" s="21" t="n">
        <f aca="false">Stock_Seguridad!T716</f>
        <v>4592</v>
      </c>
      <c r="H716" s="21" t="n">
        <f aca="false">Stock_Seguridad!R716</f>
        <v>0</v>
      </c>
      <c r="I716" s="21" t="n">
        <f aca="false">Stock_Seguridad!S716</f>
        <v>0</v>
      </c>
      <c r="J716" s="21" t="n">
        <f aca="false">Stock_Seguridad!U716</f>
        <v>0</v>
      </c>
      <c r="K716" s="22"/>
      <c r="L716" s="23" t="n">
        <v>0</v>
      </c>
      <c r="M716" s="23" t="n">
        <v>0</v>
      </c>
      <c r="N716" s="23" t="n">
        <v>0</v>
      </c>
      <c r="O716" s="24" t="n">
        <v>0.01</v>
      </c>
      <c r="P716" s="24" t="str">
        <f aca="false">IF(ISNUMBER(Stock_Seguridad!N716),Stock_Seguridad!N716,"")</f>
        <v/>
      </c>
      <c r="Q716" s="24" t="str">
        <f aca="false">IF(AND(ISNUMBER(O716),ISNUMBER(P716)),P716-O716,"")</f>
        <v/>
      </c>
      <c r="R716" s="23" t="n">
        <f aca="false">MAX(0,G716-N(L716))</f>
        <v>4592</v>
      </c>
      <c r="S716" s="23" t="n">
        <f aca="false">SUMIFS(Cadenas_vs_FCST!$D$17:$D$2437,Cadenas_vs_FCST!$A$17:$A$2437,A716)</f>
        <v>0</v>
      </c>
      <c r="T716" s="23" t="n">
        <f aca="false">SUMIFS(Cadenas_vs_FCST!$E$17:$E$2437,Cadenas_vs_FCST!$A$17:$A$2437,A716)</f>
        <v>0</v>
      </c>
      <c r="U716" s="24" t="str">
        <f aca="false">IF(T716&gt;0,S716/T716-1,"")</f>
        <v/>
      </c>
      <c r="V716" s="3" t="str">
        <f aca="false">IF(OR(E716="BAJO SS",E716="BAJO SS (XLIB CUBRE)"),"SÍ","")</f>
        <v/>
      </c>
      <c r="W716" s="3" t="str">
        <f aca="false">IF(AND(V716="",N(L716)&gt;=Parametros!$B$17,G716&gt;=H716,R716&lt;H716),"SÍ","")</f>
        <v/>
      </c>
      <c r="X716" s="3" t="str">
        <f aca="false">IF(OR(E716="SOBRE MAX VENDIBLE",N(N716)&gt;=Parametros!$B$17,N(M716)&gt;=Parametros!$B$17),"SÍ","")</f>
        <v/>
      </c>
      <c r="Y716" s="3" t="str">
        <f aca="false">IF(AND(ISNUMBER(U716),MAX(S716,T716)&gt;=Parametros!$B$15,ABS(N(U716))&gt;Parametros!$B$14),"SÍ","")</f>
        <v/>
      </c>
      <c r="Z716" s="3" t="n">
        <f aca="false">COUNTIF(V716:Y716,"SÍ")</f>
        <v>0</v>
      </c>
      <c r="AA716" s="3" t="n">
        <f aca="false">(3*(V716="SÍ")+2*(W716="SÍ")+2*(X716="SÍ")+(Y716="SÍ"))*IF(LEFT(D716,1)="A",3,IF(OR(LEFT(D716,1)="B",D716="SIN HIST"),2,1))</f>
        <v>0</v>
      </c>
      <c r="AB716" s="3" t="str">
        <f aca="false">IF(AA716&gt;=9,"1-ALTA",IF(AA716&gt;=4,"2-MEDIA",IF(AA716&gt;0,"3-BAJA","")))</f>
        <v/>
      </c>
      <c r="AC716" s="3" t="str">
        <f aca="false">IF(E716="BAJO SS","Stock + XLIB bajo el SS: riesgo real de quiebre, adelantar producción. ","")&amp;IF(E716="BAJO SS (XLIB CUBRE)","Disponible bajo el SS; depende de liberar "&amp;TEXT(J716,"#,##0")&amp;" kg"&amp;IF(ISNUMBER(K716)," el "&amp;TEXT(K716,"dd-mm"),"")&amp;". ","")&amp;IF(W716="SÍ","Stock parece sano pero "&amp;TEXT(L716,"#,##0")&amp;" kg no pasan filtro "&amp;Stock_Seguridad!O716&amp;": sin ellos queda bajo el SS para esa cadena. ","")&amp;IF(E716="SOBRE MAX VENDIBLE","Sobrestock vs vida útil: frenar producción/activar venta. ","")&amp;IF(N(N716)&gt;=Parametros!$B$17,TEXT(N716,"#,##0")&amp;" kg ya no los acepta ninguna cadena: venta intermedia/liquidación. ","")&amp;IF(N(M716)&gt;=Parametros!$B$17,TEXT(M716,"#,##0")&amp;" kg a punto de salir del filtro: despachar primero (FEFO). ","")&amp;IF(Y716="SÍ","Pedidos "&amp;IF(N(U716)&gt;0,"sobre","bajo")&amp;" FCST "&amp;TEXT(ABS(N(U716)),"0%")&amp;": revisar forecast con KAM.","")</f>
        <v/>
      </c>
    </row>
    <row r="717" customFormat="false" ht="15" hidden="false" customHeight="false" outlineLevel="0" collapsed="false">
      <c r="A717" s="18" t="n">
        <f aca="false">Stock_Seguridad!A717</f>
        <v>30001162</v>
      </c>
      <c r="B717" s="18" t="str">
        <f aca="false">Stock_Seguridad!B717</f>
        <v>FRUTILLA CUBO 10*10 1X15KG</v>
      </c>
      <c r="C717" s="18" t="str">
        <f aca="false">Stock_Seguridad!C717</f>
        <v>FRUTAS Y HORTALIZAS CONGELADAS</v>
      </c>
      <c r="D717" s="18" t="str">
        <f aca="false">Stock_Seguridad!F717</f>
        <v>SIN HIST</v>
      </c>
      <c r="E717" s="19" t="str">
        <f aca="false">Stock_Seguridad!X717</f>
        <v>SIN FCST</v>
      </c>
      <c r="F717" s="20" t="str">
        <f aca="false">Stock_Seguridad!W717</f>
        <v/>
      </c>
      <c r="G717" s="21" t="n">
        <f aca="false">Stock_Seguridad!T717</f>
        <v>5325</v>
      </c>
      <c r="H717" s="21" t="n">
        <f aca="false">Stock_Seguridad!R717</f>
        <v>0</v>
      </c>
      <c r="I717" s="21" t="n">
        <f aca="false">Stock_Seguridad!S717</f>
        <v>0</v>
      </c>
      <c r="J717" s="21" t="n">
        <f aca="false">Stock_Seguridad!U717</f>
        <v>0</v>
      </c>
      <c r="K717" s="22"/>
      <c r="L717" s="23" t="n">
        <v>0</v>
      </c>
      <c r="M717" s="23" t="n">
        <v>0</v>
      </c>
      <c r="N717" s="23" t="n">
        <v>0</v>
      </c>
      <c r="O717" s="24" t="n">
        <v>0.321656050955414</v>
      </c>
      <c r="P717" s="24" t="str">
        <f aca="false">IF(ISNUMBER(Stock_Seguridad!N717),Stock_Seguridad!N717,"")</f>
        <v/>
      </c>
      <c r="Q717" s="24" t="str">
        <f aca="false">IF(AND(ISNUMBER(O717),ISNUMBER(P717)),P717-O717,"")</f>
        <v/>
      </c>
      <c r="R717" s="23" t="n">
        <f aca="false">MAX(0,G717-N(L717))</f>
        <v>5325</v>
      </c>
      <c r="S717" s="23" t="n">
        <f aca="false">SUMIFS(Cadenas_vs_FCST!$D$17:$D$2437,Cadenas_vs_FCST!$A$17:$A$2437,A717)</f>
        <v>0</v>
      </c>
      <c r="T717" s="23" t="n">
        <f aca="false">SUMIFS(Cadenas_vs_FCST!$E$17:$E$2437,Cadenas_vs_FCST!$A$17:$A$2437,A717)</f>
        <v>0</v>
      </c>
      <c r="U717" s="24" t="str">
        <f aca="false">IF(T717&gt;0,S717/T717-1,"")</f>
        <v/>
      </c>
      <c r="V717" s="3" t="str">
        <f aca="false">IF(OR(E717="BAJO SS",E717="BAJO SS (XLIB CUBRE)"),"SÍ","")</f>
        <v/>
      </c>
      <c r="W717" s="3" t="str">
        <f aca="false">IF(AND(V717="",N(L717)&gt;=Parametros!$B$17,G717&gt;=H717,R717&lt;H717),"SÍ","")</f>
        <v/>
      </c>
      <c r="X717" s="3" t="str">
        <f aca="false">IF(OR(E717="SOBRE MAX VENDIBLE",N(N717)&gt;=Parametros!$B$17,N(M717)&gt;=Parametros!$B$17),"SÍ","")</f>
        <v/>
      </c>
      <c r="Y717" s="3" t="str">
        <f aca="false">IF(AND(ISNUMBER(U717),MAX(S717,T717)&gt;=Parametros!$B$15,ABS(N(U717))&gt;Parametros!$B$14),"SÍ","")</f>
        <v/>
      </c>
      <c r="Z717" s="3" t="n">
        <f aca="false">COUNTIF(V717:Y717,"SÍ")</f>
        <v>0</v>
      </c>
      <c r="AA717" s="3" t="n">
        <f aca="false">(3*(V717="SÍ")+2*(W717="SÍ")+2*(X717="SÍ")+(Y717="SÍ"))*IF(LEFT(D717,1)="A",3,IF(OR(LEFT(D717,1)="B",D717="SIN HIST"),2,1))</f>
        <v>0</v>
      </c>
      <c r="AB717" s="3" t="str">
        <f aca="false">IF(AA717&gt;=9,"1-ALTA",IF(AA717&gt;=4,"2-MEDIA",IF(AA717&gt;0,"3-BAJA","")))</f>
        <v/>
      </c>
      <c r="AC717" s="3" t="str">
        <f aca="false">IF(E717="BAJO SS","Stock + XLIB bajo el SS: riesgo real de quiebre, adelantar producción. ","")&amp;IF(E717="BAJO SS (XLIB CUBRE)","Disponible bajo el SS; depende de liberar "&amp;TEXT(J717,"#,##0")&amp;" kg"&amp;IF(ISNUMBER(K717)," el "&amp;TEXT(K717,"dd-mm"),"")&amp;". ","")&amp;IF(W717="SÍ","Stock parece sano pero "&amp;TEXT(L717,"#,##0")&amp;" kg no pasan filtro "&amp;Stock_Seguridad!O717&amp;": sin ellos queda bajo el SS para esa cadena. ","")&amp;IF(E717="SOBRE MAX VENDIBLE","Sobrestock vs vida útil: frenar producción/activar venta. ","")&amp;IF(N(N717)&gt;=Parametros!$B$17,TEXT(N717,"#,##0")&amp;" kg ya no los acepta ninguna cadena: venta intermedia/liquidación. ","")&amp;IF(N(M717)&gt;=Parametros!$B$17,TEXT(M717,"#,##0")&amp;" kg a punto de salir del filtro: despachar primero (FEFO). ","")&amp;IF(Y717="SÍ","Pedidos "&amp;IF(N(U717)&gt;0,"sobre","bajo")&amp;" FCST "&amp;TEXT(ABS(N(U717)),"0%")&amp;": revisar forecast con KAM.","")</f>
        <v/>
      </c>
    </row>
    <row r="718" customFormat="false" ht="15" hidden="false" customHeight="false" outlineLevel="0" collapsed="false">
      <c r="A718" s="18" t="n">
        <f aca="false">Stock_Seguridad!A718</f>
        <v>30001161</v>
      </c>
      <c r="B718" s="18" t="str">
        <f aca="false">Stock_Seguridad!B718</f>
        <v>CAJA DE PREMIO FDM 1</v>
      </c>
      <c r="C718" s="18" t="str">
        <f aca="false">Stock_Seguridad!C718</f>
        <v>FRUTAS Y HORTALIZAS CONGELADAS</v>
      </c>
      <c r="D718" s="18" t="str">
        <f aca="false">Stock_Seguridad!F718</f>
        <v>SIN HIST</v>
      </c>
      <c r="E718" s="19" t="str">
        <f aca="false">Stock_Seguridad!X718</f>
        <v>SIN FCST</v>
      </c>
      <c r="F718" s="20" t="str">
        <f aca="false">Stock_Seguridad!W718</f>
        <v/>
      </c>
      <c r="G718" s="21" t="n">
        <f aca="false">Stock_Seguridad!T718</f>
        <v>28.8</v>
      </c>
      <c r="H718" s="21" t="n">
        <f aca="false">Stock_Seguridad!R718</f>
        <v>0</v>
      </c>
      <c r="I718" s="21" t="n">
        <f aca="false">Stock_Seguridad!S718</f>
        <v>0</v>
      </c>
      <c r="J718" s="21" t="n">
        <f aca="false">Stock_Seguridad!U718</f>
        <v>0</v>
      </c>
      <c r="K718" s="22"/>
      <c r="L718" s="23" t="n">
        <v>0</v>
      </c>
      <c r="M718" s="23" t="n">
        <v>0</v>
      </c>
      <c r="N718" s="23" t="n">
        <v>0</v>
      </c>
      <c r="O718" s="24" t="n">
        <v>0.62</v>
      </c>
      <c r="P718" s="24" t="str">
        <f aca="false">IF(ISNUMBER(Stock_Seguridad!N718),Stock_Seguridad!N718,"")</f>
        <v/>
      </c>
      <c r="Q718" s="24" t="str">
        <f aca="false">IF(AND(ISNUMBER(O718),ISNUMBER(P718)),P718-O718,"")</f>
        <v/>
      </c>
      <c r="R718" s="23" t="n">
        <f aca="false">MAX(0,G718-N(L718))</f>
        <v>28.8</v>
      </c>
      <c r="S718" s="23" t="n">
        <f aca="false">SUMIFS(Cadenas_vs_FCST!$D$17:$D$2437,Cadenas_vs_FCST!$A$17:$A$2437,A718)</f>
        <v>0</v>
      </c>
      <c r="T718" s="23" t="n">
        <f aca="false">SUMIFS(Cadenas_vs_FCST!$E$17:$E$2437,Cadenas_vs_FCST!$A$17:$A$2437,A718)</f>
        <v>0</v>
      </c>
      <c r="U718" s="24" t="str">
        <f aca="false">IF(T718&gt;0,S718/T718-1,"")</f>
        <v/>
      </c>
      <c r="V718" s="3" t="str">
        <f aca="false">IF(OR(E718="BAJO SS",E718="BAJO SS (XLIB CUBRE)"),"SÍ","")</f>
        <v/>
      </c>
      <c r="W718" s="3" t="str">
        <f aca="false">IF(AND(V718="",N(L718)&gt;=Parametros!$B$17,G718&gt;=H718,R718&lt;H718),"SÍ","")</f>
        <v/>
      </c>
      <c r="X718" s="3" t="str">
        <f aca="false">IF(OR(E718="SOBRE MAX VENDIBLE",N(N718)&gt;=Parametros!$B$17,N(M718)&gt;=Parametros!$B$17),"SÍ","")</f>
        <v/>
      </c>
      <c r="Y718" s="3" t="str">
        <f aca="false">IF(AND(ISNUMBER(U718),MAX(S718,T718)&gt;=Parametros!$B$15,ABS(N(U718))&gt;Parametros!$B$14),"SÍ","")</f>
        <v/>
      </c>
      <c r="Z718" s="3" t="n">
        <f aca="false">COUNTIF(V718:Y718,"SÍ")</f>
        <v>0</v>
      </c>
      <c r="AA718" s="3" t="n">
        <f aca="false">(3*(V718="SÍ")+2*(W718="SÍ")+2*(X718="SÍ")+(Y718="SÍ"))*IF(LEFT(D718,1)="A",3,IF(OR(LEFT(D718,1)="B",D718="SIN HIST"),2,1))</f>
        <v>0</v>
      </c>
      <c r="AB718" s="3" t="str">
        <f aca="false">IF(AA718&gt;=9,"1-ALTA",IF(AA718&gt;=4,"2-MEDIA",IF(AA718&gt;0,"3-BAJA","")))</f>
        <v/>
      </c>
      <c r="AC718" s="3" t="str">
        <f aca="false">IF(E718="BAJO SS","Stock + XLIB bajo el SS: riesgo real de quiebre, adelantar producción. ","")&amp;IF(E718="BAJO SS (XLIB CUBRE)","Disponible bajo el SS; depende de liberar "&amp;TEXT(J718,"#,##0")&amp;" kg"&amp;IF(ISNUMBER(K718)," el "&amp;TEXT(K718,"dd-mm"),"")&amp;". ","")&amp;IF(W718="SÍ","Stock parece sano pero "&amp;TEXT(L718,"#,##0")&amp;" kg no pasan filtro "&amp;Stock_Seguridad!O718&amp;": sin ellos queda bajo el SS para esa cadena. ","")&amp;IF(E718="SOBRE MAX VENDIBLE","Sobrestock vs vida útil: frenar producción/activar venta. ","")&amp;IF(N(N718)&gt;=Parametros!$B$17,TEXT(N718,"#,##0")&amp;" kg ya no los acepta ninguna cadena: venta intermedia/liquidación. ","")&amp;IF(N(M718)&gt;=Parametros!$B$17,TEXT(M718,"#,##0")&amp;" kg a punto de salir del filtro: despachar primero (FEFO). ","")&amp;IF(Y718="SÍ","Pedidos "&amp;IF(N(U718)&gt;0,"sobre","bajo")&amp;" FCST "&amp;TEXT(ABS(N(U718)),"0%")&amp;": revisar forecast con KAM.","")</f>
        <v/>
      </c>
    </row>
    <row r="719" customFormat="false" ht="15" hidden="false" customHeight="false" outlineLevel="0" collapsed="false">
      <c r="A719" s="18" t="n">
        <f aca="false">Stock_Seguridad!A719</f>
        <v>30001398</v>
      </c>
      <c r="B719" s="18" t="str">
        <f aca="false">Stock_Seguridad!B719</f>
        <v>MAIZ GRANO ALKOSTO EXPO 15X1KG</v>
      </c>
      <c r="C719" s="18" t="str">
        <f aca="false">Stock_Seguridad!C719</f>
        <v>FRUTAS Y HORTALIZAS CONGELADAS</v>
      </c>
      <c r="D719" s="18" t="str">
        <f aca="false">Stock_Seguridad!F719</f>
        <v>SIN HIST</v>
      </c>
      <c r="E719" s="19" t="str">
        <f aca="false">Stock_Seguridad!X719</f>
        <v>SIN FCST</v>
      </c>
      <c r="F719" s="20" t="str">
        <f aca="false">Stock_Seguridad!W719</f>
        <v/>
      </c>
      <c r="G719" s="21" t="n">
        <f aca="false">Stock_Seguridad!T719</f>
        <v>1410</v>
      </c>
      <c r="H719" s="21" t="n">
        <f aca="false">Stock_Seguridad!R719</f>
        <v>0</v>
      </c>
      <c r="I719" s="21" t="n">
        <f aca="false">Stock_Seguridad!S719</f>
        <v>0</v>
      </c>
      <c r="J719" s="21" t="n">
        <f aca="false">Stock_Seguridad!U719</f>
        <v>0</v>
      </c>
      <c r="K719" s="22"/>
      <c r="L719" s="23" t="n">
        <v>0</v>
      </c>
      <c r="M719" s="23" t="n">
        <v>0</v>
      </c>
      <c r="N719" s="23" t="n">
        <v>0</v>
      </c>
      <c r="O719" s="24" t="n">
        <v>0.650638297872341</v>
      </c>
      <c r="P719" s="24" t="str">
        <f aca="false">IF(ISNUMBER(Stock_Seguridad!N719),Stock_Seguridad!N719,"")</f>
        <v/>
      </c>
      <c r="Q719" s="24" t="str">
        <f aca="false">IF(AND(ISNUMBER(O719),ISNUMBER(P719)),P719-O719,"")</f>
        <v/>
      </c>
      <c r="R719" s="23" t="n">
        <f aca="false">MAX(0,G719-N(L719))</f>
        <v>1410</v>
      </c>
      <c r="S719" s="23" t="n">
        <f aca="false">SUMIFS(Cadenas_vs_FCST!$D$17:$D$2437,Cadenas_vs_FCST!$A$17:$A$2437,A719)</f>
        <v>0</v>
      </c>
      <c r="T719" s="23" t="n">
        <f aca="false">SUMIFS(Cadenas_vs_FCST!$E$17:$E$2437,Cadenas_vs_FCST!$A$17:$A$2437,A719)</f>
        <v>0</v>
      </c>
      <c r="U719" s="24" t="str">
        <f aca="false">IF(T719&gt;0,S719/T719-1,"")</f>
        <v/>
      </c>
      <c r="V719" s="3" t="str">
        <f aca="false">IF(OR(E719="BAJO SS",E719="BAJO SS (XLIB CUBRE)"),"SÍ","")</f>
        <v/>
      </c>
      <c r="W719" s="3" t="str">
        <f aca="false">IF(AND(V719="",N(L719)&gt;=Parametros!$B$17,G719&gt;=H719,R719&lt;H719),"SÍ","")</f>
        <v/>
      </c>
      <c r="X719" s="3" t="str">
        <f aca="false">IF(OR(E719="SOBRE MAX VENDIBLE",N(N719)&gt;=Parametros!$B$17,N(M719)&gt;=Parametros!$B$17),"SÍ","")</f>
        <v/>
      </c>
      <c r="Y719" s="3" t="str">
        <f aca="false">IF(AND(ISNUMBER(U719),MAX(S719,T719)&gt;=Parametros!$B$15,ABS(N(U719))&gt;Parametros!$B$14),"SÍ","")</f>
        <v/>
      </c>
      <c r="Z719" s="3" t="n">
        <f aca="false">COUNTIF(V719:Y719,"SÍ")</f>
        <v>0</v>
      </c>
      <c r="AA719" s="3" t="n">
        <f aca="false">(3*(V719="SÍ")+2*(W719="SÍ")+2*(X719="SÍ")+(Y719="SÍ"))*IF(LEFT(D719,1)="A",3,IF(OR(LEFT(D719,1)="B",D719="SIN HIST"),2,1))</f>
        <v>0</v>
      </c>
      <c r="AB719" s="3" t="str">
        <f aca="false">IF(AA719&gt;=9,"1-ALTA",IF(AA719&gt;=4,"2-MEDIA",IF(AA719&gt;0,"3-BAJA","")))</f>
        <v/>
      </c>
      <c r="AC719" s="3" t="str">
        <f aca="false">IF(E719="BAJO SS","Stock + XLIB bajo el SS: riesgo real de quiebre, adelantar producción. ","")&amp;IF(E719="BAJO SS (XLIB CUBRE)","Disponible bajo el SS; depende de liberar "&amp;TEXT(J719,"#,##0")&amp;" kg"&amp;IF(ISNUMBER(K719)," el "&amp;TEXT(K719,"dd-mm"),"")&amp;". ","")&amp;IF(W719="SÍ","Stock parece sano pero "&amp;TEXT(L719,"#,##0")&amp;" kg no pasan filtro "&amp;Stock_Seguridad!O719&amp;": sin ellos queda bajo el SS para esa cadena. ","")&amp;IF(E719="SOBRE MAX VENDIBLE","Sobrestock vs vida útil: frenar producción/activar venta. ","")&amp;IF(N(N719)&gt;=Parametros!$B$17,TEXT(N719,"#,##0")&amp;" kg ya no los acepta ninguna cadena: venta intermedia/liquidación. ","")&amp;IF(N(M719)&gt;=Parametros!$B$17,TEXT(M719,"#,##0")&amp;" kg a punto de salir del filtro: despachar primero (FEFO). ","")&amp;IF(Y719="SÍ","Pedidos "&amp;IF(N(U719)&gt;0,"sobre","bajo")&amp;" FCST "&amp;TEXT(ABS(N(U719)),"0%")&amp;": revisar forecast con KAM.","")</f>
        <v/>
      </c>
    </row>
    <row r="720" customFormat="false" ht="15" hidden="false" customHeight="false" outlineLevel="0" collapsed="false">
      <c r="A720" s="18" t="n">
        <f aca="false">Stock_Seguridad!A720</f>
        <v>30001388</v>
      </c>
      <c r="B720" s="18" t="str">
        <f aca="false">Stock_Seguridad!B720</f>
        <v>CHOCLO GRANO PF 1X16KG</v>
      </c>
      <c r="C720" s="18" t="str">
        <f aca="false">Stock_Seguridad!C720</f>
        <v>FRUTAS Y HORTALIZAS CONGELADAS</v>
      </c>
      <c r="D720" s="18" t="str">
        <f aca="false">Stock_Seguridad!F720</f>
        <v>SIN HIST</v>
      </c>
      <c r="E720" s="19" t="str">
        <f aca="false">Stock_Seguridad!X720</f>
        <v>SIN FCST</v>
      </c>
      <c r="F720" s="20" t="str">
        <f aca="false">Stock_Seguridad!W720</f>
        <v/>
      </c>
      <c r="G720" s="21" t="n">
        <f aca="false">Stock_Seguridad!T720</f>
        <v>2928</v>
      </c>
      <c r="H720" s="21" t="n">
        <f aca="false">Stock_Seguridad!R720</f>
        <v>0</v>
      </c>
      <c r="I720" s="21" t="n">
        <f aca="false">Stock_Seguridad!S720</f>
        <v>0</v>
      </c>
      <c r="J720" s="21" t="n">
        <f aca="false">Stock_Seguridad!U720</f>
        <v>0</v>
      </c>
      <c r="K720" s="22"/>
      <c r="L720" s="23" t="n">
        <v>0</v>
      </c>
      <c r="M720" s="23" t="n">
        <v>0</v>
      </c>
      <c r="N720" s="23" t="n">
        <v>0</v>
      </c>
      <c r="O720" s="24" t="n">
        <v>0.802677595628415</v>
      </c>
      <c r="P720" s="24" t="str">
        <f aca="false">IF(ISNUMBER(Stock_Seguridad!N720),Stock_Seguridad!N720,"")</f>
        <v/>
      </c>
      <c r="Q720" s="24" t="str">
        <f aca="false">IF(AND(ISNUMBER(O720),ISNUMBER(P720)),P720-O720,"")</f>
        <v/>
      </c>
      <c r="R720" s="23" t="n">
        <f aca="false">MAX(0,G720-N(L720))</f>
        <v>2928</v>
      </c>
      <c r="S720" s="23" t="n">
        <f aca="false">SUMIFS(Cadenas_vs_FCST!$D$17:$D$2437,Cadenas_vs_FCST!$A$17:$A$2437,A720)</f>
        <v>0</v>
      </c>
      <c r="T720" s="23" t="n">
        <f aca="false">SUMIFS(Cadenas_vs_FCST!$E$17:$E$2437,Cadenas_vs_FCST!$A$17:$A$2437,A720)</f>
        <v>0</v>
      </c>
      <c r="U720" s="24" t="str">
        <f aca="false">IF(T720&gt;0,S720/T720-1,"")</f>
        <v/>
      </c>
      <c r="V720" s="3" t="str">
        <f aca="false">IF(OR(E720="BAJO SS",E720="BAJO SS (XLIB CUBRE)"),"SÍ","")</f>
        <v/>
      </c>
      <c r="W720" s="3" t="str">
        <f aca="false">IF(AND(V720="",N(L720)&gt;=Parametros!$B$17,G720&gt;=H720,R720&lt;H720),"SÍ","")</f>
        <v/>
      </c>
      <c r="X720" s="3" t="str">
        <f aca="false">IF(OR(E720="SOBRE MAX VENDIBLE",N(N720)&gt;=Parametros!$B$17,N(M720)&gt;=Parametros!$B$17),"SÍ","")</f>
        <v/>
      </c>
      <c r="Y720" s="3" t="str">
        <f aca="false">IF(AND(ISNUMBER(U720),MAX(S720,T720)&gt;=Parametros!$B$15,ABS(N(U720))&gt;Parametros!$B$14),"SÍ","")</f>
        <v/>
      </c>
      <c r="Z720" s="3" t="n">
        <f aca="false">COUNTIF(V720:Y720,"SÍ")</f>
        <v>0</v>
      </c>
      <c r="AA720" s="3" t="n">
        <f aca="false">(3*(V720="SÍ")+2*(W720="SÍ")+2*(X720="SÍ")+(Y720="SÍ"))*IF(LEFT(D720,1)="A",3,IF(OR(LEFT(D720,1)="B",D720="SIN HIST"),2,1))</f>
        <v>0</v>
      </c>
      <c r="AB720" s="3" t="str">
        <f aca="false">IF(AA720&gt;=9,"1-ALTA",IF(AA720&gt;=4,"2-MEDIA",IF(AA720&gt;0,"3-BAJA","")))</f>
        <v/>
      </c>
      <c r="AC720" s="3" t="str">
        <f aca="false">IF(E720="BAJO SS","Stock + XLIB bajo el SS: riesgo real de quiebre, adelantar producción. ","")&amp;IF(E720="BAJO SS (XLIB CUBRE)","Disponible bajo el SS; depende de liberar "&amp;TEXT(J720,"#,##0")&amp;" kg"&amp;IF(ISNUMBER(K720)," el "&amp;TEXT(K720,"dd-mm"),"")&amp;". ","")&amp;IF(W720="SÍ","Stock parece sano pero "&amp;TEXT(L720,"#,##0")&amp;" kg no pasan filtro "&amp;Stock_Seguridad!O720&amp;": sin ellos queda bajo el SS para esa cadena. ","")&amp;IF(E720="SOBRE MAX VENDIBLE","Sobrestock vs vida útil: frenar producción/activar venta. ","")&amp;IF(N(N720)&gt;=Parametros!$B$17,TEXT(N720,"#,##0")&amp;" kg ya no los acepta ninguna cadena: venta intermedia/liquidación. ","")&amp;IF(N(M720)&gt;=Parametros!$B$17,TEXT(M720,"#,##0")&amp;" kg a punto de salir del filtro: despachar primero (FEFO). ","")&amp;IF(Y720="SÍ","Pedidos "&amp;IF(N(U720)&gt;0,"sobre","bajo")&amp;" FCST "&amp;TEXT(ABS(N(U720)),"0%")&amp;": revisar forecast con KAM.","")</f>
        <v/>
      </c>
    </row>
    <row r="721" customFormat="false" ht="15" hidden="false" customHeight="false" outlineLevel="0" collapsed="false">
      <c r="A721" s="18" t="n">
        <f aca="false">Stock_Seguridad!A721</f>
        <v>30001947</v>
      </c>
      <c r="B721" s="18" t="str">
        <f aca="false">Stock_Seguridad!B721</f>
        <v>ZAPALLO CUBO 4X2,5KG</v>
      </c>
      <c r="C721" s="18" t="str">
        <f aca="false">Stock_Seguridad!C721</f>
        <v>FRUTAS Y HORTALIZAS CONGELADAS</v>
      </c>
      <c r="D721" s="18" t="str">
        <f aca="false">Stock_Seguridad!F721</f>
        <v>SIN HIST</v>
      </c>
      <c r="E721" s="19" t="str">
        <f aca="false">Stock_Seguridad!X721</f>
        <v>SIN FCST</v>
      </c>
      <c r="F721" s="20" t="str">
        <f aca="false">Stock_Seguridad!W721</f>
        <v/>
      </c>
      <c r="G721" s="21" t="n">
        <f aca="false">Stock_Seguridad!T721</f>
        <v>590</v>
      </c>
      <c r="H721" s="21" t="n">
        <f aca="false">Stock_Seguridad!R721</f>
        <v>0</v>
      </c>
      <c r="I721" s="21" t="n">
        <f aca="false">Stock_Seguridad!S721</f>
        <v>0</v>
      </c>
      <c r="J721" s="21" t="n">
        <f aca="false">Stock_Seguridad!U721</f>
        <v>0</v>
      </c>
      <c r="K721" s="22"/>
      <c r="L721" s="23"/>
      <c r="M721" s="23"/>
      <c r="N721" s="23"/>
      <c r="O721" s="24"/>
      <c r="P721" s="24" t="str">
        <f aca="false">IF(ISNUMBER(Stock_Seguridad!N721),Stock_Seguridad!N721,"")</f>
        <v/>
      </c>
      <c r="Q721" s="24" t="str">
        <f aca="false">IF(AND(ISNUMBER(O721),ISNUMBER(P721)),P721-O721,"")</f>
        <v/>
      </c>
      <c r="R721" s="23" t="n">
        <f aca="false">MAX(0,G721-N(L721))</f>
        <v>590</v>
      </c>
      <c r="S721" s="23" t="n">
        <f aca="false">SUMIFS(Cadenas_vs_FCST!$D$17:$D$2437,Cadenas_vs_FCST!$A$17:$A$2437,A721)</f>
        <v>0</v>
      </c>
      <c r="T721" s="23" t="n">
        <f aca="false">SUMIFS(Cadenas_vs_FCST!$E$17:$E$2437,Cadenas_vs_FCST!$A$17:$A$2437,A721)</f>
        <v>0</v>
      </c>
      <c r="U721" s="24" t="str">
        <f aca="false">IF(T721&gt;0,S721/T721-1,"")</f>
        <v/>
      </c>
      <c r="V721" s="3" t="str">
        <f aca="false">IF(OR(E721="BAJO SS",E721="BAJO SS (XLIB CUBRE)"),"SÍ","")</f>
        <v/>
      </c>
      <c r="W721" s="3" t="str">
        <f aca="false">IF(AND(V721="",N(L721)&gt;=Parametros!$B$17,G721&gt;=H721,R721&lt;H721),"SÍ","")</f>
        <v/>
      </c>
      <c r="X721" s="3" t="str">
        <f aca="false">IF(OR(E721="SOBRE MAX VENDIBLE",N(N721)&gt;=Parametros!$B$17,N(M721)&gt;=Parametros!$B$17),"SÍ","")</f>
        <v/>
      </c>
      <c r="Y721" s="3" t="str">
        <f aca="false">IF(AND(ISNUMBER(U721),MAX(S721,T721)&gt;=Parametros!$B$15,ABS(N(U721))&gt;Parametros!$B$14),"SÍ","")</f>
        <v/>
      </c>
      <c r="Z721" s="3" t="n">
        <f aca="false">COUNTIF(V721:Y721,"SÍ")</f>
        <v>0</v>
      </c>
      <c r="AA721" s="3" t="n">
        <f aca="false">(3*(V721="SÍ")+2*(W721="SÍ")+2*(X721="SÍ")+(Y721="SÍ"))*IF(LEFT(D721,1)="A",3,IF(OR(LEFT(D721,1)="B",D721="SIN HIST"),2,1))</f>
        <v>0</v>
      </c>
      <c r="AB721" s="3" t="str">
        <f aca="false">IF(AA721&gt;=9,"1-ALTA",IF(AA721&gt;=4,"2-MEDIA",IF(AA721&gt;0,"3-BAJA","")))</f>
        <v/>
      </c>
      <c r="AC721" s="3" t="str">
        <f aca="false">IF(E721="BAJO SS","Stock + XLIB bajo el SS: riesgo real de quiebre, adelantar producción. ","")&amp;IF(E721="BAJO SS (XLIB CUBRE)","Disponible bajo el SS; depende de liberar "&amp;TEXT(J721,"#,##0")&amp;" kg"&amp;IF(ISNUMBER(K721)," el "&amp;TEXT(K721,"dd-mm"),"")&amp;". ","")&amp;IF(W721="SÍ","Stock parece sano pero "&amp;TEXT(L721,"#,##0")&amp;" kg no pasan filtro "&amp;Stock_Seguridad!O721&amp;": sin ellos queda bajo el SS para esa cadena. ","")&amp;IF(E721="SOBRE MAX VENDIBLE","Sobrestock vs vida útil: frenar producción/activar venta. ","")&amp;IF(N(N721)&gt;=Parametros!$B$17,TEXT(N721,"#,##0")&amp;" kg ya no los acepta ninguna cadena: venta intermedia/liquidación. ","")&amp;IF(N(M721)&gt;=Parametros!$B$17,TEXT(M721,"#,##0")&amp;" kg a punto de salir del filtro: despachar primero (FEFO). ","")&amp;IF(Y721="SÍ","Pedidos "&amp;IF(N(U721)&gt;0,"sobre","bajo")&amp;" FCST "&amp;TEXT(ABS(N(U721)),"0%")&amp;": revisar forecast con KAM.","")</f>
        <v/>
      </c>
    </row>
    <row r="722" customFormat="false" ht="15" hidden="false" customHeight="false" outlineLevel="0" collapsed="false">
      <c r="A722" s="18" t="n">
        <f aca="false">Stock_Seguridad!A722</f>
        <v>30002047</v>
      </c>
      <c r="B722" s="18" t="str">
        <f aca="false">Stock_Seguridad!B722</f>
        <v>ARANDANO DOBLE COBERTURA AVA 12X170GR</v>
      </c>
      <c r="C722" s="18" t="str">
        <f aca="false">Stock_Seguridad!C722</f>
        <v>FRUTAS Y HORTALIZAS CONGELADAS</v>
      </c>
      <c r="D722" s="18" t="str">
        <f aca="false">Stock_Seguridad!F722</f>
        <v>SIN HIST</v>
      </c>
      <c r="E722" s="19" t="str">
        <f aca="false">Stock_Seguridad!X722</f>
        <v>SIN FCST</v>
      </c>
      <c r="F722" s="20" t="str">
        <f aca="false">Stock_Seguridad!W722</f>
        <v/>
      </c>
      <c r="G722" s="21" t="n">
        <f aca="false">Stock_Seguridad!T722</f>
        <v>0</v>
      </c>
      <c r="H722" s="21" t="n">
        <f aca="false">Stock_Seguridad!R722</f>
        <v>0</v>
      </c>
      <c r="I722" s="21" t="n">
        <f aca="false">Stock_Seguridad!S722</f>
        <v>0</v>
      </c>
      <c r="J722" s="21" t="n">
        <f aca="false">Stock_Seguridad!U722</f>
        <v>0</v>
      </c>
      <c r="K722" s="22"/>
      <c r="L722" s="23"/>
      <c r="M722" s="23"/>
      <c r="N722" s="23"/>
      <c r="O722" s="24"/>
      <c r="P722" s="24" t="str">
        <f aca="false">IF(ISNUMBER(Stock_Seguridad!N722),Stock_Seguridad!N722,"")</f>
        <v/>
      </c>
      <c r="Q722" s="24" t="str">
        <f aca="false">IF(AND(ISNUMBER(O722),ISNUMBER(P722)),P722-O722,"")</f>
        <v/>
      </c>
      <c r="R722" s="23" t="n">
        <f aca="false">MAX(0,G722-N(L722))</f>
        <v>0</v>
      </c>
      <c r="S722" s="23" t="n">
        <f aca="false">SUMIFS(Cadenas_vs_FCST!$D$17:$D$2437,Cadenas_vs_FCST!$A$17:$A$2437,A722)</f>
        <v>0</v>
      </c>
      <c r="T722" s="23" t="n">
        <f aca="false">SUMIFS(Cadenas_vs_FCST!$E$17:$E$2437,Cadenas_vs_FCST!$A$17:$A$2437,A722)</f>
        <v>0</v>
      </c>
      <c r="U722" s="24" t="str">
        <f aca="false">IF(T722&gt;0,S722/T722-1,"")</f>
        <v/>
      </c>
      <c r="V722" s="3" t="str">
        <f aca="false">IF(OR(E722="BAJO SS",E722="BAJO SS (XLIB CUBRE)"),"SÍ","")</f>
        <v/>
      </c>
      <c r="W722" s="3" t="str">
        <f aca="false">IF(AND(V722="",N(L722)&gt;=Parametros!$B$17,G722&gt;=H722,R722&lt;H722),"SÍ","")</f>
        <v/>
      </c>
      <c r="X722" s="3" t="str">
        <f aca="false">IF(OR(E722="SOBRE MAX VENDIBLE",N(N722)&gt;=Parametros!$B$17,N(M722)&gt;=Parametros!$B$17),"SÍ","")</f>
        <v/>
      </c>
      <c r="Y722" s="3" t="str">
        <f aca="false">IF(AND(ISNUMBER(U722),MAX(S722,T722)&gt;=Parametros!$B$15,ABS(N(U722))&gt;Parametros!$B$14),"SÍ","")</f>
        <v/>
      </c>
      <c r="Z722" s="3" t="n">
        <f aca="false">COUNTIF(V722:Y722,"SÍ")</f>
        <v>0</v>
      </c>
      <c r="AA722" s="3" t="n">
        <f aca="false">(3*(V722="SÍ")+2*(W722="SÍ")+2*(X722="SÍ")+(Y722="SÍ"))*IF(LEFT(D722,1)="A",3,IF(OR(LEFT(D722,1)="B",D722="SIN HIST"),2,1))</f>
        <v>0</v>
      </c>
      <c r="AB722" s="3" t="str">
        <f aca="false">IF(AA722&gt;=9,"1-ALTA",IF(AA722&gt;=4,"2-MEDIA",IF(AA722&gt;0,"3-BAJA","")))</f>
        <v/>
      </c>
      <c r="AC722" s="3" t="str">
        <f aca="false">IF(E722="BAJO SS","Stock + XLIB bajo el SS: riesgo real de quiebre, adelantar producción. ","")&amp;IF(E722="BAJO SS (XLIB CUBRE)","Disponible bajo el SS; depende de liberar "&amp;TEXT(J722,"#,##0")&amp;" kg"&amp;IF(ISNUMBER(K722)," el "&amp;TEXT(K722,"dd-mm"),"")&amp;". ","")&amp;IF(W722="SÍ","Stock parece sano pero "&amp;TEXT(L722,"#,##0")&amp;" kg no pasan filtro "&amp;Stock_Seguridad!O722&amp;": sin ellos queda bajo el SS para esa cadena. ","")&amp;IF(E722="SOBRE MAX VENDIBLE","Sobrestock vs vida útil: frenar producción/activar venta. ","")&amp;IF(N(N722)&gt;=Parametros!$B$17,TEXT(N722,"#,##0")&amp;" kg ya no los acepta ninguna cadena: venta intermedia/liquidación. ","")&amp;IF(N(M722)&gt;=Parametros!$B$17,TEXT(M722,"#,##0")&amp;" kg a punto de salir del filtro: despachar primero (FEFO). ","")&amp;IF(Y722="SÍ","Pedidos "&amp;IF(N(U722)&gt;0,"sobre","bajo")&amp;" FCST "&amp;TEXT(ABS(N(U722)),"0%")&amp;": revisar forecast con KAM.","")</f>
        <v/>
      </c>
    </row>
    <row r="723" customFormat="false" ht="15" hidden="false" customHeight="false" outlineLevel="0" collapsed="false">
      <c r="A723" s="18" t="n">
        <f aca="false">Stock_Seguridad!A723</f>
        <v>30002058</v>
      </c>
      <c r="B723" s="18" t="str">
        <f aca="false">Stock_Seguridad!B723</f>
        <v>ARANDANO DOBLE COBERTURA DELI 24X170G</v>
      </c>
      <c r="C723" s="18" t="str">
        <f aca="false">Stock_Seguridad!C723</f>
        <v>FRUTAS Y HORTALIZAS CONGELADAS</v>
      </c>
      <c r="D723" s="18" t="str">
        <f aca="false">Stock_Seguridad!F723</f>
        <v>SIN HIST</v>
      </c>
      <c r="E723" s="19" t="str">
        <f aca="false">Stock_Seguridad!X723</f>
        <v>SIN FCST</v>
      </c>
      <c r="F723" s="20" t="str">
        <f aca="false">Stock_Seguridad!W723</f>
        <v/>
      </c>
      <c r="G723" s="21" t="n">
        <f aca="false">Stock_Seguridad!T723</f>
        <v>510</v>
      </c>
      <c r="H723" s="21" t="n">
        <f aca="false">Stock_Seguridad!R723</f>
        <v>0</v>
      </c>
      <c r="I723" s="21" t="n">
        <f aca="false">Stock_Seguridad!S723</f>
        <v>0</v>
      </c>
      <c r="J723" s="21" t="n">
        <f aca="false">Stock_Seguridad!U723</f>
        <v>0</v>
      </c>
      <c r="K723" s="22"/>
      <c r="L723" s="23" t="n">
        <v>0</v>
      </c>
      <c r="M723" s="23" t="n">
        <v>0</v>
      </c>
      <c r="N723" s="23" t="n">
        <v>0</v>
      </c>
      <c r="O723" s="24" t="n">
        <v>0.11688</v>
      </c>
      <c r="P723" s="24" t="str">
        <f aca="false">IF(ISNUMBER(Stock_Seguridad!N723),Stock_Seguridad!N723,"")</f>
        <v/>
      </c>
      <c r="Q723" s="24" t="str">
        <f aca="false">IF(AND(ISNUMBER(O723),ISNUMBER(P723)),P723-O723,"")</f>
        <v/>
      </c>
      <c r="R723" s="23" t="n">
        <f aca="false">MAX(0,G723-N(L723))</f>
        <v>510</v>
      </c>
      <c r="S723" s="23" t="n">
        <f aca="false">SUMIFS(Cadenas_vs_FCST!$D$17:$D$2437,Cadenas_vs_FCST!$A$17:$A$2437,A723)</f>
        <v>0</v>
      </c>
      <c r="T723" s="23" t="n">
        <f aca="false">SUMIFS(Cadenas_vs_FCST!$E$17:$E$2437,Cadenas_vs_FCST!$A$17:$A$2437,A723)</f>
        <v>0</v>
      </c>
      <c r="U723" s="24" t="str">
        <f aca="false">IF(T723&gt;0,S723/T723-1,"")</f>
        <v/>
      </c>
      <c r="V723" s="3" t="str">
        <f aca="false">IF(OR(E723="BAJO SS",E723="BAJO SS (XLIB CUBRE)"),"SÍ","")</f>
        <v/>
      </c>
      <c r="W723" s="3" t="str">
        <f aca="false">IF(AND(V723="",N(L723)&gt;=Parametros!$B$17,G723&gt;=H723,R723&lt;H723),"SÍ","")</f>
        <v/>
      </c>
      <c r="X723" s="3" t="str">
        <f aca="false">IF(OR(E723="SOBRE MAX VENDIBLE",N(N723)&gt;=Parametros!$B$17,N(M723)&gt;=Parametros!$B$17),"SÍ","")</f>
        <v/>
      </c>
      <c r="Y723" s="3" t="str">
        <f aca="false">IF(AND(ISNUMBER(U723),MAX(S723,T723)&gt;=Parametros!$B$15,ABS(N(U723))&gt;Parametros!$B$14),"SÍ","")</f>
        <v/>
      </c>
      <c r="Z723" s="3" t="n">
        <f aca="false">COUNTIF(V723:Y723,"SÍ")</f>
        <v>0</v>
      </c>
      <c r="AA723" s="3" t="n">
        <f aca="false">(3*(V723="SÍ")+2*(W723="SÍ")+2*(X723="SÍ")+(Y723="SÍ"))*IF(LEFT(D723,1)="A",3,IF(OR(LEFT(D723,1)="B",D723="SIN HIST"),2,1))</f>
        <v>0</v>
      </c>
      <c r="AB723" s="3" t="str">
        <f aca="false">IF(AA723&gt;=9,"1-ALTA",IF(AA723&gt;=4,"2-MEDIA",IF(AA723&gt;0,"3-BAJA","")))</f>
        <v/>
      </c>
      <c r="AC723" s="3" t="str">
        <f aca="false">IF(E723="BAJO SS","Stock + XLIB bajo el SS: riesgo real de quiebre, adelantar producción. ","")&amp;IF(E723="BAJO SS (XLIB CUBRE)","Disponible bajo el SS; depende de liberar "&amp;TEXT(J723,"#,##0")&amp;" kg"&amp;IF(ISNUMBER(K723)," el "&amp;TEXT(K723,"dd-mm"),"")&amp;". ","")&amp;IF(W723="SÍ","Stock parece sano pero "&amp;TEXT(L723,"#,##0")&amp;" kg no pasan filtro "&amp;Stock_Seguridad!O723&amp;": sin ellos queda bajo el SS para esa cadena. ","")&amp;IF(E723="SOBRE MAX VENDIBLE","Sobrestock vs vida útil: frenar producción/activar venta. ","")&amp;IF(N(N723)&gt;=Parametros!$B$17,TEXT(N723,"#,##0")&amp;" kg ya no los acepta ninguna cadena: venta intermedia/liquidación. ","")&amp;IF(N(M723)&gt;=Parametros!$B$17,TEXT(M723,"#,##0")&amp;" kg a punto de salir del filtro: despachar primero (FEFO). ","")&amp;IF(Y723="SÍ","Pedidos "&amp;IF(N(U723)&gt;0,"sobre","bajo")&amp;" FCST "&amp;TEXT(ABS(N(U723)),"0%")&amp;": revisar forecast con KAM.","")</f>
        <v/>
      </c>
    </row>
    <row r="724" customFormat="false" ht="15" hidden="false" customHeight="false" outlineLevel="0" collapsed="false">
      <c r="A724" s="18" t="n">
        <f aca="false">Stock_Seguridad!A724</f>
        <v>30002056</v>
      </c>
      <c r="B724" s="18" t="str">
        <f aca="false">Stock_Seguridad!B724</f>
        <v>FRAMBUESA DOBLE COBERTU DARK AVA 12X142G</v>
      </c>
      <c r="C724" s="18" t="str">
        <f aca="false">Stock_Seguridad!C724</f>
        <v>FRUTAS Y HORTALIZAS CONGELADAS</v>
      </c>
      <c r="D724" s="18" t="str">
        <f aca="false">Stock_Seguridad!F724</f>
        <v>SIN HIST</v>
      </c>
      <c r="E724" s="19" t="str">
        <f aca="false">Stock_Seguridad!X724</f>
        <v>SIN FCST</v>
      </c>
      <c r="F724" s="20" t="str">
        <f aca="false">Stock_Seguridad!W724</f>
        <v/>
      </c>
      <c r="G724" s="21" t="n">
        <f aca="false">Stock_Seguridad!T724</f>
        <v>686.7</v>
      </c>
      <c r="H724" s="21" t="n">
        <f aca="false">Stock_Seguridad!R724</f>
        <v>0</v>
      </c>
      <c r="I724" s="21" t="n">
        <f aca="false">Stock_Seguridad!S724</f>
        <v>0</v>
      </c>
      <c r="J724" s="21" t="n">
        <f aca="false">Stock_Seguridad!U724</f>
        <v>0</v>
      </c>
      <c r="K724" s="22"/>
      <c r="L724" s="23" t="n">
        <v>0</v>
      </c>
      <c r="M724" s="23" t="n">
        <v>0</v>
      </c>
      <c r="N724" s="23" t="n">
        <v>0</v>
      </c>
      <c r="O724" s="24" t="n">
        <v>0.253672456575682</v>
      </c>
      <c r="P724" s="24" t="str">
        <f aca="false">IF(ISNUMBER(Stock_Seguridad!N724),Stock_Seguridad!N724,"")</f>
        <v/>
      </c>
      <c r="Q724" s="24" t="str">
        <f aca="false">IF(AND(ISNUMBER(O724),ISNUMBER(P724)),P724-O724,"")</f>
        <v/>
      </c>
      <c r="R724" s="23" t="n">
        <f aca="false">MAX(0,G724-N(L724))</f>
        <v>686.7</v>
      </c>
      <c r="S724" s="23" t="n">
        <f aca="false">SUMIFS(Cadenas_vs_FCST!$D$17:$D$2437,Cadenas_vs_FCST!$A$17:$A$2437,A724)</f>
        <v>0</v>
      </c>
      <c r="T724" s="23" t="n">
        <f aca="false">SUMIFS(Cadenas_vs_FCST!$E$17:$E$2437,Cadenas_vs_FCST!$A$17:$A$2437,A724)</f>
        <v>0</v>
      </c>
      <c r="U724" s="24" t="str">
        <f aca="false">IF(T724&gt;0,S724/T724-1,"")</f>
        <v/>
      </c>
      <c r="V724" s="3" t="str">
        <f aca="false">IF(OR(E724="BAJO SS",E724="BAJO SS (XLIB CUBRE)"),"SÍ","")</f>
        <v/>
      </c>
      <c r="W724" s="3" t="str">
        <f aca="false">IF(AND(V724="",N(L724)&gt;=Parametros!$B$17,G724&gt;=H724,R724&lt;H724),"SÍ","")</f>
        <v/>
      </c>
      <c r="X724" s="3" t="str">
        <f aca="false">IF(OR(E724="SOBRE MAX VENDIBLE",N(N724)&gt;=Parametros!$B$17,N(M724)&gt;=Parametros!$B$17),"SÍ","")</f>
        <v/>
      </c>
      <c r="Y724" s="3" t="str">
        <f aca="false">IF(AND(ISNUMBER(U724),MAX(S724,T724)&gt;=Parametros!$B$15,ABS(N(U724))&gt;Parametros!$B$14),"SÍ","")</f>
        <v/>
      </c>
      <c r="Z724" s="3" t="n">
        <f aca="false">COUNTIF(V724:Y724,"SÍ")</f>
        <v>0</v>
      </c>
      <c r="AA724" s="3" t="n">
        <f aca="false">(3*(V724="SÍ")+2*(W724="SÍ")+2*(X724="SÍ")+(Y724="SÍ"))*IF(LEFT(D724,1)="A",3,IF(OR(LEFT(D724,1)="B",D724="SIN HIST"),2,1))</f>
        <v>0</v>
      </c>
      <c r="AB724" s="3" t="str">
        <f aca="false">IF(AA724&gt;=9,"1-ALTA",IF(AA724&gt;=4,"2-MEDIA",IF(AA724&gt;0,"3-BAJA","")))</f>
        <v/>
      </c>
      <c r="AC724" s="3" t="str">
        <f aca="false">IF(E724="BAJO SS","Stock + XLIB bajo el SS: riesgo real de quiebre, adelantar producción. ","")&amp;IF(E724="BAJO SS (XLIB CUBRE)","Disponible bajo el SS; depende de liberar "&amp;TEXT(J724,"#,##0")&amp;" kg"&amp;IF(ISNUMBER(K724)," el "&amp;TEXT(K724,"dd-mm"),"")&amp;". ","")&amp;IF(W724="SÍ","Stock parece sano pero "&amp;TEXT(L724,"#,##0")&amp;" kg no pasan filtro "&amp;Stock_Seguridad!O724&amp;": sin ellos queda bajo el SS para esa cadena. ","")&amp;IF(E724="SOBRE MAX VENDIBLE","Sobrestock vs vida útil: frenar producción/activar venta. ","")&amp;IF(N(N724)&gt;=Parametros!$B$17,TEXT(N724,"#,##0")&amp;" kg ya no los acepta ninguna cadena: venta intermedia/liquidación. ","")&amp;IF(N(M724)&gt;=Parametros!$B$17,TEXT(M724,"#,##0")&amp;" kg a punto de salir del filtro: despachar primero (FEFO). ","")&amp;IF(Y724="SÍ","Pedidos "&amp;IF(N(U724)&gt;0,"sobre","bajo")&amp;" FCST "&amp;TEXT(ABS(N(U724)),"0%")&amp;": revisar forecast con KAM.","")</f>
        <v/>
      </c>
    </row>
    <row r="725" customFormat="false" ht="15" hidden="false" customHeight="false" outlineLevel="0" collapsed="false">
      <c r="A725" s="18" t="n">
        <f aca="false">Stock_Seguridad!A725</f>
        <v>30002055</v>
      </c>
      <c r="B725" s="18" t="str">
        <f aca="false">Stock_Seguridad!B725</f>
        <v>FRAMBUESA COBERTURA DARK DELI 24X142G</v>
      </c>
      <c r="C725" s="18" t="str">
        <f aca="false">Stock_Seguridad!C725</f>
        <v>FRUTAS Y HORTALIZAS CONGELADAS</v>
      </c>
      <c r="D725" s="18" t="str">
        <f aca="false">Stock_Seguridad!F725</f>
        <v>SIN HIST</v>
      </c>
      <c r="E725" s="19" t="str">
        <f aca="false">Stock_Seguridad!X725</f>
        <v>SIN FCST</v>
      </c>
      <c r="F725" s="20" t="str">
        <f aca="false">Stock_Seguridad!W725</f>
        <v/>
      </c>
      <c r="G725" s="21" t="n">
        <f aca="false">Stock_Seguridad!T725</f>
        <v>876.4</v>
      </c>
      <c r="H725" s="21" t="n">
        <f aca="false">Stock_Seguridad!R725</f>
        <v>0</v>
      </c>
      <c r="I725" s="21" t="n">
        <f aca="false">Stock_Seguridad!S725</f>
        <v>0</v>
      </c>
      <c r="J725" s="21" t="n">
        <f aca="false">Stock_Seguridad!U725</f>
        <v>0</v>
      </c>
      <c r="K725" s="22"/>
      <c r="L725" s="23" t="n">
        <v>0</v>
      </c>
      <c r="M725" s="23" t="n">
        <v>0</v>
      </c>
      <c r="N725" s="23" t="n">
        <v>0</v>
      </c>
      <c r="O725" s="24" t="n">
        <v>0.19420233463035</v>
      </c>
      <c r="P725" s="24" t="str">
        <f aca="false">IF(ISNUMBER(Stock_Seguridad!N725),Stock_Seguridad!N725,"")</f>
        <v/>
      </c>
      <c r="Q725" s="24" t="str">
        <f aca="false">IF(AND(ISNUMBER(O725),ISNUMBER(P725)),P725-O725,"")</f>
        <v/>
      </c>
      <c r="R725" s="23" t="n">
        <f aca="false">MAX(0,G725-N(L725))</f>
        <v>876.4</v>
      </c>
      <c r="S725" s="23" t="n">
        <f aca="false">SUMIFS(Cadenas_vs_FCST!$D$17:$D$2437,Cadenas_vs_FCST!$A$17:$A$2437,A725)</f>
        <v>0</v>
      </c>
      <c r="T725" s="23" t="n">
        <f aca="false">SUMIFS(Cadenas_vs_FCST!$E$17:$E$2437,Cadenas_vs_FCST!$A$17:$A$2437,A725)</f>
        <v>0</v>
      </c>
      <c r="U725" s="24" t="str">
        <f aca="false">IF(T725&gt;0,S725/T725-1,"")</f>
        <v/>
      </c>
      <c r="V725" s="3" t="str">
        <f aca="false">IF(OR(E725="BAJO SS",E725="BAJO SS (XLIB CUBRE)"),"SÍ","")</f>
        <v/>
      </c>
      <c r="W725" s="3" t="str">
        <f aca="false">IF(AND(V725="",N(L725)&gt;=Parametros!$B$17,G725&gt;=H725,R725&lt;H725),"SÍ","")</f>
        <v/>
      </c>
      <c r="X725" s="3" t="str">
        <f aca="false">IF(OR(E725="SOBRE MAX VENDIBLE",N(N725)&gt;=Parametros!$B$17,N(M725)&gt;=Parametros!$B$17),"SÍ","")</f>
        <v/>
      </c>
      <c r="Y725" s="3" t="str">
        <f aca="false">IF(AND(ISNUMBER(U725),MAX(S725,T725)&gt;=Parametros!$B$15,ABS(N(U725))&gt;Parametros!$B$14),"SÍ","")</f>
        <v/>
      </c>
      <c r="Z725" s="3" t="n">
        <f aca="false">COUNTIF(V725:Y725,"SÍ")</f>
        <v>0</v>
      </c>
      <c r="AA725" s="3" t="n">
        <f aca="false">(3*(V725="SÍ")+2*(W725="SÍ")+2*(X725="SÍ")+(Y725="SÍ"))*IF(LEFT(D725,1)="A",3,IF(OR(LEFT(D725,1)="B",D725="SIN HIST"),2,1))</f>
        <v>0</v>
      </c>
      <c r="AB725" s="3" t="str">
        <f aca="false">IF(AA725&gt;=9,"1-ALTA",IF(AA725&gt;=4,"2-MEDIA",IF(AA725&gt;0,"3-BAJA","")))</f>
        <v/>
      </c>
      <c r="AC725" s="3" t="str">
        <f aca="false">IF(E725="BAJO SS","Stock + XLIB bajo el SS: riesgo real de quiebre, adelantar producción. ","")&amp;IF(E725="BAJO SS (XLIB CUBRE)","Disponible bajo el SS; depende de liberar "&amp;TEXT(J725,"#,##0")&amp;" kg"&amp;IF(ISNUMBER(K725)," el "&amp;TEXT(K725,"dd-mm"),"")&amp;". ","")&amp;IF(W725="SÍ","Stock parece sano pero "&amp;TEXT(L725,"#,##0")&amp;" kg no pasan filtro "&amp;Stock_Seguridad!O725&amp;": sin ellos queda bajo el SS para esa cadena. ","")&amp;IF(E725="SOBRE MAX VENDIBLE","Sobrestock vs vida útil: frenar producción/activar venta. ","")&amp;IF(N(N725)&gt;=Parametros!$B$17,TEXT(N725,"#,##0")&amp;" kg ya no los acepta ninguna cadena: venta intermedia/liquidación. ","")&amp;IF(N(M725)&gt;=Parametros!$B$17,TEXT(M725,"#,##0")&amp;" kg a punto de salir del filtro: despachar primero (FEFO). ","")&amp;IF(Y725="SÍ","Pedidos "&amp;IF(N(U725)&gt;0,"sobre","bajo")&amp;" FCST "&amp;TEXT(ABS(N(U725)),"0%")&amp;": revisar forecast con KAM.","")</f>
        <v/>
      </c>
    </row>
    <row r="726" customFormat="false" ht="15" hidden="false" customHeight="false" outlineLevel="0" collapsed="false">
      <c r="A726" s="18" t="n">
        <f aca="false">Stock_Seguridad!A726</f>
        <v>30002054</v>
      </c>
      <c r="B726" s="18" t="str">
        <f aca="false">Stock_Seguridad!B726</f>
        <v>FRAMBUESA DOBLE COBERTURA DELI 24X142G</v>
      </c>
      <c r="C726" s="18" t="str">
        <f aca="false">Stock_Seguridad!C726</f>
        <v>FRUTAS Y HORTALIZAS CONGELADAS</v>
      </c>
      <c r="D726" s="18" t="str">
        <f aca="false">Stock_Seguridad!F726</f>
        <v>SIN HIST</v>
      </c>
      <c r="E726" s="19" t="str">
        <f aca="false">Stock_Seguridad!X726</f>
        <v>SIN FCST</v>
      </c>
      <c r="F726" s="20" t="str">
        <f aca="false">Stock_Seguridad!W726</f>
        <v/>
      </c>
      <c r="G726" s="21" t="n">
        <f aca="false">Stock_Seguridad!T726</f>
        <v>44.3</v>
      </c>
      <c r="H726" s="21" t="n">
        <f aca="false">Stock_Seguridad!R726</f>
        <v>0</v>
      </c>
      <c r="I726" s="21" t="n">
        <f aca="false">Stock_Seguridad!S726</f>
        <v>0</v>
      </c>
      <c r="J726" s="21" t="n">
        <f aca="false">Stock_Seguridad!U726</f>
        <v>0</v>
      </c>
      <c r="K726" s="22"/>
      <c r="L726" s="23" t="n">
        <v>0</v>
      </c>
      <c r="M726" s="23" t="n">
        <v>0</v>
      </c>
      <c r="N726" s="23" t="n">
        <v>0</v>
      </c>
      <c r="O726" s="24" t="n">
        <v>0.371538461538462</v>
      </c>
      <c r="P726" s="24" t="str">
        <f aca="false">IF(ISNUMBER(Stock_Seguridad!N726),Stock_Seguridad!N726,"")</f>
        <v/>
      </c>
      <c r="Q726" s="24" t="str">
        <f aca="false">IF(AND(ISNUMBER(O726),ISNUMBER(P726)),P726-O726,"")</f>
        <v/>
      </c>
      <c r="R726" s="23" t="n">
        <f aca="false">MAX(0,G726-N(L726))</f>
        <v>44.3</v>
      </c>
      <c r="S726" s="23" t="n">
        <f aca="false">SUMIFS(Cadenas_vs_FCST!$D$17:$D$2437,Cadenas_vs_FCST!$A$17:$A$2437,A726)</f>
        <v>0</v>
      </c>
      <c r="T726" s="23" t="n">
        <f aca="false">SUMIFS(Cadenas_vs_FCST!$E$17:$E$2437,Cadenas_vs_FCST!$A$17:$A$2437,A726)</f>
        <v>0</v>
      </c>
      <c r="U726" s="24" t="str">
        <f aca="false">IF(T726&gt;0,S726/T726-1,"")</f>
        <v/>
      </c>
      <c r="V726" s="3" t="str">
        <f aca="false">IF(OR(E726="BAJO SS",E726="BAJO SS (XLIB CUBRE)"),"SÍ","")</f>
        <v/>
      </c>
      <c r="W726" s="3" t="str">
        <f aca="false">IF(AND(V726="",N(L726)&gt;=Parametros!$B$17,G726&gt;=H726,R726&lt;H726),"SÍ","")</f>
        <v/>
      </c>
      <c r="X726" s="3" t="str">
        <f aca="false">IF(OR(E726="SOBRE MAX VENDIBLE",N(N726)&gt;=Parametros!$B$17,N(M726)&gt;=Parametros!$B$17),"SÍ","")</f>
        <v/>
      </c>
      <c r="Y726" s="3" t="str">
        <f aca="false">IF(AND(ISNUMBER(U726),MAX(S726,T726)&gt;=Parametros!$B$15,ABS(N(U726))&gt;Parametros!$B$14),"SÍ","")</f>
        <v/>
      </c>
      <c r="Z726" s="3" t="n">
        <f aca="false">COUNTIF(V726:Y726,"SÍ")</f>
        <v>0</v>
      </c>
      <c r="AA726" s="3" t="n">
        <f aca="false">(3*(V726="SÍ")+2*(W726="SÍ")+2*(X726="SÍ")+(Y726="SÍ"))*IF(LEFT(D726,1)="A",3,IF(OR(LEFT(D726,1)="B",D726="SIN HIST"),2,1))</f>
        <v>0</v>
      </c>
      <c r="AB726" s="3" t="str">
        <f aca="false">IF(AA726&gt;=9,"1-ALTA",IF(AA726&gt;=4,"2-MEDIA",IF(AA726&gt;0,"3-BAJA","")))</f>
        <v/>
      </c>
      <c r="AC726" s="3" t="str">
        <f aca="false">IF(E726="BAJO SS","Stock + XLIB bajo el SS: riesgo real de quiebre, adelantar producción. ","")&amp;IF(E726="BAJO SS (XLIB CUBRE)","Disponible bajo el SS; depende de liberar "&amp;TEXT(J726,"#,##0")&amp;" kg"&amp;IF(ISNUMBER(K726)," el "&amp;TEXT(K726,"dd-mm"),"")&amp;". ","")&amp;IF(W726="SÍ","Stock parece sano pero "&amp;TEXT(L726,"#,##0")&amp;" kg no pasan filtro "&amp;Stock_Seguridad!O726&amp;": sin ellos queda bajo el SS para esa cadena. ","")&amp;IF(E726="SOBRE MAX VENDIBLE","Sobrestock vs vida útil: frenar producción/activar venta. ","")&amp;IF(N(N726)&gt;=Parametros!$B$17,TEXT(N726,"#,##0")&amp;" kg ya no los acepta ninguna cadena: venta intermedia/liquidación. ","")&amp;IF(N(M726)&gt;=Parametros!$B$17,TEXT(M726,"#,##0")&amp;" kg a punto de salir del filtro: despachar primero (FEFO). ","")&amp;IF(Y726="SÍ","Pedidos "&amp;IF(N(U726)&gt;0,"sobre","bajo")&amp;" FCST "&amp;TEXT(ABS(N(U726)),"0%")&amp;": revisar forecast con KAM.","")</f>
        <v/>
      </c>
    </row>
    <row r="727" customFormat="false" ht="15" hidden="false" customHeight="false" outlineLevel="0" collapsed="false">
      <c r="A727" s="18" t="n">
        <f aca="false">Stock_Seguridad!A727</f>
        <v>30002053</v>
      </c>
      <c r="B727" s="18" t="str">
        <f aca="false">Stock_Seguridad!B727</f>
        <v>FRAMBUESA DOBLE COBERTURA AVA 12X142G</v>
      </c>
      <c r="C727" s="18" t="str">
        <f aca="false">Stock_Seguridad!C727</f>
        <v>FRUTAS Y HORTALIZAS CONGELADAS</v>
      </c>
      <c r="D727" s="18" t="str">
        <f aca="false">Stock_Seguridad!F727</f>
        <v>SIN HIST</v>
      </c>
      <c r="E727" s="19" t="str">
        <f aca="false">Stock_Seguridad!X727</f>
        <v>SIN FCST</v>
      </c>
      <c r="F727" s="20" t="str">
        <f aca="false">Stock_Seguridad!W727</f>
        <v/>
      </c>
      <c r="G727" s="21" t="n">
        <f aca="false">Stock_Seguridad!T727</f>
        <v>1005.4</v>
      </c>
      <c r="H727" s="21" t="n">
        <f aca="false">Stock_Seguridad!R727</f>
        <v>0</v>
      </c>
      <c r="I727" s="21" t="n">
        <f aca="false">Stock_Seguridad!S727</f>
        <v>0</v>
      </c>
      <c r="J727" s="21" t="n">
        <f aca="false">Stock_Seguridad!U727</f>
        <v>0</v>
      </c>
      <c r="K727" s="22"/>
      <c r="L727" s="23" t="n">
        <v>0</v>
      </c>
      <c r="M727" s="23" t="n">
        <v>0</v>
      </c>
      <c r="N727" s="23" t="n">
        <v>0</v>
      </c>
      <c r="O727" s="24" t="n">
        <v>0.38071186440678</v>
      </c>
      <c r="P727" s="24" t="str">
        <f aca="false">IF(ISNUMBER(Stock_Seguridad!N727),Stock_Seguridad!N727,"")</f>
        <v/>
      </c>
      <c r="Q727" s="24" t="str">
        <f aca="false">IF(AND(ISNUMBER(O727),ISNUMBER(P727)),P727-O727,"")</f>
        <v/>
      </c>
      <c r="R727" s="23" t="n">
        <f aca="false">MAX(0,G727-N(L727))</f>
        <v>1005.4</v>
      </c>
      <c r="S727" s="23" t="n">
        <f aca="false">SUMIFS(Cadenas_vs_FCST!$D$17:$D$2437,Cadenas_vs_FCST!$A$17:$A$2437,A727)</f>
        <v>0</v>
      </c>
      <c r="T727" s="23" t="n">
        <f aca="false">SUMIFS(Cadenas_vs_FCST!$E$17:$E$2437,Cadenas_vs_FCST!$A$17:$A$2437,A727)</f>
        <v>0</v>
      </c>
      <c r="U727" s="24" t="str">
        <f aca="false">IF(T727&gt;0,S727/T727-1,"")</f>
        <v/>
      </c>
      <c r="V727" s="3" t="str">
        <f aca="false">IF(OR(E727="BAJO SS",E727="BAJO SS (XLIB CUBRE)"),"SÍ","")</f>
        <v/>
      </c>
      <c r="W727" s="3" t="str">
        <f aca="false">IF(AND(V727="",N(L727)&gt;=Parametros!$B$17,G727&gt;=H727,R727&lt;H727),"SÍ","")</f>
        <v/>
      </c>
      <c r="X727" s="3" t="str">
        <f aca="false">IF(OR(E727="SOBRE MAX VENDIBLE",N(N727)&gt;=Parametros!$B$17,N(M727)&gt;=Parametros!$B$17),"SÍ","")</f>
        <v/>
      </c>
      <c r="Y727" s="3" t="str">
        <f aca="false">IF(AND(ISNUMBER(U727),MAX(S727,T727)&gt;=Parametros!$B$15,ABS(N(U727))&gt;Parametros!$B$14),"SÍ","")</f>
        <v/>
      </c>
      <c r="Z727" s="3" t="n">
        <f aca="false">COUNTIF(V727:Y727,"SÍ")</f>
        <v>0</v>
      </c>
      <c r="AA727" s="3" t="n">
        <f aca="false">(3*(V727="SÍ")+2*(W727="SÍ")+2*(X727="SÍ")+(Y727="SÍ"))*IF(LEFT(D727,1)="A",3,IF(OR(LEFT(D727,1)="B",D727="SIN HIST"),2,1))</f>
        <v>0</v>
      </c>
      <c r="AB727" s="3" t="str">
        <f aca="false">IF(AA727&gt;=9,"1-ALTA",IF(AA727&gt;=4,"2-MEDIA",IF(AA727&gt;0,"3-BAJA","")))</f>
        <v/>
      </c>
      <c r="AC727" s="3" t="str">
        <f aca="false">IF(E727="BAJO SS","Stock + XLIB bajo el SS: riesgo real de quiebre, adelantar producción. ","")&amp;IF(E727="BAJO SS (XLIB CUBRE)","Disponible bajo el SS; depende de liberar "&amp;TEXT(J727,"#,##0")&amp;" kg"&amp;IF(ISNUMBER(K727)," el "&amp;TEXT(K727,"dd-mm"),"")&amp;". ","")&amp;IF(W727="SÍ","Stock parece sano pero "&amp;TEXT(L727,"#,##0")&amp;" kg no pasan filtro "&amp;Stock_Seguridad!O727&amp;": sin ellos queda bajo el SS para esa cadena. ","")&amp;IF(E727="SOBRE MAX VENDIBLE","Sobrestock vs vida útil: frenar producción/activar venta. ","")&amp;IF(N(N727)&gt;=Parametros!$B$17,TEXT(N727,"#,##0")&amp;" kg ya no los acepta ninguna cadena: venta intermedia/liquidación. ","")&amp;IF(N(M727)&gt;=Parametros!$B$17,TEXT(M727,"#,##0")&amp;" kg a punto de salir del filtro: despachar primero (FEFO). ","")&amp;IF(Y727="SÍ","Pedidos "&amp;IF(N(U727)&gt;0,"sobre","bajo")&amp;" FCST "&amp;TEXT(ABS(N(U727)),"0%")&amp;": revisar forecast con KAM.","")</f>
        <v/>
      </c>
    </row>
    <row r="728" customFormat="false" ht="15" hidden="false" customHeight="false" outlineLevel="0" collapsed="false">
      <c r="A728" s="18" t="n">
        <f aca="false">Stock_Seguridad!A728</f>
        <v>30002052</v>
      </c>
      <c r="B728" s="18" t="str">
        <f aca="false">Stock_Seguridad!B728</f>
        <v>FRUTILLA DOBLE COBERTURA AVA 12X170GR</v>
      </c>
      <c r="C728" s="18" t="str">
        <f aca="false">Stock_Seguridad!C728</f>
        <v>FRUTAS Y HORTALIZAS CONGELADAS</v>
      </c>
      <c r="D728" s="18" t="str">
        <f aca="false">Stock_Seguridad!F728</f>
        <v>SIN HIST</v>
      </c>
      <c r="E728" s="19" t="str">
        <f aca="false">Stock_Seguridad!X728</f>
        <v>SIN FCST</v>
      </c>
      <c r="F728" s="20" t="str">
        <f aca="false">Stock_Seguridad!W728</f>
        <v/>
      </c>
      <c r="G728" s="21" t="n">
        <f aca="false">Stock_Seguridad!T728</f>
        <v>357</v>
      </c>
      <c r="H728" s="21" t="n">
        <f aca="false">Stock_Seguridad!R728</f>
        <v>0</v>
      </c>
      <c r="I728" s="21" t="n">
        <f aca="false">Stock_Seguridad!S728</f>
        <v>0</v>
      </c>
      <c r="J728" s="21" t="n">
        <f aca="false">Stock_Seguridad!U728</f>
        <v>0</v>
      </c>
      <c r="K728" s="22"/>
      <c r="L728" s="23" t="n">
        <v>0</v>
      </c>
      <c r="M728" s="23" t="n">
        <v>0</v>
      </c>
      <c r="N728" s="23" t="n">
        <v>0</v>
      </c>
      <c r="O728" s="24" t="n">
        <v>0.227428571428572</v>
      </c>
      <c r="P728" s="24" t="str">
        <f aca="false">IF(ISNUMBER(Stock_Seguridad!N728),Stock_Seguridad!N728,"")</f>
        <v/>
      </c>
      <c r="Q728" s="24" t="str">
        <f aca="false">IF(AND(ISNUMBER(O728),ISNUMBER(P728)),P728-O728,"")</f>
        <v/>
      </c>
      <c r="R728" s="23" t="n">
        <f aca="false">MAX(0,G728-N(L728))</f>
        <v>357</v>
      </c>
      <c r="S728" s="23" t="n">
        <f aca="false">SUMIFS(Cadenas_vs_FCST!$D$17:$D$2437,Cadenas_vs_FCST!$A$17:$A$2437,A728)</f>
        <v>0</v>
      </c>
      <c r="T728" s="23" t="n">
        <f aca="false">SUMIFS(Cadenas_vs_FCST!$E$17:$E$2437,Cadenas_vs_FCST!$A$17:$A$2437,A728)</f>
        <v>0</v>
      </c>
      <c r="U728" s="24" t="str">
        <f aca="false">IF(T728&gt;0,S728/T728-1,"")</f>
        <v/>
      </c>
      <c r="V728" s="3" t="str">
        <f aca="false">IF(OR(E728="BAJO SS",E728="BAJO SS (XLIB CUBRE)"),"SÍ","")</f>
        <v/>
      </c>
      <c r="W728" s="3" t="str">
        <f aca="false">IF(AND(V728="",N(L728)&gt;=Parametros!$B$17,G728&gt;=H728,R728&lt;H728),"SÍ","")</f>
        <v/>
      </c>
      <c r="X728" s="3" t="str">
        <f aca="false">IF(OR(E728="SOBRE MAX VENDIBLE",N(N728)&gt;=Parametros!$B$17,N(M728)&gt;=Parametros!$B$17),"SÍ","")</f>
        <v/>
      </c>
      <c r="Y728" s="3" t="str">
        <f aca="false">IF(AND(ISNUMBER(U728),MAX(S728,T728)&gt;=Parametros!$B$15,ABS(N(U728))&gt;Parametros!$B$14),"SÍ","")</f>
        <v/>
      </c>
      <c r="Z728" s="3" t="n">
        <f aca="false">COUNTIF(V728:Y728,"SÍ")</f>
        <v>0</v>
      </c>
      <c r="AA728" s="3" t="n">
        <f aca="false">(3*(V728="SÍ")+2*(W728="SÍ")+2*(X728="SÍ")+(Y728="SÍ"))*IF(LEFT(D728,1)="A",3,IF(OR(LEFT(D728,1)="B",D728="SIN HIST"),2,1))</f>
        <v>0</v>
      </c>
      <c r="AB728" s="3" t="str">
        <f aca="false">IF(AA728&gt;=9,"1-ALTA",IF(AA728&gt;=4,"2-MEDIA",IF(AA728&gt;0,"3-BAJA","")))</f>
        <v/>
      </c>
      <c r="AC728" s="3" t="str">
        <f aca="false">IF(E728="BAJO SS","Stock + XLIB bajo el SS: riesgo real de quiebre, adelantar producción. ","")&amp;IF(E728="BAJO SS (XLIB CUBRE)","Disponible bajo el SS; depende de liberar "&amp;TEXT(J728,"#,##0")&amp;" kg"&amp;IF(ISNUMBER(K728)," el "&amp;TEXT(K728,"dd-mm"),"")&amp;". ","")&amp;IF(W728="SÍ","Stock parece sano pero "&amp;TEXT(L728,"#,##0")&amp;" kg no pasan filtro "&amp;Stock_Seguridad!O728&amp;": sin ellos queda bajo el SS para esa cadena. ","")&amp;IF(E728="SOBRE MAX VENDIBLE","Sobrestock vs vida útil: frenar producción/activar venta. ","")&amp;IF(N(N728)&gt;=Parametros!$B$17,TEXT(N728,"#,##0")&amp;" kg ya no los acepta ninguna cadena: venta intermedia/liquidación. ","")&amp;IF(N(M728)&gt;=Parametros!$B$17,TEXT(M728,"#,##0")&amp;" kg a punto de salir del filtro: despachar primero (FEFO). ","")&amp;IF(Y728="SÍ","Pedidos "&amp;IF(N(U728)&gt;0,"sobre","bajo")&amp;" FCST "&amp;TEXT(ABS(N(U728)),"0%")&amp;": revisar forecast con KAM.","")</f>
        <v/>
      </c>
    </row>
    <row r="729" customFormat="false" ht="15" hidden="false" customHeight="false" outlineLevel="0" collapsed="false">
      <c r="A729" s="18" t="n">
        <f aca="false">Stock_Seguridad!A729</f>
        <v>30002050</v>
      </c>
      <c r="B729" s="18" t="str">
        <f aca="false">Stock_Seguridad!B729</f>
        <v>FRUTILLA COBERTURA CHOCO DELI 24X170G</v>
      </c>
      <c r="C729" s="18" t="str">
        <f aca="false">Stock_Seguridad!C729</f>
        <v>FRUTAS Y HORTALIZAS CONGELADAS</v>
      </c>
      <c r="D729" s="18" t="str">
        <f aca="false">Stock_Seguridad!F729</f>
        <v>SIN HIST</v>
      </c>
      <c r="E729" s="19" t="str">
        <f aca="false">Stock_Seguridad!X729</f>
        <v>SIN FCST</v>
      </c>
      <c r="F729" s="20" t="str">
        <f aca="false">Stock_Seguridad!W729</f>
        <v/>
      </c>
      <c r="G729" s="21" t="n">
        <f aca="false">Stock_Seguridad!T729</f>
        <v>40.8</v>
      </c>
      <c r="H729" s="21" t="n">
        <f aca="false">Stock_Seguridad!R729</f>
        <v>0</v>
      </c>
      <c r="I729" s="21" t="n">
        <f aca="false">Stock_Seguridad!S729</f>
        <v>0</v>
      </c>
      <c r="J729" s="21" t="n">
        <f aca="false">Stock_Seguridad!U729</f>
        <v>0</v>
      </c>
      <c r="K729" s="22"/>
      <c r="L729" s="23" t="n">
        <v>0</v>
      </c>
      <c r="M729" s="23" t="n">
        <v>0</v>
      </c>
      <c r="N729" s="23" t="n">
        <v>0</v>
      </c>
      <c r="O729" s="24" t="n">
        <v>0.23</v>
      </c>
      <c r="P729" s="24" t="str">
        <f aca="false">IF(ISNUMBER(Stock_Seguridad!N729),Stock_Seguridad!N729,"")</f>
        <v/>
      </c>
      <c r="Q729" s="24" t="str">
        <f aca="false">IF(AND(ISNUMBER(O729),ISNUMBER(P729)),P729-O729,"")</f>
        <v/>
      </c>
      <c r="R729" s="23" t="n">
        <f aca="false">MAX(0,G729-N(L729))</f>
        <v>40.8</v>
      </c>
      <c r="S729" s="23" t="n">
        <f aca="false">SUMIFS(Cadenas_vs_FCST!$D$17:$D$2437,Cadenas_vs_FCST!$A$17:$A$2437,A729)</f>
        <v>0</v>
      </c>
      <c r="T729" s="23" t="n">
        <f aca="false">SUMIFS(Cadenas_vs_FCST!$E$17:$E$2437,Cadenas_vs_FCST!$A$17:$A$2437,A729)</f>
        <v>0</v>
      </c>
      <c r="U729" s="24" t="str">
        <f aca="false">IF(T729&gt;0,S729/T729-1,"")</f>
        <v/>
      </c>
      <c r="V729" s="3" t="str">
        <f aca="false">IF(OR(E729="BAJO SS",E729="BAJO SS (XLIB CUBRE)"),"SÍ","")</f>
        <v/>
      </c>
      <c r="W729" s="3" t="str">
        <f aca="false">IF(AND(V729="",N(L729)&gt;=Parametros!$B$17,G729&gt;=H729,R729&lt;H729),"SÍ","")</f>
        <v/>
      </c>
      <c r="X729" s="3" t="str">
        <f aca="false">IF(OR(E729="SOBRE MAX VENDIBLE",N(N729)&gt;=Parametros!$B$17,N(M729)&gt;=Parametros!$B$17),"SÍ","")</f>
        <v/>
      </c>
      <c r="Y729" s="3" t="str">
        <f aca="false">IF(AND(ISNUMBER(U729),MAX(S729,T729)&gt;=Parametros!$B$15,ABS(N(U729))&gt;Parametros!$B$14),"SÍ","")</f>
        <v/>
      </c>
      <c r="Z729" s="3" t="n">
        <f aca="false">COUNTIF(V729:Y729,"SÍ")</f>
        <v>0</v>
      </c>
      <c r="AA729" s="3" t="n">
        <f aca="false">(3*(V729="SÍ")+2*(W729="SÍ")+2*(X729="SÍ")+(Y729="SÍ"))*IF(LEFT(D729,1)="A",3,IF(OR(LEFT(D729,1)="B",D729="SIN HIST"),2,1))</f>
        <v>0</v>
      </c>
      <c r="AB729" s="3" t="str">
        <f aca="false">IF(AA729&gt;=9,"1-ALTA",IF(AA729&gt;=4,"2-MEDIA",IF(AA729&gt;0,"3-BAJA","")))</f>
        <v/>
      </c>
      <c r="AC729" s="3" t="str">
        <f aca="false">IF(E729="BAJO SS","Stock + XLIB bajo el SS: riesgo real de quiebre, adelantar producción. ","")&amp;IF(E729="BAJO SS (XLIB CUBRE)","Disponible bajo el SS; depende de liberar "&amp;TEXT(J729,"#,##0")&amp;" kg"&amp;IF(ISNUMBER(K729)," el "&amp;TEXT(K729,"dd-mm"),"")&amp;". ","")&amp;IF(W729="SÍ","Stock parece sano pero "&amp;TEXT(L729,"#,##0")&amp;" kg no pasan filtro "&amp;Stock_Seguridad!O729&amp;": sin ellos queda bajo el SS para esa cadena. ","")&amp;IF(E729="SOBRE MAX VENDIBLE","Sobrestock vs vida útil: frenar producción/activar venta. ","")&amp;IF(N(N729)&gt;=Parametros!$B$17,TEXT(N729,"#,##0")&amp;" kg ya no los acepta ninguna cadena: venta intermedia/liquidación. ","")&amp;IF(N(M729)&gt;=Parametros!$B$17,TEXT(M729,"#,##0")&amp;" kg a punto de salir del filtro: despachar primero (FEFO). ","")&amp;IF(Y729="SÍ","Pedidos "&amp;IF(N(U729)&gt;0,"sobre","bajo")&amp;" FCST "&amp;TEXT(ABS(N(U729)),"0%")&amp;": revisar forecast con KAM.","")</f>
        <v/>
      </c>
    </row>
    <row r="730" customFormat="false" ht="15" hidden="false" customHeight="false" outlineLevel="0" collapsed="false">
      <c r="A730" s="18" t="n">
        <f aca="false">Stock_Seguridad!A730</f>
        <v>30002060</v>
      </c>
      <c r="B730" s="18" t="str">
        <f aca="false">Stock_Seguridad!B730</f>
        <v>FRAMBUESA DOBLE COBERTURA AVA 18X454G</v>
      </c>
      <c r="C730" s="18" t="str">
        <f aca="false">Stock_Seguridad!C730</f>
        <v>FRUTAS Y HORTALIZAS CONGELADAS</v>
      </c>
      <c r="D730" s="18" t="str">
        <f aca="false">Stock_Seguridad!F730</f>
        <v>SIN HIST</v>
      </c>
      <c r="E730" s="19" t="str">
        <f aca="false">Stock_Seguridad!X730</f>
        <v>SIN FCST</v>
      </c>
      <c r="F730" s="20" t="str">
        <f aca="false">Stock_Seguridad!W730</f>
        <v/>
      </c>
      <c r="G730" s="21" t="n">
        <f aca="false">Stock_Seguridad!T730</f>
        <v>7295.8</v>
      </c>
      <c r="H730" s="21" t="n">
        <f aca="false">Stock_Seguridad!R730</f>
        <v>0</v>
      </c>
      <c r="I730" s="21" t="n">
        <f aca="false">Stock_Seguridad!S730</f>
        <v>0</v>
      </c>
      <c r="J730" s="21" t="n">
        <f aca="false">Stock_Seguridad!U730</f>
        <v>0</v>
      </c>
      <c r="K730" s="22"/>
      <c r="L730" s="23" t="n">
        <v>0</v>
      </c>
      <c r="M730" s="23" t="n">
        <v>0</v>
      </c>
      <c r="N730" s="23" t="n">
        <v>0</v>
      </c>
      <c r="O730" s="24" t="n">
        <v>0.164356103023516</v>
      </c>
      <c r="P730" s="24" t="str">
        <f aca="false">IF(ISNUMBER(Stock_Seguridad!N730),Stock_Seguridad!N730,"")</f>
        <v/>
      </c>
      <c r="Q730" s="24" t="str">
        <f aca="false">IF(AND(ISNUMBER(O730),ISNUMBER(P730)),P730-O730,"")</f>
        <v/>
      </c>
      <c r="R730" s="23" t="n">
        <f aca="false">MAX(0,G730-N(L730))</f>
        <v>7295.8</v>
      </c>
      <c r="S730" s="23" t="n">
        <f aca="false">SUMIFS(Cadenas_vs_FCST!$D$17:$D$2437,Cadenas_vs_FCST!$A$17:$A$2437,A730)</f>
        <v>0</v>
      </c>
      <c r="T730" s="23" t="n">
        <f aca="false">SUMIFS(Cadenas_vs_FCST!$E$17:$E$2437,Cadenas_vs_FCST!$A$17:$A$2437,A730)</f>
        <v>0</v>
      </c>
      <c r="U730" s="24" t="str">
        <f aca="false">IF(T730&gt;0,S730/T730-1,"")</f>
        <v/>
      </c>
      <c r="V730" s="3" t="str">
        <f aca="false">IF(OR(E730="BAJO SS",E730="BAJO SS (XLIB CUBRE)"),"SÍ","")</f>
        <v/>
      </c>
      <c r="W730" s="3" t="str">
        <f aca="false">IF(AND(V730="",N(L730)&gt;=Parametros!$B$17,G730&gt;=H730,R730&lt;H730),"SÍ","")</f>
        <v/>
      </c>
      <c r="X730" s="3" t="str">
        <f aca="false">IF(OR(E730="SOBRE MAX VENDIBLE",N(N730)&gt;=Parametros!$B$17,N(M730)&gt;=Parametros!$B$17),"SÍ","")</f>
        <v/>
      </c>
      <c r="Y730" s="3" t="str">
        <f aca="false">IF(AND(ISNUMBER(U730),MAX(S730,T730)&gt;=Parametros!$B$15,ABS(N(U730))&gt;Parametros!$B$14),"SÍ","")</f>
        <v/>
      </c>
      <c r="Z730" s="3" t="n">
        <f aca="false">COUNTIF(V730:Y730,"SÍ")</f>
        <v>0</v>
      </c>
      <c r="AA730" s="3" t="n">
        <f aca="false">(3*(V730="SÍ")+2*(W730="SÍ")+2*(X730="SÍ")+(Y730="SÍ"))*IF(LEFT(D730,1)="A",3,IF(OR(LEFT(D730,1)="B",D730="SIN HIST"),2,1))</f>
        <v>0</v>
      </c>
      <c r="AB730" s="3" t="str">
        <f aca="false">IF(AA730&gt;=9,"1-ALTA",IF(AA730&gt;=4,"2-MEDIA",IF(AA730&gt;0,"3-BAJA","")))</f>
        <v/>
      </c>
      <c r="AC730" s="3" t="str">
        <f aca="false">IF(E730="BAJO SS","Stock + XLIB bajo el SS: riesgo real de quiebre, adelantar producción. ","")&amp;IF(E730="BAJO SS (XLIB CUBRE)","Disponible bajo el SS; depende de liberar "&amp;TEXT(J730,"#,##0")&amp;" kg"&amp;IF(ISNUMBER(K730)," el "&amp;TEXT(K730,"dd-mm"),"")&amp;". ","")&amp;IF(W730="SÍ","Stock parece sano pero "&amp;TEXT(L730,"#,##0")&amp;" kg no pasan filtro "&amp;Stock_Seguridad!O730&amp;": sin ellos queda bajo el SS para esa cadena. ","")&amp;IF(E730="SOBRE MAX VENDIBLE","Sobrestock vs vida útil: frenar producción/activar venta. ","")&amp;IF(N(N730)&gt;=Parametros!$B$17,TEXT(N730,"#,##0")&amp;" kg ya no los acepta ninguna cadena: venta intermedia/liquidación. ","")&amp;IF(N(M730)&gt;=Parametros!$B$17,TEXT(M730,"#,##0")&amp;" kg a punto de salir del filtro: despachar primero (FEFO). ","")&amp;IF(Y730="SÍ","Pedidos "&amp;IF(N(U730)&gt;0,"sobre","bajo")&amp;" FCST "&amp;TEXT(ABS(N(U730)),"0%")&amp;": revisar forecast con KAM.","")</f>
        <v/>
      </c>
    </row>
    <row r="731" customFormat="false" ht="15" hidden="false" customHeight="false" outlineLevel="0" collapsed="false">
      <c r="A731" s="18" t="n">
        <f aca="false">Stock_Seguridad!A731</f>
        <v>30002006</v>
      </c>
      <c r="B731" s="18" t="str">
        <f aca="false">Stock_Seguridad!B731</f>
        <v>PASTELERA PARA DUQUESAS 2X5KG</v>
      </c>
      <c r="C731" s="18" t="str">
        <f aca="false">Stock_Seguridad!C731</f>
        <v>FRUTAS Y HORTALIZAS CONGELADAS</v>
      </c>
      <c r="D731" s="18" t="str">
        <f aca="false">Stock_Seguridad!F731</f>
        <v>SIN HIST</v>
      </c>
      <c r="E731" s="19" t="str">
        <f aca="false">Stock_Seguridad!X731</f>
        <v>SIN FCST</v>
      </c>
      <c r="F731" s="20" t="str">
        <f aca="false">Stock_Seguridad!W731</f>
        <v/>
      </c>
      <c r="G731" s="21" t="n">
        <f aca="false">Stock_Seguridad!T731</f>
        <v>10080</v>
      </c>
      <c r="H731" s="21" t="n">
        <f aca="false">Stock_Seguridad!R731</f>
        <v>0</v>
      </c>
      <c r="I731" s="21" t="n">
        <f aca="false">Stock_Seguridad!S731</f>
        <v>0</v>
      </c>
      <c r="J731" s="21" t="n">
        <f aca="false">Stock_Seguridad!U731</f>
        <v>0</v>
      </c>
      <c r="K731" s="22"/>
      <c r="L731" s="23" t="n">
        <v>0</v>
      </c>
      <c r="M731" s="23" t="n">
        <v>0</v>
      </c>
      <c r="N731" s="23" t="n">
        <v>0</v>
      </c>
      <c r="O731" s="24" t="n">
        <v>0.182857142857143</v>
      </c>
      <c r="P731" s="24" t="str">
        <f aca="false">IF(ISNUMBER(Stock_Seguridad!N731),Stock_Seguridad!N731,"")</f>
        <v/>
      </c>
      <c r="Q731" s="24" t="str">
        <f aca="false">IF(AND(ISNUMBER(O731),ISNUMBER(P731)),P731-O731,"")</f>
        <v/>
      </c>
      <c r="R731" s="23" t="n">
        <f aca="false">MAX(0,G731-N(L731))</f>
        <v>10080</v>
      </c>
      <c r="S731" s="23" t="n">
        <f aca="false">SUMIFS(Cadenas_vs_FCST!$D$17:$D$2437,Cadenas_vs_FCST!$A$17:$A$2437,A731)</f>
        <v>0</v>
      </c>
      <c r="T731" s="23" t="n">
        <f aca="false">SUMIFS(Cadenas_vs_FCST!$E$17:$E$2437,Cadenas_vs_FCST!$A$17:$A$2437,A731)</f>
        <v>0</v>
      </c>
      <c r="U731" s="24" t="str">
        <f aca="false">IF(T731&gt;0,S731/T731-1,"")</f>
        <v/>
      </c>
      <c r="V731" s="3" t="str">
        <f aca="false">IF(OR(E731="BAJO SS",E731="BAJO SS (XLIB CUBRE)"),"SÍ","")</f>
        <v/>
      </c>
      <c r="W731" s="3" t="str">
        <f aca="false">IF(AND(V731="",N(L731)&gt;=Parametros!$B$17,G731&gt;=H731,R731&lt;H731),"SÍ","")</f>
        <v/>
      </c>
      <c r="X731" s="3" t="str">
        <f aca="false">IF(OR(E731="SOBRE MAX VENDIBLE",N(N731)&gt;=Parametros!$B$17,N(M731)&gt;=Parametros!$B$17),"SÍ","")</f>
        <v/>
      </c>
      <c r="Y731" s="3" t="str">
        <f aca="false">IF(AND(ISNUMBER(U731),MAX(S731,T731)&gt;=Parametros!$B$15,ABS(N(U731))&gt;Parametros!$B$14),"SÍ","")</f>
        <v/>
      </c>
      <c r="Z731" s="3" t="n">
        <f aca="false">COUNTIF(V731:Y731,"SÍ")</f>
        <v>0</v>
      </c>
      <c r="AA731" s="3" t="n">
        <f aca="false">(3*(V731="SÍ")+2*(W731="SÍ")+2*(X731="SÍ")+(Y731="SÍ"))*IF(LEFT(D731,1)="A",3,IF(OR(LEFT(D731,1)="B",D731="SIN HIST"),2,1))</f>
        <v>0</v>
      </c>
      <c r="AB731" s="3" t="str">
        <f aca="false">IF(AA731&gt;=9,"1-ALTA",IF(AA731&gt;=4,"2-MEDIA",IF(AA731&gt;0,"3-BAJA","")))</f>
        <v/>
      </c>
      <c r="AC731" s="3" t="str">
        <f aca="false">IF(E731="BAJO SS","Stock + XLIB bajo el SS: riesgo real de quiebre, adelantar producción. ","")&amp;IF(E731="BAJO SS (XLIB CUBRE)","Disponible bajo el SS; depende de liberar "&amp;TEXT(J731,"#,##0")&amp;" kg"&amp;IF(ISNUMBER(K731)," el "&amp;TEXT(K731,"dd-mm"),"")&amp;". ","")&amp;IF(W731="SÍ","Stock parece sano pero "&amp;TEXT(L731,"#,##0")&amp;" kg no pasan filtro "&amp;Stock_Seguridad!O731&amp;": sin ellos queda bajo el SS para esa cadena. ","")&amp;IF(E731="SOBRE MAX VENDIBLE","Sobrestock vs vida útil: frenar producción/activar venta. ","")&amp;IF(N(N731)&gt;=Parametros!$B$17,TEXT(N731,"#,##0")&amp;" kg ya no los acepta ninguna cadena: venta intermedia/liquidación. ","")&amp;IF(N(M731)&gt;=Parametros!$B$17,TEXT(M731,"#,##0")&amp;" kg a punto de salir del filtro: despachar primero (FEFO). ","")&amp;IF(Y731="SÍ","Pedidos "&amp;IF(N(U731)&gt;0,"sobre","bajo")&amp;" FCST "&amp;TEXT(ABS(N(U731)),"0%")&amp;": revisar forecast con KAM.","")</f>
        <v/>
      </c>
    </row>
    <row r="732" customFormat="false" ht="15" hidden="false" customHeight="false" outlineLevel="0" collapsed="false">
      <c r="A732" s="18" t="n">
        <f aca="false">Stock_Seguridad!A732</f>
        <v>30002039</v>
      </c>
      <c r="B732" s="18" t="str">
        <f aca="false">Stock_Seguridad!B732</f>
        <v>MORA CONGELADA MM EXP 12X1,02KG</v>
      </c>
      <c r="C732" s="18" t="str">
        <f aca="false">Stock_Seguridad!C732</f>
        <v>FRUTAS Y HORTALIZAS CONGELADAS</v>
      </c>
      <c r="D732" s="18" t="str">
        <f aca="false">Stock_Seguridad!F732</f>
        <v>SIN HIST</v>
      </c>
      <c r="E732" s="19" t="str">
        <f aca="false">Stock_Seguridad!X732</f>
        <v>SIN FCST</v>
      </c>
      <c r="F732" s="20" t="str">
        <f aca="false">Stock_Seguridad!W732</f>
        <v/>
      </c>
      <c r="G732" s="21" t="n">
        <f aca="false">Stock_Seguridad!T732</f>
        <v>4161.6</v>
      </c>
      <c r="H732" s="21" t="n">
        <f aca="false">Stock_Seguridad!R732</f>
        <v>0</v>
      </c>
      <c r="I732" s="21" t="n">
        <f aca="false">Stock_Seguridad!S732</f>
        <v>0</v>
      </c>
      <c r="J732" s="21" t="n">
        <f aca="false">Stock_Seguridad!U732</f>
        <v>0</v>
      </c>
      <c r="K732" s="22"/>
      <c r="L732" s="23" t="n">
        <v>0</v>
      </c>
      <c r="M732" s="23" t="n">
        <v>0</v>
      </c>
      <c r="N732" s="23" t="n">
        <v>0</v>
      </c>
      <c r="O732" s="24" t="n">
        <v>0.102117647058824</v>
      </c>
      <c r="P732" s="24" t="str">
        <f aca="false">IF(ISNUMBER(Stock_Seguridad!N732),Stock_Seguridad!N732,"")</f>
        <v/>
      </c>
      <c r="Q732" s="24" t="str">
        <f aca="false">IF(AND(ISNUMBER(O732),ISNUMBER(P732)),P732-O732,"")</f>
        <v/>
      </c>
      <c r="R732" s="23" t="n">
        <f aca="false">MAX(0,G732-N(L732))</f>
        <v>4161.6</v>
      </c>
      <c r="S732" s="23" t="n">
        <f aca="false">SUMIFS(Cadenas_vs_FCST!$D$17:$D$2437,Cadenas_vs_FCST!$A$17:$A$2437,A732)</f>
        <v>0</v>
      </c>
      <c r="T732" s="23" t="n">
        <f aca="false">SUMIFS(Cadenas_vs_FCST!$E$17:$E$2437,Cadenas_vs_FCST!$A$17:$A$2437,A732)</f>
        <v>0</v>
      </c>
      <c r="U732" s="24" t="str">
        <f aca="false">IF(T732&gt;0,S732/T732-1,"")</f>
        <v/>
      </c>
      <c r="V732" s="3" t="str">
        <f aca="false">IF(OR(E732="BAJO SS",E732="BAJO SS (XLIB CUBRE)"),"SÍ","")</f>
        <v/>
      </c>
      <c r="W732" s="3" t="str">
        <f aca="false">IF(AND(V732="",N(L732)&gt;=Parametros!$B$17,G732&gt;=H732,R732&lt;H732),"SÍ","")</f>
        <v/>
      </c>
      <c r="X732" s="3" t="str">
        <f aca="false">IF(OR(E732="SOBRE MAX VENDIBLE",N(N732)&gt;=Parametros!$B$17,N(M732)&gt;=Parametros!$B$17),"SÍ","")</f>
        <v/>
      </c>
      <c r="Y732" s="3" t="str">
        <f aca="false">IF(AND(ISNUMBER(U732),MAX(S732,T732)&gt;=Parametros!$B$15,ABS(N(U732))&gt;Parametros!$B$14),"SÍ","")</f>
        <v/>
      </c>
      <c r="Z732" s="3" t="n">
        <f aca="false">COUNTIF(V732:Y732,"SÍ")</f>
        <v>0</v>
      </c>
      <c r="AA732" s="3" t="n">
        <f aca="false">(3*(V732="SÍ")+2*(W732="SÍ")+2*(X732="SÍ")+(Y732="SÍ"))*IF(LEFT(D732,1)="A",3,IF(OR(LEFT(D732,1)="B",D732="SIN HIST"),2,1))</f>
        <v>0</v>
      </c>
      <c r="AB732" s="3" t="str">
        <f aca="false">IF(AA732&gt;=9,"1-ALTA",IF(AA732&gt;=4,"2-MEDIA",IF(AA732&gt;0,"3-BAJA","")))</f>
        <v/>
      </c>
      <c r="AC732" s="3" t="str">
        <f aca="false">IF(E732="BAJO SS","Stock + XLIB bajo el SS: riesgo real de quiebre, adelantar producción. ","")&amp;IF(E732="BAJO SS (XLIB CUBRE)","Disponible bajo el SS; depende de liberar "&amp;TEXT(J732,"#,##0")&amp;" kg"&amp;IF(ISNUMBER(K732)," el "&amp;TEXT(K732,"dd-mm"),"")&amp;". ","")&amp;IF(W732="SÍ","Stock parece sano pero "&amp;TEXT(L732,"#,##0")&amp;" kg no pasan filtro "&amp;Stock_Seguridad!O732&amp;": sin ellos queda bajo el SS para esa cadena. ","")&amp;IF(E732="SOBRE MAX VENDIBLE","Sobrestock vs vida útil: frenar producción/activar venta. ","")&amp;IF(N(N732)&gt;=Parametros!$B$17,TEXT(N732,"#,##0")&amp;" kg ya no los acepta ninguna cadena: venta intermedia/liquidación. ","")&amp;IF(N(M732)&gt;=Parametros!$B$17,TEXT(M732,"#,##0")&amp;" kg a punto de salir del filtro: despachar primero (FEFO). ","")&amp;IF(Y732="SÍ","Pedidos "&amp;IF(N(U732)&gt;0,"sobre","bajo")&amp;" FCST "&amp;TEXT(ABS(N(U732)),"0%")&amp;": revisar forecast con KAM.","")</f>
        <v/>
      </c>
    </row>
    <row r="733" customFormat="false" ht="15" hidden="false" customHeight="false" outlineLevel="0" collapsed="false">
      <c r="A733" s="18" t="n">
        <f aca="false">Stock_Seguridad!A733</f>
        <v>30001914</v>
      </c>
      <c r="B733" s="18" t="str">
        <f aca="false">Stock_Seguridad!B733</f>
        <v>JUGO DE LIMON FDM 15X400GR</v>
      </c>
      <c r="C733" s="18" t="str">
        <f aca="false">Stock_Seguridad!C733</f>
        <v>FRUTAS Y HORTALIZAS CONGELADAS</v>
      </c>
      <c r="D733" s="18" t="str">
        <f aca="false">Stock_Seguridad!F733</f>
        <v>SIN HIST</v>
      </c>
      <c r="E733" s="19" t="str">
        <f aca="false">Stock_Seguridad!X733</f>
        <v>SIN FCST</v>
      </c>
      <c r="F733" s="20" t="str">
        <f aca="false">Stock_Seguridad!W733</f>
        <v/>
      </c>
      <c r="G733" s="21" t="n">
        <f aca="false">Stock_Seguridad!T733</f>
        <v>0</v>
      </c>
      <c r="H733" s="21" t="n">
        <f aca="false">Stock_Seguridad!R733</f>
        <v>0</v>
      </c>
      <c r="I733" s="21" t="n">
        <f aca="false">Stock_Seguridad!S733</f>
        <v>0</v>
      </c>
      <c r="J733" s="21" t="n">
        <f aca="false">Stock_Seguridad!U733</f>
        <v>0</v>
      </c>
      <c r="K733" s="22"/>
      <c r="L733" s="23"/>
      <c r="M733" s="23"/>
      <c r="N733" s="23"/>
      <c r="O733" s="24"/>
      <c r="P733" s="24" t="str">
        <f aca="false">IF(ISNUMBER(Stock_Seguridad!N733),Stock_Seguridad!N733,"")</f>
        <v/>
      </c>
      <c r="Q733" s="24" t="str">
        <f aca="false">IF(AND(ISNUMBER(O733),ISNUMBER(P733)),P733-O733,"")</f>
        <v/>
      </c>
      <c r="R733" s="23" t="n">
        <f aca="false">MAX(0,G733-N(L733))</f>
        <v>0</v>
      </c>
      <c r="S733" s="23" t="n">
        <f aca="false">SUMIFS(Cadenas_vs_FCST!$D$17:$D$2437,Cadenas_vs_FCST!$A$17:$A$2437,A733)</f>
        <v>0</v>
      </c>
      <c r="T733" s="23" t="n">
        <f aca="false">SUMIFS(Cadenas_vs_FCST!$E$17:$E$2437,Cadenas_vs_FCST!$A$17:$A$2437,A733)</f>
        <v>0</v>
      </c>
      <c r="U733" s="24" t="str">
        <f aca="false">IF(T733&gt;0,S733/T733-1,"")</f>
        <v/>
      </c>
      <c r="V733" s="3" t="str">
        <f aca="false">IF(OR(E733="BAJO SS",E733="BAJO SS (XLIB CUBRE)"),"SÍ","")</f>
        <v/>
      </c>
      <c r="W733" s="3" t="str">
        <f aca="false">IF(AND(V733="",N(L733)&gt;=Parametros!$B$17,G733&gt;=H733,R733&lt;H733),"SÍ","")</f>
        <v/>
      </c>
      <c r="X733" s="3" t="str">
        <f aca="false">IF(OR(E733="SOBRE MAX VENDIBLE",N(N733)&gt;=Parametros!$B$17,N(M733)&gt;=Parametros!$B$17),"SÍ","")</f>
        <v/>
      </c>
      <c r="Y733" s="3" t="str">
        <f aca="false">IF(AND(ISNUMBER(U733),MAX(S733,T733)&gt;=Parametros!$B$15,ABS(N(U733))&gt;Parametros!$B$14),"SÍ","")</f>
        <v/>
      </c>
      <c r="Z733" s="3" t="n">
        <f aca="false">COUNTIF(V733:Y733,"SÍ")</f>
        <v>0</v>
      </c>
      <c r="AA733" s="3" t="n">
        <f aca="false">(3*(V733="SÍ")+2*(W733="SÍ")+2*(X733="SÍ")+(Y733="SÍ"))*IF(LEFT(D733,1)="A",3,IF(OR(LEFT(D733,1)="B",D733="SIN HIST"),2,1))</f>
        <v>0</v>
      </c>
      <c r="AB733" s="3" t="str">
        <f aca="false">IF(AA733&gt;=9,"1-ALTA",IF(AA733&gt;=4,"2-MEDIA",IF(AA733&gt;0,"3-BAJA","")))</f>
        <v/>
      </c>
      <c r="AC733" s="3" t="str">
        <f aca="false">IF(E733="BAJO SS","Stock + XLIB bajo el SS: riesgo real de quiebre, adelantar producción. ","")&amp;IF(E733="BAJO SS (XLIB CUBRE)","Disponible bajo el SS; depende de liberar "&amp;TEXT(J733,"#,##0")&amp;" kg"&amp;IF(ISNUMBER(K733)," el "&amp;TEXT(K733,"dd-mm"),"")&amp;". ","")&amp;IF(W733="SÍ","Stock parece sano pero "&amp;TEXT(L733,"#,##0")&amp;" kg no pasan filtro "&amp;Stock_Seguridad!O733&amp;": sin ellos queda bajo el SS para esa cadena. ","")&amp;IF(E733="SOBRE MAX VENDIBLE","Sobrestock vs vida útil: frenar producción/activar venta. ","")&amp;IF(N(N733)&gt;=Parametros!$B$17,TEXT(N733,"#,##0")&amp;" kg ya no los acepta ninguna cadena: venta intermedia/liquidación. ","")&amp;IF(N(M733)&gt;=Parametros!$B$17,TEXT(M733,"#,##0")&amp;" kg a punto de salir del filtro: despachar primero (FEFO). ","")&amp;IF(Y733="SÍ","Pedidos "&amp;IF(N(U733)&gt;0,"sobre","bajo")&amp;" FCST "&amp;TEXT(ABS(N(U733)),"0%")&amp;": revisar forecast con KAM.","")</f>
        <v/>
      </c>
    </row>
    <row r="734" customFormat="false" ht="15" hidden="false" customHeight="false" outlineLevel="0" collapsed="false">
      <c r="A734" s="18" t="n">
        <f aca="false">Stock_Seguridad!A734</f>
        <v>30001908</v>
      </c>
      <c r="B734" s="18" t="str">
        <f aca="false">Stock_Seguridad!B734</f>
        <v>HABAS GRANEL 1X16KG</v>
      </c>
      <c r="C734" s="18" t="str">
        <f aca="false">Stock_Seguridad!C734</f>
        <v>FRUTAS Y HORTALIZAS CONGELADAS</v>
      </c>
      <c r="D734" s="18" t="str">
        <f aca="false">Stock_Seguridad!F734</f>
        <v>SIN HIST</v>
      </c>
      <c r="E734" s="19" t="str">
        <f aca="false">Stock_Seguridad!X734</f>
        <v>SIN FCST</v>
      </c>
      <c r="F734" s="20" t="str">
        <f aca="false">Stock_Seguridad!W734</f>
        <v/>
      </c>
      <c r="G734" s="21" t="n">
        <f aca="false">Stock_Seguridad!T734</f>
        <v>18496</v>
      </c>
      <c r="H734" s="21" t="n">
        <f aca="false">Stock_Seguridad!R734</f>
        <v>0</v>
      </c>
      <c r="I734" s="21" t="n">
        <f aca="false">Stock_Seguridad!S734</f>
        <v>0</v>
      </c>
      <c r="J734" s="21" t="n">
        <f aca="false">Stock_Seguridad!U734</f>
        <v>0</v>
      </c>
      <c r="K734" s="22"/>
      <c r="L734" s="23" t="n">
        <v>0</v>
      </c>
      <c r="M734" s="23" t="n">
        <v>0</v>
      </c>
      <c r="N734" s="23" t="n">
        <v>0</v>
      </c>
      <c r="O734" s="24" t="n">
        <v>0.460461538461539</v>
      </c>
      <c r="P734" s="24" t="str">
        <f aca="false">IF(ISNUMBER(Stock_Seguridad!N734),Stock_Seguridad!N734,"")</f>
        <v/>
      </c>
      <c r="Q734" s="24" t="str">
        <f aca="false">IF(AND(ISNUMBER(O734),ISNUMBER(P734)),P734-O734,"")</f>
        <v/>
      </c>
      <c r="R734" s="23" t="n">
        <f aca="false">MAX(0,G734-N(L734))</f>
        <v>18496</v>
      </c>
      <c r="S734" s="23" t="n">
        <f aca="false">SUMIFS(Cadenas_vs_FCST!$D$17:$D$2437,Cadenas_vs_FCST!$A$17:$A$2437,A734)</f>
        <v>0</v>
      </c>
      <c r="T734" s="23" t="n">
        <f aca="false">SUMIFS(Cadenas_vs_FCST!$E$17:$E$2437,Cadenas_vs_FCST!$A$17:$A$2437,A734)</f>
        <v>0</v>
      </c>
      <c r="U734" s="24" t="str">
        <f aca="false">IF(T734&gt;0,S734/T734-1,"")</f>
        <v/>
      </c>
      <c r="V734" s="3" t="str">
        <f aca="false">IF(OR(E734="BAJO SS",E734="BAJO SS (XLIB CUBRE)"),"SÍ","")</f>
        <v/>
      </c>
      <c r="W734" s="3" t="str">
        <f aca="false">IF(AND(V734="",N(L734)&gt;=Parametros!$B$17,G734&gt;=H734,R734&lt;H734),"SÍ","")</f>
        <v/>
      </c>
      <c r="X734" s="3" t="str">
        <f aca="false">IF(OR(E734="SOBRE MAX VENDIBLE",N(N734)&gt;=Parametros!$B$17,N(M734)&gt;=Parametros!$B$17),"SÍ","")</f>
        <v/>
      </c>
      <c r="Y734" s="3" t="str">
        <f aca="false">IF(AND(ISNUMBER(U734),MAX(S734,T734)&gt;=Parametros!$B$15,ABS(N(U734))&gt;Parametros!$B$14),"SÍ","")</f>
        <v/>
      </c>
      <c r="Z734" s="3" t="n">
        <f aca="false">COUNTIF(V734:Y734,"SÍ")</f>
        <v>0</v>
      </c>
      <c r="AA734" s="3" t="n">
        <f aca="false">(3*(V734="SÍ")+2*(W734="SÍ")+2*(X734="SÍ")+(Y734="SÍ"))*IF(LEFT(D734,1)="A",3,IF(OR(LEFT(D734,1)="B",D734="SIN HIST"),2,1))</f>
        <v>0</v>
      </c>
      <c r="AB734" s="3" t="str">
        <f aca="false">IF(AA734&gt;=9,"1-ALTA",IF(AA734&gt;=4,"2-MEDIA",IF(AA734&gt;0,"3-BAJA","")))</f>
        <v/>
      </c>
      <c r="AC734" s="3" t="str">
        <f aca="false">IF(E734="BAJO SS","Stock + XLIB bajo el SS: riesgo real de quiebre, adelantar producción. ","")&amp;IF(E734="BAJO SS (XLIB CUBRE)","Disponible bajo el SS; depende de liberar "&amp;TEXT(J734,"#,##0")&amp;" kg"&amp;IF(ISNUMBER(K734)," el "&amp;TEXT(K734,"dd-mm"),"")&amp;". ","")&amp;IF(W734="SÍ","Stock parece sano pero "&amp;TEXT(L734,"#,##0")&amp;" kg no pasan filtro "&amp;Stock_Seguridad!O734&amp;": sin ellos queda bajo el SS para esa cadena. ","")&amp;IF(E734="SOBRE MAX VENDIBLE","Sobrestock vs vida útil: frenar producción/activar venta. ","")&amp;IF(N(N734)&gt;=Parametros!$B$17,TEXT(N734,"#,##0")&amp;" kg ya no los acepta ninguna cadena: venta intermedia/liquidación. ","")&amp;IF(N(M734)&gt;=Parametros!$B$17,TEXT(M734,"#,##0")&amp;" kg a punto de salir del filtro: despachar primero (FEFO). ","")&amp;IF(Y734="SÍ","Pedidos "&amp;IF(N(U734)&gt;0,"sobre","bajo")&amp;" FCST "&amp;TEXT(ABS(N(U734)),"0%")&amp;": revisar forecast con KAM.","")</f>
        <v/>
      </c>
    </row>
    <row r="735" customFormat="false" ht="15" hidden="false" customHeight="false" outlineLevel="0" collapsed="false">
      <c r="A735" s="18" t="n">
        <f aca="false">Stock_Seguridad!A735</f>
        <v>30002040</v>
      </c>
      <c r="B735" s="18" t="str">
        <f aca="false">Stock_Seguridad!B735</f>
        <v>ARANDANO CONGELADO MM EXP 12X1,02KG</v>
      </c>
      <c r="C735" s="18" t="str">
        <f aca="false">Stock_Seguridad!C735</f>
        <v>FRUTAS Y HORTALIZAS CONGELADAS</v>
      </c>
      <c r="D735" s="18" t="str">
        <f aca="false">Stock_Seguridad!F735</f>
        <v>SIN HIST</v>
      </c>
      <c r="E735" s="19" t="str">
        <f aca="false">Stock_Seguridad!X735</f>
        <v>SIN FCST</v>
      </c>
      <c r="F735" s="20" t="str">
        <f aca="false">Stock_Seguridad!W735</f>
        <v/>
      </c>
      <c r="G735" s="21" t="n">
        <f aca="false">Stock_Seguridad!T735</f>
        <v>1554.5</v>
      </c>
      <c r="H735" s="21" t="n">
        <f aca="false">Stock_Seguridad!R735</f>
        <v>0</v>
      </c>
      <c r="I735" s="21" t="n">
        <f aca="false">Stock_Seguridad!S735</f>
        <v>0</v>
      </c>
      <c r="J735" s="21" t="n">
        <f aca="false">Stock_Seguridad!U735</f>
        <v>0</v>
      </c>
      <c r="K735" s="22"/>
      <c r="L735" s="23" t="n">
        <v>0</v>
      </c>
      <c r="M735" s="23" t="n">
        <v>0</v>
      </c>
      <c r="N735" s="23" t="n">
        <v>0</v>
      </c>
      <c r="O735" s="24" t="n">
        <v>0.133385826771654</v>
      </c>
      <c r="P735" s="24" t="str">
        <f aca="false">IF(ISNUMBER(Stock_Seguridad!N735),Stock_Seguridad!N735,"")</f>
        <v/>
      </c>
      <c r="Q735" s="24" t="str">
        <f aca="false">IF(AND(ISNUMBER(O735),ISNUMBER(P735)),P735-O735,"")</f>
        <v/>
      </c>
      <c r="R735" s="23" t="n">
        <f aca="false">MAX(0,G735-N(L735))</f>
        <v>1554.5</v>
      </c>
      <c r="S735" s="23" t="n">
        <f aca="false">SUMIFS(Cadenas_vs_FCST!$D$17:$D$2437,Cadenas_vs_FCST!$A$17:$A$2437,A735)</f>
        <v>0</v>
      </c>
      <c r="T735" s="23" t="n">
        <f aca="false">SUMIFS(Cadenas_vs_FCST!$E$17:$E$2437,Cadenas_vs_FCST!$A$17:$A$2437,A735)</f>
        <v>0</v>
      </c>
      <c r="U735" s="24" t="str">
        <f aca="false">IF(T735&gt;0,S735/T735-1,"")</f>
        <v/>
      </c>
      <c r="V735" s="3" t="str">
        <f aca="false">IF(OR(E735="BAJO SS",E735="BAJO SS (XLIB CUBRE)"),"SÍ","")</f>
        <v/>
      </c>
      <c r="W735" s="3" t="str">
        <f aca="false">IF(AND(V735="",N(L735)&gt;=Parametros!$B$17,G735&gt;=H735,R735&lt;H735),"SÍ","")</f>
        <v/>
      </c>
      <c r="X735" s="3" t="str">
        <f aca="false">IF(OR(E735="SOBRE MAX VENDIBLE",N(N735)&gt;=Parametros!$B$17,N(M735)&gt;=Parametros!$B$17),"SÍ","")</f>
        <v/>
      </c>
      <c r="Y735" s="3" t="str">
        <f aca="false">IF(AND(ISNUMBER(U735),MAX(S735,T735)&gt;=Parametros!$B$15,ABS(N(U735))&gt;Parametros!$B$14),"SÍ","")</f>
        <v/>
      </c>
      <c r="Z735" s="3" t="n">
        <f aca="false">COUNTIF(V735:Y735,"SÍ")</f>
        <v>0</v>
      </c>
      <c r="AA735" s="3" t="n">
        <f aca="false">(3*(V735="SÍ")+2*(W735="SÍ")+2*(X735="SÍ")+(Y735="SÍ"))*IF(LEFT(D735,1)="A",3,IF(OR(LEFT(D735,1)="B",D735="SIN HIST"),2,1))</f>
        <v>0</v>
      </c>
      <c r="AB735" s="3" t="str">
        <f aca="false">IF(AA735&gt;=9,"1-ALTA",IF(AA735&gt;=4,"2-MEDIA",IF(AA735&gt;0,"3-BAJA","")))</f>
        <v/>
      </c>
      <c r="AC735" s="3" t="str">
        <f aca="false">IF(E735="BAJO SS","Stock + XLIB bajo el SS: riesgo real de quiebre, adelantar producción. ","")&amp;IF(E735="BAJO SS (XLIB CUBRE)","Disponible bajo el SS; depende de liberar "&amp;TEXT(J735,"#,##0")&amp;" kg"&amp;IF(ISNUMBER(K735)," el "&amp;TEXT(K735,"dd-mm"),"")&amp;". ","")&amp;IF(W735="SÍ","Stock parece sano pero "&amp;TEXT(L735,"#,##0")&amp;" kg no pasan filtro "&amp;Stock_Seguridad!O735&amp;": sin ellos queda bajo el SS para esa cadena. ","")&amp;IF(E735="SOBRE MAX VENDIBLE","Sobrestock vs vida útil: frenar producción/activar venta. ","")&amp;IF(N(N735)&gt;=Parametros!$B$17,TEXT(N735,"#,##0")&amp;" kg ya no los acepta ninguna cadena: venta intermedia/liquidación. ","")&amp;IF(N(M735)&gt;=Parametros!$B$17,TEXT(M735,"#,##0")&amp;" kg a punto de salir del filtro: despachar primero (FEFO). ","")&amp;IF(Y735="SÍ","Pedidos "&amp;IF(N(U735)&gt;0,"sobre","bajo")&amp;" FCST "&amp;TEXT(ABS(N(U735)),"0%")&amp;": revisar forecast con KAM.","")</f>
        <v/>
      </c>
    </row>
    <row r="736" customFormat="false" ht="15" hidden="false" customHeight="false" outlineLevel="0" collapsed="false">
      <c r="A736" s="18" t="n">
        <f aca="false">Stock_Seguridad!A736</f>
        <v>30002032</v>
      </c>
      <c r="B736" s="18" t="str">
        <f aca="false">Stock_Seguridad!B736</f>
        <v>FRUTILLA CONGELADA MM EXP 12X1,02KG</v>
      </c>
      <c r="C736" s="18" t="str">
        <f aca="false">Stock_Seguridad!C736</f>
        <v>FRUTAS Y HORTALIZAS CONGELADAS</v>
      </c>
      <c r="D736" s="18" t="str">
        <f aca="false">Stock_Seguridad!F736</f>
        <v>SIN HIST</v>
      </c>
      <c r="E736" s="19" t="str">
        <f aca="false">Stock_Seguridad!X736</f>
        <v>SIN FCST</v>
      </c>
      <c r="F736" s="20" t="str">
        <f aca="false">Stock_Seguridad!W736</f>
        <v/>
      </c>
      <c r="G736" s="21" t="n">
        <f aca="false">Stock_Seguridad!T736</f>
        <v>5189.8</v>
      </c>
      <c r="H736" s="21" t="n">
        <f aca="false">Stock_Seguridad!R736</f>
        <v>0</v>
      </c>
      <c r="I736" s="21" t="n">
        <f aca="false">Stock_Seguridad!S736</f>
        <v>0</v>
      </c>
      <c r="J736" s="21" t="n">
        <f aca="false">Stock_Seguridad!U736</f>
        <v>0</v>
      </c>
      <c r="K736" s="22"/>
      <c r="L736" s="23" t="n">
        <v>0</v>
      </c>
      <c r="M736" s="23" t="n">
        <v>0</v>
      </c>
      <c r="N736" s="23" t="n">
        <v>0</v>
      </c>
      <c r="O736" s="24" t="n">
        <v>0.050377358490566</v>
      </c>
      <c r="P736" s="24" t="str">
        <f aca="false">IF(ISNUMBER(Stock_Seguridad!N736),Stock_Seguridad!N736,"")</f>
        <v/>
      </c>
      <c r="Q736" s="24" t="str">
        <f aca="false">IF(AND(ISNUMBER(O736),ISNUMBER(P736)),P736-O736,"")</f>
        <v/>
      </c>
      <c r="R736" s="23" t="n">
        <f aca="false">MAX(0,G736-N(L736))</f>
        <v>5189.8</v>
      </c>
      <c r="S736" s="23" t="n">
        <f aca="false">SUMIFS(Cadenas_vs_FCST!$D$17:$D$2437,Cadenas_vs_FCST!$A$17:$A$2437,A736)</f>
        <v>0</v>
      </c>
      <c r="T736" s="23" t="n">
        <f aca="false">SUMIFS(Cadenas_vs_FCST!$E$17:$E$2437,Cadenas_vs_FCST!$A$17:$A$2437,A736)</f>
        <v>0</v>
      </c>
      <c r="U736" s="24" t="str">
        <f aca="false">IF(T736&gt;0,S736/T736-1,"")</f>
        <v/>
      </c>
      <c r="V736" s="3" t="str">
        <f aca="false">IF(OR(E736="BAJO SS",E736="BAJO SS (XLIB CUBRE)"),"SÍ","")</f>
        <v/>
      </c>
      <c r="W736" s="3" t="str">
        <f aca="false">IF(AND(V736="",N(L736)&gt;=Parametros!$B$17,G736&gt;=H736,R736&lt;H736),"SÍ","")</f>
        <v/>
      </c>
      <c r="X736" s="3" t="str">
        <f aca="false">IF(OR(E736="SOBRE MAX VENDIBLE",N(N736)&gt;=Parametros!$B$17,N(M736)&gt;=Parametros!$B$17),"SÍ","")</f>
        <v/>
      </c>
      <c r="Y736" s="3" t="str">
        <f aca="false">IF(AND(ISNUMBER(U736),MAX(S736,T736)&gt;=Parametros!$B$15,ABS(N(U736))&gt;Parametros!$B$14),"SÍ","")</f>
        <v/>
      </c>
      <c r="Z736" s="3" t="n">
        <f aca="false">COUNTIF(V736:Y736,"SÍ")</f>
        <v>0</v>
      </c>
      <c r="AA736" s="3" t="n">
        <f aca="false">(3*(V736="SÍ")+2*(W736="SÍ")+2*(X736="SÍ")+(Y736="SÍ"))*IF(LEFT(D736,1)="A",3,IF(OR(LEFT(D736,1)="B",D736="SIN HIST"),2,1))</f>
        <v>0</v>
      </c>
      <c r="AB736" s="3" t="str">
        <f aca="false">IF(AA736&gt;=9,"1-ALTA",IF(AA736&gt;=4,"2-MEDIA",IF(AA736&gt;0,"3-BAJA","")))</f>
        <v/>
      </c>
      <c r="AC736" s="3" t="str">
        <f aca="false">IF(E736="BAJO SS","Stock + XLIB bajo el SS: riesgo real de quiebre, adelantar producción. ","")&amp;IF(E736="BAJO SS (XLIB CUBRE)","Disponible bajo el SS; depende de liberar "&amp;TEXT(J736,"#,##0")&amp;" kg"&amp;IF(ISNUMBER(K736)," el "&amp;TEXT(K736,"dd-mm"),"")&amp;". ","")&amp;IF(W736="SÍ","Stock parece sano pero "&amp;TEXT(L736,"#,##0")&amp;" kg no pasan filtro "&amp;Stock_Seguridad!O736&amp;": sin ellos queda bajo el SS para esa cadena. ","")&amp;IF(E736="SOBRE MAX VENDIBLE","Sobrestock vs vida útil: frenar producción/activar venta. ","")&amp;IF(N(N736)&gt;=Parametros!$B$17,TEXT(N736,"#,##0")&amp;" kg ya no los acepta ninguna cadena: venta intermedia/liquidación. ","")&amp;IF(N(M736)&gt;=Parametros!$B$17,TEXT(M736,"#,##0")&amp;" kg a punto de salir del filtro: despachar primero (FEFO). ","")&amp;IF(Y736="SÍ","Pedidos "&amp;IF(N(U736)&gt;0,"sobre","bajo")&amp;" FCST "&amp;TEXT(ABS(N(U736)),"0%")&amp;": revisar forecast con KAM.","")</f>
        <v/>
      </c>
    </row>
    <row r="737" customFormat="false" ht="15" hidden="false" customHeight="false" outlineLevel="0" collapsed="false">
      <c r="A737" s="18" t="n">
        <f aca="false">Stock_Seguridad!A737</f>
        <v>30002035</v>
      </c>
      <c r="B737" s="18" t="str">
        <f aca="false">Stock_Seguridad!B737</f>
        <v>MIX BERRIES CONGELADO MM EXP 12X1,02KG</v>
      </c>
      <c r="C737" s="18" t="str">
        <f aca="false">Stock_Seguridad!C737</f>
        <v>FRUTAS Y HORTALIZAS CONGELADAS</v>
      </c>
      <c r="D737" s="18" t="str">
        <f aca="false">Stock_Seguridad!F737</f>
        <v>SIN HIST</v>
      </c>
      <c r="E737" s="19" t="str">
        <f aca="false">Stock_Seguridad!X737</f>
        <v>SIN FCST</v>
      </c>
      <c r="F737" s="20" t="str">
        <f aca="false">Stock_Seguridad!W737</f>
        <v/>
      </c>
      <c r="G737" s="21" t="n">
        <f aca="false">Stock_Seguridad!T737</f>
        <v>5654.9</v>
      </c>
      <c r="H737" s="21" t="n">
        <f aca="false">Stock_Seguridad!R737</f>
        <v>0</v>
      </c>
      <c r="I737" s="21" t="n">
        <f aca="false">Stock_Seguridad!S737</f>
        <v>0</v>
      </c>
      <c r="J737" s="21" t="n">
        <f aca="false">Stock_Seguridad!U737</f>
        <v>0</v>
      </c>
      <c r="K737" s="22"/>
      <c r="L737" s="23" t="n">
        <v>0</v>
      </c>
      <c r="M737" s="23" t="n">
        <v>0</v>
      </c>
      <c r="N737" s="23" t="n">
        <v>0</v>
      </c>
      <c r="O737" s="24" t="n">
        <v>0.0576406926406927</v>
      </c>
      <c r="P737" s="24" t="str">
        <f aca="false">IF(ISNUMBER(Stock_Seguridad!N737),Stock_Seguridad!N737,"")</f>
        <v/>
      </c>
      <c r="Q737" s="24" t="str">
        <f aca="false">IF(AND(ISNUMBER(O737),ISNUMBER(P737)),P737-O737,"")</f>
        <v/>
      </c>
      <c r="R737" s="23" t="n">
        <f aca="false">MAX(0,G737-N(L737))</f>
        <v>5654.9</v>
      </c>
      <c r="S737" s="23" t="n">
        <f aca="false">SUMIFS(Cadenas_vs_FCST!$D$17:$D$2437,Cadenas_vs_FCST!$A$17:$A$2437,A737)</f>
        <v>0</v>
      </c>
      <c r="T737" s="23" t="n">
        <f aca="false">SUMIFS(Cadenas_vs_FCST!$E$17:$E$2437,Cadenas_vs_FCST!$A$17:$A$2437,A737)</f>
        <v>0</v>
      </c>
      <c r="U737" s="24" t="str">
        <f aca="false">IF(T737&gt;0,S737/T737-1,"")</f>
        <v/>
      </c>
      <c r="V737" s="3" t="str">
        <f aca="false">IF(OR(E737="BAJO SS",E737="BAJO SS (XLIB CUBRE)"),"SÍ","")</f>
        <v/>
      </c>
      <c r="W737" s="3" t="str">
        <f aca="false">IF(AND(V737="",N(L737)&gt;=Parametros!$B$17,G737&gt;=H737,R737&lt;H737),"SÍ","")</f>
        <v/>
      </c>
      <c r="X737" s="3" t="str">
        <f aca="false">IF(OR(E737="SOBRE MAX VENDIBLE",N(N737)&gt;=Parametros!$B$17,N(M737)&gt;=Parametros!$B$17),"SÍ","")</f>
        <v/>
      </c>
      <c r="Y737" s="3" t="str">
        <f aca="false">IF(AND(ISNUMBER(U737),MAX(S737,T737)&gt;=Parametros!$B$15,ABS(N(U737))&gt;Parametros!$B$14),"SÍ","")</f>
        <v/>
      </c>
      <c r="Z737" s="3" t="n">
        <f aca="false">COUNTIF(V737:Y737,"SÍ")</f>
        <v>0</v>
      </c>
      <c r="AA737" s="3" t="n">
        <f aca="false">(3*(V737="SÍ")+2*(W737="SÍ")+2*(X737="SÍ")+(Y737="SÍ"))*IF(LEFT(D737,1)="A",3,IF(OR(LEFT(D737,1)="B",D737="SIN HIST"),2,1))</f>
        <v>0</v>
      </c>
      <c r="AB737" s="3" t="str">
        <f aca="false">IF(AA737&gt;=9,"1-ALTA",IF(AA737&gt;=4,"2-MEDIA",IF(AA737&gt;0,"3-BAJA","")))</f>
        <v/>
      </c>
      <c r="AC737" s="3" t="str">
        <f aca="false">IF(E737="BAJO SS","Stock + XLIB bajo el SS: riesgo real de quiebre, adelantar producción. ","")&amp;IF(E737="BAJO SS (XLIB CUBRE)","Disponible bajo el SS; depende de liberar "&amp;TEXT(J737,"#,##0")&amp;" kg"&amp;IF(ISNUMBER(K737)," el "&amp;TEXT(K737,"dd-mm"),"")&amp;". ","")&amp;IF(W737="SÍ","Stock parece sano pero "&amp;TEXT(L737,"#,##0")&amp;" kg no pasan filtro "&amp;Stock_Seguridad!O737&amp;": sin ellos queda bajo el SS para esa cadena. ","")&amp;IF(E737="SOBRE MAX VENDIBLE","Sobrestock vs vida útil: frenar producción/activar venta. ","")&amp;IF(N(N737)&gt;=Parametros!$B$17,TEXT(N737,"#,##0")&amp;" kg ya no los acepta ninguna cadena: venta intermedia/liquidación. ","")&amp;IF(N(M737)&gt;=Parametros!$B$17,TEXT(M737,"#,##0")&amp;" kg a punto de salir del filtro: despachar primero (FEFO). ","")&amp;IF(Y737="SÍ","Pedidos "&amp;IF(N(U737)&gt;0,"sobre","bajo")&amp;" FCST "&amp;TEXT(ABS(N(U737)),"0%")&amp;": revisar forecast con KAM.","")</f>
        <v/>
      </c>
    </row>
    <row r="738" customFormat="false" ht="15" hidden="false" customHeight="false" outlineLevel="0" collapsed="false">
      <c r="A738" s="18" t="n">
        <f aca="false">Stock_Seguridad!A738</f>
        <v>30000395</v>
      </c>
      <c r="B738" s="18" t="str">
        <f aca="false">Stock_Seguridad!B738</f>
        <v>LECHE POLVO CALO CRECER 4+ 10X800GR</v>
      </c>
      <c r="C738" s="18" t="str">
        <f aca="false">Stock_Seguridad!C738</f>
        <v>LECHES EN POLVO</v>
      </c>
      <c r="D738" s="18" t="str">
        <f aca="false">Stock_Seguridad!F738</f>
        <v>CZ</v>
      </c>
      <c r="E738" s="19" t="str">
        <f aca="false">Stock_Seguridad!X738</f>
        <v>SIN FCST</v>
      </c>
      <c r="F738" s="20" t="str">
        <f aca="false">Stock_Seguridad!W738</f>
        <v/>
      </c>
      <c r="G738" s="21" t="n">
        <f aca="false">Stock_Seguridad!T738</f>
        <v>120</v>
      </c>
      <c r="H738" s="21" t="n">
        <f aca="false">Stock_Seguridad!R738</f>
        <v>0</v>
      </c>
      <c r="I738" s="21" t="n">
        <f aca="false">Stock_Seguridad!S738</f>
        <v>0</v>
      </c>
      <c r="J738" s="21" t="n">
        <f aca="false">Stock_Seguridad!U738</f>
        <v>0</v>
      </c>
      <c r="K738" s="22"/>
      <c r="L738" s="23" t="n">
        <v>120</v>
      </c>
      <c r="M738" s="23" t="n">
        <v>0</v>
      </c>
      <c r="N738" s="23" t="n">
        <v>96</v>
      </c>
      <c r="O738" s="24" t="n">
        <v>0.518</v>
      </c>
      <c r="P738" s="24" t="n">
        <f aca="false">IF(ISNUMBER(Stock_Seguridad!N738),Stock_Seguridad!N738,"")</f>
        <v>0.32054794520548</v>
      </c>
      <c r="Q738" s="24" t="n">
        <f aca="false">IF(AND(ISNUMBER(O738),ISNUMBER(P738)),P738-O738,"")</f>
        <v>-0.197452054794521</v>
      </c>
      <c r="R738" s="23" t="n">
        <f aca="false">MAX(0,G738-N(L738))</f>
        <v>0</v>
      </c>
      <c r="S738" s="23" t="n">
        <f aca="false">SUMIFS(Cadenas_vs_FCST!$D$17:$D$2437,Cadenas_vs_FCST!$A$17:$A$2437,A738)</f>
        <v>0</v>
      </c>
      <c r="T738" s="23" t="n">
        <f aca="false">SUMIFS(Cadenas_vs_FCST!$E$17:$E$2437,Cadenas_vs_FCST!$A$17:$A$2437,A738)</f>
        <v>0</v>
      </c>
      <c r="U738" s="24" t="str">
        <f aca="false">IF(T738&gt;0,S738/T738-1,"")</f>
        <v/>
      </c>
      <c r="V738" s="3" t="str">
        <f aca="false">IF(OR(E738="BAJO SS",E738="BAJO SS (XLIB CUBRE)"),"SÍ","")</f>
        <v/>
      </c>
      <c r="W738" s="3" t="str">
        <f aca="false">IF(AND(V738="",N(L738)&gt;=Parametros!$B$17,G738&gt;=H738,R738&lt;H738),"SÍ","")</f>
        <v/>
      </c>
      <c r="X738" s="3" t="str">
        <f aca="false">IF(OR(E738="SOBRE MAX VENDIBLE",N(N738)&gt;=Parametros!$B$17,N(M738)&gt;=Parametros!$B$17),"SÍ","")</f>
        <v/>
      </c>
      <c r="Y738" s="3" t="str">
        <f aca="false">IF(AND(ISNUMBER(U738),MAX(S738,T738)&gt;=Parametros!$B$15,ABS(N(U738))&gt;Parametros!$B$14),"SÍ","")</f>
        <v/>
      </c>
      <c r="Z738" s="3" t="n">
        <f aca="false">COUNTIF(V738:Y738,"SÍ")</f>
        <v>0</v>
      </c>
      <c r="AA738" s="3" t="n">
        <f aca="false">(3*(V738="SÍ")+2*(W738="SÍ")+2*(X738="SÍ")+(Y738="SÍ"))*IF(LEFT(D738,1)="A",3,IF(OR(LEFT(D738,1)="B",D738="SIN HIST"),2,1))</f>
        <v>0</v>
      </c>
      <c r="AB738" s="3" t="str">
        <f aca="false">IF(AA738&gt;=9,"1-ALTA",IF(AA738&gt;=4,"2-MEDIA",IF(AA738&gt;0,"3-BAJA","")))</f>
        <v/>
      </c>
      <c r="AC738" s="3" t="str">
        <f aca="false">IF(E738="BAJO SS","Stock + XLIB bajo el SS: riesgo real de quiebre, adelantar producción. ","")&amp;IF(E738="BAJO SS (XLIB CUBRE)","Disponible bajo el SS; depende de liberar "&amp;TEXT(J738,"#,##0")&amp;" kg"&amp;IF(ISNUMBER(K738)," el "&amp;TEXT(K738,"dd-mm"),"")&amp;". ","")&amp;IF(W738="SÍ","Stock parece sano pero "&amp;TEXT(L738,"#,##0")&amp;" kg no pasan filtro "&amp;Stock_Seguridad!O738&amp;": sin ellos queda bajo el SS para esa cadena. ","")&amp;IF(E738="SOBRE MAX VENDIBLE","Sobrestock vs vida útil: frenar producción/activar venta. ","")&amp;IF(N(N738)&gt;=Parametros!$B$17,TEXT(N738,"#,##0")&amp;" kg ya no los acepta ninguna cadena: venta intermedia/liquidación. ","")&amp;IF(N(M738)&gt;=Parametros!$B$17,TEXT(M738,"#,##0")&amp;" kg a punto de salir del filtro: despachar primero (FEFO). ","")&amp;IF(Y738="SÍ","Pedidos "&amp;IF(N(U738)&gt;0,"sobre","bajo")&amp;" FCST "&amp;TEXT(ABS(N(U738)),"0%")&amp;": revisar forecast con KAM.","")</f>
        <v/>
      </c>
    </row>
    <row r="739" customFormat="false" ht="15" hidden="false" customHeight="false" outlineLevel="0" collapsed="false">
      <c r="A739" s="18" t="n">
        <f aca="false">Stock_Seguridad!A739</f>
        <v>30000593</v>
      </c>
      <c r="B739" s="18" t="str">
        <f aca="false">Stock_Seguridad!B739</f>
        <v>ESPUMANTE STA CAROLINA DEMI RRP 6X750ML</v>
      </c>
      <c r="C739" s="18" t="str">
        <f aca="false">Stock_Seguridad!C739</f>
        <v>ESPUMANTE</v>
      </c>
      <c r="D739" s="18" t="str">
        <f aca="false">Stock_Seguridad!F739</f>
        <v>SIN HIST</v>
      </c>
      <c r="E739" s="19" t="str">
        <f aca="false">Stock_Seguridad!X739</f>
        <v>SIN FCST</v>
      </c>
      <c r="F739" s="20" t="str">
        <f aca="false">Stock_Seguridad!W739</f>
        <v/>
      </c>
      <c r="G739" s="21" t="n">
        <f aca="false">Stock_Seguridad!T739</f>
        <v>6228</v>
      </c>
      <c r="H739" s="21" t="n">
        <f aca="false">Stock_Seguridad!R739</f>
        <v>0</v>
      </c>
      <c r="I739" s="21" t="n">
        <f aca="false">Stock_Seguridad!S739</f>
        <v>0</v>
      </c>
      <c r="J739" s="21" t="n">
        <f aca="false">Stock_Seguridad!U739</f>
        <v>0</v>
      </c>
      <c r="K739" s="22"/>
      <c r="L739" s="23" t="n">
        <v>0</v>
      </c>
      <c r="M739" s="23" t="n">
        <v>0</v>
      </c>
      <c r="N739" s="23" t="n">
        <v>0</v>
      </c>
      <c r="O739" s="24" t="n">
        <v>0.0722615606936416</v>
      </c>
      <c r="P739" s="24" t="str">
        <f aca="false">IF(ISNUMBER(Stock_Seguridad!N739),Stock_Seguridad!N739,"")</f>
        <v/>
      </c>
      <c r="Q739" s="24" t="str">
        <f aca="false">IF(AND(ISNUMBER(O739),ISNUMBER(P739)),P739-O739,"")</f>
        <v/>
      </c>
      <c r="R739" s="23" t="n">
        <f aca="false">MAX(0,G739-N(L739))</f>
        <v>6228</v>
      </c>
      <c r="S739" s="23" t="n">
        <f aca="false">SUMIFS(Cadenas_vs_FCST!$D$17:$D$2437,Cadenas_vs_FCST!$A$17:$A$2437,A739)</f>
        <v>0</v>
      </c>
      <c r="T739" s="23" t="n">
        <f aca="false">SUMIFS(Cadenas_vs_FCST!$E$17:$E$2437,Cadenas_vs_FCST!$A$17:$A$2437,A739)</f>
        <v>0</v>
      </c>
      <c r="U739" s="24" t="str">
        <f aca="false">IF(T739&gt;0,S739/T739-1,"")</f>
        <v/>
      </c>
      <c r="V739" s="3" t="str">
        <f aca="false">IF(OR(E739="BAJO SS",E739="BAJO SS (XLIB CUBRE)"),"SÍ","")</f>
        <v/>
      </c>
      <c r="W739" s="3" t="str">
        <f aca="false">IF(AND(V739="",N(L739)&gt;=Parametros!$B$17,G739&gt;=H739,R739&lt;H739),"SÍ","")</f>
        <v/>
      </c>
      <c r="X739" s="3" t="str">
        <f aca="false">IF(OR(E739="SOBRE MAX VENDIBLE",N(N739)&gt;=Parametros!$B$17,N(M739)&gt;=Parametros!$B$17),"SÍ","")</f>
        <v/>
      </c>
      <c r="Y739" s="3" t="str">
        <f aca="false">IF(AND(ISNUMBER(U739),MAX(S739,T739)&gt;=Parametros!$B$15,ABS(N(U739))&gt;Parametros!$B$14),"SÍ","")</f>
        <v/>
      </c>
      <c r="Z739" s="3" t="n">
        <f aca="false">COUNTIF(V739:Y739,"SÍ")</f>
        <v>0</v>
      </c>
      <c r="AA739" s="3" t="n">
        <f aca="false">(3*(V739="SÍ")+2*(W739="SÍ")+2*(X739="SÍ")+(Y739="SÍ"))*IF(LEFT(D739,1)="A",3,IF(OR(LEFT(D739,1)="B",D739="SIN HIST"),2,1))</f>
        <v>0</v>
      </c>
      <c r="AB739" s="3" t="str">
        <f aca="false">IF(AA739&gt;=9,"1-ALTA",IF(AA739&gt;=4,"2-MEDIA",IF(AA739&gt;0,"3-BAJA","")))</f>
        <v/>
      </c>
      <c r="AC739" s="3" t="str">
        <f aca="false">IF(E739="BAJO SS","Stock + XLIB bajo el SS: riesgo real de quiebre, adelantar producción. ","")&amp;IF(E739="BAJO SS (XLIB CUBRE)","Disponible bajo el SS; depende de liberar "&amp;TEXT(J739,"#,##0")&amp;" kg"&amp;IF(ISNUMBER(K739)," el "&amp;TEXT(K739,"dd-mm"),"")&amp;". ","")&amp;IF(W739="SÍ","Stock parece sano pero "&amp;TEXT(L739,"#,##0")&amp;" kg no pasan filtro "&amp;Stock_Seguridad!O739&amp;": sin ellos queda bajo el SS para esa cadena. ","")&amp;IF(E739="SOBRE MAX VENDIBLE","Sobrestock vs vida útil: frenar producción/activar venta. ","")&amp;IF(N(N739)&gt;=Parametros!$B$17,TEXT(N739,"#,##0")&amp;" kg ya no los acepta ninguna cadena: venta intermedia/liquidación. ","")&amp;IF(N(M739)&gt;=Parametros!$B$17,TEXT(M739,"#,##0")&amp;" kg a punto de salir del filtro: despachar primero (FEFO). ","")&amp;IF(Y739="SÍ","Pedidos "&amp;IF(N(U739)&gt;0,"sobre","bajo")&amp;" FCST "&amp;TEXT(ABS(N(U739)),"0%")&amp;": revisar forecast con KAM.","")</f>
        <v/>
      </c>
    </row>
    <row r="740" customFormat="false" ht="15" hidden="false" customHeight="false" outlineLevel="0" collapsed="false">
      <c r="A740" s="18" t="n">
        <f aca="false">Stock_Seguridad!A740</f>
        <v>30001948</v>
      </c>
      <c r="B740" s="18" t="str">
        <f aca="false">Stock_Seguridad!B740</f>
        <v>VINO STA CARO FRZ ROSE NAC TR23 6X750CC</v>
      </c>
      <c r="C740" s="18" t="str">
        <f aca="false">Stock_Seguridad!C740</f>
        <v>ESPUMANTE</v>
      </c>
      <c r="D740" s="18" t="str">
        <f aca="false">Stock_Seguridad!F740</f>
        <v>SIN HIST</v>
      </c>
      <c r="E740" s="19" t="str">
        <f aca="false">Stock_Seguridad!X740</f>
        <v>SIN FCST</v>
      </c>
      <c r="F740" s="20" t="str">
        <f aca="false">Stock_Seguridad!W740</f>
        <v/>
      </c>
      <c r="G740" s="21" t="n">
        <f aca="false">Stock_Seguridad!T740</f>
        <v>742.5</v>
      </c>
      <c r="H740" s="21" t="n">
        <f aca="false">Stock_Seguridad!R740</f>
        <v>0</v>
      </c>
      <c r="I740" s="21" t="n">
        <f aca="false">Stock_Seguridad!S740</f>
        <v>0</v>
      </c>
      <c r="J740" s="21" t="n">
        <f aca="false">Stock_Seguridad!U740</f>
        <v>0</v>
      </c>
      <c r="K740" s="22"/>
      <c r="L740" s="23" t="n">
        <v>0</v>
      </c>
      <c r="M740" s="23" t="n">
        <v>0</v>
      </c>
      <c r="N740" s="23" t="n">
        <v>0</v>
      </c>
      <c r="O740" s="24" t="n">
        <v>0.197575757575758</v>
      </c>
      <c r="P740" s="24" t="str">
        <f aca="false">IF(ISNUMBER(Stock_Seguridad!N740),Stock_Seguridad!N740,"")</f>
        <v/>
      </c>
      <c r="Q740" s="24" t="str">
        <f aca="false">IF(AND(ISNUMBER(O740),ISNUMBER(P740)),P740-O740,"")</f>
        <v/>
      </c>
      <c r="R740" s="23" t="n">
        <f aca="false">MAX(0,G740-N(L740))</f>
        <v>742.5</v>
      </c>
      <c r="S740" s="23" t="n">
        <f aca="false">SUMIFS(Cadenas_vs_FCST!$D$17:$D$2437,Cadenas_vs_FCST!$A$17:$A$2437,A740)</f>
        <v>0</v>
      </c>
      <c r="T740" s="23" t="n">
        <f aca="false">SUMIFS(Cadenas_vs_FCST!$E$17:$E$2437,Cadenas_vs_FCST!$A$17:$A$2437,A740)</f>
        <v>0</v>
      </c>
      <c r="U740" s="24" t="str">
        <f aca="false">IF(T740&gt;0,S740/T740-1,"")</f>
        <v/>
      </c>
      <c r="V740" s="3" t="str">
        <f aca="false">IF(OR(E740="BAJO SS",E740="BAJO SS (XLIB CUBRE)"),"SÍ","")</f>
        <v/>
      </c>
      <c r="W740" s="3" t="str">
        <f aca="false">IF(AND(V740="",N(L740)&gt;=Parametros!$B$17,G740&gt;=H740,R740&lt;H740),"SÍ","")</f>
        <v/>
      </c>
      <c r="X740" s="3" t="str">
        <f aca="false">IF(OR(E740="SOBRE MAX VENDIBLE",N(N740)&gt;=Parametros!$B$17,N(M740)&gt;=Parametros!$B$17),"SÍ","")</f>
        <v/>
      </c>
      <c r="Y740" s="3" t="str">
        <f aca="false">IF(AND(ISNUMBER(U740),MAX(S740,T740)&gt;=Parametros!$B$15,ABS(N(U740))&gt;Parametros!$B$14),"SÍ","")</f>
        <v/>
      </c>
      <c r="Z740" s="3" t="n">
        <f aca="false">COUNTIF(V740:Y740,"SÍ")</f>
        <v>0</v>
      </c>
      <c r="AA740" s="3" t="n">
        <f aca="false">(3*(V740="SÍ")+2*(W740="SÍ")+2*(X740="SÍ")+(Y740="SÍ"))*IF(LEFT(D740,1)="A",3,IF(OR(LEFT(D740,1)="B",D740="SIN HIST"),2,1))</f>
        <v>0</v>
      </c>
      <c r="AB740" s="3" t="str">
        <f aca="false">IF(AA740&gt;=9,"1-ALTA",IF(AA740&gt;=4,"2-MEDIA",IF(AA740&gt;0,"3-BAJA","")))</f>
        <v/>
      </c>
      <c r="AC740" s="3" t="str">
        <f aca="false">IF(E740="BAJO SS","Stock + XLIB bajo el SS: riesgo real de quiebre, adelantar producción. ","")&amp;IF(E740="BAJO SS (XLIB CUBRE)","Disponible bajo el SS; depende de liberar "&amp;TEXT(J740,"#,##0")&amp;" kg"&amp;IF(ISNUMBER(K740)," el "&amp;TEXT(K740,"dd-mm"),"")&amp;". ","")&amp;IF(W740="SÍ","Stock parece sano pero "&amp;TEXT(L740,"#,##0")&amp;" kg no pasan filtro "&amp;Stock_Seguridad!O740&amp;": sin ellos queda bajo el SS para esa cadena. ","")&amp;IF(E740="SOBRE MAX VENDIBLE","Sobrestock vs vida útil: frenar producción/activar venta. ","")&amp;IF(N(N740)&gt;=Parametros!$B$17,TEXT(N740,"#,##0")&amp;" kg ya no los acepta ninguna cadena: venta intermedia/liquidación. ","")&amp;IF(N(M740)&gt;=Parametros!$B$17,TEXT(M740,"#,##0")&amp;" kg a punto de salir del filtro: despachar primero (FEFO). ","")&amp;IF(Y740="SÍ","Pedidos "&amp;IF(N(U740)&gt;0,"sobre","bajo")&amp;" FCST "&amp;TEXT(ABS(N(U740)),"0%")&amp;": revisar forecast con KAM.","")</f>
        <v/>
      </c>
    </row>
    <row r="741" customFormat="false" ht="15" hidden="false" customHeight="false" outlineLevel="0" collapsed="false">
      <c r="A741" s="18" t="n">
        <f aca="false">Stock_Seguridad!A741</f>
        <v>30001950</v>
      </c>
      <c r="B741" s="18" t="str">
        <f aca="false">Stock_Seguridad!B741</f>
        <v>VINO STA CARO RSV BLCO NAC TR23 6X750CC</v>
      </c>
      <c r="C741" s="18" t="str">
        <f aca="false">Stock_Seguridad!C741</f>
        <v>ESPUMANTE</v>
      </c>
      <c r="D741" s="18" t="str">
        <f aca="false">Stock_Seguridad!F741</f>
        <v>SIN HIST</v>
      </c>
      <c r="E741" s="19" t="str">
        <f aca="false">Stock_Seguridad!X741</f>
        <v>SIN FCST</v>
      </c>
      <c r="F741" s="20" t="str">
        <f aca="false">Stock_Seguridad!W741</f>
        <v/>
      </c>
      <c r="G741" s="21" t="n">
        <f aca="false">Stock_Seguridad!T741</f>
        <v>841.5</v>
      </c>
      <c r="H741" s="21" t="n">
        <f aca="false">Stock_Seguridad!R741</f>
        <v>0</v>
      </c>
      <c r="I741" s="21" t="n">
        <f aca="false">Stock_Seguridad!S741</f>
        <v>0</v>
      </c>
      <c r="J741" s="21" t="n">
        <f aca="false">Stock_Seguridad!U741</f>
        <v>0</v>
      </c>
      <c r="K741" s="22"/>
      <c r="L741" s="23" t="n">
        <v>0</v>
      </c>
      <c r="M741" s="23" t="n">
        <v>0</v>
      </c>
      <c r="N741" s="23" t="n">
        <v>0</v>
      </c>
      <c r="O741" s="24" t="n">
        <v>0.367219251336898</v>
      </c>
      <c r="P741" s="24" t="str">
        <f aca="false">IF(ISNUMBER(Stock_Seguridad!N741),Stock_Seguridad!N741,"")</f>
        <v/>
      </c>
      <c r="Q741" s="24" t="str">
        <f aca="false">IF(AND(ISNUMBER(O741),ISNUMBER(P741)),P741-O741,"")</f>
        <v/>
      </c>
      <c r="R741" s="23" t="n">
        <f aca="false">MAX(0,G741-N(L741))</f>
        <v>841.5</v>
      </c>
      <c r="S741" s="23" t="n">
        <f aca="false">SUMIFS(Cadenas_vs_FCST!$D$17:$D$2437,Cadenas_vs_FCST!$A$17:$A$2437,A741)</f>
        <v>0</v>
      </c>
      <c r="T741" s="23" t="n">
        <f aca="false">SUMIFS(Cadenas_vs_FCST!$E$17:$E$2437,Cadenas_vs_FCST!$A$17:$A$2437,A741)</f>
        <v>0</v>
      </c>
      <c r="U741" s="24" t="str">
        <f aca="false">IF(T741&gt;0,S741/T741-1,"")</f>
        <v/>
      </c>
      <c r="V741" s="3" t="str">
        <f aca="false">IF(OR(E741="BAJO SS",E741="BAJO SS (XLIB CUBRE)"),"SÍ","")</f>
        <v/>
      </c>
      <c r="W741" s="3" t="str">
        <f aca="false">IF(AND(V741="",N(L741)&gt;=Parametros!$B$17,G741&gt;=H741,R741&lt;H741),"SÍ","")</f>
        <v/>
      </c>
      <c r="X741" s="3" t="str">
        <f aca="false">IF(OR(E741="SOBRE MAX VENDIBLE",N(N741)&gt;=Parametros!$B$17,N(M741)&gt;=Parametros!$B$17),"SÍ","")</f>
        <v/>
      </c>
      <c r="Y741" s="3" t="str">
        <f aca="false">IF(AND(ISNUMBER(U741),MAX(S741,T741)&gt;=Parametros!$B$15,ABS(N(U741))&gt;Parametros!$B$14),"SÍ","")</f>
        <v/>
      </c>
      <c r="Z741" s="3" t="n">
        <f aca="false">COUNTIF(V741:Y741,"SÍ")</f>
        <v>0</v>
      </c>
      <c r="AA741" s="3" t="n">
        <f aca="false">(3*(V741="SÍ")+2*(W741="SÍ")+2*(X741="SÍ")+(Y741="SÍ"))*IF(LEFT(D741,1)="A",3,IF(OR(LEFT(D741,1)="B",D741="SIN HIST"),2,1))</f>
        <v>0</v>
      </c>
      <c r="AB741" s="3" t="str">
        <f aca="false">IF(AA741&gt;=9,"1-ALTA",IF(AA741&gt;=4,"2-MEDIA",IF(AA741&gt;0,"3-BAJA","")))</f>
        <v/>
      </c>
      <c r="AC741" s="3" t="str">
        <f aca="false">IF(E741="BAJO SS","Stock + XLIB bajo el SS: riesgo real de quiebre, adelantar producción. ","")&amp;IF(E741="BAJO SS (XLIB CUBRE)","Disponible bajo el SS; depende de liberar "&amp;TEXT(J741,"#,##0")&amp;" kg"&amp;IF(ISNUMBER(K741)," el "&amp;TEXT(K741,"dd-mm"),"")&amp;". ","")&amp;IF(W741="SÍ","Stock parece sano pero "&amp;TEXT(L741,"#,##0")&amp;" kg no pasan filtro "&amp;Stock_Seguridad!O741&amp;": sin ellos queda bajo el SS para esa cadena. ","")&amp;IF(E741="SOBRE MAX VENDIBLE","Sobrestock vs vida útil: frenar producción/activar venta. ","")&amp;IF(N(N741)&gt;=Parametros!$B$17,TEXT(N741,"#,##0")&amp;" kg ya no los acepta ninguna cadena: venta intermedia/liquidación. ","")&amp;IF(N(M741)&gt;=Parametros!$B$17,TEXT(M741,"#,##0")&amp;" kg a punto de salir del filtro: despachar primero (FEFO). ","")&amp;IF(Y741="SÍ","Pedidos "&amp;IF(N(U741)&gt;0,"sobre","bajo")&amp;" FCST "&amp;TEXT(ABS(N(U741)),"0%")&amp;": revisar forecast con KAM.","")</f>
        <v/>
      </c>
    </row>
    <row r="742" customFormat="false" ht="15" hidden="false" customHeight="false" outlineLevel="0" collapsed="false">
      <c r="A742" s="18" t="n">
        <f aca="false">Stock_Seguridad!A742</f>
        <v>30001949</v>
      </c>
      <c r="B742" s="18" t="str">
        <f aca="false">Stock_Seguridad!B742</f>
        <v>VINO STA CARO FRZ BLCO NAC TR23 6X750CC</v>
      </c>
      <c r="C742" s="18" t="str">
        <f aca="false">Stock_Seguridad!C742</f>
        <v>ESPUMANTE</v>
      </c>
      <c r="D742" s="18" t="str">
        <f aca="false">Stock_Seguridad!F742</f>
        <v>SIN HIST</v>
      </c>
      <c r="E742" s="19" t="str">
        <f aca="false">Stock_Seguridad!X742</f>
        <v>SIN FCST</v>
      </c>
      <c r="F742" s="20" t="str">
        <f aca="false">Stock_Seguridad!W742</f>
        <v/>
      </c>
      <c r="G742" s="21" t="n">
        <f aca="false">Stock_Seguridad!T742</f>
        <v>490.5</v>
      </c>
      <c r="H742" s="21" t="n">
        <f aca="false">Stock_Seguridad!R742</f>
        <v>0</v>
      </c>
      <c r="I742" s="21" t="n">
        <f aca="false">Stock_Seguridad!S742</f>
        <v>0</v>
      </c>
      <c r="J742" s="21" t="n">
        <f aca="false">Stock_Seguridad!U742</f>
        <v>0</v>
      </c>
      <c r="K742" s="22"/>
      <c r="L742" s="23" t="n">
        <v>0</v>
      </c>
      <c r="M742" s="23" t="n">
        <v>0</v>
      </c>
      <c r="N742" s="23" t="n">
        <v>0</v>
      </c>
      <c r="O742" s="24" t="n">
        <v>0.211284403669725</v>
      </c>
      <c r="P742" s="24" t="str">
        <f aca="false">IF(ISNUMBER(Stock_Seguridad!N742),Stock_Seguridad!N742,"")</f>
        <v/>
      </c>
      <c r="Q742" s="24" t="str">
        <f aca="false">IF(AND(ISNUMBER(O742),ISNUMBER(P742)),P742-O742,"")</f>
        <v/>
      </c>
      <c r="R742" s="23" t="n">
        <f aca="false">MAX(0,G742-N(L742))</f>
        <v>490.5</v>
      </c>
      <c r="S742" s="23" t="n">
        <f aca="false">SUMIFS(Cadenas_vs_FCST!$D$17:$D$2437,Cadenas_vs_FCST!$A$17:$A$2437,A742)</f>
        <v>0</v>
      </c>
      <c r="T742" s="23" t="n">
        <f aca="false">SUMIFS(Cadenas_vs_FCST!$E$17:$E$2437,Cadenas_vs_FCST!$A$17:$A$2437,A742)</f>
        <v>0</v>
      </c>
      <c r="U742" s="24" t="str">
        <f aca="false">IF(T742&gt;0,S742/T742-1,"")</f>
        <v/>
      </c>
      <c r="V742" s="3" t="str">
        <f aca="false">IF(OR(E742="BAJO SS",E742="BAJO SS (XLIB CUBRE)"),"SÍ","")</f>
        <v/>
      </c>
      <c r="W742" s="3" t="str">
        <f aca="false">IF(AND(V742="",N(L742)&gt;=Parametros!$B$17,G742&gt;=H742,R742&lt;H742),"SÍ","")</f>
        <v/>
      </c>
      <c r="X742" s="3" t="str">
        <f aca="false">IF(OR(E742="SOBRE MAX VENDIBLE",N(N742)&gt;=Parametros!$B$17,N(M742)&gt;=Parametros!$B$17),"SÍ","")</f>
        <v/>
      </c>
      <c r="Y742" s="3" t="str">
        <f aca="false">IF(AND(ISNUMBER(U742),MAX(S742,T742)&gt;=Parametros!$B$15,ABS(N(U742))&gt;Parametros!$B$14),"SÍ","")</f>
        <v/>
      </c>
      <c r="Z742" s="3" t="n">
        <f aca="false">COUNTIF(V742:Y742,"SÍ")</f>
        <v>0</v>
      </c>
      <c r="AA742" s="3" t="n">
        <f aca="false">(3*(V742="SÍ")+2*(W742="SÍ")+2*(X742="SÍ")+(Y742="SÍ"))*IF(LEFT(D742,1)="A",3,IF(OR(LEFT(D742,1)="B",D742="SIN HIST"),2,1))</f>
        <v>0</v>
      </c>
      <c r="AB742" s="3" t="str">
        <f aca="false">IF(AA742&gt;=9,"1-ALTA",IF(AA742&gt;=4,"2-MEDIA",IF(AA742&gt;0,"3-BAJA","")))</f>
        <v/>
      </c>
      <c r="AC742" s="3" t="str">
        <f aca="false">IF(E742="BAJO SS","Stock + XLIB bajo el SS: riesgo real de quiebre, adelantar producción. ","")&amp;IF(E742="BAJO SS (XLIB CUBRE)","Disponible bajo el SS; depende de liberar "&amp;TEXT(J742,"#,##0")&amp;" kg"&amp;IF(ISNUMBER(K742)," el "&amp;TEXT(K742,"dd-mm"),"")&amp;". ","")&amp;IF(W742="SÍ","Stock parece sano pero "&amp;TEXT(L742,"#,##0")&amp;" kg no pasan filtro "&amp;Stock_Seguridad!O742&amp;": sin ellos queda bajo el SS para esa cadena. ","")&amp;IF(E742="SOBRE MAX VENDIBLE","Sobrestock vs vida útil: frenar producción/activar venta. ","")&amp;IF(N(N742)&gt;=Parametros!$B$17,TEXT(N742,"#,##0")&amp;" kg ya no los acepta ninguna cadena: venta intermedia/liquidación. ","")&amp;IF(N(M742)&gt;=Parametros!$B$17,TEXT(M742,"#,##0")&amp;" kg a punto de salir del filtro: despachar primero (FEFO). ","")&amp;IF(Y742="SÍ","Pedidos "&amp;IF(N(U742)&gt;0,"sobre","bajo")&amp;" FCST "&amp;TEXT(ABS(N(U742)),"0%")&amp;": revisar forecast con KAM.","")</f>
        <v/>
      </c>
    </row>
    <row r="743" customFormat="false" ht="15" hidden="false" customHeight="false" outlineLevel="0" collapsed="false">
      <c r="A743" s="18" t="n">
        <f aca="false">Stock_Seguridad!A743</f>
        <v>30001951</v>
      </c>
      <c r="B743" s="18" t="str">
        <f aca="false">Stock_Seguridad!B743</f>
        <v>VINO STA CARO RSV TTO NAC TR23 6X750CC</v>
      </c>
      <c r="C743" s="18" t="str">
        <f aca="false">Stock_Seguridad!C743</f>
        <v>ESPUMANTE</v>
      </c>
      <c r="D743" s="18" t="str">
        <f aca="false">Stock_Seguridad!F743</f>
        <v>SIN HIST</v>
      </c>
      <c r="E743" s="19" t="str">
        <f aca="false">Stock_Seguridad!X743</f>
        <v>SIN FCST</v>
      </c>
      <c r="F743" s="20" t="str">
        <f aca="false">Stock_Seguridad!W743</f>
        <v/>
      </c>
      <c r="G743" s="21" t="n">
        <f aca="false">Stock_Seguridad!T743</f>
        <v>594</v>
      </c>
      <c r="H743" s="21" t="n">
        <f aca="false">Stock_Seguridad!R743</f>
        <v>0</v>
      </c>
      <c r="I743" s="21" t="n">
        <f aca="false">Stock_Seguridad!S743</f>
        <v>0</v>
      </c>
      <c r="J743" s="21" t="n">
        <f aca="false">Stock_Seguridad!U743</f>
        <v>0</v>
      </c>
      <c r="K743" s="22"/>
      <c r="L743" s="23" t="n">
        <v>0</v>
      </c>
      <c r="M743" s="23" t="n">
        <v>0</v>
      </c>
      <c r="N743" s="23" t="n">
        <v>0</v>
      </c>
      <c r="O743" s="24" t="n">
        <v>0.250757575757576</v>
      </c>
      <c r="P743" s="24" t="str">
        <f aca="false">IF(ISNUMBER(Stock_Seguridad!N743),Stock_Seguridad!N743,"")</f>
        <v/>
      </c>
      <c r="Q743" s="24" t="str">
        <f aca="false">IF(AND(ISNUMBER(O743),ISNUMBER(P743)),P743-O743,"")</f>
        <v/>
      </c>
      <c r="R743" s="23" t="n">
        <f aca="false">MAX(0,G743-N(L743))</f>
        <v>594</v>
      </c>
      <c r="S743" s="23" t="n">
        <f aca="false">SUMIFS(Cadenas_vs_FCST!$D$17:$D$2437,Cadenas_vs_FCST!$A$17:$A$2437,A743)</f>
        <v>0</v>
      </c>
      <c r="T743" s="23" t="n">
        <f aca="false">SUMIFS(Cadenas_vs_FCST!$E$17:$E$2437,Cadenas_vs_FCST!$A$17:$A$2437,A743)</f>
        <v>0</v>
      </c>
      <c r="U743" s="24" t="str">
        <f aca="false">IF(T743&gt;0,S743/T743-1,"")</f>
        <v/>
      </c>
      <c r="V743" s="3" t="str">
        <f aca="false">IF(OR(E743="BAJO SS",E743="BAJO SS (XLIB CUBRE)"),"SÍ","")</f>
        <v/>
      </c>
      <c r="W743" s="3" t="str">
        <f aca="false">IF(AND(V743="",N(L743)&gt;=Parametros!$B$17,G743&gt;=H743,R743&lt;H743),"SÍ","")</f>
        <v/>
      </c>
      <c r="X743" s="3" t="str">
        <f aca="false">IF(OR(E743="SOBRE MAX VENDIBLE",N(N743)&gt;=Parametros!$B$17,N(M743)&gt;=Parametros!$B$17),"SÍ","")</f>
        <v/>
      </c>
      <c r="Y743" s="3" t="str">
        <f aca="false">IF(AND(ISNUMBER(U743),MAX(S743,T743)&gt;=Parametros!$B$15,ABS(N(U743))&gt;Parametros!$B$14),"SÍ","")</f>
        <v/>
      </c>
      <c r="Z743" s="3" t="n">
        <f aca="false">COUNTIF(V743:Y743,"SÍ")</f>
        <v>0</v>
      </c>
      <c r="AA743" s="3" t="n">
        <f aca="false">(3*(V743="SÍ")+2*(W743="SÍ")+2*(X743="SÍ")+(Y743="SÍ"))*IF(LEFT(D743,1)="A",3,IF(OR(LEFT(D743,1)="B",D743="SIN HIST"),2,1))</f>
        <v>0</v>
      </c>
      <c r="AB743" s="3" t="str">
        <f aca="false">IF(AA743&gt;=9,"1-ALTA",IF(AA743&gt;=4,"2-MEDIA",IF(AA743&gt;0,"3-BAJA","")))</f>
        <v/>
      </c>
      <c r="AC743" s="3" t="str">
        <f aca="false">IF(E743="BAJO SS","Stock + XLIB bajo el SS: riesgo real de quiebre, adelantar producción. ","")&amp;IF(E743="BAJO SS (XLIB CUBRE)","Disponible bajo el SS; depende de liberar "&amp;TEXT(J743,"#,##0")&amp;" kg"&amp;IF(ISNUMBER(K743)," el "&amp;TEXT(K743,"dd-mm"),"")&amp;". ","")&amp;IF(W743="SÍ","Stock parece sano pero "&amp;TEXT(L743,"#,##0")&amp;" kg no pasan filtro "&amp;Stock_Seguridad!O743&amp;": sin ellos queda bajo el SS para esa cadena. ","")&amp;IF(E743="SOBRE MAX VENDIBLE","Sobrestock vs vida útil: frenar producción/activar venta. ","")&amp;IF(N(N743)&gt;=Parametros!$B$17,TEXT(N743,"#,##0")&amp;" kg ya no los acepta ninguna cadena: venta intermedia/liquidación. ","")&amp;IF(N(M743)&gt;=Parametros!$B$17,TEXT(M743,"#,##0")&amp;" kg a punto de salir del filtro: despachar primero (FEFO). ","")&amp;IF(Y743="SÍ","Pedidos "&amp;IF(N(U743)&gt;0,"sobre","bajo")&amp;" FCST "&amp;TEXT(ABS(N(U743)),"0%")&amp;": revisar forecast con KAM.","")</f>
        <v/>
      </c>
    </row>
    <row r="744" customFormat="false" ht="15" hidden="false" customHeight="false" outlineLevel="0" collapsed="false">
      <c r="A744" s="18" t="n">
        <f aca="false">Stock_Seguridad!A744</f>
        <v>30001744</v>
      </c>
      <c r="B744" s="18" t="str">
        <f aca="false">Stock_Seguridad!B744</f>
        <v>POUCH WATTS HALLOWEEN PERA 36X90GR</v>
      </c>
      <c r="C744" s="18" t="str">
        <f aca="false">Stock_Seguridad!C744</f>
        <v>COLACIONES EN CONSERVA</v>
      </c>
      <c r="D744" s="18" t="str">
        <f aca="false">Stock_Seguridad!F744</f>
        <v>BY</v>
      </c>
      <c r="E744" s="19" t="str">
        <f aca="false">Stock_Seguridad!X744</f>
        <v>SIN FCST</v>
      </c>
      <c r="F744" s="20" t="str">
        <f aca="false">Stock_Seguridad!W744</f>
        <v/>
      </c>
      <c r="G744" s="21" t="n">
        <f aca="false">Stock_Seguridad!T744</f>
        <v>81</v>
      </c>
      <c r="H744" s="21" t="n">
        <f aca="false">Stock_Seguridad!R744</f>
        <v>0</v>
      </c>
      <c r="I744" s="21" t="n">
        <f aca="false">Stock_Seguridad!S744</f>
        <v>0</v>
      </c>
      <c r="J744" s="21" t="n">
        <f aca="false">Stock_Seguridad!U744</f>
        <v>0</v>
      </c>
      <c r="K744" s="22"/>
      <c r="L744" s="23" t="n">
        <v>0</v>
      </c>
      <c r="M744" s="23" t="n">
        <v>0</v>
      </c>
      <c r="N744" s="23" t="n">
        <v>0</v>
      </c>
      <c r="O744" s="24" t="n">
        <v>0.164</v>
      </c>
      <c r="P744" s="24" t="n">
        <f aca="false">IF(ISNUMBER(Stock_Seguridad!N744),Stock_Seguridad!N744,"")</f>
        <v>0.273972602739726</v>
      </c>
      <c r="Q744" s="24" t="n">
        <f aca="false">IF(AND(ISNUMBER(O744),ISNUMBER(P744)),P744-O744,"")</f>
        <v>0.109972602739726</v>
      </c>
      <c r="R744" s="23" t="n">
        <f aca="false">MAX(0,G744-N(L744))</f>
        <v>81</v>
      </c>
      <c r="S744" s="23" t="n">
        <f aca="false">SUMIFS(Cadenas_vs_FCST!$D$17:$D$2437,Cadenas_vs_FCST!$A$17:$A$2437,A744)</f>
        <v>18804.96</v>
      </c>
      <c r="T744" s="23" t="n">
        <f aca="false">SUMIFS(Cadenas_vs_FCST!$E$17:$E$2437,Cadenas_vs_FCST!$A$17:$A$2437,A744)</f>
        <v>13738.92</v>
      </c>
      <c r="U744" s="24" t="n">
        <f aca="false">IF(T744&gt;0,S744/T744-1,"")</f>
        <v>0.368736407228516</v>
      </c>
      <c r="V744" s="3" t="str">
        <f aca="false">IF(OR(E744="BAJO SS",E744="BAJO SS (XLIB CUBRE)"),"SÍ","")</f>
        <v/>
      </c>
      <c r="W744" s="3" t="str">
        <f aca="false">IF(AND(V744="",N(L744)&gt;=Parametros!$B$17,G744&gt;=H744,R744&lt;H744),"SÍ","")</f>
        <v/>
      </c>
      <c r="X744" s="3" t="str">
        <f aca="false">IF(OR(E744="SOBRE MAX VENDIBLE",N(N744)&gt;=Parametros!$B$17,N(M744)&gt;=Parametros!$B$17),"SÍ","")</f>
        <v/>
      </c>
      <c r="Y744" s="3" t="str">
        <f aca="false">IF(AND(ISNUMBER(U744),MAX(S744,T744)&gt;=Parametros!$B$15,ABS(N(U744))&gt;Parametros!$B$14),"SÍ","")</f>
        <v>SÍ</v>
      </c>
      <c r="Z744" s="3" t="n">
        <f aca="false">COUNTIF(V744:Y744,"SÍ")</f>
        <v>1</v>
      </c>
      <c r="AA744" s="3" t="n">
        <f aca="false">(3*(V744="SÍ")+2*(W744="SÍ")+2*(X744="SÍ")+(Y744="SÍ"))*IF(LEFT(D744,1)="A",3,IF(OR(LEFT(D744,1)="B",D744="SIN HIST"),2,1))</f>
        <v>2</v>
      </c>
      <c r="AB744" s="3" t="str">
        <f aca="false">IF(AA744&gt;=9,"1-ALTA",IF(AA744&gt;=4,"2-MEDIA",IF(AA744&gt;0,"3-BAJA","")))</f>
        <v>3-BAJA</v>
      </c>
      <c r="AC744" s="3" t="str">
        <f aca="false">IF(E744="BAJO SS","Stock + XLIB bajo el SS: riesgo real de quiebre, adelantar producción. ","")&amp;IF(E744="BAJO SS (XLIB CUBRE)","Disponible bajo el SS; depende de liberar "&amp;TEXT(J744,"#,##0")&amp;" kg"&amp;IF(ISNUMBER(K744)," el "&amp;TEXT(K744,"dd-mm"),"")&amp;". ","")&amp;IF(W744="SÍ","Stock parece sano pero "&amp;TEXT(L744,"#,##0")&amp;" kg no pasan filtro "&amp;Stock_Seguridad!O744&amp;": sin ellos queda bajo el SS para esa cadena. ","")&amp;IF(E744="SOBRE MAX VENDIBLE","Sobrestock vs vida útil: frenar producción/activar venta. ","")&amp;IF(N(N744)&gt;=Parametros!$B$17,TEXT(N744,"#,##0")&amp;" kg ya no los acepta ninguna cadena: venta intermedia/liquidación. ","")&amp;IF(N(M744)&gt;=Parametros!$B$17,TEXT(M744,"#,##0")&amp;" kg a punto de salir del filtro: despachar primero (FEFO). ","")&amp;IF(Y744="SÍ","Pedidos "&amp;IF(N(U744)&gt;0,"sobre","bajo")&amp;" FCST "&amp;TEXT(ABS(N(U744)),"0%")&amp;": revisar forecast con KAM.","")</f>
        <v>Pedidos sobre FCST 37%: revisar forecast con KAM.</v>
      </c>
    </row>
    <row r="745" customFormat="false" ht="15" hidden="false" customHeight="false" outlineLevel="0" collapsed="false">
      <c r="A745" s="18" t="n">
        <f aca="false">Stock_Seguridad!A745</f>
        <v>30001747</v>
      </c>
      <c r="B745" s="18" t="str">
        <f aca="false">Stock_Seguridad!B745</f>
        <v>POUCH WATTS HALLOWEEN MULTIFRUTA 36X90GR</v>
      </c>
      <c r="C745" s="18" t="str">
        <f aca="false">Stock_Seguridad!C745</f>
        <v>COLACIONES EN CONSERVA</v>
      </c>
      <c r="D745" s="18" t="str">
        <f aca="false">Stock_Seguridad!F745</f>
        <v>BY</v>
      </c>
      <c r="E745" s="19" t="str">
        <f aca="false">Stock_Seguridad!X745</f>
        <v>SIN FCST</v>
      </c>
      <c r="F745" s="20" t="str">
        <f aca="false">Stock_Seguridad!W745</f>
        <v/>
      </c>
      <c r="G745" s="21" t="n">
        <f aca="false">Stock_Seguridad!T745</f>
        <v>168.5</v>
      </c>
      <c r="H745" s="21" t="n">
        <f aca="false">Stock_Seguridad!R745</f>
        <v>0</v>
      </c>
      <c r="I745" s="21" t="n">
        <f aca="false">Stock_Seguridad!S745</f>
        <v>0</v>
      </c>
      <c r="J745" s="21" t="n">
        <f aca="false">Stock_Seguridad!U745</f>
        <v>0</v>
      </c>
      <c r="K745" s="22"/>
      <c r="L745" s="23" t="n">
        <v>0</v>
      </c>
      <c r="M745" s="23" t="n">
        <v>0</v>
      </c>
      <c r="N745" s="23" t="n">
        <v>0</v>
      </c>
      <c r="O745" s="24" t="n">
        <v>0.143461538461539</v>
      </c>
      <c r="P745" s="24" t="n">
        <f aca="false">IF(ISNUMBER(Stock_Seguridad!N745),Stock_Seguridad!N745,"")</f>
        <v>0.273972602739726</v>
      </c>
      <c r="Q745" s="24" t="n">
        <f aca="false">IF(AND(ISNUMBER(O745),ISNUMBER(P745)),P745-O745,"")</f>
        <v>0.130511064278188</v>
      </c>
      <c r="R745" s="23" t="n">
        <f aca="false">MAX(0,G745-N(L745))</f>
        <v>168.5</v>
      </c>
      <c r="S745" s="23" t="n">
        <f aca="false">SUMIFS(Cadenas_vs_FCST!$D$17:$D$2437,Cadenas_vs_FCST!$A$17:$A$2437,A745)</f>
        <v>26759.16</v>
      </c>
      <c r="T745" s="23" t="n">
        <f aca="false">SUMIFS(Cadenas_vs_FCST!$E$17:$E$2437,Cadenas_vs_FCST!$A$17:$A$2437,A745)</f>
        <v>18624.48</v>
      </c>
      <c r="U745" s="24" t="n">
        <f aca="false">IF(T745&gt;0,S745/T745-1,"")</f>
        <v>0.436773536764516</v>
      </c>
      <c r="V745" s="3" t="str">
        <f aca="false">IF(OR(E745="BAJO SS",E745="BAJO SS (XLIB CUBRE)"),"SÍ","")</f>
        <v/>
      </c>
      <c r="W745" s="3" t="str">
        <f aca="false">IF(AND(V745="",N(L745)&gt;=Parametros!$B$17,G745&gt;=H745,R745&lt;H745),"SÍ","")</f>
        <v/>
      </c>
      <c r="X745" s="3" t="str">
        <f aca="false">IF(OR(E745="SOBRE MAX VENDIBLE",N(N745)&gt;=Parametros!$B$17,N(M745)&gt;=Parametros!$B$17),"SÍ","")</f>
        <v/>
      </c>
      <c r="Y745" s="3" t="str">
        <f aca="false">IF(AND(ISNUMBER(U745),MAX(S745,T745)&gt;=Parametros!$B$15,ABS(N(U745))&gt;Parametros!$B$14),"SÍ","")</f>
        <v>SÍ</v>
      </c>
      <c r="Z745" s="3" t="n">
        <f aca="false">COUNTIF(V745:Y745,"SÍ")</f>
        <v>1</v>
      </c>
      <c r="AA745" s="3" t="n">
        <f aca="false">(3*(V745="SÍ")+2*(W745="SÍ")+2*(X745="SÍ")+(Y745="SÍ"))*IF(LEFT(D745,1)="A",3,IF(OR(LEFT(D745,1)="B",D745="SIN HIST"),2,1))</f>
        <v>2</v>
      </c>
      <c r="AB745" s="3" t="str">
        <f aca="false">IF(AA745&gt;=9,"1-ALTA",IF(AA745&gt;=4,"2-MEDIA",IF(AA745&gt;0,"3-BAJA","")))</f>
        <v>3-BAJA</v>
      </c>
      <c r="AC745" s="3" t="str">
        <f aca="false">IF(E745="BAJO SS","Stock + XLIB bajo el SS: riesgo real de quiebre, adelantar producción. ","")&amp;IF(E745="BAJO SS (XLIB CUBRE)","Disponible bajo el SS; depende de liberar "&amp;TEXT(J745,"#,##0")&amp;" kg"&amp;IF(ISNUMBER(K745)," el "&amp;TEXT(K745,"dd-mm"),"")&amp;". ","")&amp;IF(W745="SÍ","Stock parece sano pero "&amp;TEXT(L745,"#,##0")&amp;" kg no pasan filtro "&amp;Stock_Seguridad!O745&amp;": sin ellos queda bajo el SS para esa cadena. ","")&amp;IF(E745="SOBRE MAX VENDIBLE","Sobrestock vs vida útil: frenar producción/activar venta. ","")&amp;IF(N(N745)&gt;=Parametros!$B$17,TEXT(N745,"#,##0")&amp;" kg ya no los acepta ninguna cadena: venta intermedia/liquidación. ","")&amp;IF(N(M745)&gt;=Parametros!$B$17,TEXT(M745,"#,##0")&amp;" kg a punto de salir del filtro: despachar primero (FEFO). ","")&amp;IF(Y745="SÍ","Pedidos "&amp;IF(N(U745)&gt;0,"sobre","bajo")&amp;" FCST "&amp;TEXT(ABS(N(U745)),"0%")&amp;": revisar forecast con KAM.","")</f>
        <v>Pedidos sobre FCST 44%: revisar forecast con KAM.</v>
      </c>
    </row>
    <row r="746" customFormat="false" ht="15" hidden="false" customHeight="false" outlineLevel="0" collapsed="false">
      <c r="A746" s="18" t="n">
        <f aca="false">Stock_Seguridad!A746</f>
        <v>30001745</v>
      </c>
      <c r="B746" s="18" t="str">
        <f aca="false">Stock_Seguridad!B746</f>
        <v>POUCH WATTS HALLOWEEN DURAZNO 36X90GR</v>
      </c>
      <c r="C746" s="18" t="str">
        <f aca="false">Stock_Seguridad!C746</f>
        <v>COLACIONES EN CONSERVA</v>
      </c>
      <c r="D746" s="18" t="str">
        <f aca="false">Stock_Seguridad!F746</f>
        <v>BY</v>
      </c>
      <c r="E746" s="19" t="str">
        <f aca="false">Stock_Seguridad!X746</f>
        <v>SIN FCST</v>
      </c>
      <c r="F746" s="20" t="str">
        <f aca="false">Stock_Seguridad!W746</f>
        <v/>
      </c>
      <c r="G746" s="21" t="n">
        <f aca="false">Stock_Seguridad!T746</f>
        <v>68</v>
      </c>
      <c r="H746" s="21" t="n">
        <f aca="false">Stock_Seguridad!R746</f>
        <v>0</v>
      </c>
      <c r="I746" s="21" t="n">
        <f aca="false">Stock_Seguridad!S746</f>
        <v>0</v>
      </c>
      <c r="J746" s="21" t="n">
        <f aca="false">Stock_Seguridad!U746</f>
        <v>0</v>
      </c>
      <c r="K746" s="22"/>
      <c r="L746" s="23" t="n">
        <v>0</v>
      </c>
      <c r="M746" s="23" t="n">
        <v>0</v>
      </c>
      <c r="N746" s="23" t="n">
        <v>0</v>
      </c>
      <c r="O746" s="24" t="n">
        <v>0.185238095238095</v>
      </c>
      <c r="P746" s="24" t="n">
        <f aca="false">IF(ISNUMBER(Stock_Seguridad!N746),Stock_Seguridad!N746,"")</f>
        <v>0.273972602739726</v>
      </c>
      <c r="Q746" s="24" t="n">
        <f aca="false">IF(AND(ISNUMBER(O746),ISNUMBER(P746)),P746-O746,"")</f>
        <v>0.0887345075016308</v>
      </c>
      <c r="R746" s="23" t="n">
        <f aca="false">MAX(0,G746-N(L746))</f>
        <v>68</v>
      </c>
      <c r="S746" s="23" t="n">
        <f aca="false">SUMIFS(Cadenas_vs_FCST!$D$17:$D$2437,Cadenas_vs_FCST!$A$17:$A$2437,A746)</f>
        <v>17865.36</v>
      </c>
      <c r="T746" s="23" t="n">
        <f aca="false">SUMIFS(Cadenas_vs_FCST!$E$17:$E$2437,Cadenas_vs_FCST!$A$17:$A$2437,A746)</f>
        <v>13088.92</v>
      </c>
      <c r="U746" s="24" t="n">
        <f aca="false">IF(T746&gt;0,S746/T746-1,"")</f>
        <v>0.364922392374619</v>
      </c>
      <c r="V746" s="3" t="str">
        <f aca="false">IF(OR(E746="BAJO SS",E746="BAJO SS (XLIB CUBRE)"),"SÍ","")</f>
        <v/>
      </c>
      <c r="W746" s="3" t="str">
        <f aca="false">IF(AND(V746="",N(L746)&gt;=Parametros!$B$17,G746&gt;=H746,R746&lt;H746),"SÍ","")</f>
        <v/>
      </c>
      <c r="X746" s="3" t="str">
        <f aca="false">IF(OR(E746="SOBRE MAX VENDIBLE",N(N746)&gt;=Parametros!$B$17,N(M746)&gt;=Parametros!$B$17),"SÍ","")</f>
        <v/>
      </c>
      <c r="Y746" s="3" t="str">
        <f aca="false">IF(AND(ISNUMBER(U746),MAX(S746,T746)&gt;=Parametros!$B$15,ABS(N(U746))&gt;Parametros!$B$14),"SÍ","")</f>
        <v>SÍ</v>
      </c>
      <c r="Z746" s="3" t="n">
        <f aca="false">COUNTIF(V746:Y746,"SÍ")</f>
        <v>1</v>
      </c>
      <c r="AA746" s="3" t="n">
        <f aca="false">(3*(V746="SÍ")+2*(W746="SÍ")+2*(X746="SÍ")+(Y746="SÍ"))*IF(LEFT(D746,1)="A",3,IF(OR(LEFT(D746,1)="B",D746="SIN HIST"),2,1))</f>
        <v>2</v>
      </c>
      <c r="AB746" s="3" t="str">
        <f aca="false">IF(AA746&gt;=9,"1-ALTA",IF(AA746&gt;=4,"2-MEDIA",IF(AA746&gt;0,"3-BAJA","")))</f>
        <v>3-BAJA</v>
      </c>
      <c r="AC746" s="3" t="str">
        <f aca="false">IF(E746="BAJO SS","Stock + XLIB bajo el SS: riesgo real de quiebre, adelantar producción. ","")&amp;IF(E746="BAJO SS (XLIB CUBRE)","Disponible bajo el SS; depende de liberar "&amp;TEXT(J746,"#,##0")&amp;" kg"&amp;IF(ISNUMBER(K746)," el "&amp;TEXT(K746,"dd-mm"),"")&amp;". ","")&amp;IF(W746="SÍ","Stock parece sano pero "&amp;TEXT(L746,"#,##0")&amp;" kg no pasan filtro "&amp;Stock_Seguridad!O746&amp;": sin ellos queda bajo el SS para esa cadena. ","")&amp;IF(E746="SOBRE MAX VENDIBLE","Sobrestock vs vida útil: frenar producción/activar venta. ","")&amp;IF(N(N746)&gt;=Parametros!$B$17,TEXT(N746,"#,##0")&amp;" kg ya no los acepta ninguna cadena: venta intermedia/liquidación. ","")&amp;IF(N(M746)&gt;=Parametros!$B$17,TEXT(M746,"#,##0")&amp;" kg a punto de salir del filtro: despachar primero (FEFO). ","")&amp;IF(Y746="SÍ","Pedidos "&amp;IF(N(U746)&gt;0,"sobre","bajo")&amp;" FCST "&amp;TEXT(ABS(N(U746)),"0%")&amp;": revisar forecast con KAM.","")</f>
        <v>Pedidos sobre FCST 36%: revisar forecast con KAM.</v>
      </c>
    </row>
    <row r="747" customFormat="false" ht="15" hidden="false" customHeight="false" outlineLevel="0" collapsed="false">
      <c r="A747" s="18" t="n">
        <f aca="false">Stock_Seguridad!A747</f>
        <v>30000237</v>
      </c>
      <c r="B747" s="18" t="str">
        <f aca="false">Stock_Seguridad!B747</f>
        <v>PREPARADO FRUTA MGO/MCYA TZO 1X1000KG</v>
      </c>
      <c r="C747" s="18" t="str">
        <f aca="false">Stock_Seguridad!C747</f>
        <v>CONCENTRADOS</v>
      </c>
      <c r="D747" s="18" t="str">
        <f aca="false">Stock_Seguridad!F747</f>
        <v>SIN HIST</v>
      </c>
      <c r="E747" s="19" t="str">
        <f aca="false">Stock_Seguridad!X747</f>
        <v>SIN FCST</v>
      </c>
      <c r="F747" s="20" t="str">
        <f aca="false">Stock_Seguridad!W747</f>
        <v/>
      </c>
      <c r="G747" s="21" t="n">
        <f aca="false">Stock_Seguridad!T747</f>
        <v>1760</v>
      </c>
      <c r="H747" s="21" t="n">
        <f aca="false">Stock_Seguridad!R747</f>
        <v>0</v>
      </c>
      <c r="I747" s="21" t="n">
        <f aca="false">Stock_Seguridad!S747</f>
        <v>0</v>
      </c>
      <c r="J747" s="21" t="n">
        <f aca="false">Stock_Seguridad!U747</f>
        <v>0</v>
      </c>
      <c r="K747" s="22"/>
      <c r="L747" s="23" t="n">
        <v>0</v>
      </c>
      <c r="M747" s="23" t="n">
        <v>0</v>
      </c>
      <c r="N747" s="23" t="n">
        <v>0</v>
      </c>
      <c r="O747" s="24" t="n">
        <v>0.24</v>
      </c>
      <c r="P747" s="24" t="str">
        <f aca="false">IF(ISNUMBER(Stock_Seguridad!N747),Stock_Seguridad!N747,"")</f>
        <v/>
      </c>
      <c r="Q747" s="24" t="str">
        <f aca="false">IF(AND(ISNUMBER(O747),ISNUMBER(P747)),P747-O747,"")</f>
        <v/>
      </c>
      <c r="R747" s="23" t="n">
        <f aca="false">MAX(0,G747-N(L747))</f>
        <v>1760</v>
      </c>
      <c r="S747" s="23" t="n">
        <f aca="false">SUMIFS(Cadenas_vs_FCST!$D$17:$D$2437,Cadenas_vs_FCST!$A$17:$A$2437,A747)</f>
        <v>0</v>
      </c>
      <c r="T747" s="23" t="n">
        <f aca="false">SUMIFS(Cadenas_vs_FCST!$E$17:$E$2437,Cadenas_vs_FCST!$A$17:$A$2437,A747)</f>
        <v>0</v>
      </c>
      <c r="U747" s="24" t="str">
        <f aca="false">IF(T747&gt;0,S747/T747-1,"")</f>
        <v/>
      </c>
      <c r="V747" s="3" t="str">
        <f aca="false">IF(OR(E747="BAJO SS",E747="BAJO SS (XLIB CUBRE)"),"SÍ","")</f>
        <v/>
      </c>
      <c r="W747" s="3" t="str">
        <f aca="false">IF(AND(V747="",N(L747)&gt;=Parametros!$B$17,G747&gt;=H747,R747&lt;H747),"SÍ","")</f>
        <v/>
      </c>
      <c r="X747" s="3" t="str">
        <f aca="false">IF(OR(E747="SOBRE MAX VENDIBLE",N(N747)&gt;=Parametros!$B$17,N(M747)&gt;=Parametros!$B$17),"SÍ","")</f>
        <v/>
      </c>
      <c r="Y747" s="3" t="str">
        <f aca="false">IF(AND(ISNUMBER(U747),MAX(S747,T747)&gt;=Parametros!$B$15,ABS(N(U747))&gt;Parametros!$B$14),"SÍ","")</f>
        <v/>
      </c>
      <c r="Z747" s="3" t="n">
        <f aca="false">COUNTIF(V747:Y747,"SÍ")</f>
        <v>0</v>
      </c>
      <c r="AA747" s="3" t="n">
        <f aca="false">(3*(V747="SÍ")+2*(W747="SÍ")+2*(X747="SÍ")+(Y747="SÍ"))*IF(LEFT(D747,1)="A",3,IF(OR(LEFT(D747,1)="B",D747="SIN HIST"),2,1))</f>
        <v>0</v>
      </c>
      <c r="AB747" s="3" t="str">
        <f aca="false">IF(AA747&gt;=9,"1-ALTA",IF(AA747&gt;=4,"2-MEDIA",IF(AA747&gt;0,"3-BAJA","")))</f>
        <v/>
      </c>
      <c r="AC747" s="3" t="str">
        <f aca="false">IF(E747="BAJO SS","Stock + XLIB bajo el SS: riesgo real de quiebre, adelantar producción. ","")&amp;IF(E747="BAJO SS (XLIB CUBRE)","Disponible bajo el SS; depende de liberar "&amp;TEXT(J747,"#,##0")&amp;" kg"&amp;IF(ISNUMBER(K747)," el "&amp;TEXT(K747,"dd-mm"),"")&amp;". ","")&amp;IF(W747="SÍ","Stock parece sano pero "&amp;TEXT(L747,"#,##0")&amp;" kg no pasan filtro "&amp;Stock_Seguridad!O747&amp;": sin ellos queda bajo el SS para esa cadena. ","")&amp;IF(E747="SOBRE MAX VENDIBLE","Sobrestock vs vida útil: frenar producción/activar venta. ","")&amp;IF(N(N747)&gt;=Parametros!$B$17,TEXT(N747,"#,##0")&amp;" kg ya no los acepta ninguna cadena: venta intermedia/liquidación. ","")&amp;IF(N(M747)&gt;=Parametros!$B$17,TEXT(M747,"#,##0")&amp;" kg a punto de salir del filtro: despachar primero (FEFO). ","")&amp;IF(Y747="SÍ","Pedidos "&amp;IF(N(U747)&gt;0,"sobre","bajo")&amp;" FCST "&amp;TEXT(ABS(N(U747)),"0%")&amp;": revisar forecast con KAM.","")</f>
        <v/>
      </c>
    </row>
    <row r="748" customFormat="false" ht="15" hidden="false" customHeight="false" outlineLevel="0" collapsed="false">
      <c r="A748" s="18" t="n">
        <f aca="false">Stock_Seguridad!A748</f>
        <v>30000234</v>
      </c>
      <c r="B748" s="18" t="str">
        <f aca="false">Stock_Seguridad!B748</f>
        <v>PREPARADO FRUTA BERRIES LIGHT 1X1000KG</v>
      </c>
      <c r="C748" s="18" t="str">
        <f aca="false">Stock_Seguridad!C748</f>
        <v>CONCENTRADOS</v>
      </c>
      <c r="D748" s="18" t="str">
        <f aca="false">Stock_Seguridad!F748</f>
        <v>SIN HIST</v>
      </c>
      <c r="E748" s="19" t="str">
        <f aca="false">Stock_Seguridad!X748</f>
        <v>SIN FCST</v>
      </c>
      <c r="F748" s="20" t="str">
        <f aca="false">Stock_Seguridad!W748</f>
        <v/>
      </c>
      <c r="G748" s="21" t="n">
        <f aca="false">Stock_Seguridad!T748</f>
        <v>14340</v>
      </c>
      <c r="H748" s="21" t="n">
        <f aca="false">Stock_Seguridad!R748</f>
        <v>0</v>
      </c>
      <c r="I748" s="21" t="n">
        <f aca="false">Stock_Seguridad!S748</f>
        <v>0</v>
      </c>
      <c r="J748" s="21" t="n">
        <f aca="false">Stock_Seguridad!U748</f>
        <v>2300</v>
      </c>
      <c r="K748" s="22" t="n">
        <v>46310</v>
      </c>
      <c r="L748" s="23" t="n">
        <v>0</v>
      </c>
      <c r="M748" s="23" t="n">
        <v>0</v>
      </c>
      <c r="N748" s="23" t="n">
        <v>0</v>
      </c>
      <c r="O748" s="24" t="n">
        <v>0.121237980769231</v>
      </c>
      <c r="P748" s="24" t="str">
        <f aca="false">IF(ISNUMBER(Stock_Seguridad!N748),Stock_Seguridad!N748,"")</f>
        <v/>
      </c>
      <c r="Q748" s="24" t="str">
        <f aca="false">IF(AND(ISNUMBER(O748),ISNUMBER(P748)),P748-O748,"")</f>
        <v/>
      </c>
      <c r="R748" s="23" t="n">
        <f aca="false">MAX(0,G748-N(L748))</f>
        <v>14340</v>
      </c>
      <c r="S748" s="23" t="n">
        <f aca="false">SUMIFS(Cadenas_vs_FCST!$D$17:$D$2437,Cadenas_vs_FCST!$A$17:$A$2437,A748)</f>
        <v>0</v>
      </c>
      <c r="T748" s="23" t="n">
        <f aca="false">SUMIFS(Cadenas_vs_FCST!$E$17:$E$2437,Cadenas_vs_FCST!$A$17:$A$2437,A748)</f>
        <v>0</v>
      </c>
      <c r="U748" s="24" t="str">
        <f aca="false">IF(T748&gt;0,S748/T748-1,"")</f>
        <v/>
      </c>
      <c r="V748" s="3" t="str">
        <f aca="false">IF(OR(E748="BAJO SS",E748="BAJO SS (XLIB CUBRE)"),"SÍ","")</f>
        <v/>
      </c>
      <c r="W748" s="3" t="str">
        <f aca="false">IF(AND(V748="",N(L748)&gt;=Parametros!$B$17,G748&gt;=H748,R748&lt;H748),"SÍ","")</f>
        <v/>
      </c>
      <c r="X748" s="3" t="str">
        <f aca="false">IF(OR(E748="SOBRE MAX VENDIBLE",N(N748)&gt;=Parametros!$B$17,N(M748)&gt;=Parametros!$B$17),"SÍ","")</f>
        <v/>
      </c>
      <c r="Y748" s="3" t="str">
        <f aca="false">IF(AND(ISNUMBER(U748),MAX(S748,T748)&gt;=Parametros!$B$15,ABS(N(U748))&gt;Parametros!$B$14),"SÍ","")</f>
        <v/>
      </c>
      <c r="Z748" s="3" t="n">
        <f aca="false">COUNTIF(V748:Y748,"SÍ")</f>
        <v>0</v>
      </c>
      <c r="AA748" s="3" t="n">
        <f aca="false">(3*(V748="SÍ")+2*(W748="SÍ")+2*(X748="SÍ")+(Y748="SÍ"))*IF(LEFT(D748,1)="A",3,IF(OR(LEFT(D748,1)="B",D748="SIN HIST"),2,1))</f>
        <v>0</v>
      </c>
      <c r="AB748" s="3" t="str">
        <f aca="false">IF(AA748&gt;=9,"1-ALTA",IF(AA748&gt;=4,"2-MEDIA",IF(AA748&gt;0,"3-BAJA","")))</f>
        <v/>
      </c>
      <c r="AC748" s="3" t="str">
        <f aca="false">IF(E748="BAJO SS","Stock + XLIB bajo el SS: riesgo real de quiebre, adelantar producción. ","")&amp;IF(E748="BAJO SS (XLIB CUBRE)","Disponible bajo el SS; depende de liberar "&amp;TEXT(J748,"#,##0")&amp;" kg"&amp;IF(ISNUMBER(K748)," el "&amp;TEXT(K748,"dd-mm"),"")&amp;". ","")&amp;IF(W748="SÍ","Stock parece sano pero "&amp;TEXT(L748,"#,##0")&amp;" kg no pasan filtro "&amp;Stock_Seguridad!O748&amp;": sin ellos queda bajo el SS para esa cadena. ","")&amp;IF(E748="SOBRE MAX VENDIBLE","Sobrestock vs vida útil: frenar producción/activar venta. ","")&amp;IF(N(N748)&gt;=Parametros!$B$17,TEXT(N748,"#,##0")&amp;" kg ya no los acepta ninguna cadena: venta intermedia/liquidación. ","")&amp;IF(N(M748)&gt;=Parametros!$B$17,TEXT(M748,"#,##0")&amp;" kg a punto de salir del filtro: despachar primero (FEFO). ","")&amp;IF(Y748="SÍ","Pedidos "&amp;IF(N(U748)&gt;0,"sobre","bajo")&amp;" FCST "&amp;TEXT(ABS(N(U748)),"0%")&amp;": revisar forecast con KAM.","")</f>
        <v/>
      </c>
    </row>
    <row r="749" customFormat="false" ht="15" hidden="false" customHeight="false" outlineLevel="0" collapsed="false">
      <c r="A749" s="18" t="n">
        <f aca="false">Stock_Seguridad!A749</f>
        <v>30000231</v>
      </c>
      <c r="B749" s="18" t="str">
        <f aca="false">Stock_Seguridad!B749</f>
        <v>PREPARADO FRUTA FRUTILLA LIGHT  1X500KG</v>
      </c>
      <c r="C749" s="18" t="str">
        <f aca="false">Stock_Seguridad!C749</f>
        <v>CONCENTRADOS</v>
      </c>
      <c r="D749" s="18" t="str">
        <f aca="false">Stock_Seguridad!F749</f>
        <v>SIN HIST</v>
      </c>
      <c r="E749" s="19" t="str">
        <f aca="false">Stock_Seguridad!X749</f>
        <v>SIN FCST</v>
      </c>
      <c r="F749" s="20" t="str">
        <f aca="false">Stock_Seguridad!W749</f>
        <v/>
      </c>
      <c r="G749" s="21" t="n">
        <f aca="false">Stock_Seguridad!T749</f>
        <v>11270</v>
      </c>
      <c r="H749" s="21" t="n">
        <f aca="false">Stock_Seguridad!R749</f>
        <v>0</v>
      </c>
      <c r="I749" s="21" t="n">
        <f aca="false">Stock_Seguridad!S749</f>
        <v>0</v>
      </c>
      <c r="J749" s="21" t="n">
        <f aca="false">Stock_Seguridad!U749</f>
        <v>7350</v>
      </c>
      <c r="K749" s="22" t="n">
        <v>46314</v>
      </c>
      <c r="L749" s="23" t="n">
        <v>0</v>
      </c>
      <c r="M749" s="23" t="n">
        <v>0</v>
      </c>
      <c r="N749" s="23" t="n">
        <v>0</v>
      </c>
      <c r="O749" s="24" t="n">
        <v>0.107400644468314</v>
      </c>
      <c r="P749" s="24" t="str">
        <f aca="false">IF(ISNUMBER(Stock_Seguridad!N749),Stock_Seguridad!N749,"")</f>
        <v/>
      </c>
      <c r="Q749" s="24" t="str">
        <f aca="false">IF(AND(ISNUMBER(O749),ISNUMBER(P749)),P749-O749,"")</f>
        <v/>
      </c>
      <c r="R749" s="23" t="n">
        <f aca="false">MAX(0,G749-N(L749))</f>
        <v>11270</v>
      </c>
      <c r="S749" s="23" t="n">
        <f aca="false">SUMIFS(Cadenas_vs_FCST!$D$17:$D$2437,Cadenas_vs_FCST!$A$17:$A$2437,A749)</f>
        <v>0</v>
      </c>
      <c r="T749" s="23" t="n">
        <f aca="false">SUMIFS(Cadenas_vs_FCST!$E$17:$E$2437,Cadenas_vs_FCST!$A$17:$A$2437,A749)</f>
        <v>0</v>
      </c>
      <c r="U749" s="24" t="str">
        <f aca="false">IF(T749&gt;0,S749/T749-1,"")</f>
        <v/>
      </c>
      <c r="V749" s="3" t="str">
        <f aca="false">IF(OR(E749="BAJO SS",E749="BAJO SS (XLIB CUBRE)"),"SÍ","")</f>
        <v/>
      </c>
      <c r="W749" s="3" t="str">
        <f aca="false">IF(AND(V749="",N(L749)&gt;=Parametros!$B$17,G749&gt;=H749,R749&lt;H749),"SÍ","")</f>
        <v/>
      </c>
      <c r="X749" s="3" t="str">
        <f aca="false">IF(OR(E749="SOBRE MAX VENDIBLE",N(N749)&gt;=Parametros!$B$17,N(M749)&gt;=Parametros!$B$17),"SÍ","")</f>
        <v/>
      </c>
      <c r="Y749" s="3" t="str">
        <f aca="false">IF(AND(ISNUMBER(U749),MAX(S749,T749)&gt;=Parametros!$B$15,ABS(N(U749))&gt;Parametros!$B$14),"SÍ","")</f>
        <v/>
      </c>
      <c r="Z749" s="3" t="n">
        <f aca="false">COUNTIF(V749:Y749,"SÍ")</f>
        <v>0</v>
      </c>
      <c r="AA749" s="3" t="n">
        <f aca="false">(3*(V749="SÍ")+2*(W749="SÍ")+2*(X749="SÍ")+(Y749="SÍ"))*IF(LEFT(D749,1)="A",3,IF(OR(LEFT(D749,1)="B",D749="SIN HIST"),2,1))</f>
        <v>0</v>
      </c>
      <c r="AB749" s="3" t="str">
        <f aca="false">IF(AA749&gt;=9,"1-ALTA",IF(AA749&gt;=4,"2-MEDIA",IF(AA749&gt;0,"3-BAJA","")))</f>
        <v/>
      </c>
      <c r="AC749" s="3" t="str">
        <f aca="false">IF(E749="BAJO SS","Stock + XLIB bajo el SS: riesgo real de quiebre, adelantar producción. ","")&amp;IF(E749="BAJO SS (XLIB CUBRE)","Disponible bajo el SS; depende de liberar "&amp;TEXT(J749,"#,##0")&amp;" kg"&amp;IF(ISNUMBER(K749)," el "&amp;TEXT(K749,"dd-mm"),"")&amp;". ","")&amp;IF(W749="SÍ","Stock parece sano pero "&amp;TEXT(L749,"#,##0")&amp;" kg no pasan filtro "&amp;Stock_Seguridad!O749&amp;": sin ellos queda bajo el SS para esa cadena. ","")&amp;IF(E749="SOBRE MAX VENDIBLE","Sobrestock vs vida útil: frenar producción/activar venta. ","")&amp;IF(N(N749)&gt;=Parametros!$B$17,TEXT(N749,"#,##0")&amp;" kg ya no los acepta ninguna cadena: venta intermedia/liquidación. ","")&amp;IF(N(M749)&gt;=Parametros!$B$17,TEXT(M749,"#,##0")&amp;" kg a punto de salir del filtro: despachar primero (FEFO). ","")&amp;IF(Y749="SÍ","Pedidos "&amp;IF(N(U749)&gt;0,"sobre","bajo")&amp;" FCST "&amp;TEXT(ABS(N(U749)),"0%")&amp;": revisar forecast con KAM.","")</f>
        <v/>
      </c>
    </row>
    <row r="750" customFormat="false" ht="15" hidden="false" customHeight="false" outlineLevel="0" collapsed="false">
      <c r="A750" s="18" t="n">
        <f aca="false">Stock_Seguridad!A750</f>
        <v>30000228</v>
      </c>
      <c r="B750" s="18" t="str">
        <f aca="false">Stock_Seguridad!B750</f>
        <v>PREPARADO FRUTA DZNO S/A CUB FTO1X1000KG</v>
      </c>
      <c r="C750" s="18" t="str">
        <f aca="false">Stock_Seguridad!C750</f>
        <v>CONCENTRADOS</v>
      </c>
      <c r="D750" s="18" t="str">
        <f aca="false">Stock_Seguridad!F750</f>
        <v>SIN HIST</v>
      </c>
      <c r="E750" s="19" t="str">
        <f aca="false">Stock_Seguridad!X750</f>
        <v>SIN FCST</v>
      </c>
      <c r="F750" s="20" t="str">
        <f aca="false">Stock_Seguridad!W750</f>
        <v/>
      </c>
      <c r="G750" s="21" t="n">
        <f aca="false">Stock_Seguridad!T750</f>
        <v>1000</v>
      </c>
      <c r="H750" s="21" t="n">
        <f aca="false">Stock_Seguridad!R750</f>
        <v>0</v>
      </c>
      <c r="I750" s="21" t="n">
        <f aca="false">Stock_Seguridad!S750</f>
        <v>0</v>
      </c>
      <c r="J750" s="21" t="n">
        <f aca="false">Stock_Seguridad!U750</f>
        <v>0</v>
      </c>
      <c r="K750" s="22"/>
      <c r="L750" s="23" t="n">
        <v>0</v>
      </c>
      <c r="M750" s="23" t="n">
        <v>0</v>
      </c>
      <c r="N750" s="23" t="n">
        <v>0</v>
      </c>
      <c r="O750" s="24" t="n">
        <v>0.52</v>
      </c>
      <c r="P750" s="24" t="str">
        <f aca="false">IF(ISNUMBER(Stock_Seguridad!N750),Stock_Seguridad!N750,"")</f>
        <v/>
      </c>
      <c r="Q750" s="24" t="str">
        <f aca="false">IF(AND(ISNUMBER(O750),ISNUMBER(P750)),P750-O750,"")</f>
        <v/>
      </c>
      <c r="R750" s="23" t="n">
        <f aca="false">MAX(0,G750-N(L750))</f>
        <v>1000</v>
      </c>
      <c r="S750" s="23" t="n">
        <f aca="false">SUMIFS(Cadenas_vs_FCST!$D$17:$D$2437,Cadenas_vs_FCST!$A$17:$A$2437,A750)</f>
        <v>0</v>
      </c>
      <c r="T750" s="23" t="n">
        <f aca="false">SUMIFS(Cadenas_vs_FCST!$E$17:$E$2437,Cadenas_vs_FCST!$A$17:$A$2437,A750)</f>
        <v>0</v>
      </c>
      <c r="U750" s="24" t="str">
        <f aca="false">IF(T750&gt;0,S750/T750-1,"")</f>
        <v/>
      </c>
      <c r="V750" s="3" t="str">
        <f aca="false">IF(OR(E750="BAJO SS",E750="BAJO SS (XLIB CUBRE)"),"SÍ","")</f>
        <v/>
      </c>
      <c r="W750" s="3" t="str">
        <f aca="false">IF(AND(V750="",N(L750)&gt;=Parametros!$B$17,G750&gt;=H750,R750&lt;H750),"SÍ","")</f>
        <v/>
      </c>
      <c r="X750" s="3" t="str">
        <f aca="false">IF(OR(E750="SOBRE MAX VENDIBLE",N(N750)&gt;=Parametros!$B$17,N(M750)&gt;=Parametros!$B$17),"SÍ","")</f>
        <v/>
      </c>
      <c r="Y750" s="3" t="str">
        <f aca="false">IF(AND(ISNUMBER(U750),MAX(S750,T750)&gt;=Parametros!$B$15,ABS(N(U750))&gt;Parametros!$B$14),"SÍ","")</f>
        <v/>
      </c>
      <c r="Z750" s="3" t="n">
        <f aca="false">COUNTIF(V750:Y750,"SÍ")</f>
        <v>0</v>
      </c>
      <c r="AA750" s="3" t="n">
        <f aca="false">(3*(V750="SÍ")+2*(W750="SÍ")+2*(X750="SÍ")+(Y750="SÍ"))*IF(LEFT(D750,1)="A",3,IF(OR(LEFT(D750,1)="B",D750="SIN HIST"),2,1))</f>
        <v>0</v>
      </c>
      <c r="AB750" s="3" t="str">
        <f aca="false">IF(AA750&gt;=9,"1-ALTA",IF(AA750&gt;=4,"2-MEDIA",IF(AA750&gt;0,"3-BAJA","")))</f>
        <v/>
      </c>
      <c r="AC750" s="3" t="str">
        <f aca="false">IF(E750="BAJO SS","Stock + XLIB bajo el SS: riesgo real de quiebre, adelantar producción. ","")&amp;IF(E750="BAJO SS (XLIB CUBRE)","Disponible bajo el SS; depende de liberar "&amp;TEXT(J750,"#,##0")&amp;" kg"&amp;IF(ISNUMBER(K750)," el "&amp;TEXT(K750,"dd-mm"),"")&amp;". ","")&amp;IF(W750="SÍ","Stock parece sano pero "&amp;TEXT(L750,"#,##0")&amp;" kg no pasan filtro "&amp;Stock_Seguridad!O750&amp;": sin ellos queda bajo el SS para esa cadena. ","")&amp;IF(E750="SOBRE MAX VENDIBLE","Sobrestock vs vida útil: frenar producción/activar venta. ","")&amp;IF(N(N750)&gt;=Parametros!$B$17,TEXT(N750,"#,##0")&amp;" kg ya no los acepta ninguna cadena: venta intermedia/liquidación. ","")&amp;IF(N(M750)&gt;=Parametros!$B$17,TEXT(M750,"#,##0")&amp;" kg a punto de salir del filtro: despachar primero (FEFO). ","")&amp;IF(Y750="SÍ","Pedidos "&amp;IF(N(U750)&gt;0,"sobre","bajo")&amp;" FCST "&amp;TEXT(ABS(N(U750)),"0%")&amp;": revisar forecast con KAM.","")</f>
        <v/>
      </c>
    </row>
    <row r="751" customFormat="false" ht="15" hidden="false" customHeight="false" outlineLevel="0" collapsed="false">
      <c r="A751" s="18" t="n">
        <f aca="false">Stock_Seguridad!A751</f>
        <v>30002360</v>
      </c>
      <c r="B751" s="18" t="str">
        <f aca="false">Stock_Seguridad!B751</f>
        <v>GRASA CRUCINA 1X20KG</v>
      </c>
      <c r="C751" s="18" t="str">
        <f aca="false">Stock_Seguridad!C751</f>
        <v>MANTECAS</v>
      </c>
      <c r="D751" s="18" t="str">
        <f aca="false">Stock_Seguridad!F751</f>
        <v>SIN HIST</v>
      </c>
      <c r="E751" s="19" t="str">
        <f aca="false">Stock_Seguridad!X751</f>
        <v>SIN FCST</v>
      </c>
      <c r="F751" s="20" t="str">
        <f aca="false">Stock_Seguridad!W751</f>
        <v/>
      </c>
      <c r="G751" s="21" t="n">
        <f aca="false">Stock_Seguridad!T751</f>
        <v>7420</v>
      </c>
      <c r="H751" s="21" t="n">
        <f aca="false">Stock_Seguridad!R751</f>
        <v>0</v>
      </c>
      <c r="I751" s="21" t="n">
        <f aca="false">Stock_Seguridad!S751</f>
        <v>0</v>
      </c>
      <c r="J751" s="21" t="n">
        <f aca="false">Stock_Seguridad!U751</f>
        <v>0</v>
      </c>
      <c r="K751" s="22"/>
      <c r="L751" s="23" t="n">
        <v>0</v>
      </c>
      <c r="M751" s="23" t="n">
        <v>0</v>
      </c>
      <c r="N751" s="23" t="n">
        <v>0</v>
      </c>
      <c r="O751" s="24" t="n">
        <v>0.301805929919138</v>
      </c>
      <c r="P751" s="24" t="str">
        <f aca="false">IF(ISNUMBER(Stock_Seguridad!N751),Stock_Seguridad!N751,"")</f>
        <v/>
      </c>
      <c r="Q751" s="24" t="str">
        <f aca="false">IF(AND(ISNUMBER(O751),ISNUMBER(P751)),P751-O751,"")</f>
        <v/>
      </c>
      <c r="R751" s="23" t="n">
        <f aca="false">MAX(0,G751-N(L751))</f>
        <v>7420</v>
      </c>
      <c r="S751" s="23" t="n">
        <f aca="false">SUMIFS(Cadenas_vs_FCST!$D$17:$D$2437,Cadenas_vs_FCST!$A$17:$A$2437,A751)</f>
        <v>0</v>
      </c>
      <c r="T751" s="23" t="n">
        <f aca="false">SUMIFS(Cadenas_vs_FCST!$E$17:$E$2437,Cadenas_vs_FCST!$A$17:$A$2437,A751)</f>
        <v>0</v>
      </c>
      <c r="U751" s="24" t="str">
        <f aca="false">IF(T751&gt;0,S751/T751-1,"")</f>
        <v/>
      </c>
      <c r="V751" s="3" t="str">
        <f aca="false">IF(OR(E751="BAJO SS",E751="BAJO SS (XLIB CUBRE)"),"SÍ","")</f>
        <v/>
      </c>
      <c r="W751" s="3" t="str">
        <f aca="false">IF(AND(V751="",N(L751)&gt;=Parametros!$B$17,G751&gt;=H751,R751&lt;H751),"SÍ","")</f>
        <v/>
      </c>
      <c r="X751" s="3" t="str">
        <f aca="false">IF(OR(E751="SOBRE MAX VENDIBLE",N(N751)&gt;=Parametros!$B$17,N(M751)&gt;=Parametros!$B$17),"SÍ","")</f>
        <v/>
      </c>
      <c r="Y751" s="3" t="str">
        <f aca="false">IF(AND(ISNUMBER(U751),MAX(S751,T751)&gt;=Parametros!$B$15,ABS(N(U751))&gt;Parametros!$B$14),"SÍ","")</f>
        <v/>
      </c>
      <c r="Z751" s="3" t="n">
        <f aca="false">COUNTIF(V751:Y751,"SÍ")</f>
        <v>0</v>
      </c>
      <c r="AA751" s="3" t="n">
        <f aca="false">(3*(V751="SÍ")+2*(W751="SÍ")+2*(X751="SÍ")+(Y751="SÍ"))*IF(LEFT(D751,1)="A",3,IF(OR(LEFT(D751,1)="B",D751="SIN HIST"),2,1))</f>
        <v>0</v>
      </c>
      <c r="AB751" s="3" t="str">
        <f aca="false">IF(AA751&gt;=9,"1-ALTA",IF(AA751&gt;=4,"2-MEDIA",IF(AA751&gt;0,"3-BAJA","")))</f>
        <v/>
      </c>
      <c r="AC751" s="3" t="str">
        <f aca="false">IF(E751="BAJO SS","Stock + XLIB bajo el SS: riesgo real de quiebre, adelantar producción. ","")&amp;IF(E751="BAJO SS (XLIB CUBRE)","Disponible bajo el SS; depende de liberar "&amp;TEXT(J751,"#,##0")&amp;" kg"&amp;IF(ISNUMBER(K751)," el "&amp;TEXT(K751,"dd-mm"),"")&amp;". ","")&amp;IF(W751="SÍ","Stock parece sano pero "&amp;TEXT(L751,"#,##0")&amp;" kg no pasan filtro "&amp;Stock_Seguridad!O751&amp;": sin ellos queda bajo el SS para esa cadena. ","")&amp;IF(E751="SOBRE MAX VENDIBLE","Sobrestock vs vida útil: frenar producción/activar venta. ","")&amp;IF(N(N751)&gt;=Parametros!$B$17,TEXT(N751,"#,##0")&amp;" kg ya no los acepta ninguna cadena: venta intermedia/liquidación. ","")&amp;IF(N(M751)&gt;=Parametros!$B$17,TEXT(M751,"#,##0")&amp;" kg a punto de salir del filtro: despachar primero (FEFO). ","")&amp;IF(Y751="SÍ","Pedidos "&amp;IF(N(U751)&gt;0,"sobre","bajo")&amp;" FCST "&amp;TEXT(ABS(N(U751)),"0%")&amp;": revisar forecast con KAM.","")</f>
        <v/>
      </c>
    </row>
    <row r="752" customFormat="false" ht="15" hidden="false" customHeight="false" outlineLevel="0" collapsed="false">
      <c r="A752" s="18" t="n">
        <f aca="false">Stock_Seguridad!A752</f>
        <v>30002395</v>
      </c>
      <c r="B752" s="18" t="str">
        <f aca="false">Stock_Seguridad!B752</f>
        <v>PAPAS DUQUESAS FDM BBQ 26X500GR</v>
      </c>
      <c r="C752" s="18" t="str">
        <f aca="false">Stock_Seguridad!C752</f>
        <v>FRUTAS Y HORTALIZAS CONGELADAS</v>
      </c>
      <c r="D752" s="18" t="str">
        <f aca="false">Stock_Seguridad!F752</f>
        <v>SIN HIST</v>
      </c>
      <c r="E752" s="19" t="str">
        <f aca="false">Stock_Seguridad!X752</f>
        <v>SIN FCST</v>
      </c>
      <c r="F752" s="20" t="str">
        <f aca="false">Stock_Seguridad!W752</f>
        <v/>
      </c>
      <c r="G752" s="21" t="n">
        <f aca="false">Stock_Seguridad!T752</f>
        <v>9659</v>
      </c>
      <c r="H752" s="21" t="n">
        <f aca="false">Stock_Seguridad!R752</f>
        <v>0</v>
      </c>
      <c r="I752" s="21" t="n">
        <f aca="false">Stock_Seguridad!S752</f>
        <v>0</v>
      </c>
      <c r="J752" s="21" t="n">
        <f aca="false">Stock_Seguridad!U752</f>
        <v>0</v>
      </c>
      <c r="K752" s="22"/>
      <c r="L752" s="23" t="n">
        <v>0</v>
      </c>
      <c r="M752" s="23" t="n">
        <v>0</v>
      </c>
      <c r="N752" s="23" t="n">
        <v>0</v>
      </c>
      <c r="O752" s="24" t="n">
        <v>0.03</v>
      </c>
      <c r="P752" s="24" t="str">
        <f aca="false">IF(ISNUMBER(Stock_Seguridad!N752),Stock_Seguridad!N752,"")</f>
        <v/>
      </c>
      <c r="Q752" s="24" t="str">
        <f aca="false">IF(AND(ISNUMBER(O752),ISNUMBER(P752)),P752-O752,"")</f>
        <v/>
      </c>
      <c r="R752" s="23" t="n">
        <f aca="false">MAX(0,G752-N(L752))</f>
        <v>9659</v>
      </c>
      <c r="S752" s="23" t="n">
        <f aca="false">SUMIFS(Cadenas_vs_FCST!$D$17:$D$2437,Cadenas_vs_FCST!$A$17:$A$2437,A752)</f>
        <v>0</v>
      </c>
      <c r="T752" s="23" t="n">
        <f aca="false">SUMIFS(Cadenas_vs_FCST!$E$17:$E$2437,Cadenas_vs_FCST!$A$17:$A$2437,A752)</f>
        <v>0</v>
      </c>
      <c r="U752" s="24" t="str">
        <f aca="false">IF(T752&gt;0,S752/T752-1,"")</f>
        <v/>
      </c>
      <c r="V752" s="3" t="str">
        <f aca="false">IF(OR(E752="BAJO SS",E752="BAJO SS (XLIB CUBRE)"),"SÍ","")</f>
        <v/>
      </c>
      <c r="W752" s="3" t="str">
        <f aca="false">IF(AND(V752="",N(L752)&gt;=Parametros!$B$17,G752&gt;=H752,R752&lt;H752),"SÍ","")</f>
        <v/>
      </c>
      <c r="X752" s="3" t="str">
        <f aca="false">IF(OR(E752="SOBRE MAX VENDIBLE",N(N752)&gt;=Parametros!$B$17,N(M752)&gt;=Parametros!$B$17),"SÍ","")</f>
        <v/>
      </c>
      <c r="Y752" s="3" t="str">
        <f aca="false">IF(AND(ISNUMBER(U752),MAX(S752,T752)&gt;=Parametros!$B$15,ABS(N(U752))&gt;Parametros!$B$14),"SÍ","")</f>
        <v/>
      </c>
      <c r="Z752" s="3" t="n">
        <f aca="false">COUNTIF(V752:Y752,"SÍ")</f>
        <v>0</v>
      </c>
      <c r="AA752" s="3" t="n">
        <f aca="false">(3*(V752="SÍ")+2*(W752="SÍ")+2*(X752="SÍ")+(Y752="SÍ"))*IF(LEFT(D752,1)="A",3,IF(OR(LEFT(D752,1)="B",D752="SIN HIST"),2,1))</f>
        <v>0</v>
      </c>
      <c r="AB752" s="3" t="str">
        <f aca="false">IF(AA752&gt;=9,"1-ALTA",IF(AA752&gt;=4,"2-MEDIA",IF(AA752&gt;0,"3-BAJA","")))</f>
        <v/>
      </c>
      <c r="AC752" s="3" t="str">
        <f aca="false">IF(E752="BAJO SS","Stock + XLIB bajo el SS: riesgo real de quiebre, adelantar producción. ","")&amp;IF(E752="BAJO SS (XLIB CUBRE)","Disponible bajo el SS; depende de liberar "&amp;TEXT(J752,"#,##0")&amp;" kg"&amp;IF(ISNUMBER(K752)," el "&amp;TEXT(K752,"dd-mm"),"")&amp;". ","")&amp;IF(W752="SÍ","Stock parece sano pero "&amp;TEXT(L752,"#,##0")&amp;" kg no pasan filtro "&amp;Stock_Seguridad!O752&amp;": sin ellos queda bajo el SS para esa cadena. ","")&amp;IF(E752="SOBRE MAX VENDIBLE","Sobrestock vs vida útil: frenar producción/activar venta. ","")&amp;IF(N(N752)&gt;=Parametros!$B$17,TEXT(N752,"#,##0")&amp;" kg ya no los acepta ninguna cadena: venta intermedia/liquidación. ","")&amp;IF(N(M752)&gt;=Parametros!$B$17,TEXT(M752,"#,##0")&amp;" kg a punto de salir del filtro: despachar primero (FEFO). ","")&amp;IF(Y752="SÍ","Pedidos "&amp;IF(N(U752)&gt;0,"sobre","bajo")&amp;" FCST "&amp;TEXT(ABS(N(U752)),"0%")&amp;": revisar forecast con KAM.","")</f>
        <v/>
      </c>
    </row>
    <row r="753" customFormat="false" ht="15" hidden="false" customHeight="false" outlineLevel="0" collapsed="false">
      <c r="A753" s="18" t="n">
        <f aca="false">Stock_Seguridad!A753</f>
        <v>30000977</v>
      </c>
      <c r="B753" s="18" t="str">
        <f aca="false">Stock_Seguridad!B753</f>
        <v>ESPARRAGO CUT&amp;TIPS IQF 1X10KG</v>
      </c>
      <c r="C753" s="18" t="str">
        <f aca="false">Stock_Seguridad!C753</f>
        <v>FRUTAS Y HORTALIZAS CONGELADAS</v>
      </c>
      <c r="D753" s="18" t="str">
        <f aca="false">Stock_Seguridad!F753</f>
        <v>SIN HIST</v>
      </c>
      <c r="E753" s="19" t="str">
        <f aca="false">Stock_Seguridad!X753</f>
        <v>SIN FCST</v>
      </c>
      <c r="F753" s="20" t="str">
        <f aca="false">Stock_Seguridad!W753</f>
        <v/>
      </c>
      <c r="G753" s="21" t="n">
        <f aca="false">Stock_Seguridad!T753</f>
        <v>46750</v>
      </c>
      <c r="H753" s="21" t="n">
        <f aca="false">Stock_Seguridad!R753</f>
        <v>0</v>
      </c>
      <c r="I753" s="21" t="n">
        <f aca="false">Stock_Seguridad!S753</f>
        <v>0</v>
      </c>
      <c r="J753" s="21" t="n">
        <f aca="false">Stock_Seguridad!U753</f>
        <v>0</v>
      </c>
      <c r="K753" s="22"/>
      <c r="L753" s="23" t="n">
        <v>0</v>
      </c>
      <c r="M753" s="23" t="n">
        <v>0</v>
      </c>
      <c r="N753" s="23" t="n">
        <v>0</v>
      </c>
      <c r="O753" s="24" t="n">
        <v>0.0527529411764706</v>
      </c>
      <c r="P753" s="24" t="str">
        <f aca="false">IF(ISNUMBER(Stock_Seguridad!N753),Stock_Seguridad!N753,"")</f>
        <v/>
      </c>
      <c r="Q753" s="24" t="str">
        <f aca="false">IF(AND(ISNUMBER(O753),ISNUMBER(P753)),P753-O753,"")</f>
        <v/>
      </c>
      <c r="R753" s="23" t="n">
        <f aca="false">MAX(0,G753-N(L753))</f>
        <v>46750</v>
      </c>
      <c r="S753" s="23" t="n">
        <f aca="false">SUMIFS(Cadenas_vs_FCST!$D$17:$D$2437,Cadenas_vs_FCST!$A$17:$A$2437,A753)</f>
        <v>0</v>
      </c>
      <c r="T753" s="23" t="n">
        <f aca="false">SUMIFS(Cadenas_vs_FCST!$E$17:$E$2437,Cadenas_vs_FCST!$A$17:$A$2437,A753)</f>
        <v>0</v>
      </c>
      <c r="U753" s="24" t="str">
        <f aca="false">IF(T753&gt;0,S753/T753-1,"")</f>
        <v/>
      </c>
      <c r="V753" s="3" t="str">
        <f aca="false">IF(OR(E753="BAJO SS",E753="BAJO SS (XLIB CUBRE)"),"SÍ","")</f>
        <v/>
      </c>
      <c r="W753" s="3" t="str">
        <f aca="false">IF(AND(V753="",N(L753)&gt;=Parametros!$B$17,G753&gt;=H753,R753&lt;H753),"SÍ","")</f>
        <v/>
      </c>
      <c r="X753" s="3" t="str">
        <f aca="false">IF(OR(E753="SOBRE MAX VENDIBLE",N(N753)&gt;=Parametros!$B$17,N(M753)&gt;=Parametros!$B$17),"SÍ","")</f>
        <v/>
      </c>
      <c r="Y753" s="3" t="str">
        <f aca="false">IF(AND(ISNUMBER(U753),MAX(S753,T753)&gt;=Parametros!$B$15,ABS(N(U753))&gt;Parametros!$B$14),"SÍ","")</f>
        <v/>
      </c>
      <c r="Z753" s="3" t="n">
        <f aca="false">COUNTIF(V753:Y753,"SÍ")</f>
        <v>0</v>
      </c>
      <c r="AA753" s="3" t="n">
        <f aca="false">(3*(V753="SÍ")+2*(W753="SÍ")+2*(X753="SÍ")+(Y753="SÍ"))*IF(LEFT(D753,1)="A",3,IF(OR(LEFT(D753,1)="B",D753="SIN HIST"),2,1))</f>
        <v>0</v>
      </c>
      <c r="AB753" s="3" t="str">
        <f aca="false">IF(AA753&gt;=9,"1-ALTA",IF(AA753&gt;=4,"2-MEDIA",IF(AA753&gt;0,"3-BAJA","")))</f>
        <v/>
      </c>
      <c r="AC753" s="3" t="str">
        <f aca="false">IF(E753="BAJO SS","Stock + XLIB bajo el SS: riesgo real de quiebre, adelantar producción. ","")&amp;IF(E753="BAJO SS (XLIB CUBRE)","Disponible bajo el SS; depende de liberar "&amp;TEXT(J753,"#,##0")&amp;" kg"&amp;IF(ISNUMBER(K753)," el "&amp;TEXT(K753,"dd-mm"),"")&amp;". ","")&amp;IF(W753="SÍ","Stock parece sano pero "&amp;TEXT(L753,"#,##0")&amp;" kg no pasan filtro "&amp;Stock_Seguridad!O753&amp;": sin ellos queda bajo el SS para esa cadena. ","")&amp;IF(E753="SOBRE MAX VENDIBLE","Sobrestock vs vida útil: frenar producción/activar venta. ","")&amp;IF(N(N753)&gt;=Parametros!$B$17,TEXT(N753,"#,##0")&amp;" kg ya no los acepta ninguna cadena: venta intermedia/liquidación. ","")&amp;IF(N(M753)&gt;=Parametros!$B$17,TEXT(M753,"#,##0")&amp;" kg a punto de salir del filtro: despachar primero (FEFO). ","")&amp;IF(Y753="SÍ","Pedidos "&amp;IF(N(U753)&gt;0,"sobre","bajo")&amp;" FCST "&amp;TEXT(ABS(N(U753)),"0%")&amp;": revisar forecast con KAM.","")</f>
        <v/>
      </c>
    </row>
    <row r="754" customFormat="false" ht="15" hidden="false" customHeight="false" outlineLevel="0" collapsed="false">
      <c r="A754" s="18" t="n">
        <f aca="false">Stock_Seguridad!A754</f>
        <v>30002366</v>
      </c>
      <c r="B754" s="18" t="str">
        <f aca="false">Stock_Seguridad!B754</f>
        <v>MANTEQUILLA CALO BLOQUE BSAL 20 KG</v>
      </c>
      <c r="C754" s="18" t="str">
        <f aca="false">Stock_Seguridad!C754</f>
        <v>MANTEQUILLAS</v>
      </c>
      <c r="D754" s="18" t="str">
        <f aca="false">Stock_Seguridad!F754</f>
        <v>SIN HIST</v>
      </c>
      <c r="E754" s="19" t="str">
        <f aca="false">Stock_Seguridad!X754</f>
        <v>SIN FCST</v>
      </c>
      <c r="F754" s="20" t="str">
        <f aca="false">Stock_Seguridad!W754</f>
        <v/>
      </c>
      <c r="G754" s="21" t="n">
        <f aca="false">Stock_Seguridad!T754</f>
        <v>431280</v>
      </c>
      <c r="H754" s="21" t="n">
        <f aca="false">Stock_Seguridad!R754</f>
        <v>0</v>
      </c>
      <c r="I754" s="21" t="n">
        <f aca="false">Stock_Seguridad!S754</f>
        <v>0</v>
      </c>
      <c r="J754" s="21" t="n">
        <f aca="false">Stock_Seguridad!U754</f>
        <v>13260</v>
      </c>
      <c r="K754" s="22" t="n">
        <v>46321</v>
      </c>
      <c r="L754" s="23" t="n">
        <v>0</v>
      </c>
      <c r="M754" s="23" t="n">
        <v>0</v>
      </c>
      <c r="N754" s="23" t="n">
        <v>0</v>
      </c>
      <c r="O754" s="24" t="n">
        <v>0.0712480316731903</v>
      </c>
      <c r="P754" s="24" t="str">
        <f aca="false">IF(ISNUMBER(Stock_Seguridad!N754),Stock_Seguridad!N754,"")</f>
        <v/>
      </c>
      <c r="Q754" s="24" t="str">
        <f aca="false">IF(AND(ISNUMBER(O754),ISNUMBER(P754)),P754-O754,"")</f>
        <v/>
      </c>
      <c r="R754" s="23" t="n">
        <f aca="false">MAX(0,G754-N(L754))</f>
        <v>431280</v>
      </c>
      <c r="S754" s="23" t="n">
        <f aca="false">SUMIFS(Cadenas_vs_FCST!$D$17:$D$2437,Cadenas_vs_FCST!$A$17:$A$2437,A754)</f>
        <v>0</v>
      </c>
      <c r="T754" s="23" t="n">
        <f aca="false">SUMIFS(Cadenas_vs_FCST!$E$17:$E$2437,Cadenas_vs_FCST!$A$17:$A$2437,A754)</f>
        <v>0</v>
      </c>
      <c r="U754" s="24" t="str">
        <f aca="false">IF(T754&gt;0,S754/T754-1,"")</f>
        <v/>
      </c>
      <c r="V754" s="3" t="str">
        <f aca="false">IF(OR(E754="BAJO SS",E754="BAJO SS (XLIB CUBRE)"),"SÍ","")</f>
        <v/>
      </c>
      <c r="W754" s="3" t="str">
        <f aca="false">IF(AND(V754="",N(L754)&gt;=Parametros!$B$17,G754&gt;=H754,R754&lt;H754),"SÍ","")</f>
        <v/>
      </c>
      <c r="X754" s="3" t="str">
        <f aca="false">IF(OR(E754="SOBRE MAX VENDIBLE",N(N754)&gt;=Parametros!$B$17,N(M754)&gt;=Parametros!$B$17),"SÍ","")</f>
        <v/>
      </c>
      <c r="Y754" s="3" t="str">
        <f aca="false">IF(AND(ISNUMBER(U754),MAX(S754,T754)&gt;=Parametros!$B$15,ABS(N(U754))&gt;Parametros!$B$14),"SÍ","")</f>
        <v/>
      </c>
      <c r="Z754" s="3" t="n">
        <f aca="false">COUNTIF(V754:Y754,"SÍ")</f>
        <v>0</v>
      </c>
      <c r="AA754" s="3" t="n">
        <f aca="false">(3*(V754="SÍ")+2*(W754="SÍ")+2*(X754="SÍ")+(Y754="SÍ"))*IF(LEFT(D754,1)="A",3,IF(OR(LEFT(D754,1)="B",D754="SIN HIST"),2,1))</f>
        <v>0</v>
      </c>
      <c r="AB754" s="3" t="str">
        <f aca="false">IF(AA754&gt;=9,"1-ALTA",IF(AA754&gt;=4,"2-MEDIA",IF(AA754&gt;0,"3-BAJA","")))</f>
        <v/>
      </c>
      <c r="AC754" s="3" t="str">
        <f aca="false">IF(E754="BAJO SS","Stock + XLIB bajo el SS: riesgo real de quiebre, adelantar producción. ","")&amp;IF(E754="BAJO SS (XLIB CUBRE)","Disponible bajo el SS; depende de liberar "&amp;TEXT(J754,"#,##0")&amp;" kg"&amp;IF(ISNUMBER(K754)," el "&amp;TEXT(K754,"dd-mm"),"")&amp;". ","")&amp;IF(W754="SÍ","Stock parece sano pero "&amp;TEXT(L754,"#,##0")&amp;" kg no pasan filtro "&amp;Stock_Seguridad!O754&amp;": sin ellos queda bajo el SS para esa cadena. ","")&amp;IF(E754="SOBRE MAX VENDIBLE","Sobrestock vs vida útil: frenar producción/activar venta. ","")&amp;IF(N(N754)&gt;=Parametros!$B$17,TEXT(N754,"#,##0")&amp;" kg ya no los acepta ninguna cadena: venta intermedia/liquidación. ","")&amp;IF(N(M754)&gt;=Parametros!$B$17,TEXT(M754,"#,##0")&amp;" kg a punto de salir del filtro: despachar primero (FEFO). ","")&amp;IF(Y754="SÍ","Pedidos "&amp;IF(N(U754)&gt;0,"sobre","bajo")&amp;" FCST "&amp;TEXT(ABS(N(U754)),"0%")&amp;": revisar forecast con KAM.","")</f>
        <v/>
      </c>
    </row>
    <row r="755" customFormat="false" ht="15" hidden="false" customHeight="false" outlineLevel="0" collapsed="false">
      <c r="A755" s="18" t="n">
        <f aca="false">Stock_Seguridad!A755</f>
        <v>30000124</v>
      </c>
      <c r="B755" s="18" t="str">
        <f aca="false">Stock_Seguridad!B755</f>
        <v>MARGARINA SWIS BARRA 6X8X200GR</v>
      </c>
      <c r="C755" s="18" t="str">
        <f aca="false">Stock_Seguridad!C755</f>
        <v>MARGARINAS</v>
      </c>
      <c r="D755" s="18" t="str">
        <f aca="false">Stock_Seguridad!F755</f>
        <v>SIN HIST</v>
      </c>
      <c r="E755" s="19" t="str">
        <f aca="false">Stock_Seguridad!X755</f>
        <v>SIN FCST</v>
      </c>
      <c r="F755" s="20" t="str">
        <f aca="false">Stock_Seguridad!W755</f>
        <v/>
      </c>
      <c r="G755" s="21" t="n">
        <f aca="false">Stock_Seguridad!T755</f>
        <v>9523.2</v>
      </c>
      <c r="H755" s="21" t="n">
        <f aca="false">Stock_Seguridad!R755</f>
        <v>0</v>
      </c>
      <c r="I755" s="21" t="n">
        <f aca="false">Stock_Seguridad!S755</f>
        <v>0</v>
      </c>
      <c r="J755" s="21" t="n">
        <f aca="false">Stock_Seguridad!U755</f>
        <v>0</v>
      </c>
      <c r="K755" s="22"/>
      <c r="L755" s="23" t="n">
        <v>0</v>
      </c>
      <c r="M755" s="23" t="n">
        <v>0</v>
      </c>
      <c r="N755" s="23" t="n">
        <v>0</v>
      </c>
      <c r="O755" s="24" t="n">
        <v>0.0516129032258065</v>
      </c>
      <c r="P755" s="24" t="str">
        <f aca="false">IF(ISNUMBER(Stock_Seguridad!N755),Stock_Seguridad!N755,"")</f>
        <v/>
      </c>
      <c r="Q755" s="24" t="str">
        <f aca="false">IF(AND(ISNUMBER(O755),ISNUMBER(P755)),P755-O755,"")</f>
        <v/>
      </c>
      <c r="R755" s="23" t="n">
        <f aca="false">MAX(0,G755-N(L755))</f>
        <v>9523.2</v>
      </c>
      <c r="S755" s="23" t="n">
        <f aca="false">SUMIFS(Cadenas_vs_FCST!$D$17:$D$2437,Cadenas_vs_FCST!$A$17:$A$2437,A755)</f>
        <v>0</v>
      </c>
      <c r="T755" s="23" t="n">
        <f aca="false">SUMIFS(Cadenas_vs_FCST!$E$17:$E$2437,Cadenas_vs_FCST!$A$17:$A$2437,A755)</f>
        <v>0</v>
      </c>
      <c r="U755" s="24" t="str">
        <f aca="false">IF(T755&gt;0,S755/T755-1,"")</f>
        <v/>
      </c>
      <c r="V755" s="3" t="str">
        <f aca="false">IF(OR(E755="BAJO SS",E755="BAJO SS (XLIB CUBRE)"),"SÍ","")</f>
        <v/>
      </c>
      <c r="W755" s="3" t="str">
        <f aca="false">IF(AND(V755="",N(L755)&gt;=Parametros!$B$17,G755&gt;=H755,R755&lt;H755),"SÍ","")</f>
        <v/>
      </c>
      <c r="X755" s="3" t="str">
        <f aca="false">IF(OR(E755="SOBRE MAX VENDIBLE",N(N755)&gt;=Parametros!$B$17,N(M755)&gt;=Parametros!$B$17),"SÍ","")</f>
        <v/>
      </c>
      <c r="Y755" s="3" t="str">
        <f aca="false">IF(AND(ISNUMBER(U755),MAX(S755,T755)&gt;=Parametros!$B$15,ABS(N(U755))&gt;Parametros!$B$14),"SÍ","")</f>
        <v/>
      </c>
      <c r="Z755" s="3" t="n">
        <f aca="false">COUNTIF(V755:Y755,"SÍ")</f>
        <v>0</v>
      </c>
      <c r="AA755" s="3" t="n">
        <f aca="false">(3*(V755="SÍ")+2*(W755="SÍ")+2*(X755="SÍ")+(Y755="SÍ"))*IF(LEFT(D755,1)="A",3,IF(OR(LEFT(D755,1)="B",D755="SIN HIST"),2,1))</f>
        <v>0</v>
      </c>
      <c r="AB755" s="3" t="str">
        <f aca="false">IF(AA755&gt;=9,"1-ALTA",IF(AA755&gt;=4,"2-MEDIA",IF(AA755&gt;0,"3-BAJA","")))</f>
        <v/>
      </c>
      <c r="AC755" s="3" t="str">
        <f aca="false">IF(E755="BAJO SS","Stock + XLIB bajo el SS: riesgo real de quiebre, adelantar producción. ","")&amp;IF(E755="BAJO SS (XLIB CUBRE)","Disponible bajo el SS; depende de liberar "&amp;TEXT(J755,"#,##0")&amp;" kg"&amp;IF(ISNUMBER(K755)," el "&amp;TEXT(K755,"dd-mm"),"")&amp;". ","")&amp;IF(W755="SÍ","Stock parece sano pero "&amp;TEXT(L755,"#,##0")&amp;" kg no pasan filtro "&amp;Stock_Seguridad!O755&amp;": sin ellos queda bajo el SS para esa cadena. ","")&amp;IF(E755="SOBRE MAX VENDIBLE","Sobrestock vs vida útil: frenar producción/activar venta. ","")&amp;IF(N(N755)&gt;=Parametros!$B$17,TEXT(N755,"#,##0")&amp;" kg ya no los acepta ninguna cadena: venta intermedia/liquidación. ","")&amp;IF(N(M755)&gt;=Parametros!$B$17,TEXT(M755,"#,##0")&amp;" kg a punto de salir del filtro: despachar primero (FEFO). ","")&amp;IF(Y755="SÍ","Pedidos "&amp;IF(N(U755)&gt;0,"sobre","bajo")&amp;" FCST "&amp;TEXT(ABS(N(U755)),"0%")&amp;": revisar forecast con KAM.","")</f>
        <v/>
      </c>
    </row>
    <row r="756" customFormat="false" ht="15" hidden="false" customHeight="false" outlineLevel="0" collapsed="false">
      <c r="A756" s="18" t="n">
        <f aca="false">Stock_Seguridad!A756</f>
        <v>30000123</v>
      </c>
      <c r="B756" s="18" t="str">
        <f aca="false">Stock_Seguridad!B756</f>
        <v>MARGARINA SWIS BARRA 4X12X90GR</v>
      </c>
      <c r="C756" s="18" t="str">
        <f aca="false">Stock_Seguridad!C756</f>
        <v>MARGARINAS</v>
      </c>
      <c r="D756" s="18" t="str">
        <f aca="false">Stock_Seguridad!F756</f>
        <v>SIN HIST</v>
      </c>
      <c r="E756" s="19" t="str">
        <f aca="false">Stock_Seguridad!X756</f>
        <v>SIN FCST</v>
      </c>
      <c r="F756" s="20" t="str">
        <f aca="false">Stock_Seguridad!W756</f>
        <v/>
      </c>
      <c r="G756" s="21" t="n">
        <f aca="false">Stock_Seguridad!T756</f>
        <v>11694.2</v>
      </c>
      <c r="H756" s="21" t="n">
        <f aca="false">Stock_Seguridad!R756</f>
        <v>0</v>
      </c>
      <c r="I756" s="21" t="n">
        <f aca="false">Stock_Seguridad!S756</f>
        <v>0</v>
      </c>
      <c r="J756" s="21" t="n">
        <f aca="false">Stock_Seguridad!U756</f>
        <v>0</v>
      </c>
      <c r="K756" s="22"/>
      <c r="L756" s="23" t="n">
        <v>0</v>
      </c>
      <c r="M756" s="23" t="n">
        <v>0</v>
      </c>
      <c r="N756" s="23" t="n">
        <v>0</v>
      </c>
      <c r="O756" s="24" t="n">
        <v>0.05</v>
      </c>
      <c r="P756" s="24" t="str">
        <f aca="false">IF(ISNUMBER(Stock_Seguridad!N756),Stock_Seguridad!N756,"")</f>
        <v/>
      </c>
      <c r="Q756" s="24" t="str">
        <f aca="false">IF(AND(ISNUMBER(O756),ISNUMBER(P756)),P756-O756,"")</f>
        <v/>
      </c>
      <c r="R756" s="23" t="n">
        <f aca="false">MAX(0,G756-N(L756))</f>
        <v>11694.2</v>
      </c>
      <c r="S756" s="23" t="n">
        <f aca="false">SUMIFS(Cadenas_vs_FCST!$D$17:$D$2437,Cadenas_vs_FCST!$A$17:$A$2437,A756)</f>
        <v>0</v>
      </c>
      <c r="T756" s="23" t="n">
        <f aca="false">SUMIFS(Cadenas_vs_FCST!$E$17:$E$2437,Cadenas_vs_FCST!$A$17:$A$2437,A756)</f>
        <v>0</v>
      </c>
      <c r="U756" s="24" t="str">
        <f aca="false">IF(T756&gt;0,S756/T756-1,"")</f>
        <v/>
      </c>
      <c r="V756" s="3" t="str">
        <f aca="false">IF(OR(E756="BAJO SS",E756="BAJO SS (XLIB CUBRE)"),"SÍ","")</f>
        <v/>
      </c>
      <c r="W756" s="3" t="str">
        <f aca="false">IF(AND(V756="",N(L756)&gt;=Parametros!$B$17,G756&gt;=H756,R756&lt;H756),"SÍ","")</f>
        <v/>
      </c>
      <c r="X756" s="3" t="str">
        <f aca="false">IF(OR(E756="SOBRE MAX VENDIBLE",N(N756)&gt;=Parametros!$B$17,N(M756)&gt;=Parametros!$B$17),"SÍ","")</f>
        <v/>
      </c>
      <c r="Y756" s="3" t="str">
        <f aca="false">IF(AND(ISNUMBER(U756),MAX(S756,T756)&gt;=Parametros!$B$15,ABS(N(U756))&gt;Parametros!$B$14),"SÍ","")</f>
        <v/>
      </c>
      <c r="Z756" s="3" t="n">
        <f aca="false">COUNTIF(V756:Y756,"SÍ")</f>
        <v>0</v>
      </c>
      <c r="AA756" s="3" t="n">
        <f aca="false">(3*(V756="SÍ")+2*(W756="SÍ")+2*(X756="SÍ")+(Y756="SÍ"))*IF(LEFT(D756,1)="A",3,IF(OR(LEFT(D756,1)="B",D756="SIN HIST"),2,1))</f>
        <v>0</v>
      </c>
      <c r="AB756" s="3" t="str">
        <f aca="false">IF(AA756&gt;=9,"1-ALTA",IF(AA756&gt;=4,"2-MEDIA",IF(AA756&gt;0,"3-BAJA","")))</f>
        <v/>
      </c>
      <c r="AC756" s="3" t="str">
        <f aca="false">IF(E756="BAJO SS","Stock + XLIB bajo el SS: riesgo real de quiebre, adelantar producción. ","")&amp;IF(E756="BAJO SS (XLIB CUBRE)","Disponible bajo el SS; depende de liberar "&amp;TEXT(J756,"#,##0")&amp;" kg"&amp;IF(ISNUMBER(K756)," el "&amp;TEXT(K756,"dd-mm"),"")&amp;". ","")&amp;IF(W756="SÍ","Stock parece sano pero "&amp;TEXT(L756,"#,##0")&amp;" kg no pasan filtro "&amp;Stock_Seguridad!O756&amp;": sin ellos queda bajo el SS para esa cadena. ","")&amp;IF(E756="SOBRE MAX VENDIBLE","Sobrestock vs vida útil: frenar producción/activar venta. ","")&amp;IF(N(N756)&gt;=Parametros!$B$17,TEXT(N756,"#,##0")&amp;" kg ya no los acepta ninguna cadena: venta intermedia/liquidación. ","")&amp;IF(N(M756)&gt;=Parametros!$B$17,TEXT(M756,"#,##0")&amp;" kg a punto de salir del filtro: despachar primero (FEFO). ","")&amp;IF(Y756="SÍ","Pedidos "&amp;IF(N(U756)&gt;0,"sobre","bajo")&amp;" FCST "&amp;TEXT(ABS(N(U756)),"0%")&amp;": revisar forecast con KAM.","")</f>
        <v/>
      </c>
    </row>
    <row r="757" customFormat="false" ht="15" hidden="false" customHeight="false" outlineLevel="0" collapsed="false">
      <c r="A757" s="18" t="n">
        <f aca="false">Stock_Seguridad!A757</f>
        <v>30000126</v>
      </c>
      <c r="B757" s="18" t="str">
        <f aca="false">Stock_Seguridad!B757</f>
        <v>MARGARINA SWIS POTE 12X450GR</v>
      </c>
      <c r="C757" s="18" t="str">
        <f aca="false">Stock_Seguridad!C757</f>
        <v>MARGARINAS</v>
      </c>
      <c r="D757" s="18" t="str">
        <f aca="false">Stock_Seguridad!F757</f>
        <v>SIN HIST</v>
      </c>
      <c r="E757" s="19" t="str">
        <f aca="false">Stock_Seguridad!X757</f>
        <v>SIN FCST</v>
      </c>
      <c r="F757" s="20" t="str">
        <f aca="false">Stock_Seguridad!W757</f>
        <v/>
      </c>
      <c r="G757" s="21" t="n">
        <f aca="false">Stock_Seguridad!T757</f>
        <v>22766.4</v>
      </c>
      <c r="H757" s="21" t="n">
        <f aca="false">Stock_Seguridad!R757</f>
        <v>0</v>
      </c>
      <c r="I757" s="21" t="n">
        <f aca="false">Stock_Seguridad!S757</f>
        <v>0</v>
      </c>
      <c r="J757" s="21" t="n">
        <f aca="false">Stock_Seguridad!U757</f>
        <v>0</v>
      </c>
      <c r="K757" s="22"/>
      <c r="L757" s="23" t="n">
        <v>0</v>
      </c>
      <c r="M757" s="23" t="n">
        <v>0</v>
      </c>
      <c r="N757" s="23" t="n">
        <v>0</v>
      </c>
      <c r="O757" s="24" t="n">
        <v>0.0746394686907021</v>
      </c>
      <c r="P757" s="24" t="str">
        <f aca="false">IF(ISNUMBER(Stock_Seguridad!N757),Stock_Seguridad!N757,"")</f>
        <v/>
      </c>
      <c r="Q757" s="24" t="str">
        <f aca="false">IF(AND(ISNUMBER(O757),ISNUMBER(P757)),P757-O757,"")</f>
        <v/>
      </c>
      <c r="R757" s="23" t="n">
        <f aca="false">MAX(0,G757-N(L757))</f>
        <v>22766.4</v>
      </c>
      <c r="S757" s="23" t="n">
        <f aca="false">SUMIFS(Cadenas_vs_FCST!$D$17:$D$2437,Cadenas_vs_FCST!$A$17:$A$2437,A757)</f>
        <v>0</v>
      </c>
      <c r="T757" s="23" t="n">
        <f aca="false">SUMIFS(Cadenas_vs_FCST!$E$17:$E$2437,Cadenas_vs_FCST!$A$17:$A$2437,A757)</f>
        <v>0</v>
      </c>
      <c r="U757" s="24" t="str">
        <f aca="false">IF(T757&gt;0,S757/T757-1,"")</f>
        <v/>
      </c>
      <c r="V757" s="3" t="str">
        <f aca="false">IF(OR(E757="BAJO SS",E757="BAJO SS (XLIB CUBRE)"),"SÍ","")</f>
        <v/>
      </c>
      <c r="W757" s="3" t="str">
        <f aca="false">IF(AND(V757="",N(L757)&gt;=Parametros!$B$17,G757&gt;=H757,R757&lt;H757),"SÍ","")</f>
        <v/>
      </c>
      <c r="X757" s="3" t="str">
        <f aca="false">IF(OR(E757="SOBRE MAX VENDIBLE",N(N757)&gt;=Parametros!$B$17,N(M757)&gt;=Parametros!$B$17),"SÍ","")</f>
        <v/>
      </c>
      <c r="Y757" s="3" t="str">
        <f aca="false">IF(AND(ISNUMBER(U757),MAX(S757,T757)&gt;=Parametros!$B$15,ABS(N(U757))&gt;Parametros!$B$14),"SÍ","")</f>
        <v/>
      </c>
      <c r="Z757" s="3" t="n">
        <f aca="false">COUNTIF(V757:Y757,"SÍ")</f>
        <v>0</v>
      </c>
      <c r="AA757" s="3" t="n">
        <f aca="false">(3*(V757="SÍ")+2*(W757="SÍ")+2*(X757="SÍ")+(Y757="SÍ"))*IF(LEFT(D757,1)="A",3,IF(OR(LEFT(D757,1)="B",D757="SIN HIST"),2,1))</f>
        <v>0</v>
      </c>
      <c r="AB757" s="3" t="str">
        <f aca="false">IF(AA757&gt;=9,"1-ALTA",IF(AA757&gt;=4,"2-MEDIA",IF(AA757&gt;0,"3-BAJA","")))</f>
        <v/>
      </c>
      <c r="AC757" s="3" t="str">
        <f aca="false">IF(E757="BAJO SS","Stock + XLIB bajo el SS: riesgo real de quiebre, adelantar producción. ","")&amp;IF(E757="BAJO SS (XLIB CUBRE)","Disponible bajo el SS; depende de liberar "&amp;TEXT(J757,"#,##0")&amp;" kg"&amp;IF(ISNUMBER(K757)," el "&amp;TEXT(K757,"dd-mm"),"")&amp;". ","")&amp;IF(W757="SÍ","Stock parece sano pero "&amp;TEXT(L757,"#,##0")&amp;" kg no pasan filtro "&amp;Stock_Seguridad!O757&amp;": sin ellos queda bajo el SS para esa cadena. ","")&amp;IF(E757="SOBRE MAX VENDIBLE","Sobrestock vs vida útil: frenar producción/activar venta. ","")&amp;IF(N(N757)&gt;=Parametros!$B$17,TEXT(N757,"#,##0")&amp;" kg ya no los acepta ninguna cadena: venta intermedia/liquidación. ","")&amp;IF(N(M757)&gt;=Parametros!$B$17,TEXT(M757,"#,##0")&amp;" kg a punto de salir del filtro: despachar primero (FEFO). ","")&amp;IF(Y757="SÍ","Pedidos "&amp;IF(N(U757)&gt;0,"sobre","bajo")&amp;" FCST "&amp;TEXT(ABS(N(U757)),"0%")&amp;": revisar forecast con KAM.","")</f>
        <v/>
      </c>
    </row>
    <row r="758" customFormat="false" ht="15" hidden="false" customHeight="false" outlineLevel="0" collapsed="false">
      <c r="A758" s="18" t="n">
        <f aca="false">Stock_Seguridad!A758</f>
        <v>30002287</v>
      </c>
      <c r="B758" s="18" t="str">
        <f aca="false">Stock_Seguridad!B758</f>
        <v>POROTO BLANCO COCIDO 1X16KG</v>
      </c>
      <c r="C758" s="18" t="str">
        <f aca="false">Stock_Seguridad!C758</f>
        <v>FRUTAS Y HORTALIZAS CONGELADAS</v>
      </c>
      <c r="D758" s="18" t="str">
        <f aca="false">Stock_Seguridad!F758</f>
        <v>SIN HIST</v>
      </c>
      <c r="E758" s="19" t="str">
        <f aca="false">Stock_Seguridad!X758</f>
        <v>SIN FCST</v>
      </c>
      <c r="F758" s="20" t="str">
        <f aca="false">Stock_Seguridad!W758</f>
        <v/>
      </c>
      <c r="G758" s="21" t="n">
        <f aca="false">Stock_Seguridad!T758</f>
        <v>3328</v>
      </c>
      <c r="H758" s="21" t="n">
        <f aca="false">Stock_Seguridad!R758</f>
        <v>0</v>
      </c>
      <c r="I758" s="21" t="n">
        <f aca="false">Stock_Seguridad!S758</f>
        <v>0</v>
      </c>
      <c r="J758" s="21" t="n">
        <f aca="false">Stock_Seguridad!U758</f>
        <v>0</v>
      </c>
      <c r="K758" s="22"/>
      <c r="L758" s="23" t="n">
        <v>0</v>
      </c>
      <c r="M758" s="23" t="n">
        <v>0</v>
      </c>
      <c r="N758" s="23" t="n">
        <v>0</v>
      </c>
      <c r="O758" s="24" t="n">
        <v>0.0467307692307692</v>
      </c>
      <c r="P758" s="24" t="str">
        <f aca="false">IF(ISNUMBER(Stock_Seguridad!N758),Stock_Seguridad!N758,"")</f>
        <v/>
      </c>
      <c r="Q758" s="24" t="str">
        <f aca="false">IF(AND(ISNUMBER(O758),ISNUMBER(P758)),P758-O758,"")</f>
        <v/>
      </c>
      <c r="R758" s="23" t="n">
        <f aca="false">MAX(0,G758-N(L758))</f>
        <v>3328</v>
      </c>
      <c r="S758" s="23" t="n">
        <f aca="false">SUMIFS(Cadenas_vs_FCST!$D$17:$D$2437,Cadenas_vs_FCST!$A$17:$A$2437,A758)</f>
        <v>0</v>
      </c>
      <c r="T758" s="23" t="n">
        <f aca="false">SUMIFS(Cadenas_vs_FCST!$E$17:$E$2437,Cadenas_vs_FCST!$A$17:$A$2437,A758)</f>
        <v>0</v>
      </c>
      <c r="U758" s="24" t="str">
        <f aca="false">IF(T758&gt;0,S758/T758-1,"")</f>
        <v/>
      </c>
      <c r="V758" s="3" t="str">
        <f aca="false">IF(OR(E758="BAJO SS",E758="BAJO SS (XLIB CUBRE)"),"SÍ","")</f>
        <v/>
      </c>
      <c r="W758" s="3" t="str">
        <f aca="false">IF(AND(V758="",N(L758)&gt;=Parametros!$B$17,G758&gt;=H758,R758&lt;H758),"SÍ","")</f>
        <v/>
      </c>
      <c r="X758" s="3" t="str">
        <f aca="false">IF(OR(E758="SOBRE MAX VENDIBLE",N(N758)&gt;=Parametros!$B$17,N(M758)&gt;=Parametros!$B$17),"SÍ","")</f>
        <v/>
      </c>
      <c r="Y758" s="3" t="str">
        <f aca="false">IF(AND(ISNUMBER(U758),MAX(S758,T758)&gt;=Parametros!$B$15,ABS(N(U758))&gt;Parametros!$B$14),"SÍ","")</f>
        <v/>
      </c>
      <c r="Z758" s="3" t="n">
        <f aca="false">COUNTIF(V758:Y758,"SÍ")</f>
        <v>0</v>
      </c>
      <c r="AA758" s="3" t="n">
        <f aca="false">(3*(V758="SÍ")+2*(W758="SÍ")+2*(X758="SÍ")+(Y758="SÍ"))*IF(LEFT(D758,1)="A",3,IF(OR(LEFT(D758,1)="B",D758="SIN HIST"),2,1))</f>
        <v>0</v>
      </c>
      <c r="AB758" s="3" t="str">
        <f aca="false">IF(AA758&gt;=9,"1-ALTA",IF(AA758&gt;=4,"2-MEDIA",IF(AA758&gt;0,"3-BAJA","")))</f>
        <v/>
      </c>
      <c r="AC758" s="3" t="str">
        <f aca="false">IF(E758="BAJO SS","Stock + XLIB bajo el SS: riesgo real de quiebre, adelantar producción. ","")&amp;IF(E758="BAJO SS (XLIB CUBRE)","Disponible bajo el SS; depende de liberar "&amp;TEXT(J758,"#,##0")&amp;" kg"&amp;IF(ISNUMBER(K758)," el "&amp;TEXT(K758,"dd-mm"),"")&amp;". ","")&amp;IF(W758="SÍ","Stock parece sano pero "&amp;TEXT(L758,"#,##0")&amp;" kg no pasan filtro "&amp;Stock_Seguridad!O758&amp;": sin ellos queda bajo el SS para esa cadena. ","")&amp;IF(E758="SOBRE MAX VENDIBLE","Sobrestock vs vida útil: frenar producción/activar venta. ","")&amp;IF(N(N758)&gt;=Parametros!$B$17,TEXT(N758,"#,##0")&amp;" kg ya no los acepta ninguna cadena: venta intermedia/liquidación. ","")&amp;IF(N(M758)&gt;=Parametros!$B$17,TEXT(M758,"#,##0")&amp;" kg a punto de salir del filtro: despachar primero (FEFO). ","")&amp;IF(Y758="SÍ","Pedidos "&amp;IF(N(U758)&gt;0,"sobre","bajo")&amp;" FCST "&amp;TEXT(ABS(N(U758)),"0%")&amp;": revisar forecast con KAM.","")</f>
        <v/>
      </c>
    </row>
    <row r="759" customFormat="false" ht="15" hidden="false" customHeight="false" outlineLevel="0" collapsed="false">
      <c r="A759" s="18" t="n">
        <f aca="false">Stock_Seguridad!A759</f>
        <v>30002328</v>
      </c>
      <c r="B759" s="18" t="str">
        <f aca="false">Stock_Seguridad!B759</f>
        <v>SMOOTHIE VITALITY AVALANGE 15X500G</v>
      </c>
      <c r="C759" s="18" t="str">
        <f aca="false">Stock_Seguridad!C759</f>
        <v>FRUTAS Y HORTALIZAS CONGELADAS</v>
      </c>
      <c r="D759" s="18" t="str">
        <f aca="false">Stock_Seguridad!F759</f>
        <v>SIN HIST</v>
      </c>
      <c r="E759" s="19" t="str">
        <f aca="false">Stock_Seguridad!X759</f>
        <v>SIN FCST</v>
      </c>
      <c r="F759" s="20" t="str">
        <f aca="false">Stock_Seguridad!W759</f>
        <v/>
      </c>
      <c r="G759" s="21" t="n">
        <f aca="false">Stock_Seguridad!T759</f>
        <v>1725</v>
      </c>
      <c r="H759" s="21" t="n">
        <f aca="false">Stock_Seguridad!R759</f>
        <v>0</v>
      </c>
      <c r="I759" s="21" t="n">
        <f aca="false">Stock_Seguridad!S759</f>
        <v>0</v>
      </c>
      <c r="J759" s="21" t="n">
        <f aca="false">Stock_Seguridad!U759</f>
        <v>0</v>
      </c>
      <c r="K759" s="22"/>
      <c r="L759" s="23" t="n">
        <v>0</v>
      </c>
      <c r="M759" s="23" t="n">
        <v>0</v>
      </c>
      <c r="N759" s="23" t="n">
        <v>0</v>
      </c>
      <c r="O759" s="24" t="n">
        <v>0.0569565217391304</v>
      </c>
      <c r="P759" s="24" t="str">
        <f aca="false">IF(ISNUMBER(Stock_Seguridad!N759),Stock_Seguridad!N759,"")</f>
        <v/>
      </c>
      <c r="Q759" s="24" t="str">
        <f aca="false">IF(AND(ISNUMBER(O759),ISNUMBER(P759)),P759-O759,"")</f>
        <v/>
      </c>
      <c r="R759" s="23" t="n">
        <f aca="false">MAX(0,G759-N(L759))</f>
        <v>1725</v>
      </c>
      <c r="S759" s="23" t="n">
        <f aca="false">SUMIFS(Cadenas_vs_FCST!$D$17:$D$2437,Cadenas_vs_FCST!$A$17:$A$2437,A759)</f>
        <v>0</v>
      </c>
      <c r="T759" s="23" t="n">
        <f aca="false">SUMIFS(Cadenas_vs_FCST!$E$17:$E$2437,Cadenas_vs_FCST!$A$17:$A$2437,A759)</f>
        <v>0</v>
      </c>
      <c r="U759" s="24" t="str">
        <f aca="false">IF(T759&gt;0,S759/T759-1,"")</f>
        <v/>
      </c>
      <c r="V759" s="3" t="str">
        <f aca="false">IF(OR(E759="BAJO SS",E759="BAJO SS (XLIB CUBRE)"),"SÍ","")</f>
        <v/>
      </c>
      <c r="W759" s="3" t="str">
        <f aca="false">IF(AND(V759="",N(L759)&gt;=Parametros!$B$17,G759&gt;=H759,R759&lt;H759),"SÍ","")</f>
        <v/>
      </c>
      <c r="X759" s="3" t="str">
        <f aca="false">IF(OR(E759="SOBRE MAX VENDIBLE",N(N759)&gt;=Parametros!$B$17,N(M759)&gt;=Parametros!$B$17),"SÍ","")</f>
        <v/>
      </c>
      <c r="Y759" s="3" t="str">
        <f aca="false">IF(AND(ISNUMBER(U759),MAX(S759,T759)&gt;=Parametros!$B$15,ABS(N(U759))&gt;Parametros!$B$14),"SÍ","")</f>
        <v/>
      </c>
      <c r="Z759" s="3" t="n">
        <f aca="false">COUNTIF(V759:Y759,"SÍ")</f>
        <v>0</v>
      </c>
      <c r="AA759" s="3" t="n">
        <f aca="false">(3*(V759="SÍ")+2*(W759="SÍ")+2*(X759="SÍ")+(Y759="SÍ"))*IF(LEFT(D759,1)="A",3,IF(OR(LEFT(D759,1)="B",D759="SIN HIST"),2,1))</f>
        <v>0</v>
      </c>
      <c r="AB759" s="3" t="str">
        <f aca="false">IF(AA759&gt;=9,"1-ALTA",IF(AA759&gt;=4,"2-MEDIA",IF(AA759&gt;0,"3-BAJA","")))</f>
        <v/>
      </c>
      <c r="AC759" s="3" t="str">
        <f aca="false">IF(E759="BAJO SS","Stock + XLIB bajo el SS: riesgo real de quiebre, adelantar producción. ","")&amp;IF(E759="BAJO SS (XLIB CUBRE)","Disponible bajo el SS; depende de liberar "&amp;TEXT(J759,"#,##0")&amp;" kg"&amp;IF(ISNUMBER(K759)," el "&amp;TEXT(K759,"dd-mm"),"")&amp;". ","")&amp;IF(W759="SÍ","Stock parece sano pero "&amp;TEXT(L759,"#,##0")&amp;" kg no pasan filtro "&amp;Stock_Seguridad!O759&amp;": sin ellos queda bajo el SS para esa cadena. ","")&amp;IF(E759="SOBRE MAX VENDIBLE","Sobrestock vs vida útil: frenar producción/activar venta. ","")&amp;IF(N(N759)&gt;=Parametros!$B$17,TEXT(N759,"#,##0")&amp;" kg ya no los acepta ninguna cadena: venta intermedia/liquidación. ","")&amp;IF(N(M759)&gt;=Parametros!$B$17,TEXT(M759,"#,##0")&amp;" kg a punto de salir del filtro: despachar primero (FEFO). ","")&amp;IF(Y759="SÍ","Pedidos "&amp;IF(N(U759)&gt;0,"sobre","bajo")&amp;" FCST "&amp;TEXT(ABS(N(U759)),"0%")&amp;": revisar forecast con KAM.","")</f>
        <v/>
      </c>
    </row>
    <row r="760" customFormat="false" ht="15" hidden="false" customHeight="false" outlineLevel="0" collapsed="false">
      <c r="A760" s="18" t="n">
        <f aca="false">Stock_Seguridad!A760</f>
        <v>30002327</v>
      </c>
      <c r="B760" s="18" t="str">
        <f aca="false">Stock_Seguridad!B760</f>
        <v>SMOOTHIE DETOX AVALANGE 15X500G</v>
      </c>
      <c r="C760" s="18" t="str">
        <f aca="false">Stock_Seguridad!C760</f>
        <v>FRUTAS Y HORTALIZAS CONGELADAS</v>
      </c>
      <c r="D760" s="18" t="str">
        <f aca="false">Stock_Seguridad!F760</f>
        <v>SIN HIST</v>
      </c>
      <c r="E760" s="19" t="str">
        <f aca="false">Stock_Seguridad!X760</f>
        <v>SIN FCST</v>
      </c>
      <c r="F760" s="20" t="str">
        <f aca="false">Stock_Seguridad!W760</f>
        <v/>
      </c>
      <c r="G760" s="21" t="n">
        <f aca="false">Stock_Seguridad!T760</f>
        <v>1072.5</v>
      </c>
      <c r="H760" s="21" t="n">
        <f aca="false">Stock_Seguridad!R760</f>
        <v>0</v>
      </c>
      <c r="I760" s="21" t="n">
        <f aca="false">Stock_Seguridad!S760</f>
        <v>0</v>
      </c>
      <c r="J760" s="21" t="n">
        <f aca="false">Stock_Seguridad!U760</f>
        <v>0</v>
      </c>
      <c r="K760" s="22"/>
      <c r="L760" s="23" t="n">
        <v>0</v>
      </c>
      <c r="M760" s="23" t="n">
        <v>0</v>
      </c>
      <c r="N760" s="23" t="n">
        <v>0</v>
      </c>
      <c r="O760" s="24" t="n">
        <v>0.031958041958042</v>
      </c>
      <c r="P760" s="24" t="str">
        <f aca="false">IF(ISNUMBER(Stock_Seguridad!N760),Stock_Seguridad!N760,"")</f>
        <v/>
      </c>
      <c r="Q760" s="24" t="str">
        <f aca="false">IF(AND(ISNUMBER(O760),ISNUMBER(P760)),P760-O760,"")</f>
        <v/>
      </c>
      <c r="R760" s="23" t="n">
        <f aca="false">MAX(0,G760-N(L760))</f>
        <v>1072.5</v>
      </c>
      <c r="S760" s="23" t="n">
        <f aca="false">SUMIFS(Cadenas_vs_FCST!$D$17:$D$2437,Cadenas_vs_FCST!$A$17:$A$2437,A760)</f>
        <v>0</v>
      </c>
      <c r="T760" s="23" t="n">
        <f aca="false">SUMIFS(Cadenas_vs_FCST!$E$17:$E$2437,Cadenas_vs_FCST!$A$17:$A$2437,A760)</f>
        <v>0</v>
      </c>
      <c r="U760" s="24" t="str">
        <f aca="false">IF(T760&gt;0,S760/T760-1,"")</f>
        <v/>
      </c>
      <c r="V760" s="3" t="str">
        <f aca="false">IF(OR(E760="BAJO SS",E760="BAJO SS (XLIB CUBRE)"),"SÍ","")</f>
        <v/>
      </c>
      <c r="W760" s="3" t="str">
        <f aca="false">IF(AND(V760="",N(L760)&gt;=Parametros!$B$17,G760&gt;=H760,R760&lt;H760),"SÍ","")</f>
        <v/>
      </c>
      <c r="X760" s="3" t="str">
        <f aca="false">IF(OR(E760="SOBRE MAX VENDIBLE",N(N760)&gt;=Parametros!$B$17,N(M760)&gt;=Parametros!$B$17),"SÍ","")</f>
        <v/>
      </c>
      <c r="Y760" s="3" t="str">
        <f aca="false">IF(AND(ISNUMBER(U760),MAX(S760,T760)&gt;=Parametros!$B$15,ABS(N(U760))&gt;Parametros!$B$14),"SÍ","")</f>
        <v/>
      </c>
      <c r="Z760" s="3" t="n">
        <f aca="false">COUNTIF(V760:Y760,"SÍ")</f>
        <v>0</v>
      </c>
      <c r="AA760" s="3" t="n">
        <f aca="false">(3*(V760="SÍ")+2*(W760="SÍ")+2*(X760="SÍ")+(Y760="SÍ"))*IF(LEFT(D760,1)="A",3,IF(OR(LEFT(D760,1)="B",D760="SIN HIST"),2,1))</f>
        <v>0</v>
      </c>
      <c r="AB760" s="3" t="str">
        <f aca="false">IF(AA760&gt;=9,"1-ALTA",IF(AA760&gt;=4,"2-MEDIA",IF(AA760&gt;0,"3-BAJA","")))</f>
        <v/>
      </c>
      <c r="AC760" s="3" t="str">
        <f aca="false">IF(E760="BAJO SS","Stock + XLIB bajo el SS: riesgo real de quiebre, adelantar producción. ","")&amp;IF(E760="BAJO SS (XLIB CUBRE)","Disponible bajo el SS; depende de liberar "&amp;TEXT(J760,"#,##0")&amp;" kg"&amp;IF(ISNUMBER(K760)," el "&amp;TEXT(K760,"dd-mm"),"")&amp;". ","")&amp;IF(W760="SÍ","Stock parece sano pero "&amp;TEXT(L760,"#,##0")&amp;" kg no pasan filtro "&amp;Stock_Seguridad!O760&amp;": sin ellos queda bajo el SS para esa cadena. ","")&amp;IF(E760="SOBRE MAX VENDIBLE","Sobrestock vs vida útil: frenar producción/activar venta. ","")&amp;IF(N(N760)&gt;=Parametros!$B$17,TEXT(N760,"#,##0")&amp;" kg ya no los acepta ninguna cadena: venta intermedia/liquidación. ","")&amp;IF(N(M760)&gt;=Parametros!$B$17,TEXT(M760,"#,##0")&amp;" kg a punto de salir del filtro: despachar primero (FEFO). ","")&amp;IF(Y760="SÍ","Pedidos "&amp;IF(N(U760)&gt;0,"sobre","bajo")&amp;" FCST "&amp;TEXT(ABS(N(U760)),"0%")&amp;": revisar forecast con KAM.","")</f>
        <v/>
      </c>
    </row>
    <row r="761" customFormat="false" ht="15" hidden="false" customHeight="false" outlineLevel="0" collapsed="false">
      <c r="A761" s="18" t="n">
        <f aca="false">Stock_Seguridad!A761</f>
        <v>30002281</v>
      </c>
      <c r="B761" s="18" t="str">
        <f aca="false">Stock_Seguridad!B761</f>
        <v>BITES FRAMBUESA GRANEL 2X2,5KG</v>
      </c>
      <c r="C761" s="18" t="str">
        <f aca="false">Stock_Seguridad!C761</f>
        <v>FRUTAS Y HORTALIZAS CONGELADAS</v>
      </c>
      <c r="D761" s="18" t="str">
        <f aca="false">Stock_Seguridad!F761</f>
        <v>SIN HIST</v>
      </c>
      <c r="E761" s="19" t="str">
        <f aca="false">Stock_Seguridad!X761</f>
        <v>SIN FCST</v>
      </c>
      <c r="F761" s="20" t="str">
        <f aca="false">Stock_Seguridad!W761</f>
        <v/>
      </c>
      <c r="G761" s="21" t="n">
        <f aca="false">Stock_Seguridad!T761</f>
        <v>930</v>
      </c>
      <c r="H761" s="21" t="n">
        <f aca="false">Stock_Seguridad!R761</f>
        <v>0</v>
      </c>
      <c r="I761" s="21" t="n">
        <f aca="false">Stock_Seguridad!S761</f>
        <v>0</v>
      </c>
      <c r="J761" s="21" t="n">
        <f aca="false">Stock_Seguridad!U761</f>
        <v>0</v>
      </c>
      <c r="K761" s="22"/>
      <c r="L761" s="23" t="n">
        <v>0</v>
      </c>
      <c r="M761" s="23" t="n">
        <v>0</v>
      </c>
      <c r="N761" s="23" t="n">
        <v>0</v>
      </c>
      <c r="O761" s="24" t="n">
        <v>0.19</v>
      </c>
      <c r="P761" s="24" t="str">
        <f aca="false">IF(ISNUMBER(Stock_Seguridad!N761),Stock_Seguridad!N761,"")</f>
        <v/>
      </c>
      <c r="Q761" s="24" t="str">
        <f aca="false">IF(AND(ISNUMBER(O761),ISNUMBER(P761)),P761-O761,"")</f>
        <v/>
      </c>
      <c r="R761" s="23" t="n">
        <f aca="false">MAX(0,G761-N(L761))</f>
        <v>930</v>
      </c>
      <c r="S761" s="23" t="n">
        <f aca="false">SUMIFS(Cadenas_vs_FCST!$D$17:$D$2437,Cadenas_vs_FCST!$A$17:$A$2437,A761)</f>
        <v>0</v>
      </c>
      <c r="T761" s="23" t="n">
        <f aca="false">SUMIFS(Cadenas_vs_FCST!$E$17:$E$2437,Cadenas_vs_FCST!$A$17:$A$2437,A761)</f>
        <v>0</v>
      </c>
      <c r="U761" s="24" t="str">
        <f aca="false">IF(T761&gt;0,S761/T761-1,"")</f>
        <v/>
      </c>
      <c r="V761" s="3" t="str">
        <f aca="false">IF(OR(E761="BAJO SS",E761="BAJO SS (XLIB CUBRE)"),"SÍ","")</f>
        <v/>
      </c>
      <c r="W761" s="3" t="str">
        <f aca="false">IF(AND(V761="",N(L761)&gt;=Parametros!$B$17,G761&gt;=H761,R761&lt;H761),"SÍ","")</f>
        <v/>
      </c>
      <c r="X761" s="3" t="str">
        <f aca="false">IF(OR(E761="SOBRE MAX VENDIBLE",N(N761)&gt;=Parametros!$B$17,N(M761)&gt;=Parametros!$B$17),"SÍ","")</f>
        <v/>
      </c>
      <c r="Y761" s="3" t="str">
        <f aca="false">IF(AND(ISNUMBER(U761),MAX(S761,T761)&gt;=Parametros!$B$15,ABS(N(U761))&gt;Parametros!$B$14),"SÍ","")</f>
        <v/>
      </c>
      <c r="Z761" s="3" t="n">
        <f aca="false">COUNTIF(V761:Y761,"SÍ")</f>
        <v>0</v>
      </c>
      <c r="AA761" s="3" t="n">
        <f aca="false">(3*(V761="SÍ")+2*(W761="SÍ")+2*(X761="SÍ")+(Y761="SÍ"))*IF(LEFT(D761,1)="A",3,IF(OR(LEFT(D761,1)="B",D761="SIN HIST"),2,1))</f>
        <v>0</v>
      </c>
      <c r="AB761" s="3" t="str">
        <f aca="false">IF(AA761&gt;=9,"1-ALTA",IF(AA761&gt;=4,"2-MEDIA",IF(AA761&gt;0,"3-BAJA","")))</f>
        <v/>
      </c>
      <c r="AC761" s="3" t="str">
        <f aca="false">IF(E761="BAJO SS","Stock + XLIB bajo el SS: riesgo real de quiebre, adelantar producción. ","")&amp;IF(E761="BAJO SS (XLIB CUBRE)","Disponible bajo el SS; depende de liberar "&amp;TEXT(J761,"#,##0")&amp;" kg"&amp;IF(ISNUMBER(K761)," el "&amp;TEXT(K761,"dd-mm"),"")&amp;". ","")&amp;IF(W761="SÍ","Stock parece sano pero "&amp;TEXT(L761,"#,##0")&amp;" kg no pasan filtro "&amp;Stock_Seguridad!O761&amp;": sin ellos queda bajo el SS para esa cadena. ","")&amp;IF(E761="SOBRE MAX VENDIBLE","Sobrestock vs vida útil: frenar producción/activar venta. ","")&amp;IF(N(N761)&gt;=Parametros!$B$17,TEXT(N761,"#,##0")&amp;" kg ya no los acepta ninguna cadena: venta intermedia/liquidación. ","")&amp;IF(N(M761)&gt;=Parametros!$B$17,TEXT(M761,"#,##0")&amp;" kg a punto de salir del filtro: despachar primero (FEFO). ","")&amp;IF(Y761="SÍ","Pedidos "&amp;IF(N(U761)&gt;0,"sobre","bajo")&amp;" FCST "&amp;TEXT(ABS(N(U761)),"0%")&amp;": revisar forecast con KAM.","")</f>
        <v/>
      </c>
    </row>
    <row r="762" customFormat="false" ht="15" hidden="false" customHeight="false" outlineLevel="0" collapsed="false">
      <c r="A762" s="18" t="n">
        <f aca="false">Stock_Seguridad!A762</f>
        <v>30000978</v>
      </c>
      <c r="B762" s="18" t="str">
        <f aca="false">Stock_Seguridad!B762</f>
        <v>CHOCLO GRANO 1X16KG</v>
      </c>
      <c r="C762" s="18" t="str">
        <f aca="false">Stock_Seguridad!C762</f>
        <v>FRUTAS Y HORTALIZAS CONGELADAS</v>
      </c>
      <c r="D762" s="18" t="str">
        <f aca="false">Stock_Seguridad!F762</f>
        <v>SIN HIST</v>
      </c>
      <c r="E762" s="19" t="str">
        <f aca="false">Stock_Seguridad!X762</f>
        <v>SIN FCST</v>
      </c>
      <c r="F762" s="20" t="str">
        <f aca="false">Stock_Seguridad!W762</f>
        <v/>
      </c>
      <c r="G762" s="21" t="n">
        <f aca="false">Stock_Seguridad!T762</f>
        <v>16</v>
      </c>
      <c r="H762" s="21" t="n">
        <f aca="false">Stock_Seguridad!R762</f>
        <v>0</v>
      </c>
      <c r="I762" s="21" t="n">
        <f aca="false">Stock_Seguridad!S762</f>
        <v>0</v>
      </c>
      <c r="J762" s="21" t="n">
        <f aca="false">Stock_Seguridad!U762</f>
        <v>0</v>
      </c>
      <c r="K762" s="22"/>
      <c r="L762" s="23"/>
      <c r="M762" s="23"/>
      <c r="N762" s="23"/>
      <c r="O762" s="24"/>
      <c r="P762" s="24" t="str">
        <f aca="false">IF(ISNUMBER(Stock_Seguridad!N762),Stock_Seguridad!N762,"")</f>
        <v/>
      </c>
      <c r="Q762" s="24" t="str">
        <f aca="false">IF(AND(ISNUMBER(O762),ISNUMBER(P762)),P762-O762,"")</f>
        <v/>
      </c>
      <c r="R762" s="23" t="n">
        <f aca="false">MAX(0,G762-N(L762))</f>
        <v>16</v>
      </c>
      <c r="S762" s="23" t="n">
        <f aca="false">SUMIFS(Cadenas_vs_FCST!$D$17:$D$2437,Cadenas_vs_FCST!$A$17:$A$2437,A762)</f>
        <v>0</v>
      </c>
      <c r="T762" s="23" t="n">
        <f aca="false">SUMIFS(Cadenas_vs_FCST!$E$17:$E$2437,Cadenas_vs_FCST!$A$17:$A$2437,A762)</f>
        <v>0</v>
      </c>
      <c r="U762" s="24" t="str">
        <f aca="false">IF(T762&gt;0,S762/T762-1,"")</f>
        <v/>
      </c>
      <c r="V762" s="3" t="str">
        <f aca="false">IF(OR(E762="BAJO SS",E762="BAJO SS (XLIB CUBRE)"),"SÍ","")</f>
        <v/>
      </c>
      <c r="W762" s="3" t="str">
        <f aca="false">IF(AND(V762="",N(L762)&gt;=Parametros!$B$17,G762&gt;=H762,R762&lt;H762),"SÍ","")</f>
        <v/>
      </c>
      <c r="X762" s="3" t="str">
        <f aca="false">IF(OR(E762="SOBRE MAX VENDIBLE",N(N762)&gt;=Parametros!$B$17,N(M762)&gt;=Parametros!$B$17),"SÍ","")</f>
        <v/>
      </c>
      <c r="Y762" s="3" t="str">
        <f aca="false">IF(AND(ISNUMBER(U762),MAX(S762,T762)&gt;=Parametros!$B$15,ABS(N(U762))&gt;Parametros!$B$14),"SÍ","")</f>
        <v/>
      </c>
      <c r="Z762" s="3" t="n">
        <f aca="false">COUNTIF(V762:Y762,"SÍ")</f>
        <v>0</v>
      </c>
      <c r="AA762" s="3" t="n">
        <f aca="false">(3*(V762="SÍ")+2*(W762="SÍ")+2*(X762="SÍ")+(Y762="SÍ"))*IF(LEFT(D762,1)="A",3,IF(OR(LEFT(D762,1)="B",D762="SIN HIST"),2,1))</f>
        <v>0</v>
      </c>
      <c r="AB762" s="3" t="str">
        <f aca="false">IF(AA762&gt;=9,"1-ALTA",IF(AA762&gt;=4,"2-MEDIA",IF(AA762&gt;0,"3-BAJA","")))</f>
        <v/>
      </c>
      <c r="AC762" s="3" t="str">
        <f aca="false">IF(E762="BAJO SS","Stock + XLIB bajo el SS: riesgo real de quiebre, adelantar producción. ","")&amp;IF(E762="BAJO SS (XLIB CUBRE)","Disponible bajo el SS; depende de liberar "&amp;TEXT(J762,"#,##0")&amp;" kg"&amp;IF(ISNUMBER(K762)," el "&amp;TEXT(K762,"dd-mm"),"")&amp;". ","")&amp;IF(W762="SÍ","Stock parece sano pero "&amp;TEXT(L762,"#,##0")&amp;" kg no pasan filtro "&amp;Stock_Seguridad!O762&amp;": sin ellos queda bajo el SS para esa cadena. ","")&amp;IF(E762="SOBRE MAX VENDIBLE","Sobrestock vs vida útil: frenar producción/activar venta. ","")&amp;IF(N(N762)&gt;=Parametros!$B$17,TEXT(N762,"#,##0")&amp;" kg ya no los acepta ninguna cadena: venta intermedia/liquidación. ","")&amp;IF(N(M762)&gt;=Parametros!$B$17,TEXT(M762,"#,##0")&amp;" kg a punto de salir del filtro: despachar primero (FEFO). ","")&amp;IF(Y762="SÍ","Pedidos "&amp;IF(N(U762)&gt;0,"sobre","bajo")&amp;" FCST "&amp;TEXT(ABS(N(U762)),"0%")&amp;": revisar forecast con KAM.","")</f>
        <v/>
      </c>
    </row>
    <row r="763" customFormat="false" ht="15" hidden="false" customHeight="false" outlineLevel="0" collapsed="false">
      <c r="A763" s="18" t="n">
        <f aca="false">Stock_Seguridad!A763</f>
        <v>30002120</v>
      </c>
      <c r="B763" s="18" t="str">
        <f aca="false">Stock_Seguridad!B763</f>
        <v>QUESO CHANCO LAS PARCELAS 24X148G</v>
      </c>
      <c r="C763" s="18" t="str">
        <f aca="false">Stock_Seguridad!C763</f>
        <v>QUESOS</v>
      </c>
      <c r="D763" s="18" t="str">
        <f aca="false">Stock_Seguridad!F763</f>
        <v>CY</v>
      </c>
      <c r="E763" s="19" t="str">
        <f aca="false">Stock_Seguridad!X763</f>
        <v>SIN FCST</v>
      </c>
      <c r="F763" s="20" t="str">
        <f aca="false">Stock_Seguridad!W763</f>
        <v/>
      </c>
      <c r="G763" s="21" t="n">
        <f aca="false">Stock_Seguridad!T763</f>
        <v>4347.6</v>
      </c>
      <c r="H763" s="21" t="n">
        <f aca="false">Stock_Seguridad!R763</f>
        <v>0</v>
      </c>
      <c r="I763" s="21" t="n">
        <f aca="false">Stock_Seguridad!S763</f>
        <v>0</v>
      </c>
      <c r="J763" s="21" t="n">
        <f aca="false">Stock_Seguridad!U763</f>
        <v>0</v>
      </c>
      <c r="K763" s="22"/>
      <c r="L763" s="23" t="n">
        <v>14.208</v>
      </c>
      <c r="M763" s="23" t="n">
        <v>0</v>
      </c>
      <c r="N763" s="23" t="n">
        <v>14.208</v>
      </c>
      <c r="O763" s="24" t="n">
        <v>0.226862745098039</v>
      </c>
      <c r="P763" s="24" t="n">
        <f aca="false">IF(ISNUMBER(Stock_Seguridad!N763),Stock_Seguridad!N763,"")</f>
        <v>0.320652173913044</v>
      </c>
      <c r="Q763" s="24" t="n">
        <f aca="false">IF(AND(ISNUMBER(O763),ISNUMBER(P763)),P763-O763,"")</f>
        <v>0.0937894288150043</v>
      </c>
      <c r="R763" s="23" t="n">
        <f aca="false">MAX(0,G763-N(L763))</f>
        <v>4333.392</v>
      </c>
      <c r="S763" s="23" t="n">
        <f aca="false">SUMIFS(Cadenas_vs_FCST!$D$17:$D$2437,Cadenas_vs_FCST!$A$17:$A$2437,A763)</f>
        <v>1871.904</v>
      </c>
      <c r="T763" s="23" t="n">
        <f aca="false">SUMIFS(Cadenas_vs_FCST!$E$17:$E$2437,Cadenas_vs_FCST!$A$17:$A$2437,A763)</f>
        <v>794.007531001479</v>
      </c>
      <c r="U763" s="24" t="n">
        <f aca="false">IF(T763&gt;0,S763/T763-1,"")</f>
        <v>1.35753935184843</v>
      </c>
      <c r="V763" s="3" t="str">
        <f aca="false">IF(OR(E763="BAJO SS",E763="BAJO SS (XLIB CUBRE)"),"SÍ","")</f>
        <v/>
      </c>
      <c r="W763" s="3" t="str">
        <f aca="false">IF(AND(V763="",N(L763)&gt;=Parametros!$B$17,G763&gt;=H763,R763&lt;H763),"SÍ","")</f>
        <v/>
      </c>
      <c r="X763" s="3" t="str">
        <f aca="false">IF(OR(E763="SOBRE MAX VENDIBLE",N(N763)&gt;=Parametros!$B$17,N(M763)&gt;=Parametros!$B$17),"SÍ","")</f>
        <v/>
      </c>
      <c r="Y763" s="3" t="str">
        <f aca="false">IF(AND(ISNUMBER(U763),MAX(S763,T763)&gt;=Parametros!$B$15,ABS(N(U763))&gt;Parametros!$B$14),"SÍ","")</f>
        <v/>
      </c>
      <c r="Z763" s="3" t="n">
        <f aca="false">COUNTIF(V763:Y763,"SÍ")</f>
        <v>0</v>
      </c>
      <c r="AA763" s="3" t="n">
        <f aca="false">(3*(V763="SÍ")+2*(W763="SÍ")+2*(X763="SÍ")+(Y763="SÍ"))*IF(LEFT(D763,1)="A",3,IF(OR(LEFT(D763,1)="B",D763="SIN HIST"),2,1))</f>
        <v>0</v>
      </c>
      <c r="AB763" s="3" t="str">
        <f aca="false">IF(AA763&gt;=9,"1-ALTA",IF(AA763&gt;=4,"2-MEDIA",IF(AA763&gt;0,"3-BAJA","")))</f>
        <v/>
      </c>
      <c r="AC763" s="3" t="str">
        <f aca="false">IF(E763="BAJO SS","Stock + XLIB bajo el SS: riesgo real de quiebre, adelantar producción. ","")&amp;IF(E763="BAJO SS (XLIB CUBRE)","Disponible bajo el SS; depende de liberar "&amp;TEXT(J763,"#,##0")&amp;" kg"&amp;IF(ISNUMBER(K763)," el "&amp;TEXT(K763,"dd-mm"),"")&amp;". ","")&amp;IF(W763="SÍ","Stock parece sano pero "&amp;TEXT(L763,"#,##0")&amp;" kg no pasan filtro "&amp;Stock_Seguridad!O763&amp;": sin ellos queda bajo el SS para esa cadena. ","")&amp;IF(E763="SOBRE MAX VENDIBLE","Sobrestock vs vida útil: frenar producción/activar venta. ","")&amp;IF(N(N763)&gt;=Parametros!$B$17,TEXT(N763,"#,##0")&amp;" kg ya no los acepta ninguna cadena: venta intermedia/liquidación. ","")&amp;IF(N(M763)&gt;=Parametros!$B$17,TEXT(M763,"#,##0")&amp;" kg a punto de salir del filtro: despachar primero (FEFO). ","")&amp;IF(Y763="SÍ","Pedidos "&amp;IF(N(U763)&gt;0,"sobre","bajo")&amp;" FCST "&amp;TEXT(ABS(N(U763)),"0%")&amp;": revisar forecast con KAM.","")</f>
        <v/>
      </c>
    </row>
    <row r="764" customFormat="false" ht="15" hidden="false" customHeight="false" outlineLevel="0" collapsed="false">
      <c r="A764" s="18" t="n">
        <f aca="false">Stock_Seguridad!A764</f>
        <v>30000304</v>
      </c>
      <c r="B764" s="18" t="str">
        <f aca="false">Stock_Seguridad!B764</f>
        <v>QUESO GAUDA CALO P-3</v>
      </c>
      <c r="C764" s="18" t="str">
        <f aca="false">Stock_Seguridad!C764</f>
        <v>QUESOS</v>
      </c>
      <c r="D764" s="18" t="str">
        <f aca="false">Stock_Seguridad!F764</f>
        <v>CZ</v>
      </c>
      <c r="E764" s="19" t="str">
        <f aca="false">Stock_Seguridad!X764</f>
        <v>SIN FCST</v>
      </c>
      <c r="F764" s="20" t="str">
        <f aca="false">Stock_Seguridad!W764</f>
        <v/>
      </c>
      <c r="G764" s="21" t="n">
        <f aca="false">Stock_Seguridad!T764</f>
        <v>9</v>
      </c>
      <c r="H764" s="21" t="n">
        <f aca="false">Stock_Seguridad!R764</f>
        <v>0</v>
      </c>
      <c r="I764" s="21" t="n">
        <f aca="false">Stock_Seguridad!S764</f>
        <v>0</v>
      </c>
      <c r="J764" s="21" t="n">
        <f aca="false">Stock_Seguridad!U764</f>
        <v>0</v>
      </c>
      <c r="K764" s="22"/>
      <c r="L764" s="23" t="n">
        <v>9</v>
      </c>
      <c r="M764" s="23" t="n">
        <v>0</v>
      </c>
      <c r="N764" s="23" t="n">
        <v>9</v>
      </c>
      <c r="O764" s="24" t="n">
        <v>0.54</v>
      </c>
      <c r="P764" s="24" t="n">
        <f aca="false">IF(ISNUMBER(Stock_Seguridad!N764),Stock_Seguridad!N764,"")</f>
        <v>0.246575342465753</v>
      </c>
      <c r="Q764" s="24" t="n">
        <f aca="false">IF(AND(ISNUMBER(O764),ISNUMBER(P764)),P764-O764,"")</f>
        <v>-0.293424657534247</v>
      </c>
      <c r="R764" s="23" t="n">
        <f aca="false">MAX(0,G764-N(L764))</f>
        <v>0</v>
      </c>
      <c r="S764" s="23" t="n">
        <f aca="false">SUMIFS(Cadenas_vs_FCST!$D$17:$D$2437,Cadenas_vs_FCST!$A$17:$A$2437,A764)</f>
        <v>0</v>
      </c>
      <c r="T764" s="23" t="n">
        <f aca="false">SUMIFS(Cadenas_vs_FCST!$E$17:$E$2437,Cadenas_vs_FCST!$A$17:$A$2437,A764)</f>
        <v>0</v>
      </c>
      <c r="U764" s="24" t="str">
        <f aca="false">IF(T764&gt;0,S764/T764-1,"")</f>
        <v/>
      </c>
      <c r="V764" s="3" t="str">
        <f aca="false">IF(OR(E764="BAJO SS",E764="BAJO SS (XLIB CUBRE)"),"SÍ","")</f>
        <v/>
      </c>
      <c r="W764" s="3" t="str">
        <f aca="false">IF(AND(V764="",N(L764)&gt;=Parametros!$B$17,G764&gt;=H764,R764&lt;H764),"SÍ","")</f>
        <v/>
      </c>
      <c r="X764" s="3" t="str">
        <f aca="false">IF(OR(E764="SOBRE MAX VENDIBLE",N(N764)&gt;=Parametros!$B$17,N(M764)&gt;=Parametros!$B$17),"SÍ","")</f>
        <v/>
      </c>
      <c r="Y764" s="3" t="str">
        <f aca="false">IF(AND(ISNUMBER(U764),MAX(S764,T764)&gt;=Parametros!$B$15,ABS(N(U764))&gt;Parametros!$B$14),"SÍ","")</f>
        <v/>
      </c>
      <c r="Z764" s="3" t="n">
        <f aca="false">COUNTIF(V764:Y764,"SÍ")</f>
        <v>0</v>
      </c>
      <c r="AA764" s="3" t="n">
        <f aca="false">(3*(V764="SÍ")+2*(W764="SÍ")+2*(X764="SÍ")+(Y764="SÍ"))*IF(LEFT(D764,1)="A",3,IF(OR(LEFT(D764,1)="B",D764="SIN HIST"),2,1))</f>
        <v>0</v>
      </c>
      <c r="AB764" s="3" t="str">
        <f aca="false">IF(AA764&gt;=9,"1-ALTA",IF(AA764&gt;=4,"2-MEDIA",IF(AA764&gt;0,"3-BAJA","")))</f>
        <v/>
      </c>
      <c r="AC764" s="3" t="str">
        <f aca="false">IF(E764="BAJO SS","Stock + XLIB bajo el SS: riesgo real de quiebre, adelantar producción. ","")&amp;IF(E764="BAJO SS (XLIB CUBRE)","Disponible bajo el SS; depende de liberar "&amp;TEXT(J764,"#,##0")&amp;" kg"&amp;IF(ISNUMBER(K764)," el "&amp;TEXT(K764,"dd-mm"),"")&amp;". ","")&amp;IF(W764="SÍ","Stock parece sano pero "&amp;TEXT(L764,"#,##0")&amp;" kg no pasan filtro "&amp;Stock_Seguridad!O764&amp;": sin ellos queda bajo el SS para esa cadena. ","")&amp;IF(E764="SOBRE MAX VENDIBLE","Sobrestock vs vida útil: frenar producción/activar venta. ","")&amp;IF(N(N764)&gt;=Parametros!$B$17,TEXT(N764,"#,##0")&amp;" kg ya no los acepta ninguna cadena: venta intermedia/liquidación. ","")&amp;IF(N(M764)&gt;=Parametros!$B$17,TEXT(M764,"#,##0")&amp;" kg a punto de salir del filtro: despachar primero (FEFO). ","")&amp;IF(Y764="SÍ","Pedidos "&amp;IF(N(U764)&gt;0,"sobre","bajo")&amp;" FCST "&amp;TEXT(ABS(N(U764)),"0%")&amp;": revisar forecast con KAM.","")</f>
        <v/>
      </c>
    </row>
    <row r="765" customFormat="false" ht="15" hidden="false" customHeight="false" outlineLevel="0" collapsed="false">
      <c r="A765" s="18" t="n">
        <f aca="false">Stock_Seguridad!A765</f>
        <v>30000785</v>
      </c>
      <c r="B765" s="18" t="str">
        <f aca="false">Stock_Seguridad!B765</f>
        <v>ZANAHORIA CUBO 6MM 1X14KG</v>
      </c>
      <c r="C765" s="18" t="str">
        <f aca="false">Stock_Seguridad!C765</f>
        <v>FRUTAS Y HORTALIZAS CONGELADAS</v>
      </c>
      <c r="D765" s="18" t="str">
        <f aca="false">Stock_Seguridad!F765</f>
        <v>SIN HIST</v>
      </c>
      <c r="E765" s="19" t="str">
        <f aca="false">Stock_Seguridad!X765</f>
        <v>SIN FCST</v>
      </c>
      <c r="F765" s="20" t="str">
        <f aca="false">Stock_Seguridad!W765</f>
        <v/>
      </c>
      <c r="G765" s="21" t="n">
        <f aca="false">Stock_Seguridad!T765</f>
        <v>1512</v>
      </c>
      <c r="H765" s="21" t="n">
        <f aca="false">Stock_Seguridad!R765</f>
        <v>0</v>
      </c>
      <c r="I765" s="21" t="n">
        <f aca="false">Stock_Seguridad!S765</f>
        <v>0</v>
      </c>
      <c r="J765" s="21" t="n">
        <f aca="false">Stock_Seguridad!U765</f>
        <v>0</v>
      </c>
      <c r="K765" s="22"/>
      <c r="L765" s="23"/>
      <c r="M765" s="23"/>
      <c r="N765" s="23"/>
      <c r="O765" s="24"/>
      <c r="P765" s="24" t="str">
        <f aca="false">IF(ISNUMBER(Stock_Seguridad!N765),Stock_Seguridad!N765,"")</f>
        <v/>
      </c>
      <c r="Q765" s="24" t="str">
        <f aca="false">IF(AND(ISNUMBER(O765),ISNUMBER(P765)),P765-O765,"")</f>
        <v/>
      </c>
      <c r="R765" s="23" t="n">
        <f aca="false">MAX(0,G765-N(L765))</f>
        <v>1512</v>
      </c>
      <c r="S765" s="23" t="n">
        <f aca="false">SUMIFS(Cadenas_vs_FCST!$D$17:$D$2437,Cadenas_vs_FCST!$A$17:$A$2437,A765)</f>
        <v>0</v>
      </c>
      <c r="T765" s="23" t="n">
        <f aca="false">SUMIFS(Cadenas_vs_FCST!$E$17:$E$2437,Cadenas_vs_FCST!$A$17:$A$2437,A765)</f>
        <v>0</v>
      </c>
      <c r="U765" s="24" t="str">
        <f aca="false">IF(T765&gt;0,S765/T765-1,"")</f>
        <v/>
      </c>
      <c r="V765" s="3" t="str">
        <f aca="false">IF(OR(E765="BAJO SS",E765="BAJO SS (XLIB CUBRE)"),"SÍ","")</f>
        <v/>
      </c>
      <c r="W765" s="3" t="str">
        <f aca="false">IF(AND(V765="",N(L765)&gt;=Parametros!$B$17,G765&gt;=H765,R765&lt;H765),"SÍ","")</f>
        <v/>
      </c>
      <c r="X765" s="3" t="str">
        <f aca="false">IF(OR(E765="SOBRE MAX VENDIBLE",N(N765)&gt;=Parametros!$B$17,N(M765)&gt;=Parametros!$B$17),"SÍ","")</f>
        <v/>
      </c>
      <c r="Y765" s="3" t="str">
        <f aca="false">IF(AND(ISNUMBER(U765),MAX(S765,T765)&gt;=Parametros!$B$15,ABS(N(U765))&gt;Parametros!$B$14),"SÍ","")</f>
        <v/>
      </c>
      <c r="Z765" s="3" t="n">
        <f aca="false">COUNTIF(V765:Y765,"SÍ")</f>
        <v>0</v>
      </c>
      <c r="AA765" s="3" t="n">
        <f aca="false">(3*(V765="SÍ")+2*(W765="SÍ")+2*(X765="SÍ")+(Y765="SÍ"))*IF(LEFT(D765,1)="A",3,IF(OR(LEFT(D765,1)="B",D765="SIN HIST"),2,1))</f>
        <v>0</v>
      </c>
      <c r="AB765" s="3" t="str">
        <f aca="false">IF(AA765&gt;=9,"1-ALTA",IF(AA765&gt;=4,"2-MEDIA",IF(AA765&gt;0,"3-BAJA","")))</f>
        <v/>
      </c>
      <c r="AC765" s="3" t="str">
        <f aca="false">IF(E765="BAJO SS","Stock + XLIB bajo el SS: riesgo real de quiebre, adelantar producción. ","")&amp;IF(E765="BAJO SS (XLIB CUBRE)","Disponible bajo el SS; depende de liberar "&amp;TEXT(J765,"#,##0")&amp;" kg"&amp;IF(ISNUMBER(K765)," el "&amp;TEXT(K765,"dd-mm"),"")&amp;". ","")&amp;IF(W765="SÍ","Stock parece sano pero "&amp;TEXT(L765,"#,##0")&amp;" kg no pasan filtro "&amp;Stock_Seguridad!O765&amp;": sin ellos queda bajo el SS para esa cadena. ","")&amp;IF(E765="SOBRE MAX VENDIBLE","Sobrestock vs vida útil: frenar producción/activar venta. ","")&amp;IF(N(N765)&gt;=Parametros!$B$17,TEXT(N765,"#,##0")&amp;" kg ya no los acepta ninguna cadena: venta intermedia/liquidación. ","")&amp;IF(N(M765)&gt;=Parametros!$B$17,TEXT(M765,"#,##0")&amp;" kg a punto de salir del filtro: despachar primero (FEFO). ","")&amp;IF(Y765="SÍ","Pedidos "&amp;IF(N(U765)&gt;0,"sobre","bajo")&amp;" FCST "&amp;TEXT(ABS(N(U765)),"0%")&amp;": revisar forecast con KAM.","")</f>
        <v/>
      </c>
    </row>
    <row r="766" customFormat="false" ht="15" hidden="false" customHeight="false" outlineLevel="0" collapsed="false">
      <c r="A766" s="18" t="n">
        <f aca="false">Stock_Seguridad!A766</f>
        <v>30000458</v>
      </c>
      <c r="B766" s="18" t="str">
        <f aca="false">Stock_Seguridad!B766</f>
        <v>QUESO MANTECOSO TROZOS</v>
      </c>
      <c r="C766" s="18" t="str">
        <f aca="false">Stock_Seguridad!C766</f>
        <v>QUESOS</v>
      </c>
      <c r="D766" s="18" t="str">
        <f aca="false">Stock_Seguridad!F766</f>
        <v>CZ</v>
      </c>
      <c r="E766" s="19" t="str">
        <f aca="false">Stock_Seguridad!X766</f>
        <v>SIN FCST</v>
      </c>
      <c r="F766" s="20" t="str">
        <f aca="false">Stock_Seguridad!W766</f>
        <v/>
      </c>
      <c r="G766" s="21" t="n">
        <f aca="false">Stock_Seguridad!T766</f>
        <v>672</v>
      </c>
      <c r="H766" s="21" t="n">
        <f aca="false">Stock_Seguridad!R766</f>
        <v>0</v>
      </c>
      <c r="I766" s="21" t="n">
        <f aca="false">Stock_Seguridad!S766</f>
        <v>0</v>
      </c>
      <c r="J766" s="21" t="n">
        <f aca="false">Stock_Seguridad!U766</f>
        <v>0</v>
      </c>
      <c r="K766" s="22"/>
      <c r="L766" s="23" t="n">
        <v>0</v>
      </c>
      <c r="M766" s="23" t="n">
        <v>0</v>
      </c>
      <c r="N766" s="23" t="n">
        <v>0</v>
      </c>
      <c r="O766" s="24" t="n">
        <v>0.02</v>
      </c>
      <c r="P766" s="24" t="str">
        <f aca="false">IF(ISNUMBER(Stock_Seguridad!N766),Stock_Seguridad!N766,"")</f>
        <v/>
      </c>
      <c r="Q766" s="24" t="str">
        <f aca="false">IF(AND(ISNUMBER(O766),ISNUMBER(P766)),P766-O766,"")</f>
        <v/>
      </c>
      <c r="R766" s="23" t="n">
        <f aca="false">MAX(0,G766-N(L766))</f>
        <v>672</v>
      </c>
      <c r="S766" s="23" t="n">
        <f aca="false">SUMIFS(Cadenas_vs_FCST!$D$17:$D$2437,Cadenas_vs_FCST!$A$17:$A$2437,A766)</f>
        <v>0</v>
      </c>
      <c r="T766" s="23" t="n">
        <f aca="false">SUMIFS(Cadenas_vs_FCST!$E$17:$E$2437,Cadenas_vs_FCST!$A$17:$A$2437,A766)</f>
        <v>0</v>
      </c>
      <c r="U766" s="24" t="str">
        <f aca="false">IF(T766&gt;0,S766/T766-1,"")</f>
        <v/>
      </c>
      <c r="V766" s="3" t="str">
        <f aca="false">IF(OR(E766="BAJO SS",E766="BAJO SS (XLIB CUBRE)"),"SÍ","")</f>
        <v/>
      </c>
      <c r="W766" s="3" t="str">
        <f aca="false">IF(AND(V766="",N(L766)&gt;=Parametros!$B$17,G766&gt;=H766,R766&lt;H766),"SÍ","")</f>
        <v/>
      </c>
      <c r="X766" s="3" t="str">
        <f aca="false">IF(OR(E766="SOBRE MAX VENDIBLE",N(N766)&gt;=Parametros!$B$17,N(M766)&gt;=Parametros!$B$17),"SÍ","")</f>
        <v/>
      </c>
      <c r="Y766" s="3" t="str">
        <f aca="false">IF(AND(ISNUMBER(U766),MAX(S766,T766)&gt;=Parametros!$B$15,ABS(N(U766))&gt;Parametros!$B$14),"SÍ","")</f>
        <v/>
      </c>
      <c r="Z766" s="3" t="n">
        <f aca="false">COUNTIF(V766:Y766,"SÍ")</f>
        <v>0</v>
      </c>
      <c r="AA766" s="3" t="n">
        <f aca="false">(3*(V766="SÍ")+2*(W766="SÍ")+2*(X766="SÍ")+(Y766="SÍ"))*IF(LEFT(D766,1)="A",3,IF(OR(LEFT(D766,1)="B",D766="SIN HIST"),2,1))</f>
        <v>0</v>
      </c>
      <c r="AB766" s="3" t="str">
        <f aca="false">IF(AA766&gt;=9,"1-ALTA",IF(AA766&gt;=4,"2-MEDIA",IF(AA766&gt;0,"3-BAJA","")))</f>
        <v/>
      </c>
      <c r="AC766" s="3" t="str">
        <f aca="false">IF(E766="BAJO SS","Stock + XLIB bajo el SS: riesgo real de quiebre, adelantar producción. ","")&amp;IF(E766="BAJO SS (XLIB CUBRE)","Disponible bajo el SS; depende de liberar "&amp;TEXT(J766,"#,##0")&amp;" kg"&amp;IF(ISNUMBER(K766)," el "&amp;TEXT(K766,"dd-mm"),"")&amp;". ","")&amp;IF(W766="SÍ","Stock parece sano pero "&amp;TEXT(L766,"#,##0")&amp;" kg no pasan filtro "&amp;Stock_Seguridad!O766&amp;": sin ellos queda bajo el SS para esa cadena. ","")&amp;IF(E766="SOBRE MAX VENDIBLE","Sobrestock vs vida útil: frenar producción/activar venta. ","")&amp;IF(N(N766)&gt;=Parametros!$B$17,TEXT(N766,"#,##0")&amp;" kg ya no los acepta ninguna cadena: venta intermedia/liquidación. ","")&amp;IF(N(M766)&gt;=Parametros!$B$17,TEXT(M766,"#,##0")&amp;" kg a punto de salir del filtro: despachar primero (FEFO). ","")&amp;IF(Y766="SÍ","Pedidos "&amp;IF(N(U766)&gt;0,"sobre","bajo")&amp;" FCST "&amp;TEXT(ABS(N(U766)),"0%")&amp;": revisar forecast con KAM.","")</f>
        <v/>
      </c>
    </row>
    <row r="767" customFormat="false" ht="15" hidden="false" customHeight="false" outlineLevel="0" collapsed="false">
      <c r="A767" s="18" t="n">
        <f aca="false">Stock_Seguridad!A767</f>
        <v>30000790</v>
      </c>
      <c r="B767" s="18" t="str">
        <f aca="false">Stock_Seguridad!B767</f>
        <v>MIX POROTO GRANADO WATTS 1X16KG</v>
      </c>
      <c r="C767" s="18" t="str">
        <f aca="false">Stock_Seguridad!C767</f>
        <v>FRUTAS Y HORTALIZAS CONGELADAS</v>
      </c>
      <c r="D767" s="18" t="str">
        <f aca="false">Stock_Seguridad!F767</f>
        <v>SIN HIST</v>
      </c>
      <c r="E767" s="19" t="str">
        <f aca="false">Stock_Seguridad!X767</f>
        <v>SIN FCST</v>
      </c>
      <c r="F767" s="20" t="str">
        <f aca="false">Stock_Seguridad!W767</f>
        <v/>
      </c>
      <c r="G767" s="21" t="n">
        <f aca="false">Stock_Seguridad!T767</f>
        <v>912</v>
      </c>
      <c r="H767" s="21" t="n">
        <f aca="false">Stock_Seguridad!R767</f>
        <v>0</v>
      </c>
      <c r="I767" s="21" t="n">
        <f aca="false">Stock_Seguridad!S767</f>
        <v>0</v>
      </c>
      <c r="J767" s="21" t="n">
        <f aca="false">Stock_Seguridad!U767</f>
        <v>0</v>
      </c>
      <c r="K767" s="22"/>
      <c r="L767" s="23"/>
      <c r="M767" s="23"/>
      <c r="N767" s="23"/>
      <c r="O767" s="24"/>
      <c r="P767" s="24" t="str">
        <f aca="false">IF(ISNUMBER(Stock_Seguridad!N767),Stock_Seguridad!N767,"")</f>
        <v/>
      </c>
      <c r="Q767" s="24" t="str">
        <f aca="false">IF(AND(ISNUMBER(O767),ISNUMBER(P767)),P767-O767,"")</f>
        <v/>
      </c>
      <c r="R767" s="23" t="n">
        <f aca="false">MAX(0,G767-N(L767))</f>
        <v>912</v>
      </c>
      <c r="S767" s="23" t="n">
        <f aca="false">SUMIFS(Cadenas_vs_FCST!$D$17:$D$2437,Cadenas_vs_FCST!$A$17:$A$2437,A767)</f>
        <v>0</v>
      </c>
      <c r="T767" s="23" t="n">
        <f aca="false">SUMIFS(Cadenas_vs_FCST!$E$17:$E$2437,Cadenas_vs_FCST!$A$17:$A$2437,A767)</f>
        <v>0</v>
      </c>
      <c r="U767" s="24" t="str">
        <f aca="false">IF(T767&gt;0,S767/T767-1,"")</f>
        <v/>
      </c>
      <c r="V767" s="3" t="str">
        <f aca="false">IF(OR(E767="BAJO SS",E767="BAJO SS (XLIB CUBRE)"),"SÍ","")</f>
        <v/>
      </c>
      <c r="W767" s="3" t="str">
        <f aca="false">IF(AND(V767="",N(L767)&gt;=Parametros!$B$17,G767&gt;=H767,R767&lt;H767),"SÍ","")</f>
        <v/>
      </c>
      <c r="X767" s="3" t="str">
        <f aca="false">IF(OR(E767="SOBRE MAX VENDIBLE",N(N767)&gt;=Parametros!$B$17,N(M767)&gt;=Parametros!$B$17),"SÍ","")</f>
        <v/>
      </c>
      <c r="Y767" s="3" t="str">
        <f aca="false">IF(AND(ISNUMBER(U767),MAX(S767,T767)&gt;=Parametros!$B$15,ABS(N(U767))&gt;Parametros!$B$14),"SÍ","")</f>
        <v/>
      </c>
      <c r="Z767" s="3" t="n">
        <f aca="false">COUNTIF(V767:Y767,"SÍ")</f>
        <v>0</v>
      </c>
      <c r="AA767" s="3" t="n">
        <f aca="false">(3*(V767="SÍ")+2*(W767="SÍ")+2*(X767="SÍ")+(Y767="SÍ"))*IF(LEFT(D767,1)="A",3,IF(OR(LEFT(D767,1)="B",D767="SIN HIST"),2,1))</f>
        <v>0</v>
      </c>
      <c r="AB767" s="3" t="str">
        <f aca="false">IF(AA767&gt;=9,"1-ALTA",IF(AA767&gt;=4,"2-MEDIA",IF(AA767&gt;0,"3-BAJA","")))</f>
        <v/>
      </c>
      <c r="AC767" s="3" t="str">
        <f aca="false">IF(E767="BAJO SS","Stock + XLIB bajo el SS: riesgo real de quiebre, adelantar producción. ","")&amp;IF(E767="BAJO SS (XLIB CUBRE)","Disponible bajo el SS; depende de liberar "&amp;TEXT(J767,"#,##0")&amp;" kg"&amp;IF(ISNUMBER(K767)," el "&amp;TEXT(K767,"dd-mm"),"")&amp;". ","")&amp;IF(W767="SÍ","Stock parece sano pero "&amp;TEXT(L767,"#,##0")&amp;" kg no pasan filtro "&amp;Stock_Seguridad!O767&amp;": sin ellos queda bajo el SS para esa cadena. ","")&amp;IF(E767="SOBRE MAX VENDIBLE","Sobrestock vs vida útil: frenar producción/activar venta. ","")&amp;IF(N(N767)&gt;=Parametros!$B$17,TEXT(N767,"#,##0")&amp;" kg ya no los acepta ninguna cadena: venta intermedia/liquidación. ","")&amp;IF(N(M767)&gt;=Parametros!$B$17,TEXT(M767,"#,##0")&amp;" kg a punto de salir del filtro: despachar primero (FEFO). ","")&amp;IF(Y767="SÍ","Pedidos "&amp;IF(N(U767)&gt;0,"sobre","bajo")&amp;" FCST "&amp;TEXT(ABS(N(U767)),"0%")&amp;": revisar forecast con KAM.","")</f>
        <v/>
      </c>
    </row>
    <row r="768" customFormat="false" ht="15" hidden="false" customHeight="false" outlineLevel="0" collapsed="false">
      <c r="A768" s="18" t="n">
        <f aca="false">Stock_Seguridad!A768</f>
        <v>30000791</v>
      </c>
      <c r="B768" s="18" t="str">
        <f aca="false">Stock_Seguridad!B768</f>
        <v>PAPA CUBO WATTS 1X15KG</v>
      </c>
      <c r="C768" s="18" t="str">
        <f aca="false">Stock_Seguridad!C768</f>
        <v>FRUTAS Y HORTALIZAS CONGELADAS</v>
      </c>
      <c r="D768" s="18" t="str">
        <f aca="false">Stock_Seguridad!F768</f>
        <v>SIN HIST</v>
      </c>
      <c r="E768" s="19" t="str">
        <f aca="false">Stock_Seguridad!X768</f>
        <v>SIN FCST</v>
      </c>
      <c r="F768" s="20" t="str">
        <f aca="false">Stock_Seguridad!W768</f>
        <v/>
      </c>
      <c r="G768" s="21" t="n">
        <f aca="false">Stock_Seguridad!T768</f>
        <v>135</v>
      </c>
      <c r="H768" s="21" t="n">
        <f aca="false">Stock_Seguridad!R768</f>
        <v>0</v>
      </c>
      <c r="I768" s="21" t="n">
        <f aca="false">Stock_Seguridad!S768</f>
        <v>0</v>
      </c>
      <c r="J768" s="21" t="n">
        <f aca="false">Stock_Seguridad!U768</f>
        <v>0</v>
      </c>
      <c r="K768" s="22"/>
      <c r="L768" s="23"/>
      <c r="M768" s="23"/>
      <c r="N768" s="23"/>
      <c r="O768" s="24"/>
      <c r="P768" s="24" t="str">
        <f aca="false">IF(ISNUMBER(Stock_Seguridad!N768),Stock_Seguridad!N768,"")</f>
        <v/>
      </c>
      <c r="Q768" s="24" t="str">
        <f aca="false">IF(AND(ISNUMBER(O768),ISNUMBER(P768)),P768-O768,"")</f>
        <v/>
      </c>
      <c r="R768" s="23" t="n">
        <f aca="false">MAX(0,G768-N(L768))</f>
        <v>135</v>
      </c>
      <c r="S768" s="23" t="n">
        <f aca="false">SUMIFS(Cadenas_vs_FCST!$D$17:$D$2437,Cadenas_vs_FCST!$A$17:$A$2437,A768)</f>
        <v>0</v>
      </c>
      <c r="T768" s="23" t="n">
        <f aca="false">SUMIFS(Cadenas_vs_FCST!$E$17:$E$2437,Cadenas_vs_FCST!$A$17:$A$2437,A768)</f>
        <v>0</v>
      </c>
      <c r="U768" s="24" t="str">
        <f aca="false">IF(T768&gt;0,S768/T768-1,"")</f>
        <v/>
      </c>
      <c r="V768" s="3" t="str">
        <f aca="false">IF(OR(E768="BAJO SS",E768="BAJO SS (XLIB CUBRE)"),"SÍ","")</f>
        <v/>
      </c>
      <c r="W768" s="3" t="str">
        <f aca="false">IF(AND(V768="",N(L768)&gt;=Parametros!$B$17,G768&gt;=H768,R768&lt;H768),"SÍ","")</f>
        <v/>
      </c>
      <c r="X768" s="3" t="str">
        <f aca="false">IF(OR(E768="SOBRE MAX VENDIBLE",N(N768)&gt;=Parametros!$B$17,N(M768)&gt;=Parametros!$B$17),"SÍ","")</f>
        <v/>
      </c>
      <c r="Y768" s="3" t="str">
        <f aca="false">IF(AND(ISNUMBER(U768),MAX(S768,T768)&gt;=Parametros!$B$15,ABS(N(U768))&gt;Parametros!$B$14),"SÍ","")</f>
        <v/>
      </c>
      <c r="Z768" s="3" t="n">
        <f aca="false">COUNTIF(V768:Y768,"SÍ")</f>
        <v>0</v>
      </c>
      <c r="AA768" s="3" t="n">
        <f aca="false">(3*(V768="SÍ")+2*(W768="SÍ")+2*(X768="SÍ")+(Y768="SÍ"))*IF(LEFT(D768,1)="A",3,IF(OR(LEFT(D768,1)="B",D768="SIN HIST"),2,1))</f>
        <v>0</v>
      </c>
      <c r="AB768" s="3" t="str">
        <f aca="false">IF(AA768&gt;=9,"1-ALTA",IF(AA768&gt;=4,"2-MEDIA",IF(AA768&gt;0,"3-BAJA","")))</f>
        <v/>
      </c>
      <c r="AC768" s="3" t="str">
        <f aca="false">IF(E768="BAJO SS","Stock + XLIB bajo el SS: riesgo real de quiebre, adelantar producción. ","")&amp;IF(E768="BAJO SS (XLIB CUBRE)","Disponible bajo el SS; depende de liberar "&amp;TEXT(J768,"#,##0")&amp;" kg"&amp;IF(ISNUMBER(K768)," el "&amp;TEXT(K768,"dd-mm"),"")&amp;". ","")&amp;IF(W768="SÍ","Stock parece sano pero "&amp;TEXT(L768,"#,##0")&amp;" kg no pasan filtro "&amp;Stock_Seguridad!O768&amp;": sin ellos queda bajo el SS para esa cadena. ","")&amp;IF(E768="SOBRE MAX VENDIBLE","Sobrestock vs vida útil: frenar producción/activar venta. ","")&amp;IF(N(N768)&gt;=Parametros!$B$17,TEXT(N768,"#,##0")&amp;" kg ya no los acepta ninguna cadena: venta intermedia/liquidación. ","")&amp;IF(N(M768)&gt;=Parametros!$B$17,TEXT(M768,"#,##0")&amp;" kg a punto de salir del filtro: despachar primero (FEFO). ","")&amp;IF(Y768="SÍ","Pedidos "&amp;IF(N(U768)&gt;0,"sobre","bajo")&amp;" FCST "&amp;TEXT(ABS(N(U768)),"0%")&amp;": revisar forecast con KAM.","")</f>
        <v/>
      </c>
    </row>
    <row r="769" customFormat="false" ht="15" hidden="false" customHeight="false" outlineLevel="0" collapsed="false">
      <c r="A769" s="18" t="n">
        <f aca="false">Stock_Seguridad!A769</f>
        <v>30000798</v>
      </c>
      <c r="B769" s="18" t="str">
        <f aca="false">Stock_Seguridad!B769</f>
        <v>FRUTILLA CONVENCIONAL IQF EXPO 6X2KG</v>
      </c>
      <c r="C769" s="18" t="str">
        <f aca="false">Stock_Seguridad!C769</f>
        <v>FRUTAS Y HORTALIZAS CONGELADAS</v>
      </c>
      <c r="D769" s="18" t="str">
        <f aca="false">Stock_Seguridad!F769</f>
        <v>SIN HIST</v>
      </c>
      <c r="E769" s="19" t="str">
        <f aca="false">Stock_Seguridad!X769</f>
        <v>SIN FCST</v>
      </c>
      <c r="F769" s="20" t="str">
        <f aca="false">Stock_Seguridad!W769</f>
        <v/>
      </c>
      <c r="G769" s="21" t="n">
        <f aca="false">Stock_Seguridad!T769</f>
        <v>4920</v>
      </c>
      <c r="H769" s="21" t="n">
        <f aca="false">Stock_Seguridad!R769</f>
        <v>0</v>
      </c>
      <c r="I769" s="21" t="n">
        <f aca="false">Stock_Seguridad!S769</f>
        <v>0</v>
      </c>
      <c r="J769" s="21" t="n">
        <f aca="false">Stock_Seguridad!U769</f>
        <v>0</v>
      </c>
      <c r="K769" s="22"/>
      <c r="L769" s="23" t="n">
        <v>0</v>
      </c>
      <c r="M769" s="23" t="n">
        <v>0</v>
      </c>
      <c r="N769" s="23" t="n">
        <v>0</v>
      </c>
      <c r="O769" s="24" t="n">
        <v>0.0152682926829268</v>
      </c>
      <c r="P769" s="24" t="str">
        <f aca="false">IF(ISNUMBER(Stock_Seguridad!N769),Stock_Seguridad!N769,"")</f>
        <v/>
      </c>
      <c r="Q769" s="24" t="str">
        <f aca="false">IF(AND(ISNUMBER(O769),ISNUMBER(P769)),P769-O769,"")</f>
        <v/>
      </c>
      <c r="R769" s="23" t="n">
        <f aca="false">MAX(0,G769-N(L769))</f>
        <v>4920</v>
      </c>
      <c r="S769" s="23" t="n">
        <f aca="false">SUMIFS(Cadenas_vs_FCST!$D$17:$D$2437,Cadenas_vs_FCST!$A$17:$A$2437,A769)</f>
        <v>0</v>
      </c>
      <c r="T769" s="23" t="n">
        <f aca="false">SUMIFS(Cadenas_vs_FCST!$E$17:$E$2437,Cadenas_vs_FCST!$A$17:$A$2437,A769)</f>
        <v>0</v>
      </c>
      <c r="U769" s="24" t="str">
        <f aca="false">IF(T769&gt;0,S769/T769-1,"")</f>
        <v/>
      </c>
      <c r="V769" s="3" t="str">
        <f aca="false">IF(OR(E769="BAJO SS",E769="BAJO SS (XLIB CUBRE)"),"SÍ","")</f>
        <v/>
      </c>
      <c r="W769" s="3" t="str">
        <f aca="false">IF(AND(V769="",N(L769)&gt;=Parametros!$B$17,G769&gt;=H769,R769&lt;H769),"SÍ","")</f>
        <v/>
      </c>
      <c r="X769" s="3" t="str">
        <f aca="false">IF(OR(E769="SOBRE MAX VENDIBLE",N(N769)&gt;=Parametros!$B$17,N(M769)&gt;=Parametros!$B$17),"SÍ","")</f>
        <v/>
      </c>
      <c r="Y769" s="3" t="str">
        <f aca="false">IF(AND(ISNUMBER(U769),MAX(S769,T769)&gt;=Parametros!$B$15,ABS(N(U769))&gt;Parametros!$B$14),"SÍ","")</f>
        <v/>
      </c>
      <c r="Z769" s="3" t="n">
        <f aca="false">COUNTIF(V769:Y769,"SÍ")</f>
        <v>0</v>
      </c>
      <c r="AA769" s="3" t="n">
        <f aca="false">(3*(V769="SÍ")+2*(W769="SÍ")+2*(X769="SÍ")+(Y769="SÍ"))*IF(LEFT(D769,1)="A",3,IF(OR(LEFT(D769,1)="B",D769="SIN HIST"),2,1))</f>
        <v>0</v>
      </c>
      <c r="AB769" s="3" t="str">
        <f aca="false">IF(AA769&gt;=9,"1-ALTA",IF(AA769&gt;=4,"2-MEDIA",IF(AA769&gt;0,"3-BAJA","")))</f>
        <v/>
      </c>
      <c r="AC769" s="3" t="str">
        <f aca="false">IF(E769="BAJO SS","Stock + XLIB bajo el SS: riesgo real de quiebre, adelantar producción. ","")&amp;IF(E769="BAJO SS (XLIB CUBRE)","Disponible bajo el SS; depende de liberar "&amp;TEXT(J769,"#,##0")&amp;" kg"&amp;IF(ISNUMBER(K769)," el "&amp;TEXT(K769,"dd-mm"),"")&amp;". ","")&amp;IF(W769="SÍ","Stock parece sano pero "&amp;TEXT(L769,"#,##0")&amp;" kg no pasan filtro "&amp;Stock_Seguridad!O769&amp;": sin ellos queda bajo el SS para esa cadena. ","")&amp;IF(E769="SOBRE MAX VENDIBLE","Sobrestock vs vida útil: frenar producción/activar venta. ","")&amp;IF(N(N769)&gt;=Parametros!$B$17,TEXT(N769,"#,##0")&amp;" kg ya no los acepta ninguna cadena: venta intermedia/liquidación. ","")&amp;IF(N(M769)&gt;=Parametros!$B$17,TEXT(M769,"#,##0")&amp;" kg a punto de salir del filtro: despachar primero (FEFO). ","")&amp;IF(Y769="SÍ","Pedidos "&amp;IF(N(U769)&gt;0,"sobre","bajo")&amp;" FCST "&amp;TEXT(ABS(N(U769)),"0%")&amp;": revisar forecast con KAM.","")</f>
        <v/>
      </c>
    </row>
    <row r="770" customFormat="false" ht="15" hidden="false" customHeight="false" outlineLevel="0" collapsed="false">
      <c r="A770" s="18" t="n">
        <f aca="false">Stock_Seguridad!A770</f>
        <v>30000800</v>
      </c>
      <c r="B770" s="18" t="str">
        <f aca="false">Stock_Seguridad!B770</f>
        <v>SOFRITO CAJA FM 1X15KG</v>
      </c>
      <c r="C770" s="18" t="str">
        <f aca="false">Stock_Seguridad!C770</f>
        <v>FRUTAS Y HORTALIZAS CONGELADAS</v>
      </c>
      <c r="D770" s="18" t="str">
        <f aca="false">Stock_Seguridad!F770</f>
        <v>SIN HIST</v>
      </c>
      <c r="E770" s="19" t="str">
        <f aca="false">Stock_Seguridad!X770</f>
        <v>SIN FCST</v>
      </c>
      <c r="F770" s="20" t="str">
        <f aca="false">Stock_Seguridad!W770</f>
        <v/>
      </c>
      <c r="G770" s="21" t="n">
        <f aca="false">Stock_Seguridad!T770</f>
        <v>1500</v>
      </c>
      <c r="H770" s="21" t="n">
        <f aca="false">Stock_Seguridad!R770</f>
        <v>0</v>
      </c>
      <c r="I770" s="21" t="n">
        <f aca="false">Stock_Seguridad!S770</f>
        <v>0</v>
      </c>
      <c r="J770" s="21" t="n">
        <f aca="false">Stock_Seguridad!U770</f>
        <v>0</v>
      </c>
      <c r="K770" s="22"/>
      <c r="L770" s="23" t="n">
        <v>0</v>
      </c>
      <c r="M770" s="23" t="n">
        <v>0</v>
      </c>
      <c r="N770" s="23" t="n">
        <v>0</v>
      </c>
      <c r="O770" s="24" t="n">
        <v>0.0963</v>
      </c>
      <c r="P770" s="24" t="str">
        <f aca="false">IF(ISNUMBER(Stock_Seguridad!N770),Stock_Seguridad!N770,"")</f>
        <v/>
      </c>
      <c r="Q770" s="24" t="str">
        <f aca="false">IF(AND(ISNUMBER(O770),ISNUMBER(P770)),P770-O770,"")</f>
        <v/>
      </c>
      <c r="R770" s="23" t="n">
        <f aca="false">MAX(0,G770-N(L770))</f>
        <v>1500</v>
      </c>
      <c r="S770" s="23" t="n">
        <f aca="false">SUMIFS(Cadenas_vs_FCST!$D$17:$D$2437,Cadenas_vs_FCST!$A$17:$A$2437,A770)</f>
        <v>0</v>
      </c>
      <c r="T770" s="23" t="n">
        <f aca="false">SUMIFS(Cadenas_vs_FCST!$E$17:$E$2437,Cadenas_vs_FCST!$A$17:$A$2437,A770)</f>
        <v>0</v>
      </c>
      <c r="U770" s="24" t="str">
        <f aca="false">IF(T770&gt;0,S770/T770-1,"")</f>
        <v/>
      </c>
      <c r="V770" s="3" t="str">
        <f aca="false">IF(OR(E770="BAJO SS",E770="BAJO SS (XLIB CUBRE)"),"SÍ","")</f>
        <v/>
      </c>
      <c r="W770" s="3" t="str">
        <f aca="false">IF(AND(V770="",N(L770)&gt;=Parametros!$B$17,G770&gt;=H770,R770&lt;H770),"SÍ","")</f>
        <v/>
      </c>
      <c r="X770" s="3" t="str">
        <f aca="false">IF(OR(E770="SOBRE MAX VENDIBLE",N(N770)&gt;=Parametros!$B$17,N(M770)&gt;=Parametros!$B$17),"SÍ","")</f>
        <v/>
      </c>
      <c r="Y770" s="3" t="str">
        <f aca="false">IF(AND(ISNUMBER(U770),MAX(S770,T770)&gt;=Parametros!$B$15,ABS(N(U770))&gt;Parametros!$B$14),"SÍ","")</f>
        <v/>
      </c>
      <c r="Z770" s="3" t="n">
        <f aca="false">COUNTIF(V770:Y770,"SÍ")</f>
        <v>0</v>
      </c>
      <c r="AA770" s="3" t="n">
        <f aca="false">(3*(V770="SÍ")+2*(W770="SÍ")+2*(X770="SÍ")+(Y770="SÍ"))*IF(LEFT(D770,1)="A",3,IF(OR(LEFT(D770,1)="B",D770="SIN HIST"),2,1))</f>
        <v>0</v>
      </c>
      <c r="AB770" s="3" t="str">
        <f aca="false">IF(AA770&gt;=9,"1-ALTA",IF(AA770&gt;=4,"2-MEDIA",IF(AA770&gt;0,"3-BAJA","")))</f>
        <v/>
      </c>
      <c r="AC770" s="3" t="str">
        <f aca="false">IF(E770="BAJO SS","Stock + XLIB bajo el SS: riesgo real de quiebre, adelantar producción. ","")&amp;IF(E770="BAJO SS (XLIB CUBRE)","Disponible bajo el SS; depende de liberar "&amp;TEXT(J770,"#,##0")&amp;" kg"&amp;IF(ISNUMBER(K770)," el "&amp;TEXT(K770,"dd-mm"),"")&amp;". ","")&amp;IF(W770="SÍ","Stock parece sano pero "&amp;TEXT(L770,"#,##0")&amp;" kg no pasan filtro "&amp;Stock_Seguridad!O770&amp;": sin ellos queda bajo el SS para esa cadena. ","")&amp;IF(E770="SOBRE MAX VENDIBLE","Sobrestock vs vida útil: frenar producción/activar venta. ","")&amp;IF(N(N770)&gt;=Parametros!$B$17,TEXT(N770,"#,##0")&amp;" kg ya no los acepta ninguna cadena: venta intermedia/liquidación. ","")&amp;IF(N(M770)&gt;=Parametros!$B$17,TEXT(M770,"#,##0")&amp;" kg a punto de salir del filtro: despachar primero (FEFO). ","")&amp;IF(Y770="SÍ","Pedidos "&amp;IF(N(U770)&gt;0,"sobre","bajo")&amp;" FCST "&amp;TEXT(ABS(N(U770)),"0%")&amp;": revisar forecast con KAM.","")</f>
        <v/>
      </c>
    </row>
    <row r="771" customFormat="false" ht="15" hidden="false" customHeight="false" outlineLevel="0" collapsed="false">
      <c r="A771" s="18" t="n">
        <f aca="false">Stock_Seguridad!A771</f>
        <v>30000850</v>
      </c>
      <c r="B771" s="18" t="str">
        <f aca="false">Stock_Seguridad!B771</f>
        <v>CHOCLO GRANO 30X550GR</v>
      </c>
      <c r="C771" s="18" t="str">
        <f aca="false">Stock_Seguridad!C771</f>
        <v>FRUTAS Y HORTALIZAS CONGELADAS</v>
      </c>
      <c r="D771" s="18" t="str">
        <f aca="false">Stock_Seguridad!F771</f>
        <v>SIN HIST</v>
      </c>
      <c r="E771" s="19" t="str">
        <f aca="false">Stock_Seguridad!X771</f>
        <v>SIN FCST</v>
      </c>
      <c r="F771" s="20" t="str">
        <f aca="false">Stock_Seguridad!W771</f>
        <v/>
      </c>
      <c r="G771" s="21" t="n">
        <f aca="false">Stock_Seguridad!T771</f>
        <v>97746</v>
      </c>
      <c r="H771" s="21" t="n">
        <f aca="false">Stock_Seguridad!R771</f>
        <v>0</v>
      </c>
      <c r="I771" s="21" t="n">
        <f aca="false">Stock_Seguridad!S771</f>
        <v>0</v>
      </c>
      <c r="J771" s="21" t="n">
        <f aca="false">Stock_Seguridad!U771</f>
        <v>9916.5</v>
      </c>
      <c r="K771" s="22" t="n">
        <v>46317</v>
      </c>
      <c r="L771" s="23" t="n">
        <v>0</v>
      </c>
      <c r="M771" s="23" t="n">
        <v>0</v>
      </c>
      <c r="N771" s="23" t="n">
        <v>0</v>
      </c>
      <c r="O771" s="24" t="n">
        <v>0.07807969348659</v>
      </c>
      <c r="P771" s="24" t="str">
        <f aca="false">IF(ISNUMBER(Stock_Seguridad!N771),Stock_Seguridad!N771,"")</f>
        <v/>
      </c>
      <c r="Q771" s="24" t="str">
        <f aca="false">IF(AND(ISNUMBER(O771),ISNUMBER(P771)),P771-O771,"")</f>
        <v/>
      </c>
      <c r="R771" s="23" t="n">
        <f aca="false">MAX(0,G771-N(L771))</f>
        <v>97746</v>
      </c>
      <c r="S771" s="23" t="n">
        <f aca="false">SUMIFS(Cadenas_vs_FCST!$D$17:$D$2437,Cadenas_vs_FCST!$A$17:$A$2437,A771)</f>
        <v>0</v>
      </c>
      <c r="T771" s="23" t="n">
        <f aca="false">SUMIFS(Cadenas_vs_FCST!$E$17:$E$2437,Cadenas_vs_FCST!$A$17:$A$2437,A771)</f>
        <v>0</v>
      </c>
      <c r="U771" s="24" t="str">
        <f aca="false">IF(T771&gt;0,S771/T771-1,"")</f>
        <v/>
      </c>
      <c r="V771" s="3" t="str">
        <f aca="false">IF(OR(E771="BAJO SS",E771="BAJO SS (XLIB CUBRE)"),"SÍ","")</f>
        <v/>
      </c>
      <c r="W771" s="3" t="str">
        <f aca="false">IF(AND(V771="",N(L771)&gt;=Parametros!$B$17,G771&gt;=H771,R771&lt;H771),"SÍ","")</f>
        <v/>
      </c>
      <c r="X771" s="3" t="str">
        <f aca="false">IF(OR(E771="SOBRE MAX VENDIBLE",N(N771)&gt;=Parametros!$B$17,N(M771)&gt;=Parametros!$B$17),"SÍ","")</f>
        <v/>
      </c>
      <c r="Y771" s="3" t="str">
        <f aca="false">IF(AND(ISNUMBER(U771),MAX(S771,T771)&gt;=Parametros!$B$15,ABS(N(U771))&gt;Parametros!$B$14),"SÍ","")</f>
        <v/>
      </c>
      <c r="Z771" s="3" t="n">
        <f aca="false">COUNTIF(V771:Y771,"SÍ")</f>
        <v>0</v>
      </c>
      <c r="AA771" s="3" t="n">
        <f aca="false">(3*(V771="SÍ")+2*(W771="SÍ")+2*(X771="SÍ")+(Y771="SÍ"))*IF(LEFT(D771,1)="A",3,IF(OR(LEFT(D771,1)="B",D771="SIN HIST"),2,1))</f>
        <v>0</v>
      </c>
      <c r="AB771" s="3" t="str">
        <f aca="false">IF(AA771&gt;=9,"1-ALTA",IF(AA771&gt;=4,"2-MEDIA",IF(AA771&gt;0,"3-BAJA","")))</f>
        <v/>
      </c>
      <c r="AC771" s="3" t="str">
        <f aca="false">IF(E771="BAJO SS","Stock + XLIB bajo el SS: riesgo real de quiebre, adelantar producción. ","")&amp;IF(E771="BAJO SS (XLIB CUBRE)","Disponible bajo el SS; depende de liberar "&amp;TEXT(J771,"#,##0")&amp;" kg"&amp;IF(ISNUMBER(K771)," el "&amp;TEXT(K771,"dd-mm"),"")&amp;". ","")&amp;IF(W771="SÍ","Stock parece sano pero "&amp;TEXT(L771,"#,##0")&amp;" kg no pasan filtro "&amp;Stock_Seguridad!O771&amp;": sin ellos queda bajo el SS para esa cadena. ","")&amp;IF(E771="SOBRE MAX VENDIBLE","Sobrestock vs vida útil: frenar producción/activar venta. ","")&amp;IF(N(N771)&gt;=Parametros!$B$17,TEXT(N771,"#,##0")&amp;" kg ya no los acepta ninguna cadena: venta intermedia/liquidación. ","")&amp;IF(N(M771)&gt;=Parametros!$B$17,TEXT(M771,"#,##0")&amp;" kg a punto de salir del filtro: despachar primero (FEFO). ","")&amp;IF(Y771="SÍ","Pedidos "&amp;IF(N(U771)&gt;0,"sobre","bajo")&amp;" FCST "&amp;TEXT(ABS(N(U771)),"0%")&amp;": revisar forecast con KAM.","")</f>
        <v/>
      </c>
    </row>
    <row r="772" customFormat="false" ht="15" hidden="false" customHeight="false" outlineLevel="0" collapsed="false">
      <c r="A772" s="18" t="n">
        <f aca="false">Stock_Seguridad!A772</f>
        <v>30000851</v>
      </c>
      <c r="B772" s="18" t="str">
        <f aca="false">Stock_Seguridad!B772</f>
        <v>ARVEJA 30X550GR</v>
      </c>
      <c r="C772" s="18" t="str">
        <f aca="false">Stock_Seguridad!C772</f>
        <v>FRUTAS Y HORTALIZAS CONGELADAS</v>
      </c>
      <c r="D772" s="18" t="str">
        <f aca="false">Stock_Seguridad!F772</f>
        <v>SIN HIST</v>
      </c>
      <c r="E772" s="19" t="str">
        <f aca="false">Stock_Seguridad!X772</f>
        <v>SIN FCST</v>
      </c>
      <c r="F772" s="20" t="str">
        <f aca="false">Stock_Seguridad!W772</f>
        <v/>
      </c>
      <c r="G772" s="21" t="n">
        <f aca="false">Stock_Seguridad!T772</f>
        <v>36069</v>
      </c>
      <c r="H772" s="21" t="n">
        <f aca="false">Stock_Seguridad!R772</f>
        <v>0</v>
      </c>
      <c r="I772" s="21" t="n">
        <f aca="false">Stock_Seguridad!S772</f>
        <v>0</v>
      </c>
      <c r="J772" s="21" t="n">
        <f aca="false">Stock_Seguridad!U772</f>
        <v>0</v>
      </c>
      <c r="K772" s="22"/>
      <c r="L772" s="23" t="n">
        <v>0</v>
      </c>
      <c r="M772" s="23" t="n">
        <v>0</v>
      </c>
      <c r="N772" s="23" t="n">
        <v>0</v>
      </c>
      <c r="O772" s="24" t="n">
        <v>0.146569075937786</v>
      </c>
      <c r="P772" s="24" t="str">
        <f aca="false">IF(ISNUMBER(Stock_Seguridad!N772),Stock_Seguridad!N772,"")</f>
        <v/>
      </c>
      <c r="Q772" s="24" t="str">
        <f aca="false">IF(AND(ISNUMBER(O772),ISNUMBER(P772)),P772-O772,"")</f>
        <v/>
      </c>
      <c r="R772" s="23" t="n">
        <f aca="false">MAX(0,G772-N(L772))</f>
        <v>36069</v>
      </c>
      <c r="S772" s="23" t="n">
        <f aca="false">SUMIFS(Cadenas_vs_FCST!$D$17:$D$2437,Cadenas_vs_FCST!$A$17:$A$2437,A772)</f>
        <v>0</v>
      </c>
      <c r="T772" s="23" t="n">
        <f aca="false">SUMIFS(Cadenas_vs_FCST!$E$17:$E$2437,Cadenas_vs_FCST!$A$17:$A$2437,A772)</f>
        <v>0</v>
      </c>
      <c r="U772" s="24" t="str">
        <f aca="false">IF(T772&gt;0,S772/T772-1,"")</f>
        <v/>
      </c>
      <c r="V772" s="3" t="str">
        <f aca="false">IF(OR(E772="BAJO SS",E772="BAJO SS (XLIB CUBRE)"),"SÍ","")</f>
        <v/>
      </c>
      <c r="W772" s="3" t="str">
        <f aca="false">IF(AND(V772="",N(L772)&gt;=Parametros!$B$17,G772&gt;=H772,R772&lt;H772),"SÍ","")</f>
        <v/>
      </c>
      <c r="X772" s="3" t="str">
        <f aca="false">IF(OR(E772="SOBRE MAX VENDIBLE",N(N772)&gt;=Parametros!$B$17,N(M772)&gt;=Parametros!$B$17),"SÍ","")</f>
        <v/>
      </c>
      <c r="Y772" s="3" t="str">
        <f aca="false">IF(AND(ISNUMBER(U772),MAX(S772,T772)&gt;=Parametros!$B$15,ABS(N(U772))&gt;Parametros!$B$14),"SÍ","")</f>
        <v/>
      </c>
      <c r="Z772" s="3" t="n">
        <f aca="false">COUNTIF(V772:Y772,"SÍ")</f>
        <v>0</v>
      </c>
      <c r="AA772" s="3" t="n">
        <f aca="false">(3*(V772="SÍ")+2*(W772="SÍ")+2*(X772="SÍ")+(Y772="SÍ"))*IF(LEFT(D772,1)="A",3,IF(OR(LEFT(D772,1)="B",D772="SIN HIST"),2,1))</f>
        <v>0</v>
      </c>
      <c r="AB772" s="3" t="str">
        <f aca="false">IF(AA772&gt;=9,"1-ALTA",IF(AA772&gt;=4,"2-MEDIA",IF(AA772&gt;0,"3-BAJA","")))</f>
        <v/>
      </c>
      <c r="AC772" s="3" t="str">
        <f aca="false">IF(E772="BAJO SS","Stock + XLIB bajo el SS: riesgo real de quiebre, adelantar producción. ","")&amp;IF(E772="BAJO SS (XLIB CUBRE)","Disponible bajo el SS; depende de liberar "&amp;TEXT(J772,"#,##0")&amp;" kg"&amp;IF(ISNUMBER(K772)," el "&amp;TEXT(K772,"dd-mm"),"")&amp;". ","")&amp;IF(W772="SÍ","Stock parece sano pero "&amp;TEXT(L772,"#,##0")&amp;" kg no pasan filtro "&amp;Stock_Seguridad!O772&amp;": sin ellos queda bajo el SS para esa cadena. ","")&amp;IF(E772="SOBRE MAX VENDIBLE","Sobrestock vs vida útil: frenar producción/activar venta. ","")&amp;IF(N(N772)&gt;=Parametros!$B$17,TEXT(N772,"#,##0")&amp;" kg ya no los acepta ninguna cadena: venta intermedia/liquidación. ","")&amp;IF(N(M772)&gt;=Parametros!$B$17,TEXT(M772,"#,##0")&amp;" kg a punto de salir del filtro: despachar primero (FEFO). ","")&amp;IF(Y772="SÍ","Pedidos "&amp;IF(N(U772)&gt;0,"sobre","bajo")&amp;" FCST "&amp;TEXT(ABS(N(U772)),"0%")&amp;": revisar forecast con KAM.","")</f>
        <v/>
      </c>
    </row>
    <row r="773" customFormat="false" ht="15" hidden="false" customHeight="false" outlineLevel="0" collapsed="false">
      <c r="A773" s="18" t="n">
        <f aca="false">Stock_Seguridad!A773</f>
        <v>30000852</v>
      </c>
      <c r="B773" s="18" t="str">
        <f aca="false">Stock_Seguridad!B773</f>
        <v>ENSALADA PRIMAVERA 30X550GR</v>
      </c>
      <c r="C773" s="18" t="str">
        <f aca="false">Stock_Seguridad!C773</f>
        <v>FRUTAS Y HORTALIZAS CONGELADAS</v>
      </c>
      <c r="D773" s="18" t="str">
        <f aca="false">Stock_Seguridad!F773</f>
        <v>SIN HIST</v>
      </c>
      <c r="E773" s="19" t="str">
        <f aca="false">Stock_Seguridad!X773</f>
        <v>SIN FCST</v>
      </c>
      <c r="F773" s="20" t="str">
        <f aca="false">Stock_Seguridad!W773</f>
        <v/>
      </c>
      <c r="G773" s="21" t="n">
        <f aca="false">Stock_Seguridad!T773</f>
        <v>42322.5</v>
      </c>
      <c r="H773" s="21" t="n">
        <f aca="false">Stock_Seguridad!R773</f>
        <v>0</v>
      </c>
      <c r="I773" s="21" t="n">
        <f aca="false">Stock_Seguridad!S773</f>
        <v>0</v>
      </c>
      <c r="J773" s="21" t="n">
        <f aca="false">Stock_Seguridad!U773</f>
        <v>0</v>
      </c>
      <c r="K773" s="22"/>
      <c r="L773" s="23" t="n">
        <v>0</v>
      </c>
      <c r="M773" s="23" t="n">
        <v>0</v>
      </c>
      <c r="N773" s="23" t="n">
        <v>0</v>
      </c>
      <c r="O773" s="24" t="n">
        <v>0.276732943469786</v>
      </c>
      <c r="P773" s="24" t="str">
        <f aca="false">IF(ISNUMBER(Stock_Seguridad!N773),Stock_Seguridad!N773,"")</f>
        <v/>
      </c>
      <c r="Q773" s="24" t="str">
        <f aca="false">IF(AND(ISNUMBER(O773),ISNUMBER(P773)),P773-O773,"")</f>
        <v/>
      </c>
      <c r="R773" s="23" t="n">
        <f aca="false">MAX(0,G773-N(L773))</f>
        <v>42322.5</v>
      </c>
      <c r="S773" s="23" t="n">
        <f aca="false">SUMIFS(Cadenas_vs_FCST!$D$17:$D$2437,Cadenas_vs_FCST!$A$17:$A$2437,A773)</f>
        <v>0</v>
      </c>
      <c r="T773" s="23" t="n">
        <f aca="false">SUMIFS(Cadenas_vs_FCST!$E$17:$E$2437,Cadenas_vs_FCST!$A$17:$A$2437,A773)</f>
        <v>0</v>
      </c>
      <c r="U773" s="24" t="str">
        <f aca="false">IF(T773&gt;0,S773/T773-1,"")</f>
        <v/>
      </c>
      <c r="V773" s="3" t="str">
        <f aca="false">IF(OR(E773="BAJO SS",E773="BAJO SS (XLIB CUBRE)"),"SÍ","")</f>
        <v/>
      </c>
      <c r="W773" s="3" t="str">
        <f aca="false">IF(AND(V773="",N(L773)&gt;=Parametros!$B$17,G773&gt;=H773,R773&lt;H773),"SÍ","")</f>
        <v/>
      </c>
      <c r="X773" s="3" t="str">
        <f aca="false">IF(OR(E773="SOBRE MAX VENDIBLE",N(N773)&gt;=Parametros!$B$17,N(M773)&gt;=Parametros!$B$17),"SÍ","")</f>
        <v/>
      </c>
      <c r="Y773" s="3" t="str">
        <f aca="false">IF(AND(ISNUMBER(U773),MAX(S773,T773)&gt;=Parametros!$B$15,ABS(N(U773))&gt;Parametros!$B$14),"SÍ","")</f>
        <v/>
      </c>
      <c r="Z773" s="3" t="n">
        <f aca="false">COUNTIF(V773:Y773,"SÍ")</f>
        <v>0</v>
      </c>
      <c r="AA773" s="3" t="n">
        <f aca="false">(3*(V773="SÍ")+2*(W773="SÍ")+2*(X773="SÍ")+(Y773="SÍ"))*IF(LEFT(D773,1)="A",3,IF(OR(LEFT(D773,1)="B",D773="SIN HIST"),2,1))</f>
        <v>0</v>
      </c>
      <c r="AB773" s="3" t="str">
        <f aca="false">IF(AA773&gt;=9,"1-ALTA",IF(AA773&gt;=4,"2-MEDIA",IF(AA773&gt;0,"3-BAJA","")))</f>
        <v/>
      </c>
      <c r="AC773" s="3" t="str">
        <f aca="false">IF(E773="BAJO SS","Stock + XLIB bajo el SS: riesgo real de quiebre, adelantar producción. ","")&amp;IF(E773="BAJO SS (XLIB CUBRE)","Disponible bajo el SS; depende de liberar "&amp;TEXT(J773,"#,##0")&amp;" kg"&amp;IF(ISNUMBER(K773)," el "&amp;TEXT(K773,"dd-mm"),"")&amp;". ","")&amp;IF(W773="SÍ","Stock parece sano pero "&amp;TEXT(L773,"#,##0")&amp;" kg no pasan filtro "&amp;Stock_Seguridad!O773&amp;": sin ellos queda bajo el SS para esa cadena. ","")&amp;IF(E773="SOBRE MAX VENDIBLE","Sobrestock vs vida útil: frenar producción/activar venta. ","")&amp;IF(N(N773)&gt;=Parametros!$B$17,TEXT(N773,"#,##0")&amp;" kg ya no los acepta ninguna cadena: venta intermedia/liquidación. ","")&amp;IF(N(M773)&gt;=Parametros!$B$17,TEXT(M773,"#,##0")&amp;" kg a punto de salir del filtro: despachar primero (FEFO). ","")&amp;IF(Y773="SÍ","Pedidos "&amp;IF(N(U773)&gt;0,"sobre","bajo")&amp;" FCST "&amp;TEXT(ABS(N(U773)),"0%")&amp;": revisar forecast con KAM.","")</f>
        <v/>
      </c>
    </row>
    <row r="774" customFormat="false" ht="15" hidden="false" customHeight="false" outlineLevel="0" collapsed="false">
      <c r="A774" s="18" t="n">
        <f aca="false">Stock_Seguridad!A774</f>
        <v>30000875</v>
      </c>
      <c r="B774" s="18" t="str">
        <f aca="false">Stock_Seguridad!B774</f>
        <v>LENTEJAS CAJA FM01 1X16KG</v>
      </c>
      <c r="C774" s="18" t="str">
        <f aca="false">Stock_Seguridad!C774</f>
        <v>FRUTAS Y HORTALIZAS CONGELADAS</v>
      </c>
      <c r="D774" s="18" t="str">
        <f aca="false">Stock_Seguridad!F774</f>
        <v>SIN HIST</v>
      </c>
      <c r="E774" s="19" t="str">
        <f aca="false">Stock_Seguridad!X774</f>
        <v>SIN FCST</v>
      </c>
      <c r="F774" s="20" t="str">
        <f aca="false">Stock_Seguridad!W774</f>
        <v/>
      </c>
      <c r="G774" s="21" t="n">
        <f aca="false">Stock_Seguridad!T774</f>
        <v>144</v>
      </c>
      <c r="H774" s="21" t="n">
        <f aca="false">Stock_Seguridad!R774</f>
        <v>0</v>
      </c>
      <c r="I774" s="21" t="n">
        <f aca="false">Stock_Seguridad!S774</f>
        <v>0</v>
      </c>
      <c r="J774" s="21" t="n">
        <f aca="false">Stock_Seguridad!U774</f>
        <v>0</v>
      </c>
      <c r="K774" s="22"/>
      <c r="L774" s="23" t="n">
        <v>0</v>
      </c>
      <c r="M774" s="23" t="n">
        <v>0</v>
      </c>
      <c r="N774" s="23" t="n">
        <v>0</v>
      </c>
      <c r="O774" s="24" t="n">
        <v>0.19</v>
      </c>
      <c r="P774" s="24" t="str">
        <f aca="false">IF(ISNUMBER(Stock_Seguridad!N774),Stock_Seguridad!N774,"")</f>
        <v/>
      </c>
      <c r="Q774" s="24" t="str">
        <f aca="false">IF(AND(ISNUMBER(O774),ISNUMBER(P774)),P774-O774,"")</f>
        <v/>
      </c>
      <c r="R774" s="23" t="n">
        <f aca="false">MAX(0,G774-N(L774))</f>
        <v>144</v>
      </c>
      <c r="S774" s="23" t="n">
        <f aca="false">SUMIFS(Cadenas_vs_FCST!$D$17:$D$2437,Cadenas_vs_FCST!$A$17:$A$2437,A774)</f>
        <v>0</v>
      </c>
      <c r="T774" s="23" t="n">
        <f aca="false">SUMIFS(Cadenas_vs_FCST!$E$17:$E$2437,Cadenas_vs_FCST!$A$17:$A$2437,A774)</f>
        <v>0</v>
      </c>
      <c r="U774" s="24" t="str">
        <f aca="false">IF(T774&gt;0,S774/T774-1,"")</f>
        <v/>
      </c>
      <c r="V774" s="3" t="str">
        <f aca="false">IF(OR(E774="BAJO SS",E774="BAJO SS (XLIB CUBRE)"),"SÍ","")</f>
        <v/>
      </c>
      <c r="W774" s="3" t="str">
        <f aca="false">IF(AND(V774="",N(L774)&gt;=Parametros!$B$17,G774&gt;=H774,R774&lt;H774),"SÍ","")</f>
        <v/>
      </c>
      <c r="X774" s="3" t="str">
        <f aca="false">IF(OR(E774="SOBRE MAX VENDIBLE",N(N774)&gt;=Parametros!$B$17,N(M774)&gt;=Parametros!$B$17),"SÍ","")</f>
        <v/>
      </c>
      <c r="Y774" s="3" t="str">
        <f aca="false">IF(AND(ISNUMBER(U774),MAX(S774,T774)&gt;=Parametros!$B$15,ABS(N(U774))&gt;Parametros!$B$14),"SÍ","")</f>
        <v/>
      </c>
      <c r="Z774" s="3" t="n">
        <f aca="false">COUNTIF(V774:Y774,"SÍ")</f>
        <v>0</v>
      </c>
      <c r="AA774" s="3" t="n">
        <f aca="false">(3*(V774="SÍ")+2*(W774="SÍ")+2*(X774="SÍ")+(Y774="SÍ"))*IF(LEFT(D774,1)="A",3,IF(OR(LEFT(D774,1)="B",D774="SIN HIST"),2,1))</f>
        <v>0</v>
      </c>
      <c r="AB774" s="3" t="str">
        <f aca="false">IF(AA774&gt;=9,"1-ALTA",IF(AA774&gt;=4,"2-MEDIA",IF(AA774&gt;0,"3-BAJA","")))</f>
        <v/>
      </c>
      <c r="AC774" s="3" t="str">
        <f aca="false">IF(E774="BAJO SS","Stock + XLIB bajo el SS: riesgo real de quiebre, adelantar producción. ","")&amp;IF(E774="BAJO SS (XLIB CUBRE)","Disponible bajo el SS; depende de liberar "&amp;TEXT(J774,"#,##0")&amp;" kg"&amp;IF(ISNUMBER(K774)," el "&amp;TEXT(K774,"dd-mm"),"")&amp;". ","")&amp;IF(W774="SÍ","Stock parece sano pero "&amp;TEXT(L774,"#,##0")&amp;" kg no pasan filtro "&amp;Stock_Seguridad!O774&amp;": sin ellos queda bajo el SS para esa cadena. ","")&amp;IF(E774="SOBRE MAX VENDIBLE","Sobrestock vs vida útil: frenar producción/activar venta. ","")&amp;IF(N(N774)&gt;=Parametros!$B$17,TEXT(N774,"#,##0")&amp;" kg ya no los acepta ninguna cadena: venta intermedia/liquidación. ","")&amp;IF(N(M774)&gt;=Parametros!$B$17,TEXT(M774,"#,##0")&amp;" kg a punto de salir del filtro: despachar primero (FEFO). ","")&amp;IF(Y774="SÍ","Pedidos "&amp;IF(N(U774)&gt;0,"sobre","bajo")&amp;" FCST "&amp;TEXT(ABS(N(U774)),"0%")&amp;": revisar forecast con KAM.","")</f>
        <v/>
      </c>
    </row>
    <row r="775" customFormat="false" ht="15" hidden="false" customHeight="false" outlineLevel="0" collapsed="false">
      <c r="A775" s="18" t="n">
        <f aca="false">Stock_Seguridad!A775</f>
        <v>30001905</v>
      </c>
      <c r="B775" s="18" t="str">
        <f aca="false">Stock_Seguridad!B775</f>
        <v>PREPARADO HELADO STANDAR CHOCO EXP 1X10L</v>
      </c>
      <c r="C775" s="18" t="str">
        <f aca="false">Stock_Seguridad!C775</f>
        <v>PREPARADOS DE HELADO</v>
      </c>
      <c r="D775" s="18" t="str">
        <f aca="false">Stock_Seguridad!F775</f>
        <v>SIN HIST</v>
      </c>
      <c r="E775" s="19" t="str">
        <f aca="false">Stock_Seguridad!X775</f>
        <v>SIN FCST</v>
      </c>
      <c r="F775" s="20" t="str">
        <f aca="false">Stock_Seguridad!W775</f>
        <v/>
      </c>
      <c r="G775" s="21" t="n">
        <f aca="false">Stock_Seguridad!T775</f>
        <v>0</v>
      </c>
      <c r="H775" s="21" t="n">
        <f aca="false">Stock_Seguridad!R775</f>
        <v>0</v>
      </c>
      <c r="I775" s="21" t="n">
        <f aca="false">Stock_Seguridad!S775</f>
        <v>0</v>
      </c>
      <c r="J775" s="21" t="n">
        <f aca="false">Stock_Seguridad!U775</f>
        <v>8460</v>
      </c>
      <c r="K775" s="22" t="n">
        <v>46322</v>
      </c>
      <c r="L775" s="23" t="n">
        <v>0</v>
      </c>
      <c r="M775" s="23" t="n">
        <v>0</v>
      </c>
      <c r="N775" s="23" t="n">
        <v>0</v>
      </c>
      <c r="O775" s="24" t="n">
        <v>0</v>
      </c>
      <c r="P775" s="24" t="str">
        <f aca="false">IF(ISNUMBER(Stock_Seguridad!N775),Stock_Seguridad!N775,"")</f>
        <v/>
      </c>
      <c r="Q775" s="24" t="str">
        <f aca="false">IF(AND(ISNUMBER(O775),ISNUMBER(P775)),P775-O775,"")</f>
        <v/>
      </c>
      <c r="R775" s="23" t="n">
        <f aca="false">MAX(0,G775-N(L775))</f>
        <v>0</v>
      </c>
      <c r="S775" s="23" t="n">
        <f aca="false">SUMIFS(Cadenas_vs_FCST!$D$17:$D$2437,Cadenas_vs_FCST!$A$17:$A$2437,A775)</f>
        <v>0</v>
      </c>
      <c r="T775" s="23" t="n">
        <f aca="false">SUMIFS(Cadenas_vs_FCST!$E$17:$E$2437,Cadenas_vs_FCST!$A$17:$A$2437,A775)</f>
        <v>0</v>
      </c>
      <c r="U775" s="24" t="str">
        <f aca="false">IF(T775&gt;0,S775/T775-1,"")</f>
        <v/>
      </c>
      <c r="V775" s="3" t="str">
        <f aca="false">IF(OR(E775="BAJO SS",E775="BAJO SS (XLIB CUBRE)"),"SÍ","")</f>
        <v/>
      </c>
      <c r="W775" s="3" t="str">
        <f aca="false">IF(AND(V775="",N(L775)&gt;=Parametros!$B$17,G775&gt;=H775,R775&lt;H775),"SÍ","")</f>
        <v/>
      </c>
      <c r="X775" s="3" t="str">
        <f aca="false">IF(OR(E775="SOBRE MAX VENDIBLE",N(N775)&gt;=Parametros!$B$17,N(M775)&gt;=Parametros!$B$17),"SÍ","")</f>
        <v/>
      </c>
      <c r="Y775" s="3" t="str">
        <f aca="false">IF(AND(ISNUMBER(U775),MAX(S775,T775)&gt;=Parametros!$B$15,ABS(N(U775))&gt;Parametros!$B$14),"SÍ","")</f>
        <v/>
      </c>
      <c r="Z775" s="3" t="n">
        <f aca="false">COUNTIF(V775:Y775,"SÍ")</f>
        <v>0</v>
      </c>
      <c r="AA775" s="3" t="n">
        <f aca="false">(3*(V775="SÍ")+2*(W775="SÍ")+2*(X775="SÍ")+(Y775="SÍ"))*IF(LEFT(D775,1)="A",3,IF(OR(LEFT(D775,1)="B",D775="SIN HIST"),2,1))</f>
        <v>0</v>
      </c>
      <c r="AB775" s="3" t="str">
        <f aca="false">IF(AA775&gt;=9,"1-ALTA",IF(AA775&gt;=4,"2-MEDIA",IF(AA775&gt;0,"3-BAJA","")))</f>
        <v/>
      </c>
      <c r="AC775" s="3" t="str">
        <f aca="false">IF(E775="BAJO SS","Stock + XLIB bajo el SS: riesgo real de quiebre, adelantar producción. ","")&amp;IF(E775="BAJO SS (XLIB CUBRE)","Disponible bajo el SS; depende de liberar "&amp;TEXT(J775,"#,##0")&amp;" kg"&amp;IF(ISNUMBER(K775)," el "&amp;TEXT(K775,"dd-mm"),"")&amp;". ","")&amp;IF(W775="SÍ","Stock parece sano pero "&amp;TEXT(L775,"#,##0")&amp;" kg no pasan filtro "&amp;Stock_Seguridad!O775&amp;": sin ellos queda bajo el SS para esa cadena. ","")&amp;IF(E775="SOBRE MAX VENDIBLE","Sobrestock vs vida útil: frenar producción/activar venta. ","")&amp;IF(N(N775)&gt;=Parametros!$B$17,TEXT(N775,"#,##0")&amp;" kg ya no los acepta ninguna cadena: venta intermedia/liquidación. ","")&amp;IF(N(M775)&gt;=Parametros!$B$17,TEXT(M775,"#,##0")&amp;" kg a punto de salir del filtro: despachar primero (FEFO). ","")&amp;IF(Y775="SÍ","Pedidos "&amp;IF(N(U775)&gt;0,"sobre","bajo")&amp;" FCST "&amp;TEXT(ABS(N(U775)),"0%")&amp;": revisar forecast con KAM.","")</f>
        <v/>
      </c>
    </row>
    <row r="776" customFormat="false" ht="15" hidden="false" customHeight="false" outlineLevel="0" collapsed="false">
      <c r="A776" s="18" t="n">
        <f aca="false">Stock_Seguridad!A776</f>
        <v>30001906</v>
      </c>
      <c r="B776" s="18" t="str">
        <f aca="false">Stock_Seguridad!B776</f>
        <v>PREPARADO HELADO STANDARD VLLA EXP 1X10L</v>
      </c>
      <c r="C776" s="18" t="str">
        <f aca="false">Stock_Seguridad!C776</f>
        <v>PREPARADOS DE HELADO</v>
      </c>
      <c r="D776" s="18" t="str">
        <f aca="false">Stock_Seguridad!F776</f>
        <v>SIN HIST</v>
      </c>
      <c r="E776" s="19" t="str">
        <f aca="false">Stock_Seguridad!X776</f>
        <v>SIN FCST</v>
      </c>
      <c r="F776" s="20" t="str">
        <f aca="false">Stock_Seguridad!W776</f>
        <v/>
      </c>
      <c r="G776" s="21" t="n">
        <f aca="false">Stock_Seguridad!T776</f>
        <v>0</v>
      </c>
      <c r="H776" s="21" t="n">
        <f aca="false">Stock_Seguridad!R776</f>
        <v>0</v>
      </c>
      <c r="I776" s="21" t="n">
        <f aca="false">Stock_Seguridad!S776</f>
        <v>0</v>
      </c>
      <c r="J776" s="21" t="n">
        <f aca="false">Stock_Seguridad!U776</f>
        <v>26550</v>
      </c>
      <c r="K776" s="22" t="n">
        <v>46321</v>
      </c>
      <c r="L776" s="23" t="n">
        <v>0</v>
      </c>
      <c r="M776" s="23" t="n">
        <v>0</v>
      </c>
      <c r="N776" s="23" t="n">
        <v>0</v>
      </c>
      <c r="O776" s="24" t="n">
        <v>0.00440677966101695</v>
      </c>
      <c r="P776" s="24" t="str">
        <f aca="false">IF(ISNUMBER(Stock_Seguridad!N776),Stock_Seguridad!N776,"")</f>
        <v/>
      </c>
      <c r="Q776" s="24" t="str">
        <f aca="false">IF(AND(ISNUMBER(O776),ISNUMBER(P776)),P776-O776,"")</f>
        <v/>
      </c>
      <c r="R776" s="23" t="n">
        <f aca="false">MAX(0,G776-N(L776))</f>
        <v>0</v>
      </c>
      <c r="S776" s="23" t="n">
        <f aca="false">SUMIFS(Cadenas_vs_FCST!$D$17:$D$2437,Cadenas_vs_FCST!$A$17:$A$2437,A776)</f>
        <v>0</v>
      </c>
      <c r="T776" s="23" t="n">
        <f aca="false">SUMIFS(Cadenas_vs_FCST!$E$17:$E$2437,Cadenas_vs_FCST!$A$17:$A$2437,A776)</f>
        <v>0</v>
      </c>
      <c r="U776" s="24" t="str">
        <f aca="false">IF(T776&gt;0,S776/T776-1,"")</f>
        <v/>
      </c>
      <c r="V776" s="3" t="str">
        <f aca="false">IF(OR(E776="BAJO SS",E776="BAJO SS (XLIB CUBRE)"),"SÍ","")</f>
        <v/>
      </c>
      <c r="W776" s="3" t="str">
        <f aca="false">IF(AND(V776="",N(L776)&gt;=Parametros!$B$17,G776&gt;=H776,R776&lt;H776),"SÍ","")</f>
        <v/>
      </c>
      <c r="X776" s="3" t="str">
        <f aca="false">IF(OR(E776="SOBRE MAX VENDIBLE",N(N776)&gt;=Parametros!$B$17,N(M776)&gt;=Parametros!$B$17),"SÍ","")</f>
        <v/>
      </c>
      <c r="Y776" s="3" t="str">
        <f aca="false">IF(AND(ISNUMBER(U776),MAX(S776,T776)&gt;=Parametros!$B$15,ABS(N(U776))&gt;Parametros!$B$14),"SÍ","")</f>
        <v/>
      </c>
      <c r="Z776" s="3" t="n">
        <f aca="false">COUNTIF(V776:Y776,"SÍ")</f>
        <v>0</v>
      </c>
      <c r="AA776" s="3" t="n">
        <f aca="false">(3*(V776="SÍ")+2*(W776="SÍ")+2*(X776="SÍ")+(Y776="SÍ"))*IF(LEFT(D776,1)="A",3,IF(OR(LEFT(D776,1)="B",D776="SIN HIST"),2,1))</f>
        <v>0</v>
      </c>
      <c r="AB776" s="3" t="str">
        <f aca="false">IF(AA776&gt;=9,"1-ALTA",IF(AA776&gt;=4,"2-MEDIA",IF(AA776&gt;0,"3-BAJA","")))</f>
        <v/>
      </c>
      <c r="AC776" s="3" t="str">
        <f aca="false">IF(E776="BAJO SS","Stock + XLIB bajo el SS: riesgo real de quiebre, adelantar producción. ","")&amp;IF(E776="BAJO SS (XLIB CUBRE)","Disponible bajo el SS; depende de liberar "&amp;TEXT(J776,"#,##0")&amp;" kg"&amp;IF(ISNUMBER(K776)," el "&amp;TEXT(K776,"dd-mm"),"")&amp;". ","")&amp;IF(W776="SÍ","Stock parece sano pero "&amp;TEXT(L776,"#,##0")&amp;" kg no pasan filtro "&amp;Stock_Seguridad!O776&amp;": sin ellos queda bajo el SS para esa cadena. ","")&amp;IF(E776="SOBRE MAX VENDIBLE","Sobrestock vs vida útil: frenar producción/activar venta. ","")&amp;IF(N(N776)&gt;=Parametros!$B$17,TEXT(N776,"#,##0")&amp;" kg ya no los acepta ninguna cadena: venta intermedia/liquidación. ","")&amp;IF(N(M776)&gt;=Parametros!$B$17,TEXT(M776,"#,##0")&amp;" kg a punto de salir del filtro: despachar primero (FEFO). ","")&amp;IF(Y776="SÍ","Pedidos "&amp;IF(N(U776)&gt;0,"sobre","bajo")&amp;" FCST "&amp;TEXT(ABS(N(U776)),"0%")&amp;": revisar forecast con KAM.","")</f>
        <v/>
      </c>
    </row>
    <row r="777" customFormat="false" ht="15" hidden="false" customHeight="false" outlineLevel="0" collapsed="false">
      <c r="A777" s="18" t="n">
        <f aca="false">Stock_Seguridad!A777</f>
        <v>20001971</v>
      </c>
      <c r="B777" s="18" t="str">
        <f aca="false">Stock_Seguridad!B777</f>
        <v>QUESO GAUDA NAC PIEZA 2,5 KG</v>
      </c>
      <c r="C777" s="18" t="str">
        <f aca="false">Stock_Seguridad!C777</f>
        <v>QUESOS</v>
      </c>
      <c r="D777" s="18" t="str">
        <f aca="false">Stock_Seguridad!F777</f>
        <v>SIN HIST</v>
      </c>
      <c r="E777" s="19" t="str">
        <f aca="false">Stock_Seguridad!X777</f>
        <v>SIN FCST</v>
      </c>
      <c r="F777" s="20" t="str">
        <f aca="false">Stock_Seguridad!W777</f>
        <v/>
      </c>
      <c r="G777" s="21" t="n">
        <f aca="false">Stock_Seguridad!T777</f>
        <v>0</v>
      </c>
      <c r="H777" s="21" t="n">
        <f aca="false">Stock_Seguridad!R777</f>
        <v>0</v>
      </c>
      <c r="I777" s="21" t="n">
        <f aca="false">Stock_Seguridad!S777</f>
        <v>0</v>
      </c>
      <c r="J777" s="21" t="n">
        <f aca="false">Stock_Seguridad!U777</f>
        <v>0</v>
      </c>
      <c r="K777" s="22"/>
      <c r="L777" s="23"/>
      <c r="M777" s="23"/>
      <c r="N777" s="23"/>
      <c r="O777" s="24"/>
      <c r="P777" s="24" t="str">
        <f aca="false">IF(ISNUMBER(Stock_Seguridad!N777),Stock_Seguridad!N777,"")</f>
        <v/>
      </c>
      <c r="Q777" s="24" t="str">
        <f aca="false">IF(AND(ISNUMBER(O777),ISNUMBER(P777)),P777-O777,"")</f>
        <v/>
      </c>
      <c r="R777" s="23" t="n">
        <f aca="false">MAX(0,G777-N(L777))</f>
        <v>0</v>
      </c>
      <c r="S777" s="23" t="n">
        <f aca="false">SUMIFS(Cadenas_vs_FCST!$D$17:$D$2437,Cadenas_vs_FCST!$A$17:$A$2437,A777)</f>
        <v>0</v>
      </c>
      <c r="T777" s="23" t="n">
        <f aca="false">SUMIFS(Cadenas_vs_FCST!$E$17:$E$2437,Cadenas_vs_FCST!$A$17:$A$2437,A777)</f>
        <v>0</v>
      </c>
      <c r="U777" s="24" t="str">
        <f aca="false">IF(T777&gt;0,S777/T777-1,"")</f>
        <v/>
      </c>
      <c r="V777" s="3" t="str">
        <f aca="false">IF(OR(E777="BAJO SS",E777="BAJO SS (XLIB CUBRE)"),"SÍ","")</f>
        <v/>
      </c>
      <c r="W777" s="3" t="str">
        <f aca="false">IF(AND(V777="",N(L777)&gt;=Parametros!$B$17,G777&gt;=H777,R777&lt;H777),"SÍ","")</f>
        <v/>
      </c>
      <c r="X777" s="3" t="str">
        <f aca="false">IF(OR(E777="SOBRE MAX VENDIBLE",N(N777)&gt;=Parametros!$B$17,N(M777)&gt;=Parametros!$B$17),"SÍ","")</f>
        <v/>
      </c>
      <c r="Y777" s="3" t="str">
        <f aca="false">IF(AND(ISNUMBER(U777),MAX(S777,T777)&gt;=Parametros!$B$15,ABS(N(U777))&gt;Parametros!$B$14),"SÍ","")</f>
        <v/>
      </c>
      <c r="Z777" s="3" t="n">
        <f aca="false">COUNTIF(V777:Y777,"SÍ")</f>
        <v>0</v>
      </c>
      <c r="AA777" s="3" t="n">
        <f aca="false">(3*(V777="SÍ")+2*(W777="SÍ")+2*(X777="SÍ")+(Y777="SÍ"))*IF(LEFT(D777,1)="A",3,IF(OR(LEFT(D777,1)="B",D777="SIN HIST"),2,1))</f>
        <v>0</v>
      </c>
      <c r="AB777" s="3" t="str">
        <f aca="false">IF(AA777&gt;=9,"1-ALTA",IF(AA777&gt;=4,"2-MEDIA",IF(AA777&gt;0,"3-BAJA","")))</f>
        <v/>
      </c>
      <c r="AC777" s="3" t="str">
        <f aca="false">IF(E777="BAJO SS","Stock + XLIB bajo el SS: riesgo real de quiebre, adelantar producción. ","")&amp;IF(E777="BAJO SS (XLIB CUBRE)","Disponible bajo el SS; depende de liberar "&amp;TEXT(J777,"#,##0")&amp;" kg"&amp;IF(ISNUMBER(K777)," el "&amp;TEXT(K777,"dd-mm"),"")&amp;". ","")&amp;IF(W777="SÍ","Stock parece sano pero "&amp;TEXT(L777,"#,##0")&amp;" kg no pasan filtro "&amp;Stock_Seguridad!O777&amp;": sin ellos queda bajo el SS para esa cadena. ","")&amp;IF(E777="SOBRE MAX VENDIBLE","Sobrestock vs vida útil: frenar producción/activar venta. ","")&amp;IF(N(N777)&gt;=Parametros!$B$17,TEXT(N777,"#,##0")&amp;" kg ya no los acepta ninguna cadena: venta intermedia/liquidación. ","")&amp;IF(N(M777)&gt;=Parametros!$B$17,TEXT(M777,"#,##0")&amp;" kg a punto de salir del filtro: despachar primero (FEFO). ","")&amp;IF(Y777="SÍ","Pedidos "&amp;IF(N(U777)&gt;0,"sobre","bajo")&amp;" FCST "&amp;TEXT(ABS(N(U777)),"0%")&amp;": revisar forecast con KAM.","")</f>
        <v/>
      </c>
    </row>
    <row r="778" customFormat="false" ht="15" hidden="false" customHeight="false" outlineLevel="0" collapsed="false">
      <c r="A778" s="18" t="n">
        <f aca="false">Stock_Seguridad!A778</f>
        <v>20001974</v>
      </c>
      <c r="B778" s="18" t="str">
        <f aca="false">Stock_Seguridad!B778</f>
        <v>QUESO GAUDA EXP PIEZA 2,5 KG</v>
      </c>
      <c r="C778" s="18" t="str">
        <f aca="false">Stock_Seguridad!C778</f>
        <v>QUESOS</v>
      </c>
      <c r="D778" s="18" t="str">
        <f aca="false">Stock_Seguridad!F778</f>
        <v>SIN HIST</v>
      </c>
      <c r="E778" s="19" t="str">
        <f aca="false">Stock_Seguridad!X778</f>
        <v>SIN FCST</v>
      </c>
      <c r="F778" s="20" t="str">
        <f aca="false">Stock_Seguridad!W778</f>
        <v/>
      </c>
      <c r="G778" s="21" t="n">
        <f aca="false">Stock_Seguridad!T778</f>
        <v>0</v>
      </c>
      <c r="H778" s="21" t="n">
        <f aca="false">Stock_Seguridad!R778</f>
        <v>0</v>
      </c>
      <c r="I778" s="21" t="n">
        <f aca="false">Stock_Seguridad!S778</f>
        <v>0</v>
      </c>
      <c r="J778" s="21" t="n">
        <f aca="false">Stock_Seguridad!U778</f>
        <v>22080</v>
      </c>
      <c r="K778" s="22" t="n">
        <v>46311</v>
      </c>
      <c r="L778" s="23" t="n">
        <v>0</v>
      </c>
      <c r="M778" s="23" t="n">
        <v>0</v>
      </c>
      <c r="N778" s="23" t="n">
        <v>0</v>
      </c>
      <c r="O778" s="24" t="n">
        <v>0.0149184782608696</v>
      </c>
      <c r="P778" s="24" t="str">
        <f aca="false">IF(ISNUMBER(Stock_Seguridad!N778),Stock_Seguridad!N778,"")</f>
        <v/>
      </c>
      <c r="Q778" s="24" t="str">
        <f aca="false">IF(AND(ISNUMBER(O778),ISNUMBER(P778)),P778-O778,"")</f>
        <v/>
      </c>
      <c r="R778" s="23" t="n">
        <f aca="false">MAX(0,G778-N(L778))</f>
        <v>0</v>
      </c>
      <c r="S778" s="23" t="n">
        <f aca="false">SUMIFS(Cadenas_vs_FCST!$D$17:$D$2437,Cadenas_vs_FCST!$A$17:$A$2437,A778)</f>
        <v>0</v>
      </c>
      <c r="T778" s="23" t="n">
        <f aca="false">SUMIFS(Cadenas_vs_FCST!$E$17:$E$2437,Cadenas_vs_FCST!$A$17:$A$2437,A778)</f>
        <v>0</v>
      </c>
      <c r="U778" s="24" t="str">
        <f aca="false">IF(T778&gt;0,S778/T778-1,"")</f>
        <v/>
      </c>
      <c r="V778" s="3" t="str">
        <f aca="false">IF(OR(E778="BAJO SS",E778="BAJO SS (XLIB CUBRE)"),"SÍ","")</f>
        <v/>
      </c>
      <c r="W778" s="3" t="str">
        <f aca="false">IF(AND(V778="",N(L778)&gt;=Parametros!$B$17,G778&gt;=H778,R778&lt;H778),"SÍ","")</f>
        <v/>
      </c>
      <c r="X778" s="3" t="str">
        <f aca="false">IF(OR(E778="SOBRE MAX VENDIBLE",N(N778)&gt;=Parametros!$B$17,N(M778)&gt;=Parametros!$B$17),"SÍ","")</f>
        <v/>
      </c>
      <c r="Y778" s="3" t="str">
        <f aca="false">IF(AND(ISNUMBER(U778),MAX(S778,T778)&gt;=Parametros!$B$15,ABS(N(U778))&gt;Parametros!$B$14),"SÍ","")</f>
        <v/>
      </c>
      <c r="Z778" s="3" t="n">
        <f aca="false">COUNTIF(V778:Y778,"SÍ")</f>
        <v>0</v>
      </c>
      <c r="AA778" s="3" t="n">
        <f aca="false">(3*(V778="SÍ")+2*(W778="SÍ")+2*(X778="SÍ")+(Y778="SÍ"))*IF(LEFT(D778,1)="A",3,IF(OR(LEFT(D778,1)="B",D778="SIN HIST"),2,1))</f>
        <v>0</v>
      </c>
      <c r="AB778" s="3" t="str">
        <f aca="false">IF(AA778&gt;=9,"1-ALTA",IF(AA778&gt;=4,"2-MEDIA",IF(AA778&gt;0,"3-BAJA","")))</f>
        <v/>
      </c>
      <c r="AC778" s="3" t="str">
        <f aca="false">IF(E778="BAJO SS","Stock + XLIB bajo el SS: riesgo real de quiebre, adelantar producción. ","")&amp;IF(E778="BAJO SS (XLIB CUBRE)","Disponible bajo el SS; depende de liberar "&amp;TEXT(J778,"#,##0")&amp;" kg"&amp;IF(ISNUMBER(K778)," el "&amp;TEXT(K778,"dd-mm"),"")&amp;". ","")&amp;IF(W778="SÍ","Stock parece sano pero "&amp;TEXT(L778,"#,##0")&amp;" kg no pasan filtro "&amp;Stock_Seguridad!O778&amp;": sin ellos queda bajo el SS para esa cadena. ","")&amp;IF(E778="SOBRE MAX VENDIBLE","Sobrestock vs vida útil: frenar producción/activar venta. ","")&amp;IF(N(N778)&gt;=Parametros!$B$17,TEXT(N778,"#,##0")&amp;" kg ya no los acepta ninguna cadena: venta intermedia/liquidación. ","")&amp;IF(N(M778)&gt;=Parametros!$B$17,TEXT(M778,"#,##0")&amp;" kg a punto de salir del filtro: despachar primero (FEFO). ","")&amp;IF(Y778="SÍ","Pedidos "&amp;IF(N(U778)&gt;0,"sobre","bajo")&amp;" FCST "&amp;TEXT(ABS(N(U778)),"0%")&amp;": revisar forecast con KAM.","")</f>
        <v/>
      </c>
    </row>
    <row r="779" customFormat="false" ht="15" hidden="false" customHeight="false" outlineLevel="0" collapsed="false">
      <c r="A779" s="18" t="n">
        <f aca="false">Stock_Seguridad!A779</f>
        <v>30000829</v>
      </c>
      <c r="B779" s="18" t="str">
        <f aca="false">Stock_Seguridad!B779</f>
        <v>TOMATE CUBO 10X1KG</v>
      </c>
      <c r="C779" s="18" t="str">
        <f aca="false">Stock_Seguridad!C779</f>
        <v>FRUTAS Y HORTALIZAS CONGELADAS</v>
      </c>
      <c r="D779" s="18" t="str">
        <f aca="false">Stock_Seguridad!F779</f>
        <v>SIN HIST</v>
      </c>
      <c r="E779" s="19" t="str">
        <f aca="false">Stock_Seguridad!X779</f>
        <v>SIN FCST</v>
      </c>
      <c r="F779" s="20" t="str">
        <f aca="false">Stock_Seguridad!W779</f>
        <v/>
      </c>
      <c r="G779" s="21" t="n">
        <f aca="false">Stock_Seguridad!T779</f>
        <v>7870</v>
      </c>
      <c r="H779" s="21" t="n">
        <f aca="false">Stock_Seguridad!R779</f>
        <v>0</v>
      </c>
      <c r="I779" s="21" t="n">
        <f aca="false">Stock_Seguridad!S779</f>
        <v>0</v>
      </c>
      <c r="J779" s="21" t="n">
        <f aca="false">Stock_Seguridad!U779</f>
        <v>0</v>
      </c>
      <c r="K779" s="22"/>
      <c r="L779" s="23" t="n">
        <v>0</v>
      </c>
      <c r="M779" s="23" t="n">
        <v>0</v>
      </c>
      <c r="N779" s="23" t="n">
        <v>0</v>
      </c>
      <c r="O779" s="24" t="n">
        <v>0.460635324015248</v>
      </c>
      <c r="P779" s="24" t="str">
        <f aca="false">IF(ISNUMBER(Stock_Seguridad!N779),Stock_Seguridad!N779,"")</f>
        <v/>
      </c>
      <c r="Q779" s="24" t="str">
        <f aca="false">IF(AND(ISNUMBER(O779),ISNUMBER(P779)),P779-O779,"")</f>
        <v/>
      </c>
      <c r="R779" s="23" t="n">
        <f aca="false">MAX(0,G779-N(L779))</f>
        <v>7870</v>
      </c>
      <c r="S779" s="23" t="n">
        <f aca="false">SUMIFS(Cadenas_vs_FCST!$D$17:$D$2437,Cadenas_vs_FCST!$A$17:$A$2437,A779)</f>
        <v>0</v>
      </c>
      <c r="T779" s="23" t="n">
        <f aca="false">SUMIFS(Cadenas_vs_FCST!$E$17:$E$2437,Cadenas_vs_FCST!$A$17:$A$2437,A779)</f>
        <v>0</v>
      </c>
      <c r="U779" s="24" t="str">
        <f aca="false">IF(T779&gt;0,S779/T779-1,"")</f>
        <v/>
      </c>
      <c r="V779" s="3" t="str">
        <f aca="false">IF(OR(E779="BAJO SS",E779="BAJO SS (XLIB CUBRE)"),"SÍ","")</f>
        <v/>
      </c>
      <c r="W779" s="3" t="str">
        <f aca="false">IF(AND(V779="",N(L779)&gt;=Parametros!$B$17,G779&gt;=H779,R779&lt;H779),"SÍ","")</f>
        <v/>
      </c>
      <c r="X779" s="3" t="str">
        <f aca="false">IF(OR(E779="SOBRE MAX VENDIBLE",N(N779)&gt;=Parametros!$B$17,N(M779)&gt;=Parametros!$B$17),"SÍ","")</f>
        <v/>
      </c>
      <c r="Y779" s="3" t="str">
        <f aca="false">IF(AND(ISNUMBER(U779),MAX(S779,T779)&gt;=Parametros!$B$15,ABS(N(U779))&gt;Parametros!$B$14),"SÍ","")</f>
        <v/>
      </c>
      <c r="Z779" s="3" t="n">
        <f aca="false">COUNTIF(V779:Y779,"SÍ")</f>
        <v>0</v>
      </c>
      <c r="AA779" s="3" t="n">
        <f aca="false">(3*(V779="SÍ")+2*(W779="SÍ")+2*(X779="SÍ")+(Y779="SÍ"))*IF(LEFT(D779,1)="A",3,IF(OR(LEFT(D779,1)="B",D779="SIN HIST"),2,1))</f>
        <v>0</v>
      </c>
      <c r="AB779" s="3" t="str">
        <f aca="false">IF(AA779&gt;=9,"1-ALTA",IF(AA779&gt;=4,"2-MEDIA",IF(AA779&gt;0,"3-BAJA","")))</f>
        <v/>
      </c>
      <c r="AC779" s="3" t="str">
        <f aca="false">IF(E779="BAJO SS","Stock + XLIB bajo el SS: riesgo real de quiebre, adelantar producción. ","")&amp;IF(E779="BAJO SS (XLIB CUBRE)","Disponible bajo el SS; depende de liberar "&amp;TEXT(J779,"#,##0")&amp;" kg"&amp;IF(ISNUMBER(K779)," el "&amp;TEXT(K779,"dd-mm"),"")&amp;". ","")&amp;IF(W779="SÍ","Stock parece sano pero "&amp;TEXT(L779,"#,##0")&amp;" kg no pasan filtro "&amp;Stock_Seguridad!O779&amp;": sin ellos queda bajo el SS para esa cadena. ","")&amp;IF(E779="SOBRE MAX VENDIBLE","Sobrestock vs vida útil: frenar producción/activar venta. ","")&amp;IF(N(N779)&gt;=Parametros!$B$17,TEXT(N779,"#,##0")&amp;" kg ya no los acepta ninguna cadena: venta intermedia/liquidación. ","")&amp;IF(N(M779)&gt;=Parametros!$B$17,TEXT(M779,"#,##0")&amp;" kg a punto de salir del filtro: despachar primero (FEFO). ","")&amp;IF(Y779="SÍ","Pedidos "&amp;IF(N(U779)&gt;0,"sobre","bajo")&amp;" FCST "&amp;TEXT(ABS(N(U779)),"0%")&amp;": revisar forecast con KAM.","")</f>
        <v/>
      </c>
    </row>
    <row r="780" customFormat="false" ht="15" hidden="false" customHeight="false" outlineLevel="0" collapsed="false">
      <c r="A780" s="18" t="n">
        <f aca="false">Stock_Seguridad!A780</f>
        <v>30000849</v>
      </c>
      <c r="B780" s="18" t="str">
        <f aca="false">Stock_Seguridad!B780</f>
        <v>MIX CHOCLO GRANO WATTS 1X16KG</v>
      </c>
      <c r="C780" s="18" t="str">
        <f aca="false">Stock_Seguridad!C780</f>
        <v>FRUTAS Y HORTALIZAS CONGELADAS</v>
      </c>
      <c r="D780" s="18" t="str">
        <f aca="false">Stock_Seguridad!F780</f>
        <v>SIN HIST</v>
      </c>
      <c r="E780" s="19" t="str">
        <f aca="false">Stock_Seguridad!X780</f>
        <v>SIN FCST</v>
      </c>
      <c r="F780" s="20" t="str">
        <f aca="false">Stock_Seguridad!W780</f>
        <v/>
      </c>
      <c r="G780" s="21" t="n">
        <f aca="false">Stock_Seguridad!T780</f>
        <v>2160</v>
      </c>
      <c r="H780" s="21" t="n">
        <f aca="false">Stock_Seguridad!R780</f>
        <v>0</v>
      </c>
      <c r="I780" s="21" t="n">
        <f aca="false">Stock_Seguridad!S780</f>
        <v>0</v>
      </c>
      <c r="J780" s="21" t="n">
        <f aca="false">Stock_Seguridad!U780</f>
        <v>0</v>
      </c>
      <c r="K780" s="22"/>
      <c r="L780" s="23"/>
      <c r="M780" s="23"/>
      <c r="N780" s="23"/>
      <c r="O780" s="24"/>
      <c r="P780" s="24" t="str">
        <f aca="false">IF(ISNUMBER(Stock_Seguridad!N780),Stock_Seguridad!N780,"")</f>
        <v/>
      </c>
      <c r="Q780" s="24" t="str">
        <f aca="false">IF(AND(ISNUMBER(O780),ISNUMBER(P780)),P780-O780,"")</f>
        <v/>
      </c>
      <c r="R780" s="23" t="n">
        <f aca="false">MAX(0,G780-N(L780))</f>
        <v>2160</v>
      </c>
      <c r="S780" s="23" t="n">
        <f aca="false">SUMIFS(Cadenas_vs_FCST!$D$17:$D$2437,Cadenas_vs_FCST!$A$17:$A$2437,A780)</f>
        <v>0</v>
      </c>
      <c r="T780" s="23" t="n">
        <f aca="false">SUMIFS(Cadenas_vs_FCST!$E$17:$E$2437,Cadenas_vs_FCST!$A$17:$A$2437,A780)</f>
        <v>0</v>
      </c>
      <c r="U780" s="24" t="str">
        <f aca="false">IF(T780&gt;0,S780/T780-1,"")</f>
        <v/>
      </c>
      <c r="V780" s="3" t="str">
        <f aca="false">IF(OR(E780="BAJO SS",E780="BAJO SS (XLIB CUBRE)"),"SÍ","")</f>
        <v/>
      </c>
      <c r="W780" s="3" t="str">
        <f aca="false">IF(AND(V780="",N(L780)&gt;=Parametros!$B$17,G780&gt;=H780,R780&lt;H780),"SÍ","")</f>
        <v/>
      </c>
      <c r="X780" s="3" t="str">
        <f aca="false">IF(OR(E780="SOBRE MAX VENDIBLE",N(N780)&gt;=Parametros!$B$17,N(M780)&gt;=Parametros!$B$17),"SÍ","")</f>
        <v/>
      </c>
      <c r="Y780" s="3" t="str">
        <f aca="false">IF(AND(ISNUMBER(U780),MAX(S780,T780)&gt;=Parametros!$B$15,ABS(N(U780))&gt;Parametros!$B$14),"SÍ","")</f>
        <v/>
      </c>
      <c r="Z780" s="3" t="n">
        <f aca="false">COUNTIF(V780:Y780,"SÍ")</f>
        <v>0</v>
      </c>
      <c r="AA780" s="3" t="n">
        <f aca="false">(3*(V780="SÍ")+2*(W780="SÍ")+2*(X780="SÍ")+(Y780="SÍ"))*IF(LEFT(D780,1)="A",3,IF(OR(LEFT(D780,1)="B",D780="SIN HIST"),2,1))</f>
        <v>0</v>
      </c>
      <c r="AB780" s="3" t="str">
        <f aca="false">IF(AA780&gt;=9,"1-ALTA",IF(AA780&gt;=4,"2-MEDIA",IF(AA780&gt;0,"3-BAJA","")))</f>
        <v/>
      </c>
      <c r="AC780" s="3" t="str">
        <f aca="false">IF(E780="BAJO SS","Stock + XLIB bajo el SS: riesgo real de quiebre, adelantar producción. ","")&amp;IF(E780="BAJO SS (XLIB CUBRE)","Disponible bajo el SS; depende de liberar "&amp;TEXT(J780,"#,##0")&amp;" kg"&amp;IF(ISNUMBER(K780)," el "&amp;TEXT(K780,"dd-mm"),"")&amp;". ","")&amp;IF(W780="SÍ","Stock parece sano pero "&amp;TEXT(L780,"#,##0")&amp;" kg no pasan filtro "&amp;Stock_Seguridad!O780&amp;": sin ellos queda bajo el SS para esa cadena. ","")&amp;IF(E780="SOBRE MAX VENDIBLE","Sobrestock vs vida útil: frenar producción/activar venta. ","")&amp;IF(N(N780)&gt;=Parametros!$B$17,TEXT(N780,"#,##0")&amp;" kg ya no los acepta ninguna cadena: venta intermedia/liquidación. ","")&amp;IF(N(M780)&gt;=Parametros!$B$17,TEXT(M780,"#,##0")&amp;" kg a punto de salir del filtro: despachar primero (FEFO). ","")&amp;IF(Y780="SÍ","Pedidos "&amp;IF(N(U780)&gt;0,"sobre","bajo")&amp;" FCST "&amp;TEXT(ABS(N(U780)),"0%")&amp;": revisar forecast con KAM.","")</f>
        <v/>
      </c>
    </row>
    <row r="781" customFormat="false" ht="15" hidden="false" customHeight="false" outlineLevel="0" collapsed="false">
      <c r="A781" s="18" t="n">
        <f aca="false">Stock_Seguridad!A781</f>
        <v>30000837</v>
      </c>
      <c r="B781" s="18" t="str">
        <f aca="false">Stock_Seguridad!B781</f>
        <v>ZAPALLO CUBO WATTS 1X10KG</v>
      </c>
      <c r="C781" s="18" t="str">
        <f aca="false">Stock_Seguridad!C781</f>
        <v>FRUTAS Y HORTALIZAS CONGELADAS</v>
      </c>
      <c r="D781" s="18" t="str">
        <f aca="false">Stock_Seguridad!F781</f>
        <v>SIN HIST</v>
      </c>
      <c r="E781" s="19" t="str">
        <f aca="false">Stock_Seguridad!X781</f>
        <v>SIN FCST</v>
      </c>
      <c r="F781" s="20" t="str">
        <f aca="false">Stock_Seguridad!W781</f>
        <v/>
      </c>
      <c r="G781" s="21" t="n">
        <f aca="false">Stock_Seguridad!T781</f>
        <v>0</v>
      </c>
      <c r="H781" s="21" t="n">
        <f aca="false">Stock_Seguridad!R781</f>
        <v>0</v>
      </c>
      <c r="I781" s="21" t="n">
        <f aca="false">Stock_Seguridad!S781</f>
        <v>0</v>
      </c>
      <c r="J781" s="21" t="n">
        <f aca="false">Stock_Seguridad!U781</f>
        <v>0</v>
      </c>
      <c r="K781" s="22"/>
      <c r="L781" s="23"/>
      <c r="M781" s="23"/>
      <c r="N781" s="23"/>
      <c r="O781" s="24"/>
      <c r="P781" s="24" t="str">
        <f aca="false">IF(ISNUMBER(Stock_Seguridad!N781),Stock_Seguridad!N781,"")</f>
        <v/>
      </c>
      <c r="Q781" s="24" t="str">
        <f aca="false">IF(AND(ISNUMBER(O781),ISNUMBER(P781)),P781-O781,"")</f>
        <v/>
      </c>
      <c r="R781" s="23" t="n">
        <f aca="false">MAX(0,G781-N(L781))</f>
        <v>0</v>
      </c>
      <c r="S781" s="23" t="n">
        <f aca="false">SUMIFS(Cadenas_vs_FCST!$D$17:$D$2437,Cadenas_vs_FCST!$A$17:$A$2437,A781)</f>
        <v>0</v>
      </c>
      <c r="T781" s="23" t="n">
        <f aca="false">SUMIFS(Cadenas_vs_FCST!$E$17:$E$2437,Cadenas_vs_FCST!$A$17:$A$2437,A781)</f>
        <v>0</v>
      </c>
      <c r="U781" s="24" t="str">
        <f aca="false">IF(T781&gt;0,S781/T781-1,"")</f>
        <v/>
      </c>
      <c r="V781" s="3" t="str">
        <f aca="false">IF(OR(E781="BAJO SS",E781="BAJO SS (XLIB CUBRE)"),"SÍ","")</f>
        <v/>
      </c>
      <c r="W781" s="3" t="str">
        <f aca="false">IF(AND(V781="",N(L781)&gt;=Parametros!$B$17,G781&gt;=H781,R781&lt;H781),"SÍ","")</f>
        <v/>
      </c>
      <c r="X781" s="3" t="str">
        <f aca="false">IF(OR(E781="SOBRE MAX VENDIBLE",N(N781)&gt;=Parametros!$B$17,N(M781)&gt;=Parametros!$B$17),"SÍ","")</f>
        <v/>
      </c>
      <c r="Y781" s="3" t="str">
        <f aca="false">IF(AND(ISNUMBER(U781),MAX(S781,T781)&gt;=Parametros!$B$15,ABS(N(U781))&gt;Parametros!$B$14),"SÍ","")</f>
        <v/>
      </c>
      <c r="Z781" s="3" t="n">
        <f aca="false">COUNTIF(V781:Y781,"SÍ")</f>
        <v>0</v>
      </c>
      <c r="AA781" s="3" t="n">
        <f aca="false">(3*(V781="SÍ")+2*(W781="SÍ")+2*(X781="SÍ")+(Y781="SÍ"))*IF(LEFT(D781,1)="A",3,IF(OR(LEFT(D781,1)="B",D781="SIN HIST"),2,1))</f>
        <v>0</v>
      </c>
      <c r="AB781" s="3" t="str">
        <f aca="false">IF(AA781&gt;=9,"1-ALTA",IF(AA781&gt;=4,"2-MEDIA",IF(AA781&gt;0,"3-BAJA","")))</f>
        <v/>
      </c>
      <c r="AC781" s="3" t="str">
        <f aca="false">IF(E781="BAJO SS","Stock + XLIB bajo el SS: riesgo real de quiebre, adelantar producción. ","")&amp;IF(E781="BAJO SS (XLIB CUBRE)","Disponible bajo el SS; depende de liberar "&amp;TEXT(J781,"#,##0")&amp;" kg"&amp;IF(ISNUMBER(K781)," el "&amp;TEXT(K781,"dd-mm"),"")&amp;". ","")&amp;IF(W781="SÍ","Stock parece sano pero "&amp;TEXT(L781,"#,##0")&amp;" kg no pasan filtro "&amp;Stock_Seguridad!O781&amp;": sin ellos queda bajo el SS para esa cadena. ","")&amp;IF(E781="SOBRE MAX VENDIBLE","Sobrestock vs vida útil: frenar producción/activar venta. ","")&amp;IF(N(N781)&gt;=Parametros!$B$17,TEXT(N781,"#,##0")&amp;" kg ya no los acepta ninguna cadena: venta intermedia/liquidación. ","")&amp;IF(N(M781)&gt;=Parametros!$B$17,TEXT(M781,"#,##0")&amp;" kg a punto de salir del filtro: despachar primero (FEFO). ","")&amp;IF(Y781="SÍ","Pedidos "&amp;IF(N(U781)&gt;0,"sobre","bajo")&amp;" FCST "&amp;TEXT(ABS(N(U781)),"0%")&amp;": revisar forecast con KAM.","")</f>
        <v/>
      </c>
    </row>
    <row r="782" customFormat="false" ht="15" hidden="false" customHeight="false" outlineLevel="0" collapsed="false">
      <c r="A782" s="18" t="n">
        <f aca="false">Stock_Seguridad!A782</f>
        <v>30000844</v>
      </c>
      <c r="B782" s="18" t="str">
        <f aca="false">Stock_Seguridad!B782</f>
        <v>ENSALADA PRIMAVERA AGROS 1X18KG</v>
      </c>
      <c r="C782" s="18" t="str">
        <f aca="false">Stock_Seguridad!C782</f>
        <v>FRUTAS Y HORTALIZAS CONGELADAS</v>
      </c>
      <c r="D782" s="18" t="str">
        <f aca="false">Stock_Seguridad!F782</f>
        <v>SIN HIST</v>
      </c>
      <c r="E782" s="19" t="str">
        <f aca="false">Stock_Seguridad!X782</f>
        <v>SIN FCST</v>
      </c>
      <c r="F782" s="20" t="str">
        <f aca="false">Stock_Seguridad!W782</f>
        <v/>
      </c>
      <c r="G782" s="21" t="n">
        <f aca="false">Stock_Seguridad!T782</f>
        <v>13014</v>
      </c>
      <c r="H782" s="21" t="n">
        <f aca="false">Stock_Seguridad!R782</f>
        <v>0</v>
      </c>
      <c r="I782" s="21" t="n">
        <f aca="false">Stock_Seguridad!S782</f>
        <v>0</v>
      </c>
      <c r="J782" s="21" t="n">
        <f aca="false">Stock_Seguridad!U782</f>
        <v>0</v>
      </c>
      <c r="K782" s="22"/>
      <c r="L782" s="23" t="n">
        <v>0</v>
      </c>
      <c r="M782" s="23" t="n">
        <v>0</v>
      </c>
      <c r="N782" s="23" t="n">
        <v>0</v>
      </c>
      <c r="O782" s="24" t="n">
        <v>0.442946058091286</v>
      </c>
      <c r="P782" s="24" t="str">
        <f aca="false">IF(ISNUMBER(Stock_Seguridad!N782),Stock_Seguridad!N782,"")</f>
        <v/>
      </c>
      <c r="Q782" s="24" t="str">
        <f aca="false">IF(AND(ISNUMBER(O782),ISNUMBER(P782)),P782-O782,"")</f>
        <v/>
      </c>
      <c r="R782" s="23" t="n">
        <f aca="false">MAX(0,G782-N(L782))</f>
        <v>13014</v>
      </c>
      <c r="S782" s="23" t="n">
        <f aca="false">SUMIFS(Cadenas_vs_FCST!$D$17:$D$2437,Cadenas_vs_FCST!$A$17:$A$2437,A782)</f>
        <v>0</v>
      </c>
      <c r="T782" s="23" t="n">
        <f aca="false">SUMIFS(Cadenas_vs_FCST!$E$17:$E$2437,Cadenas_vs_FCST!$A$17:$A$2437,A782)</f>
        <v>0</v>
      </c>
      <c r="U782" s="24" t="str">
        <f aca="false">IF(T782&gt;0,S782/T782-1,"")</f>
        <v/>
      </c>
      <c r="V782" s="3" t="str">
        <f aca="false">IF(OR(E782="BAJO SS",E782="BAJO SS (XLIB CUBRE)"),"SÍ","")</f>
        <v/>
      </c>
      <c r="W782" s="3" t="str">
        <f aca="false">IF(AND(V782="",N(L782)&gt;=Parametros!$B$17,G782&gt;=H782,R782&lt;H782),"SÍ","")</f>
        <v/>
      </c>
      <c r="X782" s="3" t="str">
        <f aca="false">IF(OR(E782="SOBRE MAX VENDIBLE",N(N782)&gt;=Parametros!$B$17,N(M782)&gt;=Parametros!$B$17),"SÍ","")</f>
        <v/>
      </c>
      <c r="Y782" s="3" t="str">
        <f aca="false">IF(AND(ISNUMBER(U782),MAX(S782,T782)&gt;=Parametros!$B$15,ABS(N(U782))&gt;Parametros!$B$14),"SÍ","")</f>
        <v/>
      </c>
      <c r="Z782" s="3" t="n">
        <f aca="false">COUNTIF(V782:Y782,"SÍ")</f>
        <v>0</v>
      </c>
      <c r="AA782" s="3" t="n">
        <f aca="false">(3*(V782="SÍ")+2*(W782="SÍ")+2*(X782="SÍ")+(Y782="SÍ"))*IF(LEFT(D782,1)="A",3,IF(OR(LEFT(D782,1)="B",D782="SIN HIST"),2,1))</f>
        <v>0</v>
      </c>
      <c r="AB782" s="3" t="str">
        <f aca="false">IF(AA782&gt;=9,"1-ALTA",IF(AA782&gt;=4,"2-MEDIA",IF(AA782&gt;0,"3-BAJA","")))</f>
        <v/>
      </c>
      <c r="AC782" s="3" t="str">
        <f aca="false">IF(E782="BAJO SS","Stock + XLIB bajo el SS: riesgo real de quiebre, adelantar producción. ","")&amp;IF(E782="BAJO SS (XLIB CUBRE)","Disponible bajo el SS; depende de liberar "&amp;TEXT(J782,"#,##0")&amp;" kg"&amp;IF(ISNUMBER(K782)," el "&amp;TEXT(K782,"dd-mm"),"")&amp;". ","")&amp;IF(W782="SÍ","Stock parece sano pero "&amp;TEXT(L782,"#,##0")&amp;" kg no pasan filtro "&amp;Stock_Seguridad!O782&amp;": sin ellos queda bajo el SS para esa cadena. ","")&amp;IF(E782="SOBRE MAX VENDIBLE","Sobrestock vs vida útil: frenar producción/activar venta. ","")&amp;IF(N(N782)&gt;=Parametros!$B$17,TEXT(N782,"#,##0")&amp;" kg ya no los acepta ninguna cadena: venta intermedia/liquidación. ","")&amp;IF(N(M782)&gt;=Parametros!$B$17,TEXT(M782,"#,##0")&amp;" kg a punto de salir del filtro: despachar primero (FEFO). ","")&amp;IF(Y782="SÍ","Pedidos "&amp;IF(N(U782)&gt;0,"sobre","bajo")&amp;" FCST "&amp;TEXT(ABS(N(U782)),"0%")&amp;": revisar forecast con KAM.","")</f>
        <v/>
      </c>
    </row>
    <row r="783" customFormat="false" ht="15" hidden="false" customHeight="false" outlineLevel="0" collapsed="false">
      <c r="A783" s="18" t="n">
        <f aca="false">Stock_Seguridad!A783</f>
        <v>30002260</v>
      </c>
      <c r="B783" s="18" t="str">
        <f aca="false">Stock_Seguridad!B783</f>
        <v>FRAMBUESA DOBLE COBERTURA AVA 22X120G</v>
      </c>
      <c r="C783" s="18" t="str">
        <f aca="false">Stock_Seguridad!C783</f>
        <v>FRUTAS Y HORTALIZAS CONGELADAS</v>
      </c>
      <c r="D783" s="18" t="str">
        <f aca="false">Stock_Seguridad!F783</f>
        <v>SIN HIST</v>
      </c>
      <c r="E783" s="19" t="str">
        <f aca="false">Stock_Seguridad!X783</f>
        <v>SIN FCST</v>
      </c>
      <c r="F783" s="20" t="str">
        <f aca="false">Stock_Seguridad!W783</f>
        <v/>
      </c>
      <c r="G783" s="21" t="n">
        <f aca="false">Stock_Seguridad!T783</f>
        <v>253.4</v>
      </c>
      <c r="H783" s="21" t="n">
        <f aca="false">Stock_Seguridad!R783</f>
        <v>0</v>
      </c>
      <c r="I783" s="21" t="n">
        <f aca="false">Stock_Seguridad!S783</f>
        <v>0</v>
      </c>
      <c r="J783" s="21" t="n">
        <f aca="false">Stock_Seguridad!U783</f>
        <v>557</v>
      </c>
      <c r="K783" s="22" t="n">
        <v>46317</v>
      </c>
      <c r="L783" s="23" t="n">
        <v>0</v>
      </c>
      <c r="M783" s="23" t="n">
        <v>0</v>
      </c>
      <c r="N783" s="23" t="n">
        <v>0</v>
      </c>
      <c r="O783" s="24" t="n">
        <v>0</v>
      </c>
      <c r="P783" s="24" t="str">
        <f aca="false">IF(ISNUMBER(Stock_Seguridad!N783),Stock_Seguridad!N783,"")</f>
        <v/>
      </c>
      <c r="Q783" s="24" t="str">
        <f aca="false">IF(AND(ISNUMBER(O783),ISNUMBER(P783)),P783-O783,"")</f>
        <v/>
      </c>
      <c r="R783" s="23" t="n">
        <f aca="false">MAX(0,G783-N(L783))</f>
        <v>253.4</v>
      </c>
      <c r="S783" s="23" t="n">
        <f aca="false">SUMIFS(Cadenas_vs_FCST!$D$17:$D$2437,Cadenas_vs_FCST!$A$17:$A$2437,A783)</f>
        <v>0</v>
      </c>
      <c r="T783" s="23" t="n">
        <f aca="false">SUMIFS(Cadenas_vs_FCST!$E$17:$E$2437,Cadenas_vs_FCST!$A$17:$A$2437,A783)</f>
        <v>0</v>
      </c>
      <c r="U783" s="24" t="str">
        <f aca="false">IF(T783&gt;0,S783/T783-1,"")</f>
        <v/>
      </c>
      <c r="V783" s="3" t="str">
        <f aca="false">IF(OR(E783="BAJO SS",E783="BAJO SS (XLIB CUBRE)"),"SÍ","")</f>
        <v/>
      </c>
      <c r="W783" s="3" t="str">
        <f aca="false">IF(AND(V783="",N(L783)&gt;=Parametros!$B$17,G783&gt;=H783,R783&lt;H783),"SÍ","")</f>
        <v/>
      </c>
      <c r="X783" s="3" t="str">
        <f aca="false">IF(OR(E783="SOBRE MAX VENDIBLE",N(N783)&gt;=Parametros!$B$17,N(M783)&gt;=Parametros!$B$17),"SÍ","")</f>
        <v/>
      </c>
      <c r="Y783" s="3" t="str">
        <f aca="false">IF(AND(ISNUMBER(U783),MAX(S783,T783)&gt;=Parametros!$B$15,ABS(N(U783))&gt;Parametros!$B$14),"SÍ","")</f>
        <v/>
      </c>
      <c r="Z783" s="3" t="n">
        <f aca="false">COUNTIF(V783:Y783,"SÍ")</f>
        <v>0</v>
      </c>
      <c r="AA783" s="3" t="n">
        <f aca="false">(3*(V783="SÍ")+2*(W783="SÍ")+2*(X783="SÍ")+(Y783="SÍ"))*IF(LEFT(D783,1)="A",3,IF(OR(LEFT(D783,1)="B",D783="SIN HIST"),2,1))</f>
        <v>0</v>
      </c>
      <c r="AB783" s="3" t="str">
        <f aca="false">IF(AA783&gt;=9,"1-ALTA",IF(AA783&gt;=4,"2-MEDIA",IF(AA783&gt;0,"3-BAJA","")))</f>
        <v/>
      </c>
      <c r="AC783" s="3" t="str">
        <f aca="false">IF(E783="BAJO SS","Stock + XLIB bajo el SS: riesgo real de quiebre, adelantar producción. ","")&amp;IF(E783="BAJO SS (XLIB CUBRE)","Disponible bajo el SS; depende de liberar "&amp;TEXT(J783,"#,##0")&amp;" kg"&amp;IF(ISNUMBER(K783)," el "&amp;TEXT(K783,"dd-mm"),"")&amp;". ","")&amp;IF(W783="SÍ","Stock parece sano pero "&amp;TEXT(L783,"#,##0")&amp;" kg no pasan filtro "&amp;Stock_Seguridad!O783&amp;": sin ellos queda bajo el SS para esa cadena. ","")&amp;IF(E783="SOBRE MAX VENDIBLE","Sobrestock vs vida útil: frenar producción/activar venta. ","")&amp;IF(N(N783)&gt;=Parametros!$B$17,TEXT(N783,"#,##0")&amp;" kg ya no los acepta ninguna cadena: venta intermedia/liquidación. ","")&amp;IF(N(M783)&gt;=Parametros!$B$17,TEXT(M783,"#,##0")&amp;" kg a punto de salir del filtro: despachar primero (FEFO). ","")&amp;IF(Y783="SÍ","Pedidos "&amp;IF(N(U783)&gt;0,"sobre","bajo")&amp;" FCST "&amp;TEXT(ABS(N(U783)),"0%")&amp;": revisar forecast con KAM.","")</f>
        <v/>
      </c>
    </row>
    <row r="784" customFormat="false" ht="15" hidden="false" customHeight="false" outlineLevel="0" collapsed="false">
      <c r="A784" s="18" t="n">
        <f aca="false">Stock_Seguridad!A784</f>
        <v>30000996</v>
      </c>
      <c r="B784" s="18" t="str">
        <f aca="false">Stock_Seguridad!B784</f>
        <v>VERDURAS GRILLADAS LC 24X350GR</v>
      </c>
      <c r="C784" s="18" t="str">
        <f aca="false">Stock_Seguridad!C784</f>
        <v>FRUTAS Y HORTALIZAS CONGELADAS</v>
      </c>
      <c r="D784" s="18" t="str">
        <f aca="false">Stock_Seguridad!F784</f>
        <v>SIN HIST</v>
      </c>
      <c r="E784" s="19" t="str">
        <f aca="false">Stock_Seguridad!X784</f>
        <v>SIN FCST</v>
      </c>
      <c r="F784" s="20" t="str">
        <f aca="false">Stock_Seguridad!W784</f>
        <v/>
      </c>
      <c r="G784" s="21" t="n">
        <f aca="false">Stock_Seguridad!T784</f>
        <v>0</v>
      </c>
      <c r="H784" s="21" t="n">
        <f aca="false">Stock_Seguridad!R784</f>
        <v>0</v>
      </c>
      <c r="I784" s="21" t="n">
        <f aca="false">Stock_Seguridad!S784</f>
        <v>0</v>
      </c>
      <c r="J784" s="21" t="n">
        <f aca="false">Stock_Seguridad!U784</f>
        <v>0</v>
      </c>
      <c r="K784" s="22"/>
      <c r="L784" s="23"/>
      <c r="M784" s="23"/>
      <c r="N784" s="23"/>
      <c r="O784" s="24"/>
      <c r="P784" s="24" t="str">
        <f aca="false">IF(ISNUMBER(Stock_Seguridad!N784),Stock_Seguridad!N784,"")</f>
        <v/>
      </c>
      <c r="Q784" s="24" t="str">
        <f aca="false">IF(AND(ISNUMBER(O784),ISNUMBER(P784)),P784-O784,"")</f>
        <v/>
      </c>
      <c r="R784" s="23" t="n">
        <f aca="false">MAX(0,G784-N(L784))</f>
        <v>0</v>
      </c>
      <c r="S784" s="23" t="n">
        <f aca="false">SUMIFS(Cadenas_vs_FCST!$D$17:$D$2437,Cadenas_vs_FCST!$A$17:$A$2437,A784)</f>
        <v>0</v>
      </c>
      <c r="T784" s="23" t="n">
        <f aca="false">SUMIFS(Cadenas_vs_FCST!$E$17:$E$2437,Cadenas_vs_FCST!$A$17:$A$2437,A784)</f>
        <v>0</v>
      </c>
      <c r="U784" s="24" t="str">
        <f aca="false">IF(T784&gt;0,S784/T784-1,"")</f>
        <v/>
      </c>
      <c r="V784" s="3" t="str">
        <f aca="false">IF(OR(E784="BAJO SS",E784="BAJO SS (XLIB CUBRE)"),"SÍ","")</f>
        <v/>
      </c>
      <c r="W784" s="3" t="str">
        <f aca="false">IF(AND(V784="",N(L784)&gt;=Parametros!$B$17,G784&gt;=H784,R784&lt;H784),"SÍ","")</f>
        <v/>
      </c>
      <c r="X784" s="3" t="str">
        <f aca="false">IF(OR(E784="SOBRE MAX VENDIBLE",N(N784)&gt;=Parametros!$B$17,N(M784)&gt;=Parametros!$B$17),"SÍ","")</f>
        <v/>
      </c>
      <c r="Y784" s="3" t="str">
        <f aca="false">IF(AND(ISNUMBER(U784),MAX(S784,T784)&gt;=Parametros!$B$15,ABS(N(U784))&gt;Parametros!$B$14),"SÍ","")</f>
        <v/>
      </c>
      <c r="Z784" s="3" t="n">
        <f aca="false">COUNTIF(V784:Y784,"SÍ")</f>
        <v>0</v>
      </c>
      <c r="AA784" s="3" t="n">
        <f aca="false">(3*(V784="SÍ")+2*(W784="SÍ")+2*(X784="SÍ")+(Y784="SÍ"))*IF(LEFT(D784,1)="A",3,IF(OR(LEFT(D784,1)="B",D784="SIN HIST"),2,1))</f>
        <v>0</v>
      </c>
      <c r="AB784" s="3" t="str">
        <f aca="false">IF(AA784&gt;=9,"1-ALTA",IF(AA784&gt;=4,"2-MEDIA",IF(AA784&gt;0,"3-BAJA","")))</f>
        <v/>
      </c>
      <c r="AC784" s="3" t="str">
        <f aca="false">IF(E784="BAJO SS","Stock + XLIB bajo el SS: riesgo real de quiebre, adelantar producción. ","")&amp;IF(E784="BAJO SS (XLIB CUBRE)","Disponible bajo el SS; depende de liberar "&amp;TEXT(J784,"#,##0")&amp;" kg"&amp;IF(ISNUMBER(K784)," el "&amp;TEXT(K784,"dd-mm"),"")&amp;". ","")&amp;IF(W784="SÍ","Stock parece sano pero "&amp;TEXT(L784,"#,##0")&amp;" kg no pasan filtro "&amp;Stock_Seguridad!O784&amp;": sin ellos queda bajo el SS para esa cadena. ","")&amp;IF(E784="SOBRE MAX VENDIBLE","Sobrestock vs vida útil: frenar producción/activar venta. ","")&amp;IF(N(N784)&gt;=Parametros!$B$17,TEXT(N784,"#,##0")&amp;" kg ya no los acepta ninguna cadena: venta intermedia/liquidación. ","")&amp;IF(N(M784)&gt;=Parametros!$B$17,TEXT(M784,"#,##0")&amp;" kg a punto de salir del filtro: despachar primero (FEFO). ","")&amp;IF(Y784="SÍ","Pedidos "&amp;IF(N(U784)&gt;0,"sobre","bajo")&amp;" FCST "&amp;TEXT(ABS(N(U784)),"0%")&amp;": revisar forecast con KAM.","")</f>
        <v/>
      </c>
    </row>
    <row r="785" customFormat="false" ht="15" hidden="false" customHeight="false" outlineLevel="0" collapsed="false">
      <c r="A785" s="18" t="n">
        <f aca="false">Stock_Seguridad!A785</f>
        <v>30000520</v>
      </c>
      <c r="B785" s="18" t="str">
        <f aca="false">Stock_Seguridad!B785</f>
        <v>PREPARADO HELADO VAINILLA MCD 2X8,6LT</v>
      </c>
      <c r="C785" s="18" t="str">
        <f aca="false">Stock_Seguridad!C785</f>
        <v>PREPARADOS DE HELADO</v>
      </c>
      <c r="D785" s="18" t="str">
        <f aca="false">Stock_Seguridad!F785</f>
        <v>SIN HIST</v>
      </c>
      <c r="E785" s="19" t="str">
        <f aca="false">Stock_Seguridad!X785</f>
        <v>SIN FCST</v>
      </c>
      <c r="F785" s="20" t="str">
        <f aca="false">Stock_Seguridad!W785</f>
        <v/>
      </c>
      <c r="G785" s="21" t="n">
        <f aca="false">Stock_Seguridad!T785</f>
        <v>96698.4</v>
      </c>
      <c r="H785" s="21" t="n">
        <f aca="false">Stock_Seguridad!R785</f>
        <v>0</v>
      </c>
      <c r="I785" s="21" t="n">
        <f aca="false">Stock_Seguridad!S785</f>
        <v>0</v>
      </c>
      <c r="J785" s="21" t="n">
        <f aca="false">Stock_Seguridad!U785</f>
        <v>4644</v>
      </c>
      <c r="K785" s="22" t="n">
        <v>46317</v>
      </c>
      <c r="L785" s="23" t="n">
        <v>0</v>
      </c>
      <c r="M785" s="23" t="n">
        <v>38235.6</v>
      </c>
      <c r="N785" s="23" t="n">
        <v>0</v>
      </c>
      <c r="O785" s="24" t="n">
        <v>0.0999524779361847</v>
      </c>
      <c r="P785" s="24" t="n">
        <f aca="false">IF(ISNUMBER(Stock_Seguridad!N785),Stock_Seguridad!N785,"")</f>
        <v>0.219512195121951</v>
      </c>
      <c r="Q785" s="24" t="n">
        <f aca="false">IF(AND(ISNUMBER(O785),ISNUMBER(P785)),P785-O785,"")</f>
        <v>0.119559717185767</v>
      </c>
      <c r="R785" s="23" t="n">
        <f aca="false">MAX(0,G785-N(L785))</f>
        <v>96698.4</v>
      </c>
      <c r="S785" s="23" t="n">
        <f aca="false">SUMIFS(Cadenas_vs_FCST!$D$17:$D$2437,Cadenas_vs_FCST!$A$17:$A$2437,A785)</f>
        <v>0</v>
      </c>
      <c r="T785" s="23" t="n">
        <f aca="false">SUMIFS(Cadenas_vs_FCST!$E$17:$E$2437,Cadenas_vs_FCST!$A$17:$A$2437,A785)</f>
        <v>0</v>
      </c>
      <c r="U785" s="24" t="str">
        <f aca="false">IF(T785&gt;0,S785/T785-1,"")</f>
        <v/>
      </c>
      <c r="V785" s="3" t="str">
        <f aca="false">IF(OR(E785="BAJO SS",E785="BAJO SS (XLIB CUBRE)"),"SÍ","")</f>
        <v/>
      </c>
      <c r="W785" s="3" t="str">
        <f aca="false">IF(AND(V785="",N(L785)&gt;=Parametros!$B$17,G785&gt;=H785,R785&lt;H785),"SÍ","")</f>
        <v/>
      </c>
      <c r="X785" s="3" t="str">
        <f aca="false">IF(OR(E785="SOBRE MAX VENDIBLE",N(N785)&gt;=Parametros!$B$17,N(M785)&gt;=Parametros!$B$17),"SÍ","")</f>
        <v>SÍ</v>
      </c>
      <c r="Y785" s="3" t="str">
        <f aca="false">IF(AND(ISNUMBER(U785),MAX(S785,T785)&gt;=Parametros!$B$15,ABS(N(U785))&gt;Parametros!$B$14),"SÍ","")</f>
        <v/>
      </c>
      <c r="Z785" s="3" t="n">
        <f aca="false">COUNTIF(V785:Y785,"SÍ")</f>
        <v>1</v>
      </c>
      <c r="AA785" s="3" t="n">
        <f aca="false">(3*(V785="SÍ")+2*(W785="SÍ")+2*(X785="SÍ")+(Y785="SÍ"))*IF(LEFT(D785,1)="A",3,IF(OR(LEFT(D785,1)="B",D785="SIN HIST"),2,1))</f>
        <v>4</v>
      </c>
      <c r="AB785" s="3" t="str">
        <f aca="false">IF(AA785&gt;=9,"1-ALTA",IF(AA785&gt;=4,"2-MEDIA",IF(AA785&gt;0,"3-BAJA","")))</f>
        <v>2-MEDIA</v>
      </c>
      <c r="AC785" s="3" t="str">
        <f aca="false">IF(E785="BAJO SS","Stock + XLIB bajo el SS: riesgo real de quiebre, adelantar producción. ","")&amp;IF(E785="BAJO SS (XLIB CUBRE)","Disponible bajo el SS; depende de liberar "&amp;TEXT(J785,"#,##0")&amp;" kg"&amp;IF(ISNUMBER(K785)," el "&amp;TEXT(K785,"dd-mm"),"")&amp;". ","")&amp;IF(W785="SÍ","Stock parece sano pero "&amp;TEXT(L785,"#,##0")&amp;" kg no pasan filtro "&amp;Stock_Seguridad!O785&amp;": sin ellos queda bajo el SS para esa cadena. ","")&amp;IF(E785="SOBRE MAX VENDIBLE","Sobrestock vs vida útil: frenar producción/activar venta. ","")&amp;IF(N(N785)&gt;=Parametros!$B$17,TEXT(N785,"#,##0")&amp;" kg ya no los acepta ninguna cadena: venta intermedia/liquidación. ","")&amp;IF(N(M785)&gt;=Parametros!$B$17,TEXT(M785,"#,##0")&amp;" kg a punto de salir del filtro: despachar primero (FEFO). ","")&amp;IF(Y785="SÍ","Pedidos "&amp;IF(N(U785)&gt;0,"sobre","bajo")&amp;" FCST "&amp;TEXT(ABS(N(U785)),"0%")&amp;": revisar forecast con KAM.","")</f>
        <v>38,236 kg a punto de salir del filtro: despachar primero (FEFO). </v>
      </c>
    </row>
    <row r="786" customFormat="false" ht="15" hidden="false" customHeight="false" outlineLevel="0" collapsed="false">
      <c r="A786" s="18" t="n">
        <f aca="false">Stock_Seguridad!A786</f>
        <v>30000521</v>
      </c>
      <c r="B786" s="18" t="str">
        <f aca="false">Stock_Seguridad!B786</f>
        <v>PREPARADO HELADO CHOCOLATE MCD 2X8,6LT</v>
      </c>
      <c r="C786" s="18" t="str">
        <f aca="false">Stock_Seguridad!C786</f>
        <v>PREPARADOS DE HELADO</v>
      </c>
      <c r="D786" s="18" t="str">
        <f aca="false">Stock_Seguridad!F786</f>
        <v>SIN HIST</v>
      </c>
      <c r="E786" s="19" t="str">
        <f aca="false">Stock_Seguridad!X786</f>
        <v>SIN FCST</v>
      </c>
      <c r="F786" s="20" t="str">
        <f aca="false">Stock_Seguridad!W786</f>
        <v/>
      </c>
      <c r="G786" s="21" t="n">
        <f aca="false">Stock_Seguridad!T786</f>
        <v>20382</v>
      </c>
      <c r="H786" s="21" t="n">
        <f aca="false">Stock_Seguridad!R786</f>
        <v>0</v>
      </c>
      <c r="I786" s="21" t="n">
        <f aca="false">Stock_Seguridad!S786</f>
        <v>0</v>
      </c>
      <c r="J786" s="21" t="n">
        <f aca="false">Stock_Seguridad!U786</f>
        <v>0</v>
      </c>
      <c r="K786" s="22"/>
      <c r="L786" s="23" t="n">
        <v>0</v>
      </c>
      <c r="M786" s="23" t="n">
        <v>6002.8</v>
      </c>
      <c r="N786" s="23" t="n">
        <v>0</v>
      </c>
      <c r="O786" s="24" t="n">
        <v>0.0753417721518987</v>
      </c>
      <c r="P786" s="24" t="n">
        <f aca="false">IF(ISNUMBER(Stock_Seguridad!N786),Stock_Seguridad!N786,"")</f>
        <v>0.190217391304348</v>
      </c>
      <c r="Q786" s="24" t="n">
        <f aca="false">IF(AND(ISNUMBER(O786),ISNUMBER(P786)),P786-O786,"")</f>
        <v>0.114875619152449</v>
      </c>
      <c r="R786" s="23" t="n">
        <f aca="false">MAX(0,G786-N(L786))</f>
        <v>20382</v>
      </c>
      <c r="S786" s="23" t="n">
        <f aca="false">SUMIFS(Cadenas_vs_FCST!$D$17:$D$2437,Cadenas_vs_FCST!$A$17:$A$2437,A786)</f>
        <v>0</v>
      </c>
      <c r="T786" s="23" t="n">
        <f aca="false">SUMIFS(Cadenas_vs_FCST!$E$17:$E$2437,Cadenas_vs_FCST!$A$17:$A$2437,A786)</f>
        <v>0</v>
      </c>
      <c r="U786" s="24" t="str">
        <f aca="false">IF(T786&gt;0,S786/T786-1,"")</f>
        <v/>
      </c>
      <c r="V786" s="3" t="str">
        <f aca="false">IF(OR(E786="BAJO SS",E786="BAJO SS (XLIB CUBRE)"),"SÍ","")</f>
        <v/>
      </c>
      <c r="W786" s="3" t="str">
        <f aca="false">IF(AND(V786="",N(L786)&gt;=Parametros!$B$17,G786&gt;=H786,R786&lt;H786),"SÍ","")</f>
        <v/>
      </c>
      <c r="X786" s="3" t="str">
        <f aca="false">IF(OR(E786="SOBRE MAX VENDIBLE",N(N786)&gt;=Parametros!$B$17,N(M786)&gt;=Parametros!$B$17),"SÍ","")</f>
        <v>SÍ</v>
      </c>
      <c r="Y786" s="3" t="str">
        <f aca="false">IF(AND(ISNUMBER(U786),MAX(S786,T786)&gt;=Parametros!$B$15,ABS(N(U786))&gt;Parametros!$B$14),"SÍ","")</f>
        <v/>
      </c>
      <c r="Z786" s="3" t="n">
        <f aca="false">COUNTIF(V786:Y786,"SÍ")</f>
        <v>1</v>
      </c>
      <c r="AA786" s="3" t="n">
        <f aca="false">(3*(V786="SÍ")+2*(W786="SÍ")+2*(X786="SÍ")+(Y786="SÍ"))*IF(LEFT(D786,1)="A",3,IF(OR(LEFT(D786,1)="B",D786="SIN HIST"),2,1))</f>
        <v>4</v>
      </c>
      <c r="AB786" s="3" t="str">
        <f aca="false">IF(AA786&gt;=9,"1-ALTA",IF(AA786&gt;=4,"2-MEDIA",IF(AA786&gt;0,"3-BAJA","")))</f>
        <v>2-MEDIA</v>
      </c>
      <c r="AC786" s="3" t="str">
        <f aca="false">IF(E786="BAJO SS","Stock + XLIB bajo el SS: riesgo real de quiebre, adelantar producción. ","")&amp;IF(E786="BAJO SS (XLIB CUBRE)","Disponible bajo el SS; depende de liberar "&amp;TEXT(J786,"#,##0")&amp;" kg"&amp;IF(ISNUMBER(K786)," el "&amp;TEXT(K786,"dd-mm"),"")&amp;". ","")&amp;IF(W786="SÍ","Stock parece sano pero "&amp;TEXT(L786,"#,##0")&amp;" kg no pasan filtro "&amp;Stock_Seguridad!O786&amp;": sin ellos queda bajo el SS para esa cadena. ","")&amp;IF(E786="SOBRE MAX VENDIBLE","Sobrestock vs vida útil: frenar producción/activar venta. ","")&amp;IF(N(N786)&gt;=Parametros!$B$17,TEXT(N786,"#,##0")&amp;" kg ya no los acepta ninguna cadena: venta intermedia/liquidación. ","")&amp;IF(N(M786)&gt;=Parametros!$B$17,TEXT(M786,"#,##0")&amp;" kg a punto de salir del filtro: despachar primero (FEFO). ","")&amp;IF(Y786="SÍ","Pedidos "&amp;IF(N(U786)&gt;0,"sobre","bajo")&amp;" FCST "&amp;TEXT(ABS(N(U786)),"0%")&amp;": revisar forecast con KAM.","")</f>
        <v>6,003 kg a punto de salir del filtro: despachar primero (FEFO). </v>
      </c>
    </row>
    <row r="787" customFormat="false" ht="15" hidden="false" customHeight="false" outlineLevel="0" collapsed="false">
      <c r="A787" s="18" t="n">
        <f aca="false">Stock_Seguridad!A787</f>
        <v>30000974</v>
      </c>
      <c r="B787" s="18" t="str">
        <f aca="false">Stock_Seguridad!B787</f>
        <v>QUINOA BLANCA LC 1X10KG</v>
      </c>
      <c r="C787" s="18" t="str">
        <f aca="false">Stock_Seguridad!C787</f>
        <v>FRUTAS Y HORTALIZAS CONGELADAS</v>
      </c>
      <c r="D787" s="18" t="str">
        <f aca="false">Stock_Seguridad!F787</f>
        <v>SIN HIST</v>
      </c>
      <c r="E787" s="19" t="str">
        <f aca="false">Stock_Seguridad!X787</f>
        <v>SIN FCST</v>
      </c>
      <c r="F787" s="20" t="str">
        <f aca="false">Stock_Seguridad!W787</f>
        <v/>
      </c>
      <c r="G787" s="21" t="n">
        <f aca="false">Stock_Seguridad!T787</f>
        <v>0</v>
      </c>
      <c r="H787" s="21" t="n">
        <f aca="false">Stock_Seguridad!R787</f>
        <v>0</v>
      </c>
      <c r="I787" s="21" t="n">
        <f aca="false">Stock_Seguridad!S787</f>
        <v>0</v>
      </c>
      <c r="J787" s="21" t="n">
        <f aca="false">Stock_Seguridad!U787</f>
        <v>0</v>
      </c>
      <c r="K787" s="22"/>
      <c r="L787" s="23"/>
      <c r="M787" s="23"/>
      <c r="N787" s="23"/>
      <c r="O787" s="24"/>
      <c r="P787" s="24" t="str">
        <f aca="false">IF(ISNUMBER(Stock_Seguridad!N787),Stock_Seguridad!N787,"")</f>
        <v/>
      </c>
      <c r="Q787" s="24" t="str">
        <f aca="false">IF(AND(ISNUMBER(O787),ISNUMBER(P787)),P787-O787,"")</f>
        <v/>
      </c>
      <c r="R787" s="23" t="n">
        <f aca="false">MAX(0,G787-N(L787))</f>
        <v>0</v>
      </c>
      <c r="S787" s="23" t="n">
        <f aca="false">SUMIFS(Cadenas_vs_FCST!$D$17:$D$2437,Cadenas_vs_FCST!$A$17:$A$2437,A787)</f>
        <v>0</v>
      </c>
      <c r="T787" s="23" t="n">
        <f aca="false">SUMIFS(Cadenas_vs_FCST!$E$17:$E$2437,Cadenas_vs_FCST!$A$17:$A$2437,A787)</f>
        <v>0</v>
      </c>
      <c r="U787" s="24" t="str">
        <f aca="false">IF(T787&gt;0,S787/T787-1,"")</f>
        <v/>
      </c>
      <c r="V787" s="3" t="str">
        <f aca="false">IF(OR(E787="BAJO SS",E787="BAJO SS (XLIB CUBRE)"),"SÍ","")</f>
        <v/>
      </c>
      <c r="W787" s="3" t="str">
        <f aca="false">IF(AND(V787="",N(L787)&gt;=Parametros!$B$17,G787&gt;=H787,R787&lt;H787),"SÍ","")</f>
        <v/>
      </c>
      <c r="X787" s="3" t="str">
        <f aca="false">IF(OR(E787="SOBRE MAX VENDIBLE",N(N787)&gt;=Parametros!$B$17,N(M787)&gt;=Parametros!$B$17),"SÍ","")</f>
        <v/>
      </c>
      <c r="Y787" s="3" t="str">
        <f aca="false">IF(AND(ISNUMBER(U787),MAX(S787,T787)&gt;=Parametros!$B$15,ABS(N(U787))&gt;Parametros!$B$14),"SÍ","")</f>
        <v/>
      </c>
      <c r="Z787" s="3" t="n">
        <f aca="false">COUNTIF(V787:Y787,"SÍ")</f>
        <v>0</v>
      </c>
      <c r="AA787" s="3" t="n">
        <f aca="false">(3*(V787="SÍ")+2*(W787="SÍ")+2*(X787="SÍ")+(Y787="SÍ"))*IF(LEFT(D787,1)="A",3,IF(OR(LEFT(D787,1)="B",D787="SIN HIST"),2,1))</f>
        <v>0</v>
      </c>
      <c r="AB787" s="3" t="str">
        <f aca="false">IF(AA787&gt;=9,"1-ALTA",IF(AA787&gt;=4,"2-MEDIA",IF(AA787&gt;0,"3-BAJA","")))</f>
        <v/>
      </c>
      <c r="AC787" s="3" t="str">
        <f aca="false">IF(E787="BAJO SS","Stock + XLIB bajo el SS: riesgo real de quiebre, adelantar producción. ","")&amp;IF(E787="BAJO SS (XLIB CUBRE)","Disponible bajo el SS; depende de liberar "&amp;TEXT(J787,"#,##0")&amp;" kg"&amp;IF(ISNUMBER(K787)," el "&amp;TEXT(K787,"dd-mm"),"")&amp;". ","")&amp;IF(W787="SÍ","Stock parece sano pero "&amp;TEXT(L787,"#,##0")&amp;" kg no pasan filtro "&amp;Stock_Seguridad!O787&amp;": sin ellos queda bajo el SS para esa cadena. ","")&amp;IF(E787="SOBRE MAX VENDIBLE","Sobrestock vs vida útil: frenar producción/activar venta. ","")&amp;IF(N(N787)&gt;=Parametros!$B$17,TEXT(N787,"#,##0")&amp;" kg ya no los acepta ninguna cadena: venta intermedia/liquidación. ","")&amp;IF(N(M787)&gt;=Parametros!$B$17,TEXT(M787,"#,##0")&amp;" kg a punto de salir del filtro: despachar primero (FEFO). ","")&amp;IF(Y787="SÍ","Pedidos "&amp;IF(N(U787)&gt;0,"sobre","bajo")&amp;" FCST "&amp;TEXT(ABS(N(U787)),"0%")&amp;": revisar forecast con KAM.","")</f>
        <v/>
      </c>
    </row>
    <row r="788" customFormat="false" ht="15" hidden="false" customHeight="false" outlineLevel="0" collapsed="false">
      <c r="A788" s="18" t="n">
        <f aca="false">Stock_Seguridad!A788</f>
        <v>30001150</v>
      </c>
      <c r="B788" s="18" t="str">
        <f aca="false">Stock_Seguridad!B788</f>
        <v>LECHE POLVO CALO CRECER+1 BOLSA 6X1,5KG</v>
      </c>
      <c r="C788" s="18" t="str">
        <f aca="false">Stock_Seguridad!C788</f>
        <v>LECHES EN POLVO</v>
      </c>
      <c r="D788" s="18" t="str">
        <f aca="false">Stock_Seguridad!F788</f>
        <v>CZ</v>
      </c>
      <c r="E788" s="19" t="str">
        <f aca="false">Stock_Seguridad!X788</f>
        <v>SIN FCST</v>
      </c>
      <c r="F788" s="20" t="str">
        <f aca="false">Stock_Seguridad!W788</f>
        <v/>
      </c>
      <c r="G788" s="21" t="n">
        <f aca="false">Stock_Seguridad!T788</f>
        <v>9</v>
      </c>
      <c r="H788" s="21" t="n">
        <f aca="false">Stock_Seguridad!R788</f>
        <v>0</v>
      </c>
      <c r="I788" s="21" t="n">
        <f aca="false">Stock_Seguridad!S788</f>
        <v>0</v>
      </c>
      <c r="J788" s="21" t="n">
        <f aca="false">Stock_Seguridad!U788</f>
        <v>0</v>
      </c>
      <c r="K788" s="22"/>
      <c r="L788" s="23" t="n">
        <v>9</v>
      </c>
      <c r="M788" s="23" t="n">
        <v>0</v>
      </c>
      <c r="N788" s="23" t="n">
        <v>9</v>
      </c>
      <c r="O788" s="24" t="n">
        <v>0.53</v>
      </c>
      <c r="P788" s="24" t="n">
        <f aca="false">IF(ISNUMBER(Stock_Seguridad!N788),Stock_Seguridad!N788,"")</f>
        <v>0.194520547945206</v>
      </c>
      <c r="Q788" s="24" t="n">
        <f aca="false">IF(AND(ISNUMBER(O788),ISNUMBER(P788)),P788-O788,"")</f>
        <v>-0.335479452054795</v>
      </c>
      <c r="R788" s="23" t="n">
        <f aca="false">MAX(0,G788-N(L788))</f>
        <v>0</v>
      </c>
      <c r="S788" s="23" t="n">
        <f aca="false">SUMIFS(Cadenas_vs_FCST!$D$17:$D$2437,Cadenas_vs_FCST!$A$17:$A$2437,A788)</f>
        <v>0</v>
      </c>
      <c r="T788" s="23" t="n">
        <f aca="false">SUMIFS(Cadenas_vs_FCST!$E$17:$E$2437,Cadenas_vs_FCST!$A$17:$A$2437,A788)</f>
        <v>0</v>
      </c>
      <c r="U788" s="24" t="str">
        <f aca="false">IF(T788&gt;0,S788/T788-1,"")</f>
        <v/>
      </c>
      <c r="V788" s="3" t="str">
        <f aca="false">IF(OR(E788="BAJO SS",E788="BAJO SS (XLIB CUBRE)"),"SÍ","")</f>
        <v/>
      </c>
      <c r="W788" s="3" t="str">
        <f aca="false">IF(AND(V788="",N(L788)&gt;=Parametros!$B$17,G788&gt;=H788,R788&lt;H788),"SÍ","")</f>
        <v/>
      </c>
      <c r="X788" s="3" t="str">
        <f aca="false">IF(OR(E788="SOBRE MAX VENDIBLE",N(N788)&gt;=Parametros!$B$17,N(M788)&gt;=Parametros!$B$17),"SÍ","")</f>
        <v/>
      </c>
      <c r="Y788" s="3" t="str">
        <f aca="false">IF(AND(ISNUMBER(U788),MAX(S788,T788)&gt;=Parametros!$B$15,ABS(N(U788))&gt;Parametros!$B$14),"SÍ","")</f>
        <v/>
      </c>
      <c r="Z788" s="3" t="n">
        <f aca="false">COUNTIF(V788:Y788,"SÍ")</f>
        <v>0</v>
      </c>
      <c r="AA788" s="3" t="n">
        <f aca="false">(3*(V788="SÍ")+2*(W788="SÍ")+2*(X788="SÍ")+(Y788="SÍ"))*IF(LEFT(D788,1)="A",3,IF(OR(LEFT(D788,1)="B",D788="SIN HIST"),2,1))</f>
        <v>0</v>
      </c>
      <c r="AB788" s="3" t="str">
        <f aca="false">IF(AA788&gt;=9,"1-ALTA",IF(AA788&gt;=4,"2-MEDIA",IF(AA788&gt;0,"3-BAJA","")))</f>
        <v/>
      </c>
      <c r="AC788" s="3" t="str">
        <f aca="false">IF(E788="BAJO SS","Stock + XLIB bajo el SS: riesgo real de quiebre, adelantar producción. ","")&amp;IF(E788="BAJO SS (XLIB CUBRE)","Disponible bajo el SS; depende de liberar "&amp;TEXT(J788,"#,##0")&amp;" kg"&amp;IF(ISNUMBER(K788)," el "&amp;TEXT(K788,"dd-mm"),"")&amp;". ","")&amp;IF(W788="SÍ","Stock parece sano pero "&amp;TEXT(L788,"#,##0")&amp;" kg no pasan filtro "&amp;Stock_Seguridad!O788&amp;": sin ellos queda bajo el SS para esa cadena. ","")&amp;IF(E788="SOBRE MAX VENDIBLE","Sobrestock vs vida útil: frenar producción/activar venta. ","")&amp;IF(N(N788)&gt;=Parametros!$B$17,TEXT(N788,"#,##0")&amp;" kg ya no los acepta ninguna cadena: venta intermedia/liquidación. ","")&amp;IF(N(M788)&gt;=Parametros!$B$17,TEXT(M788,"#,##0")&amp;" kg a punto de salir del filtro: despachar primero (FEFO). ","")&amp;IF(Y788="SÍ","Pedidos "&amp;IF(N(U788)&gt;0,"sobre","bajo")&amp;" FCST "&amp;TEXT(ABS(N(U788)),"0%")&amp;": revisar forecast con KAM.","")</f>
        <v/>
      </c>
    </row>
    <row r="789" customFormat="false" ht="15" hidden="false" customHeight="false" outlineLevel="0" collapsed="false">
      <c r="A789" s="18" t="n">
        <f aca="false">Stock_Seguridad!A789</f>
        <v>30000743</v>
      </c>
      <c r="B789" s="18" t="str">
        <f aca="false">Stock_Seguridad!B789</f>
        <v>ARVEJAS WATTS 1X16KG</v>
      </c>
      <c r="C789" s="18" t="str">
        <f aca="false">Stock_Seguridad!C789</f>
        <v>FRUTAS Y HORTALIZAS CONGELADAS</v>
      </c>
      <c r="D789" s="18" t="str">
        <f aca="false">Stock_Seguridad!F789</f>
        <v>SIN HIST</v>
      </c>
      <c r="E789" s="19" t="str">
        <f aca="false">Stock_Seguridad!X789</f>
        <v>SIN FCST</v>
      </c>
      <c r="F789" s="20" t="str">
        <f aca="false">Stock_Seguridad!W789</f>
        <v/>
      </c>
      <c r="G789" s="21" t="n">
        <f aca="false">Stock_Seguridad!T789</f>
        <v>3712</v>
      </c>
      <c r="H789" s="21" t="n">
        <f aca="false">Stock_Seguridad!R789</f>
        <v>0</v>
      </c>
      <c r="I789" s="21" t="n">
        <f aca="false">Stock_Seguridad!S789</f>
        <v>0</v>
      </c>
      <c r="J789" s="21" t="n">
        <f aca="false">Stock_Seguridad!U789</f>
        <v>0</v>
      </c>
      <c r="K789" s="22"/>
      <c r="L789" s="23" t="n">
        <v>0</v>
      </c>
      <c r="M789" s="23" t="n">
        <v>0</v>
      </c>
      <c r="N789" s="23" t="n">
        <v>0</v>
      </c>
      <c r="O789" s="24" t="n">
        <v>0.11</v>
      </c>
      <c r="P789" s="24" t="str">
        <f aca="false">IF(ISNUMBER(Stock_Seguridad!N789),Stock_Seguridad!N789,"")</f>
        <v/>
      </c>
      <c r="Q789" s="24" t="str">
        <f aca="false">IF(AND(ISNUMBER(O789),ISNUMBER(P789)),P789-O789,"")</f>
        <v/>
      </c>
      <c r="R789" s="23" t="n">
        <f aca="false">MAX(0,G789-N(L789))</f>
        <v>3712</v>
      </c>
      <c r="S789" s="23" t="n">
        <f aca="false">SUMIFS(Cadenas_vs_FCST!$D$17:$D$2437,Cadenas_vs_FCST!$A$17:$A$2437,A789)</f>
        <v>0</v>
      </c>
      <c r="T789" s="23" t="n">
        <f aca="false">SUMIFS(Cadenas_vs_FCST!$E$17:$E$2437,Cadenas_vs_FCST!$A$17:$A$2437,A789)</f>
        <v>0</v>
      </c>
      <c r="U789" s="24" t="str">
        <f aca="false">IF(T789&gt;0,S789/T789-1,"")</f>
        <v/>
      </c>
      <c r="V789" s="3" t="str">
        <f aca="false">IF(OR(E789="BAJO SS",E789="BAJO SS (XLIB CUBRE)"),"SÍ","")</f>
        <v/>
      </c>
      <c r="W789" s="3" t="str">
        <f aca="false">IF(AND(V789="",N(L789)&gt;=Parametros!$B$17,G789&gt;=H789,R789&lt;H789),"SÍ","")</f>
        <v/>
      </c>
      <c r="X789" s="3" t="str">
        <f aca="false">IF(OR(E789="SOBRE MAX VENDIBLE",N(N789)&gt;=Parametros!$B$17,N(M789)&gt;=Parametros!$B$17),"SÍ","")</f>
        <v/>
      </c>
      <c r="Y789" s="3" t="str">
        <f aca="false">IF(AND(ISNUMBER(U789),MAX(S789,T789)&gt;=Parametros!$B$15,ABS(N(U789))&gt;Parametros!$B$14),"SÍ","")</f>
        <v/>
      </c>
      <c r="Z789" s="3" t="n">
        <f aca="false">COUNTIF(V789:Y789,"SÍ")</f>
        <v>0</v>
      </c>
      <c r="AA789" s="3" t="n">
        <f aca="false">(3*(V789="SÍ")+2*(W789="SÍ")+2*(X789="SÍ")+(Y789="SÍ"))*IF(LEFT(D789,1)="A",3,IF(OR(LEFT(D789,1)="B",D789="SIN HIST"),2,1))</f>
        <v>0</v>
      </c>
      <c r="AB789" s="3" t="str">
        <f aca="false">IF(AA789&gt;=9,"1-ALTA",IF(AA789&gt;=4,"2-MEDIA",IF(AA789&gt;0,"3-BAJA","")))</f>
        <v/>
      </c>
      <c r="AC789" s="3" t="str">
        <f aca="false">IF(E789="BAJO SS","Stock + XLIB bajo el SS: riesgo real de quiebre, adelantar producción. ","")&amp;IF(E789="BAJO SS (XLIB CUBRE)","Disponible bajo el SS; depende de liberar "&amp;TEXT(J789,"#,##0")&amp;" kg"&amp;IF(ISNUMBER(K789)," el "&amp;TEXT(K789,"dd-mm"),"")&amp;". ","")&amp;IF(W789="SÍ","Stock parece sano pero "&amp;TEXT(L789,"#,##0")&amp;" kg no pasan filtro "&amp;Stock_Seguridad!O789&amp;": sin ellos queda bajo el SS para esa cadena. ","")&amp;IF(E789="SOBRE MAX VENDIBLE","Sobrestock vs vida útil: frenar producción/activar venta. ","")&amp;IF(N(N789)&gt;=Parametros!$B$17,TEXT(N789,"#,##0")&amp;" kg ya no los acepta ninguna cadena: venta intermedia/liquidación. ","")&amp;IF(N(M789)&gt;=Parametros!$B$17,TEXT(M789,"#,##0")&amp;" kg a punto de salir del filtro: despachar primero (FEFO). ","")&amp;IF(Y789="SÍ","Pedidos "&amp;IF(N(U789)&gt;0,"sobre","bajo")&amp;" FCST "&amp;TEXT(ABS(N(U789)),"0%")&amp;": revisar forecast con KAM.","")</f>
        <v/>
      </c>
    </row>
    <row r="790" customFormat="false" ht="15" hidden="false" customHeight="false" outlineLevel="0" collapsed="false">
      <c r="A790" s="18" t="n">
        <f aca="false">Stock_Seguridad!A790</f>
        <v>30000744</v>
      </c>
      <c r="B790" s="18" t="str">
        <f aca="false">Stock_Seguridad!B790</f>
        <v>ARVEJAS NESTLE</v>
      </c>
      <c r="C790" s="18" t="str">
        <f aca="false">Stock_Seguridad!C790</f>
        <v>FRUTAS Y HORTALIZAS CONGELADAS</v>
      </c>
      <c r="D790" s="18" t="str">
        <f aca="false">Stock_Seguridad!F790</f>
        <v>SIN HIST</v>
      </c>
      <c r="E790" s="19" t="str">
        <f aca="false">Stock_Seguridad!X790</f>
        <v>SIN FCST</v>
      </c>
      <c r="F790" s="20" t="str">
        <f aca="false">Stock_Seguridad!W790</f>
        <v/>
      </c>
      <c r="G790" s="21" t="n">
        <f aca="false">Stock_Seguridad!T790</f>
        <v>4704</v>
      </c>
      <c r="H790" s="21" t="n">
        <f aca="false">Stock_Seguridad!R790</f>
        <v>0</v>
      </c>
      <c r="I790" s="21" t="n">
        <f aca="false">Stock_Seguridad!S790</f>
        <v>0</v>
      </c>
      <c r="J790" s="21" t="n">
        <f aca="false">Stock_Seguridad!U790</f>
        <v>0</v>
      </c>
      <c r="K790" s="22"/>
      <c r="L790" s="23" t="n">
        <v>0</v>
      </c>
      <c r="M790" s="23" t="n">
        <v>0</v>
      </c>
      <c r="N790" s="23" t="n">
        <v>0</v>
      </c>
      <c r="O790" s="24" t="n">
        <v>0.306190476190476</v>
      </c>
      <c r="P790" s="24" t="str">
        <f aca="false">IF(ISNUMBER(Stock_Seguridad!N790),Stock_Seguridad!N790,"")</f>
        <v/>
      </c>
      <c r="Q790" s="24" t="str">
        <f aca="false">IF(AND(ISNUMBER(O790),ISNUMBER(P790)),P790-O790,"")</f>
        <v/>
      </c>
      <c r="R790" s="23" t="n">
        <f aca="false">MAX(0,G790-N(L790))</f>
        <v>4704</v>
      </c>
      <c r="S790" s="23" t="n">
        <f aca="false">SUMIFS(Cadenas_vs_FCST!$D$17:$D$2437,Cadenas_vs_FCST!$A$17:$A$2437,A790)</f>
        <v>0</v>
      </c>
      <c r="T790" s="23" t="n">
        <f aca="false">SUMIFS(Cadenas_vs_FCST!$E$17:$E$2437,Cadenas_vs_FCST!$A$17:$A$2437,A790)</f>
        <v>0</v>
      </c>
      <c r="U790" s="24" t="str">
        <f aca="false">IF(T790&gt;0,S790/T790-1,"")</f>
        <v/>
      </c>
      <c r="V790" s="3" t="str">
        <f aca="false">IF(OR(E790="BAJO SS",E790="BAJO SS (XLIB CUBRE)"),"SÍ","")</f>
        <v/>
      </c>
      <c r="W790" s="3" t="str">
        <f aca="false">IF(AND(V790="",N(L790)&gt;=Parametros!$B$17,G790&gt;=H790,R790&lt;H790),"SÍ","")</f>
        <v/>
      </c>
      <c r="X790" s="3" t="str">
        <f aca="false">IF(OR(E790="SOBRE MAX VENDIBLE",N(N790)&gt;=Parametros!$B$17,N(M790)&gt;=Parametros!$B$17),"SÍ","")</f>
        <v/>
      </c>
      <c r="Y790" s="3" t="str">
        <f aca="false">IF(AND(ISNUMBER(U790),MAX(S790,T790)&gt;=Parametros!$B$15,ABS(N(U790))&gt;Parametros!$B$14),"SÍ","")</f>
        <v/>
      </c>
      <c r="Z790" s="3" t="n">
        <f aca="false">COUNTIF(V790:Y790,"SÍ")</f>
        <v>0</v>
      </c>
      <c r="AA790" s="3" t="n">
        <f aca="false">(3*(V790="SÍ")+2*(W790="SÍ")+2*(X790="SÍ")+(Y790="SÍ"))*IF(LEFT(D790,1)="A",3,IF(OR(LEFT(D790,1)="B",D790="SIN HIST"),2,1))</f>
        <v>0</v>
      </c>
      <c r="AB790" s="3" t="str">
        <f aca="false">IF(AA790&gt;=9,"1-ALTA",IF(AA790&gt;=4,"2-MEDIA",IF(AA790&gt;0,"3-BAJA","")))</f>
        <v/>
      </c>
      <c r="AC790" s="3" t="str">
        <f aca="false">IF(E790="BAJO SS","Stock + XLIB bajo el SS: riesgo real de quiebre, adelantar producción. ","")&amp;IF(E790="BAJO SS (XLIB CUBRE)","Disponible bajo el SS; depende de liberar "&amp;TEXT(J790,"#,##0")&amp;" kg"&amp;IF(ISNUMBER(K790)," el "&amp;TEXT(K790,"dd-mm"),"")&amp;". ","")&amp;IF(W790="SÍ","Stock parece sano pero "&amp;TEXT(L790,"#,##0")&amp;" kg no pasan filtro "&amp;Stock_Seguridad!O790&amp;": sin ellos queda bajo el SS para esa cadena. ","")&amp;IF(E790="SOBRE MAX VENDIBLE","Sobrestock vs vida útil: frenar producción/activar venta. ","")&amp;IF(N(N790)&gt;=Parametros!$B$17,TEXT(N790,"#,##0")&amp;" kg ya no los acepta ninguna cadena: venta intermedia/liquidación. ","")&amp;IF(N(M790)&gt;=Parametros!$B$17,TEXT(M790,"#,##0")&amp;" kg a punto de salir del filtro: despachar primero (FEFO). ","")&amp;IF(Y790="SÍ","Pedidos "&amp;IF(N(U790)&gt;0,"sobre","bajo")&amp;" FCST "&amp;TEXT(ABS(N(U790)),"0%")&amp;": revisar forecast con KAM.","")</f>
        <v/>
      </c>
    </row>
    <row r="791" customFormat="false" ht="15" hidden="false" customHeight="false" outlineLevel="0" collapsed="false">
      <c r="A791" s="18" t="n">
        <f aca="false">Stock_Seguridad!A791</f>
        <v>30001527</v>
      </c>
      <c r="B791" s="18" t="str">
        <f aca="false">Stock_Seguridad!B791</f>
        <v>SALSA WASIL BOLOGNESA VEGGIE 16X340 TTR</v>
      </c>
      <c r="C791" s="18" t="str">
        <f aca="false">Stock_Seguridad!C791</f>
        <v>SALSAS</v>
      </c>
      <c r="D791" s="18" t="str">
        <f aca="false">Stock_Seguridad!F791</f>
        <v>CY</v>
      </c>
      <c r="E791" s="19" t="str">
        <f aca="false">Stock_Seguridad!X791</f>
        <v>SIN FCST</v>
      </c>
      <c r="F791" s="20" t="str">
        <f aca="false">Stock_Seguridad!W791</f>
        <v/>
      </c>
      <c r="G791" s="21" t="n">
        <f aca="false">Stock_Seguridad!T791</f>
        <v>620.2</v>
      </c>
      <c r="H791" s="21" t="n">
        <f aca="false">Stock_Seguridad!R791</f>
        <v>0</v>
      </c>
      <c r="I791" s="21" t="n">
        <f aca="false">Stock_Seguridad!S791</f>
        <v>0</v>
      </c>
      <c r="J791" s="21" t="n">
        <f aca="false">Stock_Seguridad!U791</f>
        <v>0</v>
      </c>
      <c r="K791" s="22"/>
      <c r="L791" s="23" t="n">
        <v>620.16</v>
      </c>
      <c r="M791" s="23" t="n">
        <v>0</v>
      </c>
      <c r="N791" s="23" t="n">
        <v>0</v>
      </c>
      <c r="O791" s="24" t="n">
        <v>0.421052631578947</v>
      </c>
      <c r="P791" s="24" t="n">
        <f aca="false">IF(ISNUMBER(Stock_Seguridad!N791),Stock_Seguridad!N791,"")</f>
        <v>0.197260273972603</v>
      </c>
      <c r="Q791" s="24" t="n">
        <f aca="false">IF(AND(ISNUMBER(O791),ISNUMBER(P791)),P791-O791,"")</f>
        <v>-0.223792357606345</v>
      </c>
      <c r="R791" s="23" t="n">
        <f aca="false">MAX(0,G791-N(L791))</f>
        <v>0.0400000000000773</v>
      </c>
      <c r="S791" s="23" t="n">
        <f aca="false">SUMIFS(Cadenas_vs_FCST!$D$17:$D$2437,Cadenas_vs_FCST!$A$17:$A$2437,A791)</f>
        <v>859.52</v>
      </c>
      <c r="T791" s="23" t="n">
        <f aca="false">SUMIFS(Cadenas_vs_FCST!$E$17:$E$2437,Cadenas_vs_FCST!$A$17:$A$2437,A791)</f>
        <v>1275</v>
      </c>
      <c r="U791" s="24" t="n">
        <f aca="false">IF(T791&gt;0,S791/T791-1,"")</f>
        <v>-0.325866666666667</v>
      </c>
      <c r="V791" s="3" t="str">
        <f aca="false">IF(OR(E791="BAJO SS",E791="BAJO SS (XLIB CUBRE)"),"SÍ","")</f>
        <v/>
      </c>
      <c r="W791" s="3" t="str">
        <f aca="false">IF(AND(V791="",N(L791)&gt;=Parametros!$B$17,G791&gt;=H791,R791&lt;H791),"SÍ","")</f>
        <v/>
      </c>
      <c r="X791" s="3" t="str">
        <f aca="false">IF(OR(E791="SOBRE MAX VENDIBLE",N(N791)&gt;=Parametros!$B$17,N(M791)&gt;=Parametros!$B$17),"SÍ","")</f>
        <v/>
      </c>
      <c r="Y791" s="3" t="str">
        <f aca="false">IF(AND(ISNUMBER(U791),MAX(S791,T791)&gt;=Parametros!$B$15,ABS(N(U791))&gt;Parametros!$B$14),"SÍ","")</f>
        <v/>
      </c>
      <c r="Z791" s="3" t="n">
        <f aca="false">COUNTIF(V791:Y791,"SÍ")</f>
        <v>0</v>
      </c>
      <c r="AA791" s="3" t="n">
        <f aca="false">(3*(V791="SÍ")+2*(W791="SÍ")+2*(X791="SÍ")+(Y791="SÍ"))*IF(LEFT(D791,1)="A",3,IF(OR(LEFT(D791,1)="B",D791="SIN HIST"),2,1))</f>
        <v>0</v>
      </c>
      <c r="AB791" s="3" t="str">
        <f aca="false">IF(AA791&gt;=9,"1-ALTA",IF(AA791&gt;=4,"2-MEDIA",IF(AA791&gt;0,"3-BAJA","")))</f>
        <v/>
      </c>
      <c r="AC791" s="3" t="str">
        <f aca="false">IF(E791="BAJO SS","Stock + XLIB bajo el SS: riesgo real de quiebre, adelantar producción. ","")&amp;IF(E791="BAJO SS (XLIB CUBRE)","Disponible bajo el SS; depende de liberar "&amp;TEXT(J791,"#,##0")&amp;" kg"&amp;IF(ISNUMBER(K791)," el "&amp;TEXT(K791,"dd-mm"),"")&amp;". ","")&amp;IF(W791="SÍ","Stock parece sano pero "&amp;TEXT(L791,"#,##0")&amp;" kg no pasan filtro "&amp;Stock_Seguridad!O791&amp;": sin ellos queda bajo el SS para esa cadena. ","")&amp;IF(E791="SOBRE MAX VENDIBLE","Sobrestock vs vida útil: frenar producción/activar venta. ","")&amp;IF(N(N791)&gt;=Parametros!$B$17,TEXT(N791,"#,##0")&amp;" kg ya no los acepta ninguna cadena: venta intermedia/liquidación. ","")&amp;IF(N(M791)&gt;=Parametros!$B$17,TEXT(M791,"#,##0")&amp;" kg a punto de salir del filtro: despachar primero (FEFO). ","")&amp;IF(Y791="SÍ","Pedidos "&amp;IF(N(U791)&gt;0,"sobre","bajo")&amp;" FCST "&amp;TEXT(ABS(N(U791)),"0%")&amp;": revisar forecast con KAM.","")</f>
        <v/>
      </c>
    </row>
    <row r="792" customFormat="false" ht="15" hidden="false" customHeight="false" outlineLevel="0" collapsed="false">
      <c r="A792" s="18" t="n">
        <f aca="false">Stock_Seguridad!A792</f>
        <v>30000518</v>
      </c>
      <c r="B792" s="18" t="str">
        <f aca="false">Stock_Seguridad!B792</f>
        <v>SALSA MANJAR CALO 12X1LT</v>
      </c>
      <c r="C792" s="18" t="str">
        <f aca="false">Stock_Seguridad!C792</f>
        <v>TOPPINGS</v>
      </c>
      <c r="D792" s="18" t="str">
        <f aca="false">Stock_Seguridad!F792</f>
        <v>SIN HIST</v>
      </c>
      <c r="E792" s="19" t="str">
        <f aca="false">Stock_Seguridad!X792</f>
        <v>SIN FCST</v>
      </c>
      <c r="F792" s="20" t="str">
        <f aca="false">Stock_Seguridad!W792</f>
        <v/>
      </c>
      <c r="G792" s="21" t="n">
        <f aca="false">Stock_Seguridad!T792</f>
        <v>132</v>
      </c>
      <c r="H792" s="21" t="n">
        <f aca="false">Stock_Seguridad!R792</f>
        <v>0</v>
      </c>
      <c r="I792" s="21" t="n">
        <f aca="false">Stock_Seguridad!S792</f>
        <v>0</v>
      </c>
      <c r="J792" s="21" t="n">
        <f aca="false">Stock_Seguridad!U792</f>
        <v>0</v>
      </c>
      <c r="K792" s="22"/>
      <c r="L792" s="23" t="n">
        <v>0</v>
      </c>
      <c r="M792" s="23" t="n">
        <v>0</v>
      </c>
      <c r="N792" s="23" t="n">
        <v>0</v>
      </c>
      <c r="O792" s="24" t="n">
        <v>0.12</v>
      </c>
      <c r="P792" s="24" t="n">
        <f aca="false">IF(ISNUMBER(Stock_Seguridad!N792),Stock_Seguridad!N792,"")</f>
        <v>0.271739130434783</v>
      </c>
      <c r="Q792" s="24" t="n">
        <f aca="false">IF(AND(ISNUMBER(O792),ISNUMBER(P792)),P792-O792,"")</f>
        <v>0.151739130434783</v>
      </c>
      <c r="R792" s="23" t="n">
        <f aca="false">MAX(0,G792-N(L792))</f>
        <v>132</v>
      </c>
      <c r="S792" s="23" t="n">
        <f aca="false">SUMIFS(Cadenas_vs_FCST!$D$17:$D$2437,Cadenas_vs_FCST!$A$17:$A$2437,A792)</f>
        <v>0</v>
      </c>
      <c r="T792" s="23" t="n">
        <f aca="false">SUMIFS(Cadenas_vs_FCST!$E$17:$E$2437,Cadenas_vs_FCST!$A$17:$A$2437,A792)</f>
        <v>0</v>
      </c>
      <c r="U792" s="24" t="str">
        <f aca="false">IF(T792&gt;0,S792/T792-1,"")</f>
        <v/>
      </c>
      <c r="V792" s="3" t="str">
        <f aca="false">IF(OR(E792="BAJO SS",E792="BAJO SS (XLIB CUBRE)"),"SÍ","")</f>
        <v/>
      </c>
      <c r="W792" s="3" t="str">
        <f aca="false">IF(AND(V792="",N(L792)&gt;=Parametros!$B$17,G792&gt;=H792,R792&lt;H792),"SÍ","")</f>
        <v/>
      </c>
      <c r="X792" s="3" t="str">
        <f aca="false">IF(OR(E792="SOBRE MAX VENDIBLE",N(N792)&gt;=Parametros!$B$17,N(M792)&gt;=Parametros!$B$17),"SÍ","")</f>
        <v/>
      </c>
      <c r="Y792" s="3" t="str">
        <f aca="false">IF(AND(ISNUMBER(U792),MAX(S792,T792)&gt;=Parametros!$B$15,ABS(N(U792))&gt;Parametros!$B$14),"SÍ","")</f>
        <v/>
      </c>
      <c r="Z792" s="3" t="n">
        <f aca="false">COUNTIF(V792:Y792,"SÍ")</f>
        <v>0</v>
      </c>
      <c r="AA792" s="3" t="n">
        <f aca="false">(3*(V792="SÍ")+2*(W792="SÍ")+2*(X792="SÍ")+(Y792="SÍ"))*IF(LEFT(D792,1)="A",3,IF(OR(LEFT(D792,1)="B",D792="SIN HIST"),2,1))</f>
        <v>0</v>
      </c>
      <c r="AB792" s="3" t="str">
        <f aca="false">IF(AA792&gt;=9,"1-ALTA",IF(AA792&gt;=4,"2-MEDIA",IF(AA792&gt;0,"3-BAJA","")))</f>
        <v/>
      </c>
      <c r="AC792" s="3" t="str">
        <f aca="false">IF(E792="BAJO SS","Stock + XLIB bajo el SS: riesgo real de quiebre, adelantar producción. ","")&amp;IF(E792="BAJO SS (XLIB CUBRE)","Disponible bajo el SS; depende de liberar "&amp;TEXT(J792,"#,##0")&amp;" kg"&amp;IF(ISNUMBER(K792)," el "&amp;TEXT(K792,"dd-mm"),"")&amp;". ","")&amp;IF(W792="SÍ","Stock parece sano pero "&amp;TEXT(L792,"#,##0")&amp;" kg no pasan filtro "&amp;Stock_Seguridad!O792&amp;": sin ellos queda bajo el SS para esa cadena. ","")&amp;IF(E792="SOBRE MAX VENDIBLE","Sobrestock vs vida útil: frenar producción/activar venta. ","")&amp;IF(N(N792)&gt;=Parametros!$B$17,TEXT(N792,"#,##0")&amp;" kg ya no los acepta ninguna cadena: venta intermedia/liquidación. ","")&amp;IF(N(M792)&gt;=Parametros!$B$17,TEXT(M792,"#,##0")&amp;" kg a punto de salir del filtro: despachar primero (FEFO). ","")&amp;IF(Y792="SÍ","Pedidos "&amp;IF(N(U792)&gt;0,"sobre","bajo")&amp;" FCST "&amp;TEXT(ABS(N(U792)),"0%")&amp;": revisar forecast con KAM.","")</f>
        <v/>
      </c>
    </row>
    <row r="793" customFormat="false" ht="15" hidden="false" customHeight="false" outlineLevel="0" collapsed="false">
      <c r="A793" s="18" t="n">
        <f aca="false">Stock_Seguridad!A793</f>
        <v>30001526</v>
      </c>
      <c r="B793" s="18" t="str">
        <f aca="false">Stock_Seguridad!B793</f>
        <v>SALSA WASIL POMODORO 16X340GR TTR</v>
      </c>
      <c r="C793" s="18" t="str">
        <f aca="false">Stock_Seguridad!C793</f>
        <v>SALSAS</v>
      </c>
      <c r="D793" s="18" t="str">
        <f aca="false">Stock_Seguridad!F793</f>
        <v>CX</v>
      </c>
      <c r="E793" s="19" t="str">
        <f aca="false">Stock_Seguridad!X793</f>
        <v>SIN FCST</v>
      </c>
      <c r="F793" s="20" t="str">
        <f aca="false">Stock_Seguridad!W793</f>
        <v/>
      </c>
      <c r="G793" s="21" t="n">
        <f aca="false">Stock_Seguridad!T793</f>
        <v>163.2</v>
      </c>
      <c r="H793" s="21" t="n">
        <f aca="false">Stock_Seguridad!R793</f>
        <v>0</v>
      </c>
      <c r="I793" s="21" t="n">
        <f aca="false">Stock_Seguridad!S793</f>
        <v>0</v>
      </c>
      <c r="J793" s="21" t="n">
        <f aca="false">Stock_Seguridad!U793</f>
        <v>0</v>
      </c>
      <c r="K793" s="22"/>
      <c r="L793" s="23" t="n">
        <v>163.2</v>
      </c>
      <c r="M793" s="23" t="n">
        <v>0</v>
      </c>
      <c r="N793" s="23" t="n">
        <v>0</v>
      </c>
      <c r="O793" s="24" t="n">
        <v>0.448</v>
      </c>
      <c r="P793" s="24" t="n">
        <f aca="false">IF(ISNUMBER(Stock_Seguridad!N793),Stock_Seguridad!N793,"")</f>
        <v>0.197260273972603</v>
      </c>
      <c r="Q793" s="24" t="n">
        <f aca="false">IF(AND(ISNUMBER(O793),ISNUMBER(P793)),P793-O793,"")</f>
        <v>-0.250739726027397</v>
      </c>
      <c r="R793" s="23" t="n">
        <f aca="false">MAX(0,G793-N(L793))</f>
        <v>0</v>
      </c>
      <c r="S793" s="23" t="n">
        <f aca="false">SUMIFS(Cadenas_vs_FCST!$D$17:$D$2437,Cadenas_vs_FCST!$A$17:$A$2437,A793)</f>
        <v>5271.36</v>
      </c>
      <c r="T793" s="23" t="n">
        <f aca="false">SUMIFS(Cadenas_vs_FCST!$E$17:$E$2437,Cadenas_vs_FCST!$A$17:$A$2437,A793)</f>
        <v>2225</v>
      </c>
      <c r="U793" s="24" t="n">
        <f aca="false">IF(T793&gt;0,S793/T793-1,"")</f>
        <v>1.36915056179775</v>
      </c>
      <c r="V793" s="3" t="str">
        <f aca="false">IF(OR(E793="BAJO SS",E793="BAJO SS (XLIB CUBRE)"),"SÍ","")</f>
        <v/>
      </c>
      <c r="W793" s="3" t="str">
        <f aca="false">IF(AND(V793="",N(L793)&gt;=Parametros!$B$17,G793&gt;=H793,R793&lt;H793),"SÍ","")</f>
        <v/>
      </c>
      <c r="X793" s="3" t="str">
        <f aca="false">IF(OR(E793="SOBRE MAX VENDIBLE",N(N793)&gt;=Parametros!$B$17,N(M793)&gt;=Parametros!$B$17),"SÍ","")</f>
        <v/>
      </c>
      <c r="Y793" s="3" t="str">
        <f aca="false">IF(AND(ISNUMBER(U793),MAX(S793,T793)&gt;=Parametros!$B$15,ABS(N(U793))&gt;Parametros!$B$14),"SÍ","")</f>
        <v>SÍ</v>
      </c>
      <c r="Z793" s="3" t="n">
        <f aca="false">COUNTIF(V793:Y793,"SÍ")</f>
        <v>1</v>
      </c>
      <c r="AA793" s="3" t="n">
        <f aca="false">(3*(V793="SÍ")+2*(W793="SÍ")+2*(X793="SÍ")+(Y793="SÍ"))*IF(LEFT(D793,1)="A",3,IF(OR(LEFT(D793,1)="B",D793="SIN HIST"),2,1))</f>
        <v>1</v>
      </c>
      <c r="AB793" s="3" t="str">
        <f aca="false">IF(AA793&gt;=9,"1-ALTA",IF(AA793&gt;=4,"2-MEDIA",IF(AA793&gt;0,"3-BAJA","")))</f>
        <v>3-BAJA</v>
      </c>
      <c r="AC793" s="3" t="str">
        <f aca="false">IF(E793="BAJO SS","Stock + XLIB bajo el SS: riesgo real de quiebre, adelantar producción. ","")&amp;IF(E793="BAJO SS (XLIB CUBRE)","Disponible bajo el SS; depende de liberar "&amp;TEXT(J793,"#,##0")&amp;" kg"&amp;IF(ISNUMBER(K793)," el "&amp;TEXT(K793,"dd-mm"),"")&amp;". ","")&amp;IF(W793="SÍ","Stock parece sano pero "&amp;TEXT(L793,"#,##0")&amp;" kg no pasan filtro "&amp;Stock_Seguridad!O793&amp;": sin ellos queda bajo el SS para esa cadena. ","")&amp;IF(E793="SOBRE MAX VENDIBLE","Sobrestock vs vida útil: frenar producción/activar venta. ","")&amp;IF(N(N793)&gt;=Parametros!$B$17,TEXT(N793,"#,##0")&amp;" kg ya no los acepta ninguna cadena: venta intermedia/liquidación. ","")&amp;IF(N(M793)&gt;=Parametros!$B$17,TEXT(M793,"#,##0")&amp;" kg a punto de salir del filtro: despachar primero (FEFO). ","")&amp;IF(Y793="SÍ","Pedidos "&amp;IF(N(U793)&gt;0,"sobre","bajo")&amp;" FCST "&amp;TEXT(ABS(N(U793)),"0%")&amp;": revisar forecast con KAM.","")</f>
        <v>Pedidos sobre FCST 137%: revisar forecast con KAM.</v>
      </c>
    </row>
    <row r="794" customFormat="false" ht="15" hidden="false" customHeight="false" outlineLevel="0" collapsed="false">
      <c r="A794" s="18" t="n">
        <f aca="false">Stock_Seguridad!A794</f>
        <v>30002351</v>
      </c>
      <c r="B794" s="18" t="str">
        <f aca="false">Stock_Seguridad!B794</f>
        <v>QUESO GOUDA PIEZA 6X2,5KG EXP</v>
      </c>
      <c r="C794" s="18" t="str">
        <f aca="false">Stock_Seguridad!C794</f>
        <v>QUESOS</v>
      </c>
      <c r="D794" s="18" t="str">
        <f aca="false">Stock_Seguridad!F794</f>
        <v>SIN HIST</v>
      </c>
      <c r="E794" s="19" t="str">
        <f aca="false">Stock_Seguridad!X794</f>
        <v>SIN FCST</v>
      </c>
      <c r="F794" s="20" t="str">
        <f aca="false">Stock_Seguridad!W794</f>
        <v/>
      </c>
      <c r="G794" s="21" t="n">
        <f aca="false">Stock_Seguridad!T794</f>
        <v>0</v>
      </c>
      <c r="H794" s="21" t="n">
        <f aca="false">Stock_Seguridad!R794</f>
        <v>0</v>
      </c>
      <c r="I794" s="21" t="n">
        <f aca="false">Stock_Seguridad!S794</f>
        <v>0</v>
      </c>
      <c r="J794" s="21" t="n">
        <f aca="false">Stock_Seguridad!U794</f>
        <v>0</v>
      </c>
      <c r="K794" s="22"/>
      <c r="L794" s="23"/>
      <c r="M794" s="23"/>
      <c r="N794" s="23"/>
      <c r="O794" s="24"/>
      <c r="P794" s="24" t="str">
        <f aca="false">IF(ISNUMBER(Stock_Seguridad!N794),Stock_Seguridad!N794,"")</f>
        <v/>
      </c>
      <c r="Q794" s="24" t="str">
        <f aca="false">IF(AND(ISNUMBER(O794),ISNUMBER(P794)),P794-O794,"")</f>
        <v/>
      </c>
      <c r="R794" s="23" t="n">
        <f aca="false">MAX(0,G794-N(L794))</f>
        <v>0</v>
      </c>
      <c r="S794" s="23" t="n">
        <f aca="false">SUMIFS(Cadenas_vs_FCST!$D$17:$D$2437,Cadenas_vs_FCST!$A$17:$A$2437,A794)</f>
        <v>0</v>
      </c>
      <c r="T794" s="23" t="n">
        <f aca="false">SUMIFS(Cadenas_vs_FCST!$E$17:$E$2437,Cadenas_vs_FCST!$A$17:$A$2437,A794)</f>
        <v>0</v>
      </c>
      <c r="U794" s="24" t="str">
        <f aca="false">IF(T794&gt;0,S794/T794-1,"")</f>
        <v/>
      </c>
      <c r="V794" s="3" t="str">
        <f aca="false">IF(OR(E794="BAJO SS",E794="BAJO SS (XLIB CUBRE)"),"SÍ","")</f>
        <v/>
      </c>
      <c r="W794" s="3" t="str">
        <f aca="false">IF(AND(V794="",N(L794)&gt;=Parametros!$B$17,G794&gt;=H794,R794&lt;H794),"SÍ","")</f>
        <v/>
      </c>
      <c r="X794" s="3" t="str">
        <f aca="false">IF(OR(E794="SOBRE MAX VENDIBLE",N(N794)&gt;=Parametros!$B$17,N(M794)&gt;=Parametros!$B$17),"SÍ","")</f>
        <v/>
      </c>
      <c r="Y794" s="3" t="str">
        <f aca="false">IF(AND(ISNUMBER(U794),MAX(S794,T794)&gt;=Parametros!$B$15,ABS(N(U794))&gt;Parametros!$B$14),"SÍ","")</f>
        <v/>
      </c>
      <c r="Z794" s="3" t="n">
        <f aca="false">COUNTIF(V794:Y794,"SÍ")</f>
        <v>0</v>
      </c>
      <c r="AA794" s="3" t="n">
        <f aca="false">(3*(V794="SÍ")+2*(W794="SÍ")+2*(X794="SÍ")+(Y794="SÍ"))*IF(LEFT(D794,1)="A",3,IF(OR(LEFT(D794,1)="B",D794="SIN HIST"),2,1))</f>
        <v>0</v>
      </c>
      <c r="AB794" s="3" t="str">
        <f aca="false">IF(AA794&gt;=9,"1-ALTA",IF(AA794&gt;=4,"2-MEDIA",IF(AA794&gt;0,"3-BAJA","")))</f>
        <v/>
      </c>
      <c r="AC794" s="3" t="str">
        <f aca="false">IF(E794="BAJO SS","Stock + XLIB bajo el SS: riesgo real de quiebre, adelantar producción. ","")&amp;IF(E794="BAJO SS (XLIB CUBRE)","Disponible bajo el SS; depende de liberar "&amp;TEXT(J794,"#,##0")&amp;" kg"&amp;IF(ISNUMBER(K794)," el "&amp;TEXT(K794,"dd-mm"),"")&amp;". ","")&amp;IF(W794="SÍ","Stock parece sano pero "&amp;TEXT(L794,"#,##0")&amp;" kg no pasan filtro "&amp;Stock_Seguridad!O794&amp;": sin ellos queda bajo el SS para esa cadena. ","")&amp;IF(E794="SOBRE MAX VENDIBLE","Sobrestock vs vida útil: frenar producción/activar venta. ","")&amp;IF(N(N794)&gt;=Parametros!$B$17,TEXT(N794,"#,##0")&amp;" kg ya no los acepta ninguna cadena: venta intermedia/liquidación. ","")&amp;IF(N(M794)&gt;=Parametros!$B$17,TEXT(M794,"#,##0")&amp;" kg a punto de salir del filtro: despachar primero (FEFO). ","")&amp;IF(Y794="SÍ","Pedidos "&amp;IF(N(U794)&gt;0,"sobre","bajo")&amp;" FCST "&amp;TEXT(ABS(N(U794)),"0%")&amp;": revisar forecast con KAM.","")</f>
        <v/>
      </c>
    </row>
    <row r="795" customFormat="false" ht="15" hidden="false" customHeight="false" outlineLevel="0" collapsed="false">
      <c r="A795" s="18" t="n">
        <f aca="false">Stock_Seguridad!A795</f>
        <v>30000287</v>
      </c>
      <c r="B795" s="18" t="str">
        <f aca="false">Stock_Seguridad!B795</f>
        <v>VINO TTO 3EST CR 13,5º BOT 12X750ML</v>
      </c>
      <c r="C795" s="18" t="str">
        <f aca="false">Stock_Seguridad!C795</f>
        <v>VINOS</v>
      </c>
      <c r="D795" s="18" t="str">
        <f aca="false">Stock_Seguridad!F795</f>
        <v>SIN HIST</v>
      </c>
      <c r="E795" s="19" t="str">
        <f aca="false">Stock_Seguridad!X795</f>
        <v>SIN FCST</v>
      </c>
      <c r="F795" s="20" t="str">
        <f aca="false">Stock_Seguridad!W795</f>
        <v/>
      </c>
      <c r="G795" s="21" t="n">
        <f aca="false">Stock_Seguridad!T795</f>
        <v>1080</v>
      </c>
      <c r="H795" s="21" t="n">
        <f aca="false">Stock_Seguridad!R795</f>
        <v>0</v>
      </c>
      <c r="I795" s="21" t="n">
        <f aca="false">Stock_Seguridad!S795</f>
        <v>0</v>
      </c>
      <c r="J795" s="21" t="n">
        <f aca="false">Stock_Seguridad!U795</f>
        <v>0</v>
      </c>
      <c r="K795" s="22"/>
      <c r="L795" s="23" t="n">
        <v>0</v>
      </c>
      <c r="M795" s="23" t="n">
        <v>0</v>
      </c>
      <c r="N795" s="23" t="n">
        <v>0</v>
      </c>
      <c r="O795" s="24" t="n">
        <v>0.1685</v>
      </c>
      <c r="P795" s="24" t="str">
        <f aca="false">IF(ISNUMBER(Stock_Seguridad!N795),Stock_Seguridad!N795,"")</f>
        <v/>
      </c>
      <c r="Q795" s="24" t="str">
        <f aca="false">IF(AND(ISNUMBER(O795),ISNUMBER(P795)),P795-O795,"")</f>
        <v/>
      </c>
      <c r="R795" s="23" t="n">
        <f aca="false">MAX(0,G795-N(L795))</f>
        <v>1080</v>
      </c>
      <c r="S795" s="23" t="n">
        <f aca="false">SUMIFS(Cadenas_vs_FCST!$D$17:$D$2437,Cadenas_vs_FCST!$A$17:$A$2437,A795)</f>
        <v>0</v>
      </c>
      <c r="T795" s="23" t="n">
        <f aca="false">SUMIFS(Cadenas_vs_FCST!$E$17:$E$2437,Cadenas_vs_FCST!$A$17:$A$2437,A795)</f>
        <v>0</v>
      </c>
      <c r="U795" s="24" t="str">
        <f aca="false">IF(T795&gt;0,S795/T795-1,"")</f>
        <v/>
      </c>
      <c r="V795" s="3" t="str">
        <f aca="false">IF(OR(E795="BAJO SS",E795="BAJO SS (XLIB CUBRE)"),"SÍ","")</f>
        <v/>
      </c>
      <c r="W795" s="3" t="str">
        <f aca="false">IF(AND(V795="",N(L795)&gt;=Parametros!$B$17,G795&gt;=H795,R795&lt;H795),"SÍ","")</f>
        <v/>
      </c>
      <c r="X795" s="3" t="str">
        <f aca="false">IF(OR(E795="SOBRE MAX VENDIBLE",N(N795)&gt;=Parametros!$B$17,N(M795)&gt;=Parametros!$B$17),"SÍ","")</f>
        <v/>
      </c>
      <c r="Y795" s="3" t="str">
        <f aca="false">IF(AND(ISNUMBER(U795),MAX(S795,T795)&gt;=Parametros!$B$15,ABS(N(U795))&gt;Parametros!$B$14),"SÍ","")</f>
        <v/>
      </c>
      <c r="Z795" s="3" t="n">
        <f aca="false">COUNTIF(V795:Y795,"SÍ")</f>
        <v>0</v>
      </c>
      <c r="AA795" s="3" t="n">
        <f aca="false">(3*(V795="SÍ")+2*(W795="SÍ")+2*(X795="SÍ")+(Y795="SÍ"))*IF(LEFT(D795,1)="A",3,IF(OR(LEFT(D795,1)="B",D795="SIN HIST"),2,1))</f>
        <v>0</v>
      </c>
      <c r="AB795" s="3" t="str">
        <f aca="false">IF(AA795&gt;=9,"1-ALTA",IF(AA795&gt;=4,"2-MEDIA",IF(AA795&gt;0,"3-BAJA","")))</f>
        <v/>
      </c>
      <c r="AC795" s="3" t="str">
        <f aca="false">IF(E795="BAJO SS","Stock + XLIB bajo el SS: riesgo real de quiebre, adelantar producción. ","")&amp;IF(E795="BAJO SS (XLIB CUBRE)","Disponible bajo el SS; depende de liberar "&amp;TEXT(J795,"#,##0")&amp;" kg"&amp;IF(ISNUMBER(K795)," el "&amp;TEXT(K795,"dd-mm"),"")&amp;". ","")&amp;IF(W795="SÍ","Stock parece sano pero "&amp;TEXT(L795,"#,##0")&amp;" kg no pasan filtro "&amp;Stock_Seguridad!O795&amp;": sin ellos queda bajo el SS para esa cadena. ","")&amp;IF(E795="SOBRE MAX VENDIBLE","Sobrestock vs vida útil: frenar producción/activar venta. ","")&amp;IF(N(N795)&gt;=Parametros!$B$17,TEXT(N795,"#,##0")&amp;" kg ya no los acepta ninguna cadena: venta intermedia/liquidación. ","")&amp;IF(N(M795)&gt;=Parametros!$B$17,TEXT(M795,"#,##0")&amp;" kg a punto de salir del filtro: despachar primero (FEFO). ","")&amp;IF(Y795="SÍ","Pedidos "&amp;IF(N(U795)&gt;0,"sobre","bajo")&amp;" FCST "&amp;TEXT(ABS(N(U795)),"0%")&amp;": revisar forecast con KAM.","")</f>
        <v/>
      </c>
    </row>
    <row r="796" customFormat="false" ht="15" hidden="false" customHeight="false" outlineLevel="0" collapsed="false">
      <c r="A796" s="18" t="n">
        <f aca="false">Stock_Seguridad!A796</f>
        <v>30002166</v>
      </c>
      <c r="B796" s="18" t="str">
        <f aca="false">Stock_Seguridad!B796</f>
        <v>QUINOA MIX VERDURAS FDM 10X1KG</v>
      </c>
      <c r="C796" s="18" t="str">
        <f aca="false">Stock_Seguridad!C796</f>
        <v>FRUTAS Y HORTALIZAS CONGELADAS</v>
      </c>
      <c r="D796" s="18" t="str">
        <f aca="false">Stock_Seguridad!F796</f>
        <v>SIN HIST</v>
      </c>
      <c r="E796" s="19" t="str">
        <f aca="false">Stock_Seguridad!X796</f>
        <v>SIN FCST</v>
      </c>
      <c r="F796" s="20" t="str">
        <f aca="false">Stock_Seguridad!W796</f>
        <v/>
      </c>
      <c r="G796" s="21" t="n">
        <f aca="false">Stock_Seguridad!T796</f>
        <v>0</v>
      </c>
      <c r="H796" s="21" t="n">
        <f aca="false">Stock_Seguridad!R796</f>
        <v>0</v>
      </c>
      <c r="I796" s="21" t="n">
        <f aca="false">Stock_Seguridad!S796</f>
        <v>0</v>
      </c>
      <c r="J796" s="21" t="n">
        <f aca="false">Stock_Seguridad!U796</f>
        <v>0</v>
      </c>
      <c r="K796" s="22"/>
      <c r="L796" s="23"/>
      <c r="M796" s="23"/>
      <c r="N796" s="23"/>
      <c r="O796" s="24"/>
      <c r="P796" s="24" t="str">
        <f aca="false">IF(ISNUMBER(Stock_Seguridad!N796),Stock_Seguridad!N796,"")</f>
        <v/>
      </c>
      <c r="Q796" s="24" t="str">
        <f aca="false">IF(AND(ISNUMBER(O796),ISNUMBER(P796)),P796-O796,"")</f>
        <v/>
      </c>
      <c r="R796" s="23" t="n">
        <f aca="false">MAX(0,G796-N(L796))</f>
        <v>0</v>
      </c>
      <c r="S796" s="23" t="n">
        <f aca="false">SUMIFS(Cadenas_vs_FCST!$D$17:$D$2437,Cadenas_vs_FCST!$A$17:$A$2437,A796)</f>
        <v>0</v>
      </c>
      <c r="T796" s="23" t="n">
        <f aca="false">SUMIFS(Cadenas_vs_FCST!$E$17:$E$2437,Cadenas_vs_FCST!$A$17:$A$2437,A796)</f>
        <v>0</v>
      </c>
      <c r="U796" s="24" t="str">
        <f aca="false">IF(T796&gt;0,S796/T796-1,"")</f>
        <v/>
      </c>
      <c r="V796" s="3" t="str">
        <f aca="false">IF(OR(E796="BAJO SS",E796="BAJO SS (XLIB CUBRE)"),"SÍ","")</f>
        <v/>
      </c>
      <c r="W796" s="3" t="str">
        <f aca="false">IF(AND(V796="",N(L796)&gt;=Parametros!$B$17,G796&gt;=H796,R796&lt;H796),"SÍ","")</f>
        <v/>
      </c>
      <c r="X796" s="3" t="str">
        <f aca="false">IF(OR(E796="SOBRE MAX VENDIBLE",N(N796)&gt;=Parametros!$B$17,N(M796)&gt;=Parametros!$B$17),"SÍ","")</f>
        <v/>
      </c>
      <c r="Y796" s="3" t="str">
        <f aca="false">IF(AND(ISNUMBER(U796),MAX(S796,T796)&gt;=Parametros!$B$15,ABS(N(U796))&gt;Parametros!$B$14),"SÍ","")</f>
        <v/>
      </c>
      <c r="Z796" s="3" t="n">
        <f aca="false">COUNTIF(V796:Y796,"SÍ")</f>
        <v>0</v>
      </c>
      <c r="AA796" s="3" t="n">
        <f aca="false">(3*(V796="SÍ")+2*(W796="SÍ")+2*(X796="SÍ")+(Y796="SÍ"))*IF(LEFT(D796,1)="A",3,IF(OR(LEFT(D796,1)="B",D796="SIN HIST"),2,1))</f>
        <v>0</v>
      </c>
      <c r="AB796" s="3" t="str">
        <f aca="false">IF(AA796&gt;=9,"1-ALTA",IF(AA796&gt;=4,"2-MEDIA",IF(AA796&gt;0,"3-BAJA","")))</f>
        <v/>
      </c>
      <c r="AC796" s="3" t="str">
        <f aca="false">IF(E796="BAJO SS","Stock + XLIB bajo el SS: riesgo real de quiebre, adelantar producción. ","")&amp;IF(E796="BAJO SS (XLIB CUBRE)","Disponible bajo el SS; depende de liberar "&amp;TEXT(J796,"#,##0")&amp;" kg"&amp;IF(ISNUMBER(K796)," el "&amp;TEXT(K796,"dd-mm"),"")&amp;". ","")&amp;IF(W796="SÍ","Stock parece sano pero "&amp;TEXT(L796,"#,##0")&amp;" kg no pasan filtro "&amp;Stock_Seguridad!O796&amp;": sin ellos queda bajo el SS para esa cadena. ","")&amp;IF(E796="SOBRE MAX VENDIBLE","Sobrestock vs vida útil: frenar producción/activar venta. ","")&amp;IF(N(N796)&gt;=Parametros!$B$17,TEXT(N796,"#,##0")&amp;" kg ya no los acepta ninguna cadena: venta intermedia/liquidación. ","")&amp;IF(N(M796)&gt;=Parametros!$B$17,TEXT(M796,"#,##0")&amp;" kg a punto de salir del filtro: despachar primero (FEFO). ","")&amp;IF(Y796="SÍ","Pedidos "&amp;IF(N(U796)&gt;0,"sobre","bajo")&amp;" FCST "&amp;TEXT(ABS(N(U796)),"0%")&amp;": revisar forecast con KAM.","")</f>
        <v/>
      </c>
    </row>
    <row r="797" customFormat="false" ht="15" hidden="false" customHeight="false" outlineLevel="0" collapsed="false">
      <c r="A797" s="18" t="n">
        <f aca="false">Stock_Seguridad!A797</f>
        <v>30002225</v>
      </c>
      <c r="B797" s="18" t="str">
        <f aca="false">Stock_Seguridad!B797</f>
        <v>FRAMBUESA DOBLE COBERTURA AVA 2X2,5KG</v>
      </c>
      <c r="C797" s="18" t="str">
        <f aca="false">Stock_Seguridad!C797</f>
        <v>FRUTAS Y HORTALIZAS CONGELADAS</v>
      </c>
      <c r="D797" s="18" t="str">
        <f aca="false">Stock_Seguridad!F797</f>
        <v>SIN HIST</v>
      </c>
      <c r="E797" s="19" t="str">
        <f aca="false">Stock_Seguridad!X797</f>
        <v>SIN FCST</v>
      </c>
      <c r="F797" s="20" t="str">
        <f aca="false">Stock_Seguridad!W797</f>
        <v/>
      </c>
      <c r="G797" s="21" t="n">
        <f aca="false">Stock_Seguridad!T797</f>
        <v>0</v>
      </c>
      <c r="H797" s="21" t="n">
        <f aca="false">Stock_Seguridad!R797</f>
        <v>0</v>
      </c>
      <c r="I797" s="21" t="n">
        <f aca="false">Stock_Seguridad!S797</f>
        <v>0</v>
      </c>
      <c r="J797" s="21" t="n">
        <f aca="false">Stock_Seguridad!U797</f>
        <v>0</v>
      </c>
      <c r="K797" s="22"/>
      <c r="L797" s="23"/>
      <c r="M797" s="23"/>
      <c r="N797" s="23"/>
      <c r="O797" s="24"/>
      <c r="P797" s="24" t="str">
        <f aca="false">IF(ISNUMBER(Stock_Seguridad!N797),Stock_Seguridad!N797,"")</f>
        <v/>
      </c>
      <c r="Q797" s="24" t="str">
        <f aca="false">IF(AND(ISNUMBER(O797),ISNUMBER(P797)),P797-O797,"")</f>
        <v/>
      </c>
      <c r="R797" s="23" t="n">
        <f aca="false">MAX(0,G797-N(L797))</f>
        <v>0</v>
      </c>
      <c r="S797" s="23" t="n">
        <f aca="false">SUMIFS(Cadenas_vs_FCST!$D$17:$D$2437,Cadenas_vs_FCST!$A$17:$A$2437,A797)</f>
        <v>0</v>
      </c>
      <c r="T797" s="23" t="n">
        <f aca="false">SUMIFS(Cadenas_vs_FCST!$E$17:$E$2437,Cadenas_vs_FCST!$A$17:$A$2437,A797)</f>
        <v>0</v>
      </c>
      <c r="U797" s="24" t="str">
        <f aca="false">IF(T797&gt;0,S797/T797-1,"")</f>
        <v/>
      </c>
      <c r="V797" s="3" t="str">
        <f aca="false">IF(OR(E797="BAJO SS",E797="BAJO SS (XLIB CUBRE)"),"SÍ","")</f>
        <v/>
      </c>
      <c r="W797" s="3" t="str">
        <f aca="false">IF(AND(V797="",N(L797)&gt;=Parametros!$B$17,G797&gt;=H797,R797&lt;H797),"SÍ","")</f>
        <v/>
      </c>
      <c r="X797" s="3" t="str">
        <f aca="false">IF(OR(E797="SOBRE MAX VENDIBLE",N(N797)&gt;=Parametros!$B$17,N(M797)&gt;=Parametros!$B$17),"SÍ","")</f>
        <v/>
      </c>
      <c r="Y797" s="3" t="str">
        <f aca="false">IF(AND(ISNUMBER(U797),MAX(S797,T797)&gt;=Parametros!$B$15,ABS(N(U797))&gt;Parametros!$B$14),"SÍ","")</f>
        <v/>
      </c>
      <c r="Z797" s="3" t="n">
        <f aca="false">COUNTIF(V797:Y797,"SÍ")</f>
        <v>0</v>
      </c>
      <c r="AA797" s="3" t="n">
        <f aca="false">(3*(V797="SÍ")+2*(W797="SÍ")+2*(X797="SÍ")+(Y797="SÍ"))*IF(LEFT(D797,1)="A",3,IF(OR(LEFT(D797,1)="B",D797="SIN HIST"),2,1))</f>
        <v>0</v>
      </c>
      <c r="AB797" s="3" t="str">
        <f aca="false">IF(AA797&gt;=9,"1-ALTA",IF(AA797&gt;=4,"2-MEDIA",IF(AA797&gt;0,"3-BAJA","")))</f>
        <v/>
      </c>
      <c r="AC797" s="3" t="str">
        <f aca="false">IF(E797="BAJO SS","Stock + XLIB bajo el SS: riesgo real de quiebre, adelantar producción. ","")&amp;IF(E797="BAJO SS (XLIB CUBRE)","Disponible bajo el SS; depende de liberar "&amp;TEXT(J797,"#,##0")&amp;" kg"&amp;IF(ISNUMBER(K797)," el "&amp;TEXT(K797,"dd-mm"),"")&amp;". ","")&amp;IF(W797="SÍ","Stock parece sano pero "&amp;TEXT(L797,"#,##0")&amp;" kg no pasan filtro "&amp;Stock_Seguridad!O797&amp;": sin ellos queda bajo el SS para esa cadena. ","")&amp;IF(E797="SOBRE MAX VENDIBLE","Sobrestock vs vida útil: frenar producción/activar venta. ","")&amp;IF(N(N797)&gt;=Parametros!$B$17,TEXT(N797,"#,##0")&amp;" kg ya no los acepta ninguna cadena: venta intermedia/liquidación. ","")&amp;IF(N(M797)&gt;=Parametros!$B$17,TEXT(M797,"#,##0")&amp;" kg a punto de salir del filtro: despachar primero (FEFO). ","")&amp;IF(Y797="SÍ","Pedidos "&amp;IF(N(U797)&gt;0,"sobre","bajo")&amp;" FCST "&amp;TEXT(ABS(N(U797)),"0%")&amp;": revisar forecast con KAM.","")</f>
        <v/>
      </c>
    </row>
    <row r="798" customFormat="false" ht="15" hidden="false" customHeight="false" outlineLevel="0" collapsed="false">
      <c r="A798" s="18" t="n">
        <f aca="false">Stock_Seguridad!A798</f>
        <v>30002237</v>
      </c>
      <c r="B798" s="18" t="str">
        <f aca="false">Stock_Seguridad!B798</f>
        <v>ARVEJA CONGELADA 1X13,62KG EXP</v>
      </c>
      <c r="C798" s="18" t="str">
        <f aca="false">Stock_Seguridad!C798</f>
        <v>FRUTAS Y HORTALIZAS CONGELADAS</v>
      </c>
      <c r="D798" s="18" t="str">
        <f aca="false">Stock_Seguridad!F798</f>
        <v>SIN HIST</v>
      </c>
      <c r="E798" s="19" t="str">
        <f aca="false">Stock_Seguridad!X798</f>
        <v>SIN FCST</v>
      </c>
      <c r="F798" s="20" t="str">
        <f aca="false">Stock_Seguridad!W798</f>
        <v/>
      </c>
      <c r="G798" s="21" t="n">
        <f aca="false">Stock_Seguridad!T798</f>
        <v>2846.6</v>
      </c>
      <c r="H798" s="21" t="n">
        <f aca="false">Stock_Seguridad!R798</f>
        <v>0</v>
      </c>
      <c r="I798" s="21" t="n">
        <f aca="false">Stock_Seguridad!S798</f>
        <v>0</v>
      </c>
      <c r="J798" s="21" t="n">
        <f aca="false">Stock_Seguridad!U798</f>
        <v>0</v>
      </c>
      <c r="K798" s="22"/>
      <c r="L798" s="23" t="n">
        <v>0</v>
      </c>
      <c r="M798" s="23" t="n">
        <v>0</v>
      </c>
      <c r="N798" s="23" t="n">
        <v>0</v>
      </c>
      <c r="O798" s="24" t="n">
        <v>0.283636363636364</v>
      </c>
      <c r="P798" s="24" t="str">
        <f aca="false">IF(ISNUMBER(Stock_Seguridad!N798),Stock_Seguridad!N798,"")</f>
        <v/>
      </c>
      <c r="Q798" s="24" t="str">
        <f aca="false">IF(AND(ISNUMBER(O798),ISNUMBER(P798)),P798-O798,"")</f>
        <v/>
      </c>
      <c r="R798" s="23" t="n">
        <f aca="false">MAX(0,G798-N(L798))</f>
        <v>2846.6</v>
      </c>
      <c r="S798" s="23" t="n">
        <f aca="false">SUMIFS(Cadenas_vs_FCST!$D$17:$D$2437,Cadenas_vs_FCST!$A$17:$A$2437,A798)</f>
        <v>0</v>
      </c>
      <c r="T798" s="23" t="n">
        <f aca="false">SUMIFS(Cadenas_vs_FCST!$E$17:$E$2437,Cadenas_vs_FCST!$A$17:$A$2437,A798)</f>
        <v>0</v>
      </c>
      <c r="U798" s="24" t="str">
        <f aca="false">IF(T798&gt;0,S798/T798-1,"")</f>
        <v/>
      </c>
      <c r="V798" s="3" t="str">
        <f aca="false">IF(OR(E798="BAJO SS",E798="BAJO SS (XLIB CUBRE)"),"SÍ","")</f>
        <v/>
      </c>
      <c r="W798" s="3" t="str">
        <f aca="false">IF(AND(V798="",N(L798)&gt;=Parametros!$B$17,G798&gt;=H798,R798&lt;H798),"SÍ","")</f>
        <v/>
      </c>
      <c r="X798" s="3" t="str">
        <f aca="false">IF(OR(E798="SOBRE MAX VENDIBLE",N(N798)&gt;=Parametros!$B$17,N(M798)&gt;=Parametros!$B$17),"SÍ","")</f>
        <v/>
      </c>
      <c r="Y798" s="3" t="str">
        <f aca="false">IF(AND(ISNUMBER(U798),MAX(S798,T798)&gt;=Parametros!$B$15,ABS(N(U798))&gt;Parametros!$B$14),"SÍ","")</f>
        <v/>
      </c>
      <c r="Z798" s="3" t="n">
        <f aca="false">COUNTIF(V798:Y798,"SÍ")</f>
        <v>0</v>
      </c>
      <c r="AA798" s="3" t="n">
        <f aca="false">(3*(V798="SÍ")+2*(W798="SÍ")+2*(X798="SÍ")+(Y798="SÍ"))*IF(LEFT(D798,1)="A",3,IF(OR(LEFT(D798,1)="B",D798="SIN HIST"),2,1))</f>
        <v>0</v>
      </c>
      <c r="AB798" s="3" t="str">
        <f aca="false">IF(AA798&gt;=9,"1-ALTA",IF(AA798&gt;=4,"2-MEDIA",IF(AA798&gt;0,"3-BAJA","")))</f>
        <v/>
      </c>
      <c r="AC798" s="3" t="str">
        <f aca="false">IF(E798="BAJO SS","Stock + XLIB bajo el SS: riesgo real de quiebre, adelantar producción. ","")&amp;IF(E798="BAJO SS (XLIB CUBRE)","Disponible bajo el SS; depende de liberar "&amp;TEXT(J798,"#,##0")&amp;" kg"&amp;IF(ISNUMBER(K798)," el "&amp;TEXT(K798,"dd-mm"),"")&amp;". ","")&amp;IF(W798="SÍ","Stock parece sano pero "&amp;TEXT(L798,"#,##0")&amp;" kg no pasan filtro "&amp;Stock_Seguridad!O798&amp;": sin ellos queda bajo el SS para esa cadena. ","")&amp;IF(E798="SOBRE MAX VENDIBLE","Sobrestock vs vida útil: frenar producción/activar venta. ","")&amp;IF(N(N798)&gt;=Parametros!$B$17,TEXT(N798,"#,##0")&amp;" kg ya no los acepta ninguna cadena: venta intermedia/liquidación. ","")&amp;IF(N(M798)&gt;=Parametros!$B$17,TEXT(M798,"#,##0")&amp;" kg a punto de salir del filtro: despachar primero (FEFO). ","")&amp;IF(Y798="SÍ","Pedidos "&amp;IF(N(U798)&gt;0,"sobre","bajo")&amp;" FCST "&amp;TEXT(ABS(N(U798)),"0%")&amp;": revisar forecast con KAM.","")</f>
        <v/>
      </c>
    </row>
    <row r="799" customFormat="false" ht="15" hidden="false" customHeight="false" outlineLevel="0" collapsed="false">
      <c r="A799" s="18" t="n">
        <f aca="false">Stock_Seguridad!A799</f>
        <v>30000129</v>
      </c>
      <c r="B799" s="18" t="str">
        <f aca="false">Stock_Seguridad!B799</f>
        <v>MANTECA CRUCINA SABOR PLUS 1X20KG</v>
      </c>
      <c r="C799" s="18" t="str">
        <f aca="false">Stock_Seguridad!C799</f>
        <v>MANTECAS</v>
      </c>
      <c r="D799" s="18" t="str">
        <f aca="false">Stock_Seguridad!F799</f>
        <v>SIN HIST</v>
      </c>
      <c r="E799" s="19" t="str">
        <f aca="false">Stock_Seguridad!X799</f>
        <v>SIN FCST</v>
      </c>
      <c r="F799" s="20" t="str">
        <f aca="false">Stock_Seguridad!W799</f>
        <v/>
      </c>
      <c r="G799" s="21" t="n">
        <f aca="false">Stock_Seguridad!T799</f>
        <v>10160</v>
      </c>
      <c r="H799" s="21" t="n">
        <f aca="false">Stock_Seguridad!R799</f>
        <v>0</v>
      </c>
      <c r="I799" s="21" t="n">
        <f aca="false">Stock_Seguridad!S799</f>
        <v>0</v>
      </c>
      <c r="J799" s="21" t="n">
        <f aca="false">Stock_Seguridad!U799</f>
        <v>0</v>
      </c>
      <c r="K799" s="22"/>
      <c r="L799" s="23" t="n">
        <v>0</v>
      </c>
      <c r="M799" s="23" t="n">
        <v>10160</v>
      </c>
      <c r="N799" s="23" t="n">
        <v>0</v>
      </c>
      <c r="O799" s="24" t="n">
        <v>0.22</v>
      </c>
      <c r="P799" s="24" t="n">
        <f aca="false">IF(ISNUMBER(Stock_Seguridad!N799),Stock_Seguridad!N799,"")</f>
        <v>0.220408163265306</v>
      </c>
      <c r="Q799" s="24" t="n">
        <f aca="false">IF(AND(ISNUMBER(O799),ISNUMBER(P799)),P799-O799,"")</f>
        <v>0.0004081632653061</v>
      </c>
      <c r="R799" s="23" t="n">
        <f aca="false">MAX(0,G799-N(L799))</f>
        <v>10160</v>
      </c>
      <c r="S799" s="23" t="n">
        <f aca="false">SUMIFS(Cadenas_vs_FCST!$D$17:$D$2437,Cadenas_vs_FCST!$A$17:$A$2437,A799)</f>
        <v>0</v>
      </c>
      <c r="T799" s="23" t="n">
        <f aca="false">SUMIFS(Cadenas_vs_FCST!$E$17:$E$2437,Cadenas_vs_FCST!$A$17:$A$2437,A799)</f>
        <v>0</v>
      </c>
      <c r="U799" s="24" t="str">
        <f aca="false">IF(T799&gt;0,S799/T799-1,"")</f>
        <v/>
      </c>
      <c r="V799" s="3" t="str">
        <f aca="false">IF(OR(E799="BAJO SS",E799="BAJO SS (XLIB CUBRE)"),"SÍ","")</f>
        <v/>
      </c>
      <c r="W799" s="3" t="str">
        <f aca="false">IF(AND(V799="",N(L799)&gt;=Parametros!$B$17,G799&gt;=H799,R799&lt;H799),"SÍ","")</f>
        <v/>
      </c>
      <c r="X799" s="3" t="str">
        <f aca="false">IF(OR(E799="SOBRE MAX VENDIBLE",N(N799)&gt;=Parametros!$B$17,N(M799)&gt;=Parametros!$B$17),"SÍ","")</f>
        <v>SÍ</v>
      </c>
      <c r="Y799" s="3" t="str">
        <f aca="false">IF(AND(ISNUMBER(U799),MAX(S799,T799)&gt;=Parametros!$B$15,ABS(N(U799))&gt;Parametros!$B$14),"SÍ","")</f>
        <v/>
      </c>
      <c r="Z799" s="3" t="n">
        <f aca="false">COUNTIF(V799:Y799,"SÍ")</f>
        <v>1</v>
      </c>
      <c r="AA799" s="3" t="n">
        <f aca="false">(3*(V799="SÍ")+2*(W799="SÍ")+2*(X799="SÍ")+(Y799="SÍ"))*IF(LEFT(D799,1)="A",3,IF(OR(LEFT(D799,1)="B",D799="SIN HIST"),2,1))</f>
        <v>4</v>
      </c>
      <c r="AB799" s="3" t="str">
        <f aca="false">IF(AA799&gt;=9,"1-ALTA",IF(AA799&gt;=4,"2-MEDIA",IF(AA799&gt;0,"3-BAJA","")))</f>
        <v>2-MEDIA</v>
      </c>
      <c r="AC799" s="3" t="str">
        <f aca="false">IF(E799="BAJO SS","Stock + XLIB bajo el SS: riesgo real de quiebre, adelantar producción. ","")&amp;IF(E799="BAJO SS (XLIB CUBRE)","Disponible bajo el SS; depende de liberar "&amp;TEXT(J799,"#,##0")&amp;" kg"&amp;IF(ISNUMBER(K799)," el "&amp;TEXT(K799,"dd-mm"),"")&amp;". ","")&amp;IF(W799="SÍ","Stock parece sano pero "&amp;TEXT(L799,"#,##0")&amp;" kg no pasan filtro "&amp;Stock_Seguridad!O799&amp;": sin ellos queda bajo el SS para esa cadena. ","")&amp;IF(E799="SOBRE MAX VENDIBLE","Sobrestock vs vida útil: frenar producción/activar venta. ","")&amp;IF(N(N799)&gt;=Parametros!$B$17,TEXT(N799,"#,##0")&amp;" kg ya no los acepta ninguna cadena: venta intermedia/liquidación. ","")&amp;IF(N(M799)&gt;=Parametros!$B$17,TEXT(M799,"#,##0")&amp;" kg a punto de salir del filtro: despachar primero (FEFO). ","")&amp;IF(Y799="SÍ","Pedidos "&amp;IF(N(U799)&gt;0,"sobre","bajo")&amp;" FCST "&amp;TEXT(ABS(N(U799)),"0%")&amp;": revisar forecast con KAM.","")</f>
        <v>10,160 kg a punto de salir del filtro: despachar primero (FEFO). </v>
      </c>
    </row>
    <row r="800" customFormat="false" ht="15" hidden="false" customHeight="false" outlineLevel="0" collapsed="false">
      <c r="A800" s="18" t="n">
        <f aca="false">Stock_Seguridad!A800</f>
        <v>30002121</v>
      </c>
      <c r="B800" s="18" t="str">
        <f aca="false">Stock_Seguridad!B800</f>
        <v>FRAMBUESA COBERT CHOCO CHOCO AVA 22X150G</v>
      </c>
      <c r="C800" s="18" t="str">
        <f aca="false">Stock_Seguridad!C800</f>
        <v>FRUTAS Y HORTALIZAS CONGELADAS</v>
      </c>
      <c r="D800" s="18" t="str">
        <f aca="false">Stock_Seguridad!F800</f>
        <v>SIN HIST</v>
      </c>
      <c r="E800" s="19" t="str">
        <f aca="false">Stock_Seguridad!X800</f>
        <v>SIN FCST</v>
      </c>
      <c r="F800" s="20" t="str">
        <f aca="false">Stock_Seguridad!W800</f>
        <v/>
      </c>
      <c r="G800" s="21" t="n">
        <f aca="false">Stock_Seguridad!T800</f>
        <v>1056</v>
      </c>
      <c r="H800" s="21" t="n">
        <f aca="false">Stock_Seguridad!R800</f>
        <v>0</v>
      </c>
      <c r="I800" s="21" t="n">
        <f aca="false">Stock_Seguridad!S800</f>
        <v>0</v>
      </c>
      <c r="J800" s="21" t="n">
        <f aca="false">Stock_Seguridad!U800</f>
        <v>0</v>
      </c>
      <c r="K800" s="22"/>
      <c r="L800" s="23" t="n">
        <v>0</v>
      </c>
      <c r="M800" s="23" t="n">
        <v>0</v>
      </c>
      <c r="N800" s="23" t="n">
        <v>0</v>
      </c>
      <c r="O800" s="24" t="n">
        <v>0.20521875</v>
      </c>
      <c r="P800" s="24" t="str">
        <f aca="false">IF(ISNUMBER(Stock_Seguridad!N800),Stock_Seguridad!N800,"")</f>
        <v/>
      </c>
      <c r="Q800" s="24" t="str">
        <f aca="false">IF(AND(ISNUMBER(O800),ISNUMBER(P800)),P800-O800,"")</f>
        <v/>
      </c>
      <c r="R800" s="23" t="n">
        <f aca="false">MAX(0,G800-N(L800))</f>
        <v>1056</v>
      </c>
      <c r="S800" s="23" t="n">
        <f aca="false">SUMIFS(Cadenas_vs_FCST!$D$17:$D$2437,Cadenas_vs_FCST!$A$17:$A$2437,A800)</f>
        <v>0</v>
      </c>
      <c r="T800" s="23" t="n">
        <f aca="false">SUMIFS(Cadenas_vs_FCST!$E$17:$E$2437,Cadenas_vs_FCST!$A$17:$A$2437,A800)</f>
        <v>0</v>
      </c>
      <c r="U800" s="24" t="str">
        <f aca="false">IF(T800&gt;0,S800/T800-1,"")</f>
        <v/>
      </c>
      <c r="V800" s="3" t="str">
        <f aca="false">IF(OR(E800="BAJO SS",E800="BAJO SS (XLIB CUBRE)"),"SÍ","")</f>
        <v/>
      </c>
      <c r="W800" s="3" t="str">
        <f aca="false">IF(AND(V800="",N(L800)&gt;=Parametros!$B$17,G800&gt;=H800,R800&lt;H800),"SÍ","")</f>
        <v/>
      </c>
      <c r="X800" s="3" t="str">
        <f aca="false">IF(OR(E800="SOBRE MAX VENDIBLE",N(N800)&gt;=Parametros!$B$17,N(M800)&gt;=Parametros!$B$17),"SÍ","")</f>
        <v/>
      </c>
      <c r="Y800" s="3" t="str">
        <f aca="false">IF(AND(ISNUMBER(U800),MAX(S800,T800)&gt;=Parametros!$B$15,ABS(N(U800))&gt;Parametros!$B$14),"SÍ","")</f>
        <v/>
      </c>
      <c r="Z800" s="3" t="n">
        <f aca="false">COUNTIF(V800:Y800,"SÍ")</f>
        <v>0</v>
      </c>
      <c r="AA800" s="3" t="n">
        <f aca="false">(3*(V800="SÍ")+2*(W800="SÍ")+2*(X800="SÍ")+(Y800="SÍ"))*IF(LEFT(D800,1)="A",3,IF(OR(LEFT(D800,1)="B",D800="SIN HIST"),2,1))</f>
        <v>0</v>
      </c>
      <c r="AB800" s="3" t="str">
        <f aca="false">IF(AA800&gt;=9,"1-ALTA",IF(AA800&gt;=4,"2-MEDIA",IF(AA800&gt;0,"3-BAJA","")))</f>
        <v/>
      </c>
      <c r="AC800" s="3" t="str">
        <f aca="false">IF(E800="BAJO SS","Stock + XLIB bajo el SS: riesgo real de quiebre, adelantar producción. ","")&amp;IF(E800="BAJO SS (XLIB CUBRE)","Disponible bajo el SS; depende de liberar "&amp;TEXT(J800,"#,##0")&amp;" kg"&amp;IF(ISNUMBER(K800)," el "&amp;TEXT(K800,"dd-mm"),"")&amp;". ","")&amp;IF(W800="SÍ","Stock parece sano pero "&amp;TEXT(L800,"#,##0")&amp;" kg no pasan filtro "&amp;Stock_Seguridad!O800&amp;": sin ellos queda bajo el SS para esa cadena. ","")&amp;IF(E800="SOBRE MAX VENDIBLE","Sobrestock vs vida útil: frenar producción/activar venta. ","")&amp;IF(N(N800)&gt;=Parametros!$B$17,TEXT(N800,"#,##0")&amp;" kg ya no los acepta ninguna cadena: venta intermedia/liquidación. ","")&amp;IF(N(M800)&gt;=Parametros!$B$17,TEXT(M800,"#,##0")&amp;" kg a punto de salir del filtro: despachar primero (FEFO). ","")&amp;IF(Y800="SÍ","Pedidos "&amp;IF(N(U800)&gt;0,"sobre","bajo")&amp;" FCST "&amp;TEXT(ABS(N(U800)),"0%")&amp;": revisar forecast con KAM.","")</f>
        <v/>
      </c>
    </row>
    <row r="801" customFormat="false" ht="15" hidden="false" customHeight="false" outlineLevel="0" collapsed="false">
      <c r="A801" s="18" t="n">
        <f aca="false">Stock_Seguridad!A801</f>
        <v>30002159</v>
      </c>
      <c r="B801" s="18" t="str">
        <f aca="false">Stock_Seguridad!B801</f>
        <v>ARVEJA CONGELADA 1X16KG EXP</v>
      </c>
      <c r="C801" s="18" t="str">
        <f aca="false">Stock_Seguridad!C801</f>
        <v>FRUTAS Y HORTALIZAS CONGELADAS</v>
      </c>
      <c r="D801" s="18" t="str">
        <f aca="false">Stock_Seguridad!F801</f>
        <v>SIN HIST</v>
      </c>
      <c r="E801" s="19" t="str">
        <f aca="false">Stock_Seguridad!X801</f>
        <v>SIN FCST</v>
      </c>
      <c r="F801" s="20" t="str">
        <f aca="false">Stock_Seguridad!W801</f>
        <v/>
      </c>
      <c r="G801" s="21" t="n">
        <f aca="false">Stock_Seguridad!T801</f>
        <v>10432</v>
      </c>
      <c r="H801" s="21" t="n">
        <f aca="false">Stock_Seguridad!R801</f>
        <v>0</v>
      </c>
      <c r="I801" s="21" t="n">
        <f aca="false">Stock_Seguridad!S801</f>
        <v>0</v>
      </c>
      <c r="J801" s="21" t="n">
        <f aca="false">Stock_Seguridad!U801</f>
        <v>0</v>
      </c>
      <c r="K801" s="22"/>
      <c r="L801" s="23" t="n">
        <v>0</v>
      </c>
      <c r="M801" s="23" t="n">
        <v>0</v>
      </c>
      <c r="N801" s="23" t="n">
        <v>0</v>
      </c>
      <c r="O801" s="24" t="n">
        <v>0.205276073619632</v>
      </c>
      <c r="P801" s="24" t="str">
        <f aca="false">IF(ISNUMBER(Stock_Seguridad!N801),Stock_Seguridad!N801,"")</f>
        <v/>
      </c>
      <c r="Q801" s="24" t="str">
        <f aca="false">IF(AND(ISNUMBER(O801),ISNUMBER(P801)),P801-O801,"")</f>
        <v/>
      </c>
      <c r="R801" s="23" t="n">
        <f aca="false">MAX(0,G801-N(L801))</f>
        <v>10432</v>
      </c>
      <c r="S801" s="23" t="n">
        <f aca="false">SUMIFS(Cadenas_vs_FCST!$D$17:$D$2437,Cadenas_vs_FCST!$A$17:$A$2437,A801)</f>
        <v>0</v>
      </c>
      <c r="T801" s="23" t="n">
        <f aca="false">SUMIFS(Cadenas_vs_FCST!$E$17:$E$2437,Cadenas_vs_FCST!$A$17:$A$2437,A801)</f>
        <v>0</v>
      </c>
      <c r="U801" s="24" t="str">
        <f aca="false">IF(T801&gt;0,S801/T801-1,"")</f>
        <v/>
      </c>
      <c r="V801" s="3" t="str">
        <f aca="false">IF(OR(E801="BAJO SS",E801="BAJO SS (XLIB CUBRE)"),"SÍ","")</f>
        <v/>
      </c>
      <c r="W801" s="3" t="str">
        <f aca="false">IF(AND(V801="",N(L801)&gt;=Parametros!$B$17,G801&gt;=H801,R801&lt;H801),"SÍ","")</f>
        <v/>
      </c>
      <c r="X801" s="3" t="str">
        <f aca="false">IF(OR(E801="SOBRE MAX VENDIBLE",N(N801)&gt;=Parametros!$B$17,N(M801)&gt;=Parametros!$B$17),"SÍ","")</f>
        <v/>
      </c>
      <c r="Y801" s="3" t="str">
        <f aca="false">IF(AND(ISNUMBER(U801),MAX(S801,T801)&gt;=Parametros!$B$15,ABS(N(U801))&gt;Parametros!$B$14),"SÍ","")</f>
        <v/>
      </c>
      <c r="Z801" s="3" t="n">
        <f aca="false">COUNTIF(V801:Y801,"SÍ")</f>
        <v>0</v>
      </c>
      <c r="AA801" s="3" t="n">
        <f aca="false">(3*(V801="SÍ")+2*(W801="SÍ")+2*(X801="SÍ")+(Y801="SÍ"))*IF(LEFT(D801,1)="A",3,IF(OR(LEFT(D801,1)="B",D801="SIN HIST"),2,1))</f>
        <v>0</v>
      </c>
      <c r="AB801" s="3" t="str">
        <f aca="false">IF(AA801&gt;=9,"1-ALTA",IF(AA801&gt;=4,"2-MEDIA",IF(AA801&gt;0,"3-BAJA","")))</f>
        <v/>
      </c>
      <c r="AC801" s="3" t="str">
        <f aca="false">IF(E801="BAJO SS","Stock + XLIB bajo el SS: riesgo real de quiebre, adelantar producción. ","")&amp;IF(E801="BAJO SS (XLIB CUBRE)","Disponible bajo el SS; depende de liberar "&amp;TEXT(J801,"#,##0")&amp;" kg"&amp;IF(ISNUMBER(K801)," el "&amp;TEXT(K801,"dd-mm"),"")&amp;". ","")&amp;IF(W801="SÍ","Stock parece sano pero "&amp;TEXT(L801,"#,##0")&amp;" kg no pasan filtro "&amp;Stock_Seguridad!O801&amp;": sin ellos queda bajo el SS para esa cadena. ","")&amp;IF(E801="SOBRE MAX VENDIBLE","Sobrestock vs vida útil: frenar producción/activar venta. ","")&amp;IF(N(N801)&gt;=Parametros!$B$17,TEXT(N801,"#,##0")&amp;" kg ya no los acepta ninguna cadena: venta intermedia/liquidación. ","")&amp;IF(N(M801)&gt;=Parametros!$B$17,TEXT(M801,"#,##0")&amp;" kg a punto de salir del filtro: despachar primero (FEFO). ","")&amp;IF(Y801="SÍ","Pedidos "&amp;IF(N(U801)&gt;0,"sobre","bajo")&amp;" FCST "&amp;TEXT(ABS(N(U801)),"0%")&amp;": revisar forecast con KAM.","")</f>
        <v/>
      </c>
    </row>
    <row r="802" customFormat="false" ht="15" hidden="false" customHeight="false" outlineLevel="0" collapsed="false">
      <c r="A802" s="18" t="n">
        <f aca="false">Stock_Seguridad!A802</f>
        <v>30002160</v>
      </c>
      <c r="B802" s="18" t="str">
        <f aca="false">Stock_Seguridad!B802</f>
        <v>MAIZ CONGELADO 1X16 KG EXP</v>
      </c>
      <c r="C802" s="18" t="str">
        <f aca="false">Stock_Seguridad!C802</f>
        <v>FRUTAS Y HORTALIZAS CONGELADAS</v>
      </c>
      <c r="D802" s="18" t="str">
        <f aca="false">Stock_Seguridad!F802</f>
        <v>SIN HIST</v>
      </c>
      <c r="E802" s="19" t="str">
        <f aca="false">Stock_Seguridad!X802</f>
        <v>SIN FCST</v>
      </c>
      <c r="F802" s="20" t="str">
        <f aca="false">Stock_Seguridad!W802</f>
        <v/>
      </c>
      <c r="G802" s="21" t="n">
        <f aca="false">Stock_Seguridad!T802</f>
        <v>2496</v>
      </c>
      <c r="H802" s="21" t="n">
        <f aca="false">Stock_Seguridad!R802</f>
        <v>0</v>
      </c>
      <c r="I802" s="21" t="n">
        <f aca="false">Stock_Seguridad!S802</f>
        <v>0</v>
      </c>
      <c r="J802" s="21" t="n">
        <f aca="false">Stock_Seguridad!U802</f>
        <v>0</v>
      </c>
      <c r="K802" s="22"/>
      <c r="L802" s="23" t="n">
        <v>0</v>
      </c>
      <c r="M802" s="23" t="n">
        <v>0</v>
      </c>
      <c r="N802" s="23" t="n">
        <v>0</v>
      </c>
      <c r="O802" s="24" t="n">
        <v>0.5</v>
      </c>
      <c r="P802" s="24" t="str">
        <f aca="false">IF(ISNUMBER(Stock_Seguridad!N802),Stock_Seguridad!N802,"")</f>
        <v/>
      </c>
      <c r="Q802" s="24" t="str">
        <f aca="false">IF(AND(ISNUMBER(O802),ISNUMBER(P802)),P802-O802,"")</f>
        <v/>
      </c>
      <c r="R802" s="23" t="n">
        <f aca="false">MAX(0,G802-N(L802))</f>
        <v>2496</v>
      </c>
      <c r="S802" s="23" t="n">
        <f aca="false">SUMIFS(Cadenas_vs_FCST!$D$17:$D$2437,Cadenas_vs_FCST!$A$17:$A$2437,A802)</f>
        <v>0</v>
      </c>
      <c r="T802" s="23" t="n">
        <f aca="false">SUMIFS(Cadenas_vs_FCST!$E$17:$E$2437,Cadenas_vs_FCST!$A$17:$A$2437,A802)</f>
        <v>0</v>
      </c>
      <c r="U802" s="24" t="str">
        <f aca="false">IF(T802&gt;0,S802/T802-1,"")</f>
        <v/>
      </c>
      <c r="V802" s="3" t="str">
        <f aca="false">IF(OR(E802="BAJO SS",E802="BAJO SS (XLIB CUBRE)"),"SÍ","")</f>
        <v/>
      </c>
      <c r="W802" s="3" t="str">
        <f aca="false">IF(AND(V802="",N(L802)&gt;=Parametros!$B$17,G802&gt;=H802,R802&lt;H802),"SÍ","")</f>
        <v/>
      </c>
      <c r="X802" s="3" t="str">
        <f aca="false">IF(OR(E802="SOBRE MAX VENDIBLE",N(N802)&gt;=Parametros!$B$17,N(M802)&gt;=Parametros!$B$17),"SÍ","")</f>
        <v/>
      </c>
      <c r="Y802" s="3" t="str">
        <f aca="false">IF(AND(ISNUMBER(U802),MAX(S802,T802)&gt;=Parametros!$B$15,ABS(N(U802))&gt;Parametros!$B$14),"SÍ","")</f>
        <v/>
      </c>
      <c r="Z802" s="3" t="n">
        <f aca="false">COUNTIF(V802:Y802,"SÍ")</f>
        <v>0</v>
      </c>
      <c r="AA802" s="3" t="n">
        <f aca="false">(3*(V802="SÍ")+2*(W802="SÍ")+2*(X802="SÍ")+(Y802="SÍ"))*IF(LEFT(D802,1)="A",3,IF(OR(LEFT(D802,1)="B",D802="SIN HIST"),2,1))</f>
        <v>0</v>
      </c>
      <c r="AB802" s="3" t="str">
        <f aca="false">IF(AA802&gt;=9,"1-ALTA",IF(AA802&gt;=4,"2-MEDIA",IF(AA802&gt;0,"3-BAJA","")))</f>
        <v/>
      </c>
      <c r="AC802" s="3" t="str">
        <f aca="false">IF(E802="BAJO SS","Stock + XLIB bajo el SS: riesgo real de quiebre, adelantar producción. ","")&amp;IF(E802="BAJO SS (XLIB CUBRE)","Disponible bajo el SS; depende de liberar "&amp;TEXT(J802,"#,##0")&amp;" kg"&amp;IF(ISNUMBER(K802)," el "&amp;TEXT(K802,"dd-mm"),"")&amp;". ","")&amp;IF(W802="SÍ","Stock parece sano pero "&amp;TEXT(L802,"#,##0")&amp;" kg no pasan filtro "&amp;Stock_Seguridad!O802&amp;": sin ellos queda bajo el SS para esa cadena. ","")&amp;IF(E802="SOBRE MAX VENDIBLE","Sobrestock vs vida útil: frenar producción/activar venta. ","")&amp;IF(N(N802)&gt;=Parametros!$B$17,TEXT(N802,"#,##0")&amp;" kg ya no los acepta ninguna cadena: venta intermedia/liquidación. ","")&amp;IF(N(M802)&gt;=Parametros!$B$17,TEXT(M802,"#,##0")&amp;" kg a punto de salir del filtro: despachar primero (FEFO). ","")&amp;IF(Y802="SÍ","Pedidos "&amp;IF(N(U802)&gt;0,"sobre","bajo")&amp;" FCST "&amp;TEXT(ABS(N(U802)),"0%")&amp;": revisar forecast con KAM.","")</f>
        <v/>
      </c>
    </row>
    <row r="803" customFormat="false" ht="15" hidden="false" customHeight="false" outlineLevel="0" collapsed="false">
      <c r="A803" s="18" t="n">
        <f aca="false">Stock_Seguridad!A803</f>
        <v>30002187</v>
      </c>
      <c r="B803" s="18" t="str">
        <f aca="false">Stock_Seguridad!B803</f>
        <v>YOGU YOGU FRUTILLA 5X6X115 ML</v>
      </c>
      <c r="C803" s="18" t="str">
        <f aca="false">Stock_Seguridad!C803</f>
        <v>LECHES LIQUIDAS</v>
      </c>
      <c r="D803" s="18" t="str">
        <f aca="false">Stock_Seguridad!F803</f>
        <v>CY</v>
      </c>
      <c r="E803" s="19" t="str">
        <f aca="false">Stock_Seguridad!X803</f>
        <v>SIN FCST</v>
      </c>
      <c r="F803" s="20" t="str">
        <f aca="false">Stock_Seguridad!W803</f>
        <v/>
      </c>
      <c r="G803" s="21" t="n">
        <f aca="false">Stock_Seguridad!T803</f>
        <v>0</v>
      </c>
      <c r="H803" s="21" t="n">
        <f aca="false">Stock_Seguridad!R803</f>
        <v>0</v>
      </c>
      <c r="I803" s="21" t="n">
        <f aca="false">Stock_Seguridad!S803</f>
        <v>0</v>
      </c>
      <c r="J803" s="21" t="n">
        <f aca="false">Stock_Seguridad!U803</f>
        <v>0</v>
      </c>
      <c r="K803" s="22"/>
      <c r="L803" s="23"/>
      <c r="M803" s="23"/>
      <c r="N803" s="23"/>
      <c r="O803" s="24"/>
      <c r="P803" s="24" t="n">
        <f aca="false">IF(ISNUMBER(Stock_Seguridad!N803),Stock_Seguridad!N803,"")</f>
        <v>0.216326530612245</v>
      </c>
      <c r="Q803" s="24" t="str">
        <f aca="false">IF(AND(ISNUMBER(O803),ISNUMBER(P803)),P803-O803,"")</f>
        <v/>
      </c>
      <c r="R803" s="23" t="n">
        <f aca="false">MAX(0,G803-N(L803))</f>
        <v>0</v>
      </c>
      <c r="S803" s="23" t="n">
        <f aca="false">SUMIFS(Cadenas_vs_FCST!$D$17:$D$2437,Cadenas_vs_FCST!$A$17:$A$2437,A803)</f>
        <v>34.5</v>
      </c>
      <c r="T803" s="23" t="n">
        <f aca="false">SUMIFS(Cadenas_vs_FCST!$E$17:$E$2437,Cadenas_vs_FCST!$A$17:$A$2437,A803)</f>
        <v>1000</v>
      </c>
      <c r="U803" s="24" t="n">
        <f aca="false">IF(T803&gt;0,S803/T803-1,"")</f>
        <v>-0.9655</v>
      </c>
      <c r="V803" s="3" t="str">
        <f aca="false">IF(OR(E803="BAJO SS",E803="BAJO SS (XLIB CUBRE)"),"SÍ","")</f>
        <v/>
      </c>
      <c r="W803" s="3" t="str">
        <f aca="false">IF(AND(V803="",N(L803)&gt;=Parametros!$B$17,G803&gt;=H803,R803&lt;H803),"SÍ","")</f>
        <v/>
      </c>
      <c r="X803" s="3" t="str">
        <f aca="false">IF(OR(E803="SOBRE MAX VENDIBLE",N(N803)&gt;=Parametros!$B$17,N(M803)&gt;=Parametros!$B$17),"SÍ","")</f>
        <v/>
      </c>
      <c r="Y803" s="3" t="str">
        <f aca="false">IF(AND(ISNUMBER(U803),MAX(S803,T803)&gt;=Parametros!$B$15,ABS(N(U803))&gt;Parametros!$B$14),"SÍ","")</f>
        <v/>
      </c>
      <c r="Z803" s="3" t="n">
        <f aca="false">COUNTIF(V803:Y803,"SÍ")</f>
        <v>0</v>
      </c>
      <c r="AA803" s="3" t="n">
        <f aca="false">(3*(V803="SÍ")+2*(W803="SÍ")+2*(X803="SÍ")+(Y803="SÍ"))*IF(LEFT(D803,1)="A",3,IF(OR(LEFT(D803,1)="B",D803="SIN HIST"),2,1))</f>
        <v>0</v>
      </c>
      <c r="AB803" s="3" t="str">
        <f aca="false">IF(AA803&gt;=9,"1-ALTA",IF(AA803&gt;=4,"2-MEDIA",IF(AA803&gt;0,"3-BAJA","")))</f>
        <v/>
      </c>
      <c r="AC803" s="3" t="str">
        <f aca="false">IF(E803="BAJO SS","Stock + XLIB bajo el SS: riesgo real de quiebre, adelantar producción. ","")&amp;IF(E803="BAJO SS (XLIB CUBRE)","Disponible bajo el SS; depende de liberar "&amp;TEXT(J803,"#,##0")&amp;" kg"&amp;IF(ISNUMBER(K803)," el "&amp;TEXT(K803,"dd-mm"),"")&amp;". ","")&amp;IF(W803="SÍ","Stock parece sano pero "&amp;TEXT(L803,"#,##0")&amp;" kg no pasan filtro "&amp;Stock_Seguridad!O803&amp;": sin ellos queda bajo el SS para esa cadena. ","")&amp;IF(E803="SOBRE MAX VENDIBLE","Sobrestock vs vida útil: frenar producción/activar venta. ","")&amp;IF(N(N803)&gt;=Parametros!$B$17,TEXT(N803,"#,##0")&amp;" kg ya no los acepta ninguna cadena: venta intermedia/liquidación. ","")&amp;IF(N(M803)&gt;=Parametros!$B$17,TEXT(M803,"#,##0")&amp;" kg a punto de salir del filtro: despachar primero (FEFO). ","")&amp;IF(Y803="SÍ","Pedidos "&amp;IF(N(U803)&gt;0,"sobre","bajo")&amp;" FCST "&amp;TEXT(ABS(N(U803)),"0%")&amp;": revisar forecast con KAM.","")</f>
        <v/>
      </c>
    </row>
    <row r="804" customFormat="false" ht="15" hidden="false" customHeight="false" outlineLevel="0" collapsed="false">
      <c r="A804" s="18" t="n">
        <f aca="false">Stock_Seguridad!A804</f>
        <v>30001986</v>
      </c>
      <c r="B804" s="18" t="str">
        <f aca="false">Stock_Seguridad!B804</f>
        <v>BEBIDA LACTEA NUTRA MAX SNS 20X1KG</v>
      </c>
      <c r="C804" s="18" t="str">
        <f aca="false">Stock_Seguridad!C804</f>
        <v>LECHES EN POLVO</v>
      </c>
      <c r="D804" s="18" t="str">
        <f aca="false">Stock_Seguridad!F804</f>
        <v>SIN HIST</v>
      </c>
      <c r="E804" s="19" t="str">
        <f aca="false">Stock_Seguridad!X804</f>
        <v>SIN FCST</v>
      </c>
      <c r="F804" s="20" t="str">
        <f aca="false">Stock_Seguridad!W804</f>
        <v/>
      </c>
      <c r="G804" s="21" t="n">
        <f aca="false">Stock_Seguridad!T804</f>
        <v>580</v>
      </c>
      <c r="H804" s="21" t="n">
        <f aca="false">Stock_Seguridad!R804</f>
        <v>0</v>
      </c>
      <c r="I804" s="21" t="n">
        <f aca="false">Stock_Seguridad!S804</f>
        <v>0</v>
      </c>
      <c r="J804" s="21" t="n">
        <f aca="false">Stock_Seguridad!U804</f>
        <v>0</v>
      </c>
      <c r="K804" s="22"/>
      <c r="L804" s="23" t="n">
        <v>0</v>
      </c>
      <c r="M804" s="23" t="n">
        <v>0</v>
      </c>
      <c r="N804" s="23" t="n">
        <v>0</v>
      </c>
      <c r="O804" s="24" t="n">
        <v>0.132068965517241</v>
      </c>
      <c r="P804" s="24" t="str">
        <f aca="false">IF(ISNUMBER(Stock_Seguridad!N804),Stock_Seguridad!N804,"")</f>
        <v/>
      </c>
      <c r="Q804" s="24" t="str">
        <f aca="false">IF(AND(ISNUMBER(O804),ISNUMBER(P804)),P804-O804,"")</f>
        <v/>
      </c>
      <c r="R804" s="23" t="n">
        <f aca="false">MAX(0,G804-N(L804))</f>
        <v>580</v>
      </c>
      <c r="S804" s="23" t="n">
        <f aca="false">SUMIFS(Cadenas_vs_FCST!$D$17:$D$2437,Cadenas_vs_FCST!$A$17:$A$2437,A804)</f>
        <v>0</v>
      </c>
      <c r="T804" s="23" t="n">
        <f aca="false">SUMIFS(Cadenas_vs_FCST!$E$17:$E$2437,Cadenas_vs_FCST!$A$17:$A$2437,A804)</f>
        <v>0</v>
      </c>
      <c r="U804" s="24" t="str">
        <f aca="false">IF(T804&gt;0,S804/T804-1,"")</f>
        <v/>
      </c>
      <c r="V804" s="3" t="str">
        <f aca="false">IF(OR(E804="BAJO SS",E804="BAJO SS (XLIB CUBRE)"),"SÍ","")</f>
        <v/>
      </c>
      <c r="W804" s="3" t="str">
        <f aca="false">IF(AND(V804="",N(L804)&gt;=Parametros!$B$17,G804&gt;=H804,R804&lt;H804),"SÍ","")</f>
        <v/>
      </c>
      <c r="X804" s="3" t="str">
        <f aca="false">IF(OR(E804="SOBRE MAX VENDIBLE",N(N804)&gt;=Parametros!$B$17,N(M804)&gt;=Parametros!$B$17),"SÍ","")</f>
        <v/>
      </c>
      <c r="Y804" s="3" t="str">
        <f aca="false">IF(AND(ISNUMBER(U804),MAX(S804,T804)&gt;=Parametros!$B$15,ABS(N(U804))&gt;Parametros!$B$14),"SÍ","")</f>
        <v/>
      </c>
      <c r="Z804" s="3" t="n">
        <f aca="false">COUNTIF(V804:Y804,"SÍ")</f>
        <v>0</v>
      </c>
      <c r="AA804" s="3" t="n">
        <f aca="false">(3*(V804="SÍ")+2*(W804="SÍ")+2*(X804="SÍ")+(Y804="SÍ"))*IF(LEFT(D804,1)="A",3,IF(OR(LEFT(D804,1)="B",D804="SIN HIST"),2,1))</f>
        <v>0</v>
      </c>
      <c r="AB804" s="3" t="str">
        <f aca="false">IF(AA804&gt;=9,"1-ALTA",IF(AA804&gt;=4,"2-MEDIA",IF(AA804&gt;0,"3-BAJA","")))</f>
        <v/>
      </c>
      <c r="AC804" s="3" t="str">
        <f aca="false">IF(E804="BAJO SS","Stock + XLIB bajo el SS: riesgo real de quiebre, adelantar producción. ","")&amp;IF(E804="BAJO SS (XLIB CUBRE)","Disponible bajo el SS; depende de liberar "&amp;TEXT(J804,"#,##0")&amp;" kg"&amp;IF(ISNUMBER(K804)," el "&amp;TEXT(K804,"dd-mm"),"")&amp;". ","")&amp;IF(W804="SÍ","Stock parece sano pero "&amp;TEXT(L804,"#,##0")&amp;" kg no pasan filtro "&amp;Stock_Seguridad!O804&amp;": sin ellos queda bajo el SS para esa cadena. ","")&amp;IF(E804="SOBRE MAX VENDIBLE","Sobrestock vs vida útil: frenar producción/activar venta. ","")&amp;IF(N(N804)&gt;=Parametros!$B$17,TEXT(N804,"#,##0")&amp;" kg ya no los acepta ninguna cadena: venta intermedia/liquidación. ","")&amp;IF(N(M804)&gt;=Parametros!$B$17,TEXT(M804,"#,##0")&amp;" kg a punto de salir del filtro: despachar primero (FEFO). ","")&amp;IF(Y804="SÍ","Pedidos "&amp;IF(N(U804)&gt;0,"sobre","bajo")&amp;" FCST "&amp;TEXT(ABS(N(U804)),"0%")&amp;": revisar forecast con KAM.","")</f>
        <v/>
      </c>
    </row>
    <row r="805" customFormat="false" ht="15" hidden="false" customHeight="false" outlineLevel="0" collapsed="false">
      <c r="A805" s="18" t="n">
        <f aca="false">Stock_Seguridad!A805</f>
        <v>30000275</v>
      </c>
      <c r="B805" s="18" t="str">
        <f aca="false">Stock_Seguridad!B805</f>
        <v>VINO BCO 3EST SAUV13,5º BOT 12X750ML</v>
      </c>
      <c r="C805" s="18" t="str">
        <f aca="false">Stock_Seguridad!C805</f>
        <v>VINOS</v>
      </c>
      <c r="D805" s="18" t="str">
        <f aca="false">Stock_Seguridad!F805</f>
        <v>SIN HIST</v>
      </c>
      <c r="E805" s="19" t="str">
        <f aca="false">Stock_Seguridad!X805</f>
        <v>SIN FCST</v>
      </c>
      <c r="F805" s="20" t="str">
        <f aca="false">Stock_Seguridad!W805</f>
        <v/>
      </c>
      <c r="G805" s="21" t="n">
        <f aca="false">Stock_Seguridad!T805</f>
        <v>2412</v>
      </c>
      <c r="H805" s="21" t="n">
        <f aca="false">Stock_Seguridad!R805</f>
        <v>0</v>
      </c>
      <c r="I805" s="21" t="n">
        <f aca="false">Stock_Seguridad!S805</f>
        <v>0</v>
      </c>
      <c r="J805" s="21" t="n">
        <f aca="false">Stock_Seguridad!U805</f>
        <v>0</v>
      </c>
      <c r="K805" s="22"/>
      <c r="L805" s="23" t="n">
        <v>0</v>
      </c>
      <c r="M805" s="23" t="n">
        <v>0</v>
      </c>
      <c r="N805" s="23" t="n">
        <v>0</v>
      </c>
      <c r="O805" s="24" t="n">
        <v>0.379664179104478</v>
      </c>
      <c r="P805" s="24" t="str">
        <f aca="false">IF(ISNUMBER(Stock_Seguridad!N805),Stock_Seguridad!N805,"")</f>
        <v/>
      </c>
      <c r="Q805" s="24" t="str">
        <f aca="false">IF(AND(ISNUMBER(O805),ISNUMBER(P805)),P805-O805,"")</f>
        <v/>
      </c>
      <c r="R805" s="23" t="n">
        <f aca="false">MAX(0,G805-N(L805))</f>
        <v>2412</v>
      </c>
      <c r="S805" s="23" t="n">
        <f aca="false">SUMIFS(Cadenas_vs_FCST!$D$17:$D$2437,Cadenas_vs_FCST!$A$17:$A$2437,A805)</f>
        <v>0</v>
      </c>
      <c r="T805" s="23" t="n">
        <f aca="false">SUMIFS(Cadenas_vs_FCST!$E$17:$E$2437,Cadenas_vs_FCST!$A$17:$A$2437,A805)</f>
        <v>0</v>
      </c>
      <c r="U805" s="24" t="str">
        <f aca="false">IF(T805&gt;0,S805/T805-1,"")</f>
        <v/>
      </c>
      <c r="V805" s="3" t="str">
        <f aca="false">IF(OR(E805="BAJO SS",E805="BAJO SS (XLIB CUBRE)"),"SÍ","")</f>
        <v/>
      </c>
      <c r="W805" s="3" t="str">
        <f aca="false">IF(AND(V805="",N(L805)&gt;=Parametros!$B$17,G805&gt;=H805,R805&lt;H805),"SÍ","")</f>
        <v/>
      </c>
      <c r="X805" s="3" t="str">
        <f aca="false">IF(OR(E805="SOBRE MAX VENDIBLE",N(N805)&gt;=Parametros!$B$17,N(M805)&gt;=Parametros!$B$17),"SÍ","")</f>
        <v/>
      </c>
      <c r="Y805" s="3" t="str">
        <f aca="false">IF(AND(ISNUMBER(U805),MAX(S805,T805)&gt;=Parametros!$B$15,ABS(N(U805))&gt;Parametros!$B$14),"SÍ","")</f>
        <v/>
      </c>
      <c r="Z805" s="3" t="n">
        <f aca="false">COUNTIF(V805:Y805,"SÍ")</f>
        <v>0</v>
      </c>
      <c r="AA805" s="3" t="n">
        <f aca="false">(3*(V805="SÍ")+2*(W805="SÍ")+2*(X805="SÍ")+(Y805="SÍ"))*IF(LEFT(D805,1)="A",3,IF(OR(LEFT(D805,1)="B",D805="SIN HIST"),2,1))</f>
        <v>0</v>
      </c>
      <c r="AB805" s="3" t="str">
        <f aca="false">IF(AA805&gt;=9,"1-ALTA",IF(AA805&gt;=4,"2-MEDIA",IF(AA805&gt;0,"3-BAJA","")))</f>
        <v/>
      </c>
      <c r="AC805" s="3" t="str">
        <f aca="false">IF(E805="BAJO SS","Stock + XLIB bajo el SS: riesgo real de quiebre, adelantar producción. ","")&amp;IF(E805="BAJO SS (XLIB CUBRE)","Disponible bajo el SS; depende de liberar "&amp;TEXT(J805,"#,##0")&amp;" kg"&amp;IF(ISNUMBER(K805)," el "&amp;TEXT(K805,"dd-mm"),"")&amp;". ","")&amp;IF(W805="SÍ","Stock parece sano pero "&amp;TEXT(L805,"#,##0")&amp;" kg no pasan filtro "&amp;Stock_Seguridad!O805&amp;": sin ellos queda bajo el SS para esa cadena. ","")&amp;IF(E805="SOBRE MAX VENDIBLE","Sobrestock vs vida útil: frenar producción/activar venta. ","")&amp;IF(N(N805)&gt;=Parametros!$B$17,TEXT(N805,"#,##0")&amp;" kg ya no los acepta ninguna cadena: venta intermedia/liquidación. ","")&amp;IF(N(M805)&gt;=Parametros!$B$17,TEXT(M805,"#,##0")&amp;" kg a punto de salir del filtro: despachar primero (FEFO). ","")&amp;IF(Y805="SÍ","Pedidos "&amp;IF(N(U805)&gt;0,"sobre","bajo")&amp;" FCST "&amp;TEXT(ABS(N(U805)),"0%")&amp;": revisar forecast con KAM.","")</f>
        <v/>
      </c>
    </row>
    <row r="806" customFormat="false" ht="15" hidden="false" customHeight="false" outlineLevel="0" collapsed="false">
      <c r="A806" s="18" t="n">
        <f aca="false">Stock_Seguridad!A806</f>
        <v>30000274</v>
      </c>
      <c r="B806" s="18" t="str">
        <f aca="false">Stock_Seguridad!B806</f>
        <v>VINO TTO 3EST MER 13,5º BOT 12X750ML</v>
      </c>
      <c r="C806" s="18" t="str">
        <f aca="false">Stock_Seguridad!C806</f>
        <v>VINOS</v>
      </c>
      <c r="D806" s="18" t="str">
        <f aca="false">Stock_Seguridad!F806</f>
        <v>SIN HIST</v>
      </c>
      <c r="E806" s="19" t="str">
        <f aca="false">Stock_Seguridad!X806</f>
        <v>SIN FCST</v>
      </c>
      <c r="F806" s="20" t="str">
        <f aca="false">Stock_Seguridad!W806</f>
        <v/>
      </c>
      <c r="G806" s="21" t="n">
        <f aca="false">Stock_Seguridad!T806</f>
        <v>2511</v>
      </c>
      <c r="H806" s="21" t="n">
        <f aca="false">Stock_Seguridad!R806</f>
        <v>0</v>
      </c>
      <c r="I806" s="21" t="n">
        <f aca="false">Stock_Seguridad!S806</f>
        <v>0</v>
      </c>
      <c r="J806" s="21" t="n">
        <f aca="false">Stock_Seguridad!U806</f>
        <v>0</v>
      </c>
      <c r="K806" s="22"/>
      <c r="L806" s="23" t="n">
        <v>0</v>
      </c>
      <c r="M806" s="23" t="n">
        <v>0</v>
      </c>
      <c r="N806" s="23" t="n">
        <v>0</v>
      </c>
      <c r="O806" s="24" t="n">
        <v>0.145412186379928</v>
      </c>
      <c r="P806" s="24" t="str">
        <f aca="false">IF(ISNUMBER(Stock_Seguridad!N806),Stock_Seguridad!N806,"")</f>
        <v/>
      </c>
      <c r="Q806" s="24" t="str">
        <f aca="false">IF(AND(ISNUMBER(O806),ISNUMBER(P806)),P806-O806,"")</f>
        <v/>
      </c>
      <c r="R806" s="23" t="n">
        <f aca="false">MAX(0,G806-N(L806))</f>
        <v>2511</v>
      </c>
      <c r="S806" s="23" t="n">
        <f aca="false">SUMIFS(Cadenas_vs_FCST!$D$17:$D$2437,Cadenas_vs_FCST!$A$17:$A$2437,A806)</f>
        <v>0</v>
      </c>
      <c r="T806" s="23" t="n">
        <f aca="false">SUMIFS(Cadenas_vs_FCST!$E$17:$E$2437,Cadenas_vs_FCST!$A$17:$A$2437,A806)</f>
        <v>0</v>
      </c>
      <c r="U806" s="24" t="str">
        <f aca="false">IF(T806&gt;0,S806/T806-1,"")</f>
        <v/>
      </c>
      <c r="V806" s="3" t="str">
        <f aca="false">IF(OR(E806="BAJO SS",E806="BAJO SS (XLIB CUBRE)"),"SÍ","")</f>
        <v/>
      </c>
      <c r="W806" s="3" t="str">
        <f aca="false">IF(AND(V806="",N(L806)&gt;=Parametros!$B$17,G806&gt;=H806,R806&lt;H806),"SÍ","")</f>
        <v/>
      </c>
      <c r="X806" s="3" t="str">
        <f aca="false">IF(OR(E806="SOBRE MAX VENDIBLE",N(N806)&gt;=Parametros!$B$17,N(M806)&gt;=Parametros!$B$17),"SÍ","")</f>
        <v/>
      </c>
      <c r="Y806" s="3" t="str">
        <f aca="false">IF(AND(ISNUMBER(U806),MAX(S806,T806)&gt;=Parametros!$B$15,ABS(N(U806))&gt;Parametros!$B$14),"SÍ","")</f>
        <v/>
      </c>
      <c r="Z806" s="3" t="n">
        <f aca="false">COUNTIF(V806:Y806,"SÍ")</f>
        <v>0</v>
      </c>
      <c r="AA806" s="3" t="n">
        <f aca="false">(3*(V806="SÍ")+2*(W806="SÍ")+2*(X806="SÍ")+(Y806="SÍ"))*IF(LEFT(D806,1)="A",3,IF(OR(LEFT(D806,1)="B",D806="SIN HIST"),2,1))</f>
        <v>0</v>
      </c>
      <c r="AB806" s="3" t="str">
        <f aca="false">IF(AA806&gt;=9,"1-ALTA",IF(AA806&gt;=4,"2-MEDIA",IF(AA806&gt;0,"3-BAJA","")))</f>
        <v/>
      </c>
      <c r="AC806" s="3" t="str">
        <f aca="false">IF(E806="BAJO SS","Stock + XLIB bajo el SS: riesgo real de quiebre, adelantar producción. ","")&amp;IF(E806="BAJO SS (XLIB CUBRE)","Disponible bajo el SS; depende de liberar "&amp;TEXT(J806,"#,##0")&amp;" kg"&amp;IF(ISNUMBER(K806)," el "&amp;TEXT(K806,"dd-mm"),"")&amp;". ","")&amp;IF(W806="SÍ","Stock parece sano pero "&amp;TEXT(L806,"#,##0")&amp;" kg no pasan filtro "&amp;Stock_Seguridad!O806&amp;": sin ellos queda bajo el SS para esa cadena. ","")&amp;IF(E806="SOBRE MAX VENDIBLE","Sobrestock vs vida útil: frenar producción/activar venta. ","")&amp;IF(N(N806)&gt;=Parametros!$B$17,TEXT(N806,"#,##0")&amp;" kg ya no los acepta ninguna cadena: venta intermedia/liquidación. ","")&amp;IF(N(M806)&gt;=Parametros!$B$17,TEXT(M806,"#,##0")&amp;" kg a punto de salir del filtro: despachar primero (FEFO). ","")&amp;IF(Y806="SÍ","Pedidos "&amp;IF(N(U806)&gt;0,"sobre","bajo")&amp;" FCST "&amp;TEXT(ABS(N(U806)),"0%")&amp;": revisar forecast con KAM.","")</f>
        <v/>
      </c>
    </row>
    <row r="807" customFormat="false" ht="15" hidden="false" customHeight="false" outlineLevel="0" collapsed="false">
      <c r="A807" s="18" t="n">
        <f aca="false">Stock_Seguridad!A807</f>
        <v>30000727</v>
      </c>
      <c r="B807" s="18" t="str">
        <f aca="false">Stock_Seguridad!B807</f>
        <v>MAIZ SUPER DULCE IQF 1X16KG</v>
      </c>
      <c r="C807" s="18" t="str">
        <f aca="false">Stock_Seguridad!C807</f>
        <v>FRUTAS Y HORTALIZAS CONGELADAS</v>
      </c>
      <c r="D807" s="18" t="str">
        <f aca="false">Stock_Seguridad!F807</f>
        <v>SIN HIST</v>
      </c>
      <c r="E807" s="19" t="str">
        <f aca="false">Stock_Seguridad!X807</f>
        <v>SIN FCST</v>
      </c>
      <c r="F807" s="20" t="str">
        <f aca="false">Stock_Seguridad!W807</f>
        <v/>
      </c>
      <c r="G807" s="21" t="n">
        <f aca="false">Stock_Seguridad!T807</f>
        <v>1216</v>
      </c>
      <c r="H807" s="21" t="n">
        <f aca="false">Stock_Seguridad!R807</f>
        <v>0</v>
      </c>
      <c r="I807" s="21" t="n">
        <f aca="false">Stock_Seguridad!S807</f>
        <v>0</v>
      </c>
      <c r="J807" s="21" t="n">
        <f aca="false">Stock_Seguridad!U807</f>
        <v>0</v>
      </c>
      <c r="K807" s="22"/>
      <c r="L807" s="23" t="n">
        <v>0</v>
      </c>
      <c r="M807" s="23" t="n">
        <v>0</v>
      </c>
      <c r="N807" s="23" t="n">
        <v>0</v>
      </c>
      <c r="O807" s="24" t="n">
        <v>0.78</v>
      </c>
      <c r="P807" s="24" t="str">
        <f aca="false">IF(ISNUMBER(Stock_Seguridad!N807),Stock_Seguridad!N807,"")</f>
        <v/>
      </c>
      <c r="Q807" s="24" t="str">
        <f aca="false">IF(AND(ISNUMBER(O807),ISNUMBER(P807)),P807-O807,"")</f>
        <v/>
      </c>
      <c r="R807" s="23" t="n">
        <f aca="false">MAX(0,G807-N(L807))</f>
        <v>1216</v>
      </c>
      <c r="S807" s="23" t="n">
        <f aca="false">SUMIFS(Cadenas_vs_FCST!$D$17:$D$2437,Cadenas_vs_FCST!$A$17:$A$2437,A807)</f>
        <v>0</v>
      </c>
      <c r="T807" s="23" t="n">
        <f aca="false">SUMIFS(Cadenas_vs_FCST!$E$17:$E$2437,Cadenas_vs_FCST!$A$17:$A$2437,A807)</f>
        <v>0</v>
      </c>
      <c r="U807" s="24" t="str">
        <f aca="false">IF(T807&gt;0,S807/T807-1,"")</f>
        <v/>
      </c>
      <c r="V807" s="3" t="str">
        <f aca="false">IF(OR(E807="BAJO SS",E807="BAJO SS (XLIB CUBRE)"),"SÍ","")</f>
        <v/>
      </c>
      <c r="W807" s="3" t="str">
        <f aca="false">IF(AND(V807="",N(L807)&gt;=Parametros!$B$17,G807&gt;=H807,R807&lt;H807),"SÍ","")</f>
        <v/>
      </c>
      <c r="X807" s="3" t="str">
        <f aca="false">IF(OR(E807="SOBRE MAX VENDIBLE",N(N807)&gt;=Parametros!$B$17,N(M807)&gt;=Parametros!$B$17),"SÍ","")</f>
        <v/>
      </c>
      <c r="Y807" s="3" t="str">
        <f aca="false">IF(AND(ISNUMBER(U807),MAX(S807,T807)&gt;=Parametros!$B$15,ABS(N(U807))&gt;Parametros!$B$14),"SÍ","")</f>
        <v/>
      </c>
      <c r="Z807" s="3" t="n">
        <f aca="false">COUNTIF(V807:Y807,"SÍ")</f>
        <v>0</v>
      </c>
      <c r="AA807" s="3" t="n">
        <f aca="false">(3*(V807="SÍ")+2*(W807="SÍ")+2*(X807="SÍ")+(Y807="SÍ"))*IF(LEFT(D807,1)="A",3,IF(OR(LEFT(D807,1)="B",D807="SIN HIST"),2,1))</f>
        <v>0</v>
      </c>
      <c r="AB807" s="3" t="str">
        <f aca="false">IF(AA807&gt;=9,"1-ALTA",IF(AA807&gt;=4,"2-MEDIA",IF(AA807&gt;0,"3-BAJA","")))</f>
        <v/>
      </c>
      <c r="AC807" s="3" t="str">
        <f aca="false">IF(E807="BAJO SS","Stock + XLIB bajo el SS: riesgo real de quiebre, adelantar producción. ","")&amp;IF(E807="BAJO SS (XLIB CUBRE)","Disponible bajo el SS; depende de liberar "&amp;TEXT(J807,"#,##0")&amp;" kg"&amp;IF(ISNUMBER(K807)," el "&amp;TEXT(K807,"dd-mm"),"")&amp;". ","")&amp;IF(W807="SÍ","Stock parece sano pero "&amp;TEXT(L807,"#,##0")&amp;" kg no pasan filtro "&amp;Stock_Seguridad!O807&amp;": sin ellos queda bajo el SS para esa cadena. ","")&amp;IF(E807="SOBRE MAX VENDIBLE","Sobrestock vs vida útil: frenar producción/activar venta. ","")&amp;IF(N(N807)&gt;=Parametros!$B$17,TEXT(N807,"#,##0")&amp;" kg ya no los acepta ninguna cadena: venta intermedia/liquidación. ","")&amp;IF(N(M807)&gt;=Parametros!$B$17,TEXT(M807,"#,##0")&amp;" kg a punto de salir del filtro: despachar primero (FEFO). ","")&amp;IF(Y807="SÍ","Pedidos "&amp;IF(N(U807)&gt;0,"sobre","bajo")&amp;" FCST "&amp;TEXT(ABS(N(U807)),"0%")&amp;": revisar forecast con KAM.","")</f>
        <v/>
      </c>
    </row>
    <row r="808" customFormat="false" ht="15" hidden="false" customHeight="false" outlineLevel="0" collapsed="false">
      <c r="A808" s="18" t="n">
        <f aca="false">Stock_Seguridad!A808</f>
        <v>30000294</v>
      </c>
      <c r="B808" s="18" t="str">
        <f aca="false">Stock_Seguridad!B808</f>
        <v>VINO BCO R.FMLIA CY14º BOT 6X750ML</v>
      </c>
      <c r="C808" s="18" t="str">
        <f aca="false">Stock_Seguridad!C808</f>
        <v>VINOS</v>
      </c>
      <c r="D808" s="18" t="str">
        <f aca="false">Stock_Seguridad!F808</f>
        <v>SIN HIST</v>
      </c>
      <c r="E808" s="19" t="str">
        <f aca="false">Stock_Seguridad!X808</f>
        <v>SIN FCST</v>
      </c>
      <c r="F808" s="20" t="str">
        <f aca="false">Stock_Seguridad!W808</f>
        <v/>
      </c>
      <c r="G808" s="21" t="n">
        <f aca="false">Stock_Seguridad!T808</f>
        <v>297</v>
      </c>
      <c r="H808" s="21" t="n">
        <f aca="false">Stock_Seguridad!R808</f>
        <v>0</v>
      </c>
      <c r="I808" s="21" t="n">
        <f aca="false">Stock_Seguridad!S808</f>
        <v>0</v>
      </c>
      <c r="J808" s="21" t="n">
        <f aca="false">Stock_Seguridad!U808</f>
        <v>0</v>
      </c>
      <c r="K808" s="22"/>
      <c r="L808" s="23" t="n">
        <v>0</v>
      </c>
      <c r="M808" s="23" t="n">
        <v>0</v>
      </c>
      <c r="N808" s="23" t="n">
        <v>0</v>
      </c>
      <c r="O808" s="24" t="n">
        <v>0.393181818181818</v>
      </c>
      <c r="P808" s="24" t="str">
        <f aca="false">IF(ISNUMBER(Stock_Seguridad!N808),Stock_Seguridad!N808,"")</f>
        <v/>
      </c>
      <c r="Q808" s="24" t="str">
        <f aca="false">IF(AND(ISNUMBER(O808),ISNUMBER(P808)),P808-O808,"")</f>
        <v/>
      </c>
      <c r="R808" s="23" t="n">
        <f aca="false">MAX(0,G808-N(L808))</f>
        <v>297</v>
      </c>
      <c r="S808" s="23" t="n">
        <f aca="false">SUMIFS(Cadenas_vs_FCST!$D$17:$D$2437,Cadenas_vs_FCST!$A$17:$A$2437,A808)</f>
        <v>0</v>
      </c>
      <c r="T808" s="23" t="n">
        <f aca="false">SUMIFS(Cadenas_vs_FCST!$E$17:$E$2437,Cadenas_vs_FCST!$A$17:$A$2437,A808)</f>
        <v>0</v>
      </c>
      <c r="U808" s="24" t="str">
        <f aca="false">IF(T808&gt;0,S808/T808-1,"")</f>
        <v/>
      </c>
      <c r="V808" s="3" t="str">
        <f aca="false">IF(OR(E808="BAJO SS",E808="BAJO SS (XLIB CUBRE)"),"SÍ","")</f>
        <v/>
      </c>
      <c r="W808" s="3" t="str">
        <f aca="false">IF(AND(V808="",N(L808)&gt;=Parametros!$B$17,G808&gt;=H808,R808&lt;H808),"SÍ","")</f>
        <v/>
      </c>
      <c r="X808" s="3" t="str">
        <f aca="false">IF(OR(E808="SOBRE MAX VENDIBLE",N(N808)&gt;=Parametros!$B$17,N(M808)&gt;=Parametros!$B$17),"SÍ","")</f>
        <v/>
      </c>
      <c r="Y808" s="3" t="str">
        <f aca="false">IF(AND(ISNUMBER(U808),MAX(S808,T808)&gt;=Parametros!$B$15,ABS(N(U808))&gt;Parametros!$B$14),"SÍ","")</f>
        <v/>
      </c>
      <c r="Z808" s="3" t="n">
        <f aca="false">COUNTIF(V808:Y808,"SÍ")</f>
        <v>0</v>
      </c>
      <c r="AA808" s="3" t="n">
        <f aca="false">(3*(V808="SÍ")+2*(W808="SÍ")+2*(X808="SÍ")+(Y808="SÍ"))*IF(LEFT(D808,1)="A",3,IF(OR(LEFT(D808,1)="B",D808="SIN HIST"),2,1))</f>
        <v>0</v>
      </c>
      <c r="AB808" s="3" t="str">
        <f aca="false">IF(AA808&gt;=9,"1-ALTA",IF(AA808&gt;=4,"2-MEDIA",IF(AA808&gt;0,"3-BAJA","")))</f>
        <v/>
      </c>
      <c r="AC808" s="3" t="str">
        <f aca="false">IF(E808="BAJO SS","Stock + XLIB bajo el SS: riesgo real de quiebre, adelantar producción. ","")&amp;IF(E808="BAJO SS (XLIB CUBRE)","Disponible bajo el SS; depende de liberar "&amp;TEXT(J808,"#,##0")&amp;" kg"&amp;IF(ISNUMBER(K808)," el "&amp;TEXT(K808,"dd-mm"),"")&amp;". ","")&amp;IF(W808="SÍ","Stock parece sano pero "&amp;TEXT(L808,"#,##0")&amp;" kg no pasan filtro "&amp;Stock_Seguridad!O808&amp;": sin ellos queda bajo el SS para esa cadena. ","")&amp;IF(E808="SOBRE MAX VENDIBLE","Sobrestock vs vida útil: frenar producción/activar venta. ","")&amp;IF(N(N808)&gt;=Parametros!$B$17,TEXT(N808,"#,##0")&amp;" kg ya no los acepta ninguna cadena: venta intermedia/liquidación. ","")&amp;IF(N(M808)&gt;=Parametros!$B$17,TEXT(M808,"#,##0")&amp;" kg a punto de salir del filtro: despachar primero (FEFO). ","")&amp;IF(Y808="SÍ","Pedidos "&amp;IF(N(U808)&gt;0,"sobre","bajo")&amp;" FCST "&amp;TEXT(ABS(N(U808)),"0%")&amp;": revisar forecast con KAM.","")</f>
        <v/>
      </c>
    </row>
    <row r="809" customFormat="false" ht="15" hidden="false" customHeight="false" outlineLevel="0" collapsed="false">
      <c r="A809" s="18" t="n">
        <f aca="false">Stock_Seguridad!A809</f>
        <v>30000293</v>
      </c>
      <c r="B809" s="18" t="str">
        <f aca="false">Stock_Seguridad!B809</f>
        <v>VINO TTO R.FMLIA CS 14,5º BOT 6X750ML</v>
      </c>
      <c r="C809" s="18" t="str">
        <f aca="false">Stock_Seguridad!C809</f>
        <v>VINOS</v>
      </c>
      <c r="D809" s="18" t="str">
        <f aca="false">Stock_Seguridad!F809</f>
        <v>SIN HIST</v>
      </c>
      <c r="E809" s="19" t="str">
        <f aca="false">Stock_Seguridad!X809</f>
        <v>SIN FCST</v>
      </c>
      <c r="F809" s="20" t="str">
        <f aca="false">Stock_Seguridad!W809</f>
        <v/>
      </c>
      <c r="G809" s="21" t="n">
        <f aca="false">Stock_Seguridad!T809</f>
        <v>522</v>
      </c>
      <c r="H809" s="21" t="n">
        <f aca="false">Stock_Seguridad!R809</f>
        <v>0</v>
      </c>
      <c r="I809" s="21" t="n">
        <f aca="false">Stock_Seguridad!S809</f>
        <v>0</v>
      </c>
      <c r="J809" s="21" t="n">
        <f aca="false">Stock_Seguridad!U809</f>
        <v>0</v>
      </c>
      <c r="K809" s="22"/>
      <c r="L809" s="23" t="n">
        <v>0</v>
      </c>
      <c r="M809" s="23" t="n">
        <v>0</v>
      </c>
      <c r="N809" s="23" t="n">
        <v>0</v>
      </c>
      <c r="O809" s="24" t="n">
        <v>0.116810344827586</v>
      </c>
      <c r="P809" s="24" t="str">
        <f aca="false">IF(ISNUMBER(Stock_Seguridad!N809),Stock_Seguridad!N809,"")</f>
        <v/>
      </c>
      <c r="Q809" s="24" t="str">
        <f aca="false">IF(AND(ISNUMBER(O809),ISNUMBER(P809)),P809-O809,"")</f>
        <v/>
      </c>
      <c r="R809" s="23" t="n">
        <f aca="false">MAX(0,G809-N(L809))</f>
        <v>522</v>
      </c>
      <c r="S809" s="23" t="n">
        <f aca="false">SUMIFS(Cadenas_vs_FCST!$D$17:$D$2437,Cadenas_vs_FCST!$A$17:$A$2437,A809)</f>
        <v>0</v>
      </c>
      <c r="T809" s="23" t="n">
        <f aca="false">SUMIFS(Cadenas_vs_FCST!$E$17:$E$2437,Cadenas_vs_FCST!$A$17:$A$2437,A809)</f>
        <v>0</v>
      </c>
      <c r="U809" s="24" t="str">
        <f aca="false">IF(T809&gt;0,S809/T809-1,"")</f>
        <v/>
      </c>
      <c r="V809" s="3" t="str">
        <f aca="false">IF(OR(E809="BAJO SS",E809="BAJO SS (XLIB CUBRE)"),"SÍ","")</f>
        <v/>
      </c>
      <c r="W809" s="3" t="str">
        <f aca="false">IF(AND(V809="",N(L809)&gt;=Parametros!$B$17,G809&gt;=H809,R809&lt;H809),"SÍ","")</f>
        <v/>
      </c>
      <c r="X809" s="3" t="str">
        <f aca="false">IF(OR(E809="SOBRE MAX VENDIBLE",N(N809)&gt;=Parametros!$B$17,N(M809)&gt;=Parametros!$B$17),"SÍ","")</f>
        <v/>
      </c>
      <c r="Y809" s="3" t="str">
        <f aca="false">IF(AND(ISNUMBER(U809),MAX(S809,T809)&gt;=Parametros!$B$15,ABS(N(U809))&gt;Parametros!$B$14),"SÍ","")</f>
        <v/>
      </c>
      <c r="Z809" s="3" t="n">
        <f aca="false">COUNTIF(V809:Y809,"SÍ")</f>
        <v>0</v>
      </c>
      <c r="AA809" s="3" t="n">
        <f aca="false">(3*(V809="SÍ")+2*(W809="SÍ")+2*(X809="SÍ")+(Y809="SÍ"))*IF(LEFT(D809,1)="A",3,IF(OR(LEFT(D809,1)="B",D809="SIN HIST"),2,1))</f>
        <v>0</v>
      </c>
      <c r="AB809" s="3" t="str">
        <f aca="false">IF(AA809&gt;=9,"1-ALTA",IF(AA809&gt;=4,"2-MEDIA",IF(AA809&gt;0,"3-BAJA","")))</f>
        <v/>
      </c>
      <c r="AC809" s="3" t="str">
        <f aca="false">IF(E809="BAJO SS","Stock + XLIB bajo el SS: riesgo real de quiebre, adelantar producción. ","")&amp;IF(E809="BAJO SS (XLIB CUBRE)","Disponible bajo el SS; depende de liberar "&amp;TEXT(J809,"#,##0")&amp;" kg"&amp;IF(ISNUMBER(K809)," el "&amp;TEXT(K809,"dd-mm"),"")&amp;". ","")&amp;IF(W809="SÍ","Stock parece sano pero "&amp;TEXT(L809,"#,##0")&amp;" kg no pasan filtro "&amp;Stock_Seguridad!O809&amp;": sin ellos queda bajo el SS para esa cadena. ","")&amp;IF(E809="SOBRE MAX VENDIBLE","Sobrestock vs vida útil: frenar producción/activar venta. ","")&amp;IF(N(N809)&gt;=Parametros!$B$17,TEXT(N809,"#,##0")&amp;" kg ya no los acepta ninguna cadena: venta intermedia/liquidación. ","")&amp;IF(N(M809)&gt;=Parametros!$B$17,TEXT(M809,"#,##0")&amp;" kg a punto de salir del filtro: despachar primero (FEFO). ","")&amp;IF(Y809="SÍ","Pedidos "&amp;IF(N(U809)&gt;0,"sobre","bajo")&amp;" FCST "&amp;TEXT(ABS(N(U809)),"0%")&amp;": revisar forecast con KAM.","")</f>
        <v/>
      </c>
    </row>
    <row r="810" customFormat="false" ht="15" hidden="false" customHeight="false" outlineLevel="0" collapsed="false">
      <c r="A810" s="18" t="n">
        <f aca="false">Stock_Seguridad!A810</f>
        <v>30000291</v>
      </c>
      <c r="B810" s="18" t="str">
        <f aca="false">Stock_Seguridad!B810</f>
        <v>VINO BCO ORO CY 14º BOT 12X750ML</v>
      </c>
      <c r="C810" s="18" t="str">
        <f aca="false">Stock_Seguridad!C810</f>
        <v>VINOS</v>
      </c>
      <c r="D810" s="18" t="str">
        <f aca="false">Stock_Seguridad!F810</f>
        <v>SIN HIST</v>
      </c>
      <c r="E810" s="19" t="str">
        <f aca="false">Stock_Seguridad!X810</f>
        <v>SIN FCST</v>
      </c>
      <c r="F810" s="20" t="str">
        <f aca="false">Stock_Seguridad!W810</f>
        <v/>
      </c>
      <c r="G810" s="21" t="n">
        <f aca="false">Stock_Seguridad!T810</f>
        <v>1125</v>
      </c>
      <c r="H810" s="21" t="n">
        <f aca="false">Stock_Seguridad!R810</f>
        <v>0</v>
      </c>
      <c r="I810" s="21" t="n">
        <f aca="false">Stock_Seguridad!S810</f>
        <v>0</v>
      </c>
      <c r="J810" s="21" t="n">
        <f aca="false">Stock_Seguridad!U810</f>
        <v>0</v>
      </c>
      <c r="K810" s="22"/>
      <c r="L810" s="23" t="n">
        <v>0</v>
      </c>
      <c r="M810" s="23" t="n">
        <v>0</v>
      </c>
      <c r="N810" s="23" t="n">
        <v>0</v>
      </c>
      <c r="O810" s="24" t="n">
        <v>0.40112</v>
      </c>
      <c r="P810" s="24" t="str">
        <f aca="false">IF(ISNUMBER(Stock_Seguridad!N810),Stock_Seguridad!N810,"")</f>
        <v/>
      </c>
      <c r="Q810" s="24" t="str">
        <f aca="false">IF(AND(ISNUMBER(O810),ISNUMBER(P810)),P810-O810,"")</f>
        <v/>
      </c>
      <c r="R810" s="23" t="n">
        <f aca="false">MAX(0,G810-N(L810))</f>
        <v>1125</v>
      </c>
      <c r="S810" s="23" t="n">
        <f aca="false">SUMIFS(Cadenas_vs_FCST!$D$17:$D$2437,Cadenas_vs_FCST!$A$17:$A$2437,A810)</f>
        <v>0</v>
      </c>
      <c r="T810" s="23" t="n">
        <f aca="false">SUMIFS(Cadenas_vs_FCST!$E$17:$E$2437,Cadenas_vs_FCST!$A$17:$A$2437,A810)</f>
        <v>0</v>
      </c>
      <c r="U810" s="24" t="str">
        <f aca="false">IF(T810&gt;0,S810/T810-1,"")</f>
        <v/>
      </c>
      <c r="V810" s="3" t="str">
        <f aca="false">IF(OR(E810="BAJO SS",E810="BAJO SS (XLIB CUBRE)"),"SÍ","")</f>
        <v/>
      </c>
      <c r="W810" s="3" t="str">
        <f aca="false">IF(AND(V810="",N(L810)&gt;=Parametros!$B$17,G810&gt;=H810,R810&lt;H810),"SÍ","")</f>
        <v/>
      </c>
      <c r="X810" s="3" t="str">
        <f aca="false">IF(OR(E810="SOBRE MAX VENDIBLE",N(N810)&gt;=Parametros!$B$17,N(M810)&gt;=Parametros!$B$17),"SÍ","")</f>
        <v/>
      </c>
      <c r="Y810" s="3" t="str">
        <f aca="false">IF(AND(ISNUMBER(U810),MAX(S810,T810)&gt;=Parametros!$B$15,ABS(N(U810))&gt;Parametros!$B$14),"SÍ","")</f>
        <v/>
      </c>
      <c r="Z810" s="3" t="n">
        <f aca="false">COUNTIF(V810:Y810,"SÍ")</f>
        <v>0</v>
      </c>
      <c r="AA810" s="3" t="n">
        <f aca="false">(3*(V810="SÍ")+2*(W810="SÍ")+2*(X810="SÍ")+(Y810="SÍ"))*IF(LEFT(D810,1)="A",3,IF(OR(LEFT(D810,1)="B",D810="SIN HIST"),2,1))</f>
        <v>0</v>
      </c>
      <c r="AB810" s="3" t="str">
        <f aca="false">IF(AA810&gt;=9,"1-ALTA",IF(AA810&gt;=4,"2-MEDIA",IF(AA810&gt;0,"3-BAJA","")))</f>
        <v/>
      </c>
      <c r="AC810" s="3" t="str">
        <f aca="false">IF(E810="BAJO SS","Stock + XLIB bajo el SS: riesgo real de quiebre, adelantar producción. ","")&amp;IF(E810="BAJO SS (XLIB CUBRE)","Disponible bajo el SS; depende de liberar "&amp;TEXT(J810,"#,##0")&amp;" kg"&amp;IF(ISNUMBER(K810)," el "&amp;TEXT(K810,"dd-mm"),"")&amp;". ","")&amp;IF(W810="SÍ","Stock parece sano pero "&amp;TEXT(L810,"#,##0")&amp;" kg no pasan filtro "&amp;Stock_Seguridad!O810&amp;": sin ellos queda bajo el SS para esa cadena. ","")&amp;IF(E810="SOBRE MAX VENDIBLE","Sobrestock vs vida útil: frenar producción/activar venta. ","")&amp;IF(N(N810)&gt;=Parametros!$B$17,TEXT(N810,"#,##0")&amp;" kg ya no los acepta ninguna cadena: venta intermedia/liquidación. ","")&amp;IF(N(M810)&gt;=Parametros!$B$17,TEXT(M810,"#,##0")&amp;" kg a punto de salir del filtro: despachar primero (FEFO). ","")&amp;IF(Y810="SÍ","Pedidos "&amp;IF(N(U810)&gt;0,"sobre","bajo")&amp;" FCST "&amp;TEXT(ABS(N(U810)),"0%")&amp;": revisar forecast con KAM.","")</f>
        <v/>
      </c>
    </row>
    <row r="811" customFormat="false" ht="15" hidden="false" customHeight="false" outlineLevel="0" collapsed="false">
      <c r="A811" s="18" t="n">
        <f aca="false">Stock_Seguridad!A811</f>
        <v>30000589</v>
      </c>
      <c r="B811" s="18" t="str">
        <f aca="false">Stock_Seguridad!B811</f>
        <v>VINO TTO RSVA ESP VSC CR BOT 6X750ML</v>
      </c>
      <c r="C811" s="18" t="str">
        <f aca="false">Stock_Seguridad!C811</f>
        <v>VINOS</v>
      </c>
      <c r="D811" s="18" t="str">
        <f aca="false">Stock_Seguridad!F811</f>
        <v>SIN HIST</v>
      </c>
      <c r="E811" s="19" t="str">
        <f aca="false">Stock_Seguridad!X811</f>
        <v>SIN FCST</v>
      </c>
      <c r="F811" s="20" t="str">
        <f aca="false">Stock_Seguridad!W811</f>
        <v/>
      </c>
      <c r="G811" s="21" t="n">
        <f aca="false">Stock_Seguridad!T811</f>
        <v>1687.5</v>
      </c>
      <c r="H811" s="21" t="n">
        <f aca="false">Stock_Seguridad!R811</f>
        <v>0</v>
      </c>
      <c r="I811" s="21" t="n">
        <f aca="false">Stock_Seguridad!S811</f>
        <v>0</v>
      </c>
      <c r="J811" s="21" t="n">
        <f aca="false">Stock_Seguridad!U811</f>
        <v>0</v>
      </c>
      <c r="K811" s="22"/>
      <c r="L811" s="23" t="n">
        <v>0</v>
      </c>
      <c r="M811" s="23" t="n">
        <v>0</v>
      </c>
      <c r="N811" s="23" t="n">
        <v>0</v>
      </c>
      <c r="O811" s="24" t="n">
        <v>0.21224</v>
      </c>
      <c r="P811" s="24" t="str">
        <f aca="false">IF(ISNUMBER(Stock_Seguridad!N811),Stock_Seguridad!N811,"")</f>
        <v/>
      </c>
      <c r="Q811" s="24" t="str">
        <f aca="false">IF(AND(ISNUMBER(O811),ISNUMBER(P811)),P811-O811,"")</f>
        <v/>
      </c>
      <c r="R811" s="23" t="n">
        <f aca="false">MAX(0,G811-N(L811))</f>
        <v>1687.5</v>
      </c>
      <c r="S811" s="23" t="n">
        <f aca="false">SUMIFS(Cadenas_vs_FCST!$D$17:$D$2437,Cadenas_vs_FCST!$A$17:$A$2437,A811)</f>
        <v>0</v>
      </c>
      <c r="T811" s="23" t="n">
        <f aca="false">SUMIFS(Cadenas_vs_FCST!$E$17:$E$2437,Cadenas_vs_FCST!$A$17:$A$2437,A811)</f>
        <v>0</v>
      </c>
      <c r="U811" s="24" t="str">
        <f aca="false">IF(T811&gt;0,S811/T811-1,"")</f>
        <v/>
      </c>
      <c r="V811" s="3" t="str">
        <f aca="false">IF(OR(E811="BAJO SS",E811="BAJO SS (XLIB CUBRE)"),"SÍ","")</f>
        <v/>
      </c>
      <c r="W811" s="3" t="str">
        <f aca="false">IF(AND(V811="",N(L811)&gt;=Parametros!$B$17,G811&gt;=H811,R811&lt;H811),"SÍ","")</f>
        <v/>
      </c>
      <c r="X811" s="3" t="str">
        <f aca="false">IF(OR(E811="SOBRE MAX VENDIBLE",N(N811)&gt;=Parametros!$B$17,N(M811)&gt;=Parametros!$B$17),"SÍ","")</f>
        <v/>
      </c>
      <c r="Y811" s="3" t="str">
        <f aca="false">IF(AND(ISNUMBER(U811),MAX(S811,T811)&gt;=Parametros!$B$15,ABS(N(U811))&gt;Parametros!$B$14),"SÍ","")</f>
        <v/>
      </c>
      <c r="Z811" s="3" t="n">
        <f aca="false">COUNTIF(V811:Y811,"SÍ")</f>
        <v>0</v>
      </c>
      <c r="AA811" s="3" t="n">
        <f aca="false">(3*(V811="SÍ")+2*(W811="SÍ")+2*(X811="SÍ")+(Y811="SÍ"))*IF(LEFT(D811,1)="A",3,IF(OR(LEFT(D811,1)="B",D811="SIN HIST"),2,1))</f>
        <v>0</v>
      </c>
      <c r="AB811" s="3" t="str">
        <f aca="false">IF(AA811&gt;=9,"1-ALTA",IF(AA811&gt;=4,"2-MEDIA",IF(AA811&gt;0,"3-BAJA","")))</f>
        <v/>
      </c>
      <c r="AC811" s="3" t="str">
        <f aca="false">IF(E811="BAJO SS","Stock + XLIB bajo el SS: riesgo real de quiebre, adelantar producción. ","")&amp;IF(E811="BAJO SS (XLIB CUBRE)","Disponible bajo el SS; depende de liberar "&amp;TEXT(J811,"#,##0")&amp;" kg"&amp;IF(ISNUMBER(K811)," el "&amp;TEXT(K811,"dd-mm"),"")&amp;". ","")&amp;IF(W811="SÍ","Stock parece sano pero "&amp;TEXT(L811,"#,##0")&amp;" kg no pasan filtro "&amp;Stock_Seguridad!O811&amp;": sin ellos queda bajo el SS para esa cadena. ","")&amp;IF(E811="SOBRE MAX VENDIBLE","Sobrestock vs vida útil: frenar producción/activar venta. ","")&amp;IF(N(N811)&gt;=Parametros!$B$17,TEXT(N811,"#,##0")&amp;" kg ya no los acepta ninguna cadena: venta intermedia/liquidación. ","")&amp;IF(N(M811)&gt;=Parametros!$B$17,TEXT(M811,"#,##0")&amp;" kg a punto de salir del filtro: despachar primero (FEFO). ","")&amp;IF(Y811="SÍ","Pedidos "&amp;IF(N(U811)&gt;0,"sobre","bajo")&amp;" FCST "&amp;TEXT(ABS(N(U811)),"0%")&amp;": revisar forecast con KAM.","")</f>
        <v/>
      </c>
    </row>
    <row r="812" customFormat="false" ht="15" hidden="false" customHeight="false" outlineLevel="0" collapsed="false">
      <c r="A812" s="18" t="n">
        <f aca="false">Stock_Seguridad!A812</f>
        <v>30000588</v>
      </c>
      <c r="B812" s="18" t="str">
        <f aca="false">Stock_Seguridad!B812</f>
        <v>VINO TTO RSVA ESP VSC CS BOT 6X750ML</v>
      </c>
      <c r="C812" s="18" t="str">
        <f aca="false">Stock_Seguridad!C812</f>
        <v>VINOS</v>
      </c>
      <c r="D812" s="18" t="str">
        <f aca="false">Stock_Seguridad!F812</f>
        <v>SIN HIST</v>
      </c>
      <c r="E812" s="19" t="str">
        <f aca="false">Stock_Seguridad!X812</f>
        <v>SIN FCST</v>
      </c>
      <c r="F812" s="20" t="str">
        <f aca="false">Stock_Seguridad!W812</f>
        <v/>
      </c>
      <c r="G812" s="21" t="n">
        <f aca="false">Stock_Seguridad!T812</f>
        <v>1759.5</v>
      </c>
      <c r="H812" s="21" t="n">
        <f aca="false">Stock_Seguridad!R812</f>
        <v>0</v>
      </c>
      <c r="I812" s="21" t="n">
        <f aca="false">Stock_Seguridad!S812</f>
        <v>0</v>
      </c>
      <c r="J812" s="21" t="n">
        <f aca="false">Stock_Seguridad!U812</f>
        <v>0</v>
      </c>
      <c r="K812" s="22"/>
      <c r="L812" s="23" t="n">
        <v>0</v>
      </c>
      <c r="M812" s="23" t="n">
        <v>0</v>
      </c>
      <c r="N812" s="23" t="n">
        <v>0</v>
      </c>
      <c r="O812" s="24" t="n">
        <v>0.293401534526854</v>
      </c>
      <c r="P812" s="24" t="str">
        <f aca="false">IF(ISNUMBER(Stock_Seguridad!N812),Stock_Seguridad!N812,"")</f>
        <v/>
      </c>
      <c r="Q812" s="24" t="str">
        <f aca="false">IF(AND(ISNUMBER(O812),ISNUMBER(P812)),P812-O812,"")</f>
        <v/>
      </c>
      <c r="R812" s="23" t="n">
        <f aca="false">MAX(0,G812-N(L812))</f>
        <v>1759.5</v>
      </c>
      <c r="S812" s="23" t="n">
        <f aca="false">SUMIFS(Cadenas_vs_FCST!$D$17:$D$2437,Cadenas_vs_FCST!$A$17:$A$2437,A812)</f>
        <v>0</v>
      </c>
      <c r="T812" s="23" t="n">
        <f aca="false">SUMIFS(Cadenas_vs_FCST!$E$17:$E$2437,Cadenas_vs_FCST!$A$17:$A$2437,A812)</f>
        <v>0</v>
      </c>
      <c r="U812" s="24" t="str">
        <f aca="false">IF(T812&gt;0,S812/T812-1,"")</f>
        <v/>
      </c>
      <c r="V812" s="3" t="str">
        <f aca="false">IF(OR(E812="BAJO SS",E812="BAJO SS (XLIB CUBRE)"),"SÍ","")</f>
        <v/>
      </c>
      <c r="W812" s="3" t="str">
        <f aca="false">IF(AND(V812="",N(L812)&gt;=Parametros!$B$17,G812&gt;=H812,R812&lt;H812),"SÍ","")</f>
        <v/>
      </c>
      <c r="X812" s="3" t="str">
        <f aca="false">IF(OR(E812="SOBRE MAX VENDIBLE",N(N812)&gt;=Parametros!$B$17,N(M812)&gt;=Parametros!$B$17),"SÍ","")</f>
        <v/>
      </c>
      <c r="Y812" s="3" t="str">
        <f aca="false">IF(AND(ISNUMBER(U812),MAX(S812,T812)&gt;=Parametros!$B$15,ABS(N(U812))&gt;Parametros!$B$14),"SÍ","")</f>
        <v/>
      </c>
      <c r="Z812" s="3" t="n">
        <f aca="false">COUNTIF(V812:Y812,"SÍ")</f>
        <v>0</v>
      </c>
      <c r="AA812" s="3" t="n">
        <f aca="false">(3*(V812="SÍ")+2*(W812="SÍ")+2*(X812="SÍ")+(Y812="SÍ"))*IF(LEFT(D812,1)="A",3,IF(OR(LEFT(D812,1)="B",D812="SIN HIST"),2,1))</f>
        <v>0</v>
      </c>
      <c r="AB812" s="3" t="str">
        <f aca="false">IF(AA812&gt;=9,"1-ALTA",IF(AA812&gt;=4,"2-MEDIA",IF(AA812&gt;0,"3-BAJA","")))</f>
        <v/>
      </c>
      <c r="AC812" s="3" t="str">
        <f aca="false">IF(E812="BAJO SS","Stock + XLIB bajo el SS: riesgo real de quiebre, adelantar producción. ","")&amp;IF(E812="BAJO SS (XLIB CUBRE)","Disponible bajo el SS; depende de liberar "&amp;TEXT(J812,"#,##0")&amp;" kg"&amp;IF(ISNUMBER(K812)," el "&amp;TEXT(K812,"dd-mm"),"")&amp;". ","")&amp;IF(W812="SÍ","Stock parece sano pero "&amp;TEXT(L812,"#,##0")&amp;" kg no pasan filtro "&amp;Stock_Seguridad!O812&amp;": sin ellos queda bajo el SS para esa cadena. ","")&amp;IF(E812="SOBRE MAX VENDIBLE","Sobrestock vs vida útil: frenar producción/activar venta. ","")&amp;IF(N(N812)&gt;=Parametros!$B$17,TEXT(N812,"#,##0")&amp;" kg ya no los acepta ninguna cadena: venta intermedia/liquidación. ","")&amp;IF(N(M812)&gt;=Parametros!$B$17,TEXT(M812,"#,##0")&amp;" kg a punto de salir del filtro: despachar primero (FEFO). ","")&amp;IF(Y812="SÍ","Pedidos "&amp;IF(N(U812)&gt;0,"sobre","bajo")&amp;" FCST "&amp;TEXT(ABS(N(U812)),"0%")&amp;": revisar forecast con KAM.","")</f>
        <v/>
      </c>
    </row>
    <row r="813" customFormat="false" ht="15" hidden="false" customHeight="false" outlineLevel="0" collapsed="false">
      <c r="A813" s="18" t="n">
        <f aca="false">Stock_Seguridad!A813</f>
        <v>30000585</v>
      </c>
      <c r="B813" s="18" t="str">
        <f aca="false">Stock_Seguridad!B813</f>
        <v>VINO TTO OCHAG SILVES ME BOT 12X750ML</v>
      </c>
      <c r="C813" s="18" t="str">
        <f aca="false">Stock_Seguridad!C813</f>
        <v>VINOS</v>
      </c>
      <c r="D813" s="18" t="str">
        <f aca="false">Stock_Seguridad!F813</f>
        <v>SIN HIST</v>
      </c>
      <c r="E813" s="19" t="str">
        <f aca="false">Stock_Seguridad!X813</f>
        <v>SIN FCST</v>
      </c>
      <c r="F813" s="20" t="str">
        <f aca="false">Stock_Seguridad!W813</f>
        <v/>
      </c>
      <c r="G813" s="21" t="n">
        <f aca="false">Stock_Seguridad!T813</f>
        <v>1287</v>
      </c>
      <c r="H813" s="21" t="n">
        <f aca="false">Stock_Seguridad!R813</f>
        <v>0</v>
      </c>
      <c r="I813" s="21" t="n">
        <f aca="false">Stock_Seguridad!S813</f>
        <v>0</v>
      </c>
      <c r="J813" s="21" t="n">
        <f aca="false">Stock_Seguridad!U813</f>
        <v>0</v>
      </c>
      <c r="K813" s="22"/>
      <c r="L813" s="23" t="n">
        <v>0</v>
      </c>
      <c r="M813" s="23" t="n">
        <v>0</v>
      </c>
      <c r="N813" s="23" t="n">
        <v>0</v>
      </c>
      <c r="O813" s="24" t="n">
        <v>0.72965034965035</v>
      </c>
      <c r="P813" s="24" t="str">
        <f aca="false">IF(ISNUMBER(Stock_Seguridad!N813),Stock_Seguridad!N813,"")</f>
        <v/>
      </c>
      <c r="Q813" s="24" t="str">
        <f aca="false">IF(AND(ISNUMBER(O813),ISNUMBER(P813)),P813-O813,"")</f>
        <v/>
      </c>
      <c r="R813" s="23" t="n">
        <f aca="false">MAX(0,G813-N(L813))</f>
        <v>1287</v>
      </c>
      <c r="S813" s="23" t="n">
        <f aca="false">SUMIFS(Cadenas_vs_FCST!$D$17:$D$2437,Cadenas_vs_FCST!$A$17:$A$2437,A813)</f>
        <v>0</v>
      </c>
      <c r="T813" s="23" t="n">
        <f aca="false">SUMIFS(Cadenas_vs_FCST!$E$17:$E$2437,Cadenas_vs_FCST!$A$17:$A$2437,A813)</f>
        <v>0</v>
      </c>
      <c r="U813" s="24" t="str">
        <f aca="false">IF(T813&gt;0,S813/T813-1,"")</f>
        <v/>
      </c>
      <c r="V813" s="3" t="str">
        <f aca="false">IF(OR(E813="BAJO SS",E813="BAJO SS (XLIB CUBRE)"),"SÍ","")</f>
        <v/>
      </c>
      <c r="W813" s="3" t="str">
        <f aca="false">IF(AND(V813="",N(L813)&gt;=Parametros!$B$17,G813&gt;=H813,R813&lt;H813),"SÍ","")</f>
        <v/>
      </c>
      <c r="X813" s="3" t="str">
        <f aca="false">IF(OR(E813="SOBRE MAX VENDIBLE",N(N813)&gt;=Parametros!$B$17,N(M813)&gt;=Parametros!$B$17),"SÍ","")</f>
        <v/>
      </c>
      <c r="Y813" s="3" t="str">
        <f aca="false">IF(AND(ISNUMBER(U813),MAX(S813,T813)&gt;=Parametros!$B$15,ABS(N(U813))&gt;Parametros!$B$14),"SÍ","")</f>
        <v/>
      </c>
      <c r="Z813" s="3" t="n">
        <f aca="false">COUNTIF(V813:Y813,"SÍ")</f>
        <v>0</v>
      </c>
      <c r="AA813" s="3" t="n">
        <f aca="false">(3*(V813="SÍ")+2*(W813="SÍ")+2*(X813="SÍ")+(Y813="SÍ"))*IF(LEFT(D813,1)="A",3,IF(OR(LEFT(D813,1)="B",D813="SIN HIST"),2,1))</f>
        <v>0</v>
      </c>
      <c r="AB813" s="3" t="str">
        <f aca="false">IF(AA813&gt;=9,"1-ALTA",IF(AA813&gt;=4,"2-MEDIA",IF(AA813&gt;0,"3-BAJA","")))</f>
        <v/>
      </c>
      <c r="AC813" s="3" t="str">
        <f aca="false">IF(E813="BAJO SS","Stock + XLIB bajo el SS: riesgo real de quiebre, adelantar producción. ","")&amp;IF(E813="BAJO SS (XLIB CUBRE)","Disponible bajo el SS; depende de liberar "&amp;TEXT(J813,"#,##0")&amp;" kg"&amp;IF(ISNUMBER(K813)," el "&amp;TEXT(K813,"dd-mm"),"")&amp;". ","")&amp;IF(W813="SÍ","Stock parece sano pero "&amp;TEXT(L813,"#,##0")&amp;" kg no pasan filtro "&amp;Stock_Seguridad!O813&amp;": sin ellos queda bajo el SS para esa cadena. ","")&amp;IF(E813="SOBRE MAX VENDIBLE","Sobrestock vs vida útil: frenar producción/activar venta. ","")&amp;IF(N(N813)&gt;=Parametros!$B$17,TEXT(N813,"#,##0")&amp;" kg ya no los acepta ninguna cadena: venta intermedia/liquidación. ","")&amp;IF(N(M813)&gt;=Parametros!$B$17,TEXT(M813,"#,##0")&amp;" kg a punto de salir del filtro: despachar primero (FEFO). ","")&amp;IF(Y813="SÍ","Pedidos "&amp;IF(N(U813)&gt;0,"sobre","bajo")&amp;" FCST "&amp;TEXT(ABS(N(U813)),"0%")&amp;": revisar forecast con KAM.","")</f>
        <v/>
      </c>
    </row>
    <row r="814" customFormat="false" ht="15" hidden="false" customHeight="false" outlineLevel="0" collapsed="false">
      <c r="A814" s="18" t="n">
        <f aca="false">Stock_Seguridad!A814</f>
        <v>30000584</v>
      </c>
      <c r="B814" s="18" t="str">
        <f aca="false">Stock_Seguridad!B814</f>
        <v>VINO TTO OCHAG SILVES CR BOT 12X750ML</v>
      </c>
      <c r="C814" s="18" t="str">
        <f aca="false">Stock_Seguridad!C814</f>
        <v>VINOS</v>
      </c>
      <c r="D814" s="18" t="str">
        <f aca="false">Stock_Seguridad!F814</f>
        <v>SIN HIST</v>
      </c>
      <c r="E814" s="19" t="str">
        <f aca="false">Stock_Seguridad!X814</f>
        <v>SIN FCST</v>
      </c>
      <c r="F814" s="20" t="str">
        <f aca="false">Stock_Seguridad!W814</f>
        <v/>
      </c>
      <c r="G814" s="21" t="n">
        <f aca="false">Stock_Seguridad!T814</f>
        <v>1872</v>
      </c>
      <c r="H814" s="21" t="n">
        <f aca="false">Stock_Seguridad!R814</f>
        <v>0</v>
      </c>
      <c r="I814" s="21" t="n">
        <f aca="false">Stock_Seguridad!S814</f>
        <v>0</v>
      </c>
      <c r="J814" s="21" t="n">
        <f aca="false">Stock_Seguridad!U814</f>
        <v>0</v>
      </c>
      <c r="K814" s="22"/>
      <c r="L814" s="23" t="n">
        <v>0</v>
      </c>
      <c r="M814" s="23" t="n">
        <v>0</v>
      </c>
      <c r="N814" s="23" t="n">
        <v>0</v>
      </c>
      <c r="O814" s="24" t="n">
        <v>0.781201923076923</v>
      </c>
      <c r="P814" s="24" t="str">
        <f aca="false">IF(ISNUMBER(Stock_Seguridad!N814),Stock_Seguridad!N814,"")</f>
        <v/>
      </c>
      <c r="Q814" s="24" t="str">
        <f aca="false">IF(AND(ISNUMBER(O814),ISNUMBER(P814)),P814-O814,"")</f>
        <v/>
      </c>
      <c r="R814" s="23" t="n">
        <f aca="false">MAX(0,G814-N(L814))</f>
        <v>1872</v>
      </c>
      <c r="S814" s="23" t="n">
        <f aca="false">SUMIFS(Cadenas_vs_FCST!$D$17:$D$2437,Cadenas_vs_FCST!$A$17:$A$2437,A814)</f>
        <v>0</v>
      </c>
      <c r="T814" s="23" t="n">
        <f aca="false">SUMIFS(Cadenas_vs_FCST!$E$17:$E$2437,Cadenas_vs_FCST!$A$17:$A$2437,A814)</f>
        <v>0</v>
      </c>
      <c r="U814" s="24" t="str">
        <f aca="false">IF(T814&gt;0,S814/T814-1,"")</f>
        <v/>
      </c>
      <c r="V814" s="3" t="str">
        <f aca="false">IF(OR(E814="BAJO SS",E814="BAJO SS (XLIB CUBRE)"),"SÍ","")</f>
        <v/>
      </c>
      <c r="W814" s="3" t="str">
        <f aca="false">IF(AND(V814="",N(L814)&gt;=Parametros!$B$17,G814&gt;=H814,R814&lt;H814),"SÍ","")</f>
        <v/>
      </c>
      <c r="X814" s="3" t="str">
        <f aca="false">IF(OR(E814="SOBRE MAX VENDIBLE",N(N814)&gt;=Parametros!$B$17,N(M814)&gt;=Parametros!$B$17),"SÍ","")</f>
        <v/>
      </c>
      <c r="Y814" s="3" t="str">
        <f aca="false">IF(AND(ISNUMBER(U814),MAX(S814,T814)&gt;=Parametros!$B$15,ABS(N(U814))&gt;Parametros!$B$14),"SÍ","")</f>
        <v/>
      </c>
      <c r="Z814" s="3" t="n">
        <f aca="false">COUNTIF(V814:Y814,"SÍ")</f>
        <v>0</v>
      </c>
      <c r="AA814" s="3" t="n">
        <f aca="false">(3*(V814="SÍ")+2*(W814="SÍ")+2*(X814="SÍ")+(Y814="SÍ"))*IF(LEFT(D814,1)="A",3,IF(OR(LEFT(D814,1)="B",D814="SIN HIST"),2,1))</f>
        <v>0</v>
      </c>
      <c r="AB814" s="3" t="str">
        <f aca="false">IF(AA814&gt;=9,"1-ALTA",IF(AA814&gt;=4,"2-MEDIA",IF(AA814&gt;0,"3-BAJA","")))</f>
        <v/>
      </c>
      <c r="AC814" s="3" t="str">
        <f aca="false">IF(E814="BAJO SS","Stock + XLIB bajo el SS: riesgo real de quiebre, adelantar producción. ","")&amp;IF(E814="BAJO SS (XLIB CUBRE)","Disponible bajo el SS; depende de liberar "&amp;TEXT(J814,"#,##0")&amp;" kg"&amp;IF(ISNUMBER(K814)," el "&amp;TEXT(K814,"dd-mm"),"")&amp;". ","")&amp;IF(W814="SÍ","Stock parece sano pero "&amp;TEXT(L814,"#,##0")&amp;" kg no pasan filtro "&amp;Stock_Seguridad!O814&amp;": sin ellos queda bajo el SS para esa cadena. ","")&amp;IF(E814="SOBRE MAX VENDIBLE","Sobrestock vs vida útil: frenar producción/activar venta. ","")&amp;IF(N(N814)&gt;=Parametros!$B$17,TEXT(N814,"#,##0")&amp;" kg ya no los acepta ninguna cadena: venta intermedia/liquidación. ","")&amp;IF(N(M814)&gt;=Parametros!$B$17,TEXT(M814,"#,##0")&amp;" kg a punto de salir del filtro: despachar primero (FEFO). ","")&amp;IF(Y814="SÍ","Pedidos "&amp;IF(N(U814)&gt;0,"sobre","bajo")&amp;" FCST "&amp;TEXT(ABS(N(U814)),"0%")&amp;": revisar forecast con KAM.","")</f>
        <v/>
      </c>
    </row>
    <row r="815" customFormat="false" ht="15" hidden="false" customHeight="false" outlineLevel="0" collapsed="false">
      <c r="A815" s="18" t="n">
        <f aca="false">Stock_Seguridad!A815</f>
        <v>30000582</v>
      </c>
      <c r="B815" s="18" t="str">
        <f aca="false">Stock_Seguridad!B815</f>
        <v>VINO BCO OCHAGAV SB RVA BOT 12X750ML</v>
      </c>
      <c r="C815" s="18" t="str">
        <f aca="false">Stock_Seguridad!C815</f>
        <v>VINOS</v>
      </c>
      <c r="D815" s="18" t="str">
        <f aca="false">Stock_Seguridad!F815</f>
        <v>SIN HIST</v>
      </c>
      <c r="E815" s="19" t="str">
        <f aca="false">Stock_Seguridad!X815</f>
        <v>SIN FCST</v>
      </c>
      <c r="F815" s="20" t="str">
        <f aca="false">Stock_Seguridad!W815</f>
        <v/>
      </c>
      <c r="G815" s="21" t="n">
        <f aca="false">Stock_Seguridad!T815</f>
        <v>711</v>
      </c>
      <c r="H815" s="21" t="n">
        <f aca="false">Stock_Seguridad!R815</f>
        <v>0</v>
      </c>
      <c r="I815" s="21" t="n">
        <f aca="false">Stock_Seguridad!S815</f>
        <v>0</v>
      </c>
      <c r="J815" s="21" t="n">
        <f aca="false">Stock_Seguridad!U815</f>
        <v>0</v>
      </c>
      <c r="K815" s="22"/>
      <c r="L815" s="23" t="n">
        <v>0</v>
      </c>
      <c r="M815" s="23" t="n">
        <v>0</v>
      </c>
      <c r="N815" s="23" t="n">
        <v>0</v>
      </c>
      <c r="O815" s="24" t="n">
        <v>0.429240506329114</v>
      </c>
      <c r="P815" s="24" t="str">
        <f aca="false">IF(ISNUMBER(Stock_Seguridad!N815),Stock_Seguridad!N815,"")</f>
        <v/>
      </c>
      <c r="Q815" s="24" t="str">
        <f aca="false">IF(AND(ISNUMBER(O815),ISNUMBER(P815)),P815-O815,"")</f>
        <v/>
      </c>
      <c r="R815" s="23" t="n">
        <f aca="false">MAX(0,G815-N(L815))</f>
        <v>711</v>
      </c>
      <c r="S815" s="23" t="n">
        <f aca="false">SUMIFS(Cadenas_vs_FCST!$D$17:$D$2437,Cadenas_vs_FCST!$A$17:$A$2437,A815)</f>
        <v>0</v>
      </c>
      <c r="T815" s="23" t="n">
        <f aca="false">SUMIFS(Cadenas_vs_FCST!$E$17:$E$2437,Cadenas_vs_FCST!$A$17:$A$2437,A815)</f>
        <v>0</v>
      </c>
      <c r="U815" s="24" t="str">
        <f aca="false">IF(T815&gt;0,S815/T815-1,"")</f>
        <v/>
      </c>
      <c r="V815" s="3" t="str">
        <f aca="false">IF(OR(E815="BAJO SS",E815="BAJO SS (XLIB CUBRE)"),"SÍ","")</f>
        <v/>
      </c>
      <c r="W815" s="3" t="str">
        <f aca="false">IF(AND(V815="",N(L815)&gt;=Parametros!$B$17,G815&gt;=H815,R815&lt;H815),"SÍ","")</f>
        <v/>
      </c>
      <c r="X815" s="3" t="str">
        <f aca="false">IF(OR(E815="SOBRE MAX VENDIBLE",N(N815)&gt;=Parametros!$B$17,N(M815)&gt;=Parametros!$B$17),"SÍ","")</f>
        <v/>
      </c>
      <c r="Y815" s="3" t="str">
        <f aca="false">IF(AND(ISNUMBER(U815),MAX(S815,T815)&gt;=Parametros!$B$15,ABS(N(U815))&gt;Parametros!$B$14),"SÍ","")</f>
        <v/>
      </c>
      <c r="Z815" s="3" t="n">
        <f aca="false">COUNTIF(V815:Y815,"SÍ")</f>
        <v>0</v>
      </c>
      <c r="AA815" s="3" t="n">
        <f aca="false">(3*(V815="SÍ")+2*(W815="SÍ")+2*(X815="SÍ")+(Y815="SÍ"))*IF(LEFT(D815,1)="A",3,IF(OR(LEFT(D815,1)="B",D815="SIN HIST"),2,1))</f>
        <v>0</v>
      </c>
      <c r="AB815" s="3" t="str">
        <f aca="false">IF(AA815&gt;=9,"1-ALTA",IF(AA815&gt;=4,"2-MEDIA",IF(AA815&gt;0,"3-BAJA","")))</f>
        <v/>
      </c>
      <c r="AC815" s="3" t="str">
        <f aca="false">IF(E815="BAJO SS","Stock + XLIB bajo el SS: riesgo real de quiebre, adelantar producción. ","")&amp;IF(E815="BAJO SS (XLIB CUBRE)","Disponible bajo el SS; depende de liberar "&amp;TEXT(J815,"#,##0")&amp;" kg"&amp;IF(ISNUMBER(K815)," el "&amp;TEXT(K815,"dd-mm"),"")&amp;". ","")&amp;IF(W815="SÍ","Stock parece sano pero "&amp;TEXT(L815,"#,##0")&amp;" kg no pasan filtro "&amp;Stock_Seguridad!O815&amp;": sin ellos queda bajo el SS para esa cadena. ","")&amp;IF(E815="SOBRE MAX VENDIBLE","Sobrestock vs vida útil: frenar producción/activar venta. ","")&amp;IF(N(N815)&gt;=Parametros!$B$17,TEXT(N815,"#,##0")&amp;" kg ya no los acepta ninguna cadena: venta intermedia/liquidación. ","")&amp;IF(N(M815)&gt;=Parametros!$B$17,TEXT(M815,"#,##0")&amp;" kg a punto de salir del filtro: despachar primero (FEFO). ","")&amp;IF(Y815="SÍ","Pedidos "&amp;IF(N(U815)&gt;0,"sobre","bajo")&amp;" FCST "&amp;TEXT(ABS(N(U815)),"0%")&amp;": revisar forecast con KAM.","")</f>
        <v/>
      </c>
    </row>
    <row r="816" customFormat="false" ht="15" hidden="false" customHeight="false" outlineLevel="0" collapsed="false">
      <c r="A816" s="18" t="n">
        <f aca="false">Stock_Seguridad!A816</f>
        <v>30000579</v>
      </c>
      <c r="B816" s="18" t="str">
        <f aca="false">Stock_Seguridad!B816</f>
        <v>VINO TTO PLATA MECS 13,5° BOT 6X750ML</v>
      </c>
      <c r="C816" s="18" t="str">
        <f aca="false">Stock_Seguridad!C816</f>
        <v>VINOS</v>
      </c>
      <c r="D816" s="18" t="str">
        <f aca="false">Stock_Seguridad!F816</f>
        <v>SIN HIST</v>
      </c>
      <c r="E816" s="19" t="str">
        <f aca="false">Stock_Seguridad!X816</f>
        <v>SIN FCST</v>
      </c>
      <c r="F816" s="20" t="str">
        <f aca="false">Stock_Seguridad!W816</f>
        <v/>
      </c>
      <c r="G816" s="21" t="n">
        <f aca="false">Stock_Seguridad!T816</f>
        <v>99</v>
      </c>
      <c r="H816" s="21" t="n">
        <f aca="false">Stock_Seguridad!R816</f>
        <v>0</v>
      </c>
      <c r="I816" s="21" t="n">
        <f aca="false">Stock_Seguridad!S816</f>
        <v>0</v>
      </c>
      <c r="J816" s="21" t="n">
        <f aca="false">Stock_Seguridad!U816</f>
        <v>0</v>
      </c>
      <c r="K816" s="22"/>
      <c r="L816" s="23" t="n">
        <v>0</v>
      </c>
      <c r="M816" s="23" t="n">
        <v>0</v>
      </c>
      <c r="N816" s="23" t="n">
        <v>0</v>
      </c>
      <c r="O816" s="24" t="n">
        <v>0.840952380952381</v>
      </c>
      <c r="P816" s="24" t="str">
        <f aca="false">IF(ISNUMBER(Stock_Seguridad!N816),Stock_Seguridad!N816,"")</f>
        <v/>
      </c>
      <c r="Q816" s="24" t="str">
        <f aca="false">IF(AND(ISNUMBER(O816),ISNUMBER(P816)),P816-O816,"")</f>
        <v/>
      </c>
      <c r="R816" s="23" t="n">
        <f aca="false">MAX(0,G816-N(L816))</f>
        <v>99</v>
      </c>
      <c r="S816" s="23" t="n">
        <f aca="false">SUMIFS(Cadenas_vs_FCST!$D$17:$D$2437,Cadenas_vs_FCST!$A$17:$A$2437,A816)</f>
        <v>0</v>
      </c>
      <c r="T816" s="23" t="n">
        <f aca="false">SUMIFS(Cadenas_vs_FCST!$E$17:$E$2437,Cadenas_vs_FCST!$A$17:$A$2437,A816)</f>
        <v>0</v>
      </c>
      <c r="U816" s="24" t="str">
        <f aca="false">IF(T816&gt;0,S816/T816-1,"")</f>
        <v/>
      </c>
      <c r="V816" s="3" t="str">
        <f aca="false">IF(OR(E816="BAJO SS",E816="BAJO SS (XLIB CUBRE)"),"SÍ","")</f>
        <v/>
      </c>
      <c r="W816" s="3" t="str">
        <f aca="false">IF(AND(V816="",N(L816)&gt;=Parametros!$B$17,G816&gt;=H816,R816&lt;H816),"SÍ","")</f>
        <v/>
      </c>
      <c r="X816" s="3" t="str">
        <f aca="false">IF(OR(E816="SOBRE MAX VENDIBLE",N(N816)&gt;=Parametros!$B$17,N(M816)&gt;=Parametros!$B$17),"SÍ","")</f>
        <v/>
      </c>
      <c r="Y816" s="3" t="str">
        <f aca="false">IF(AND(ISNUMBER(U816),MAX(S816,T816)&gt;=Parametros!$B$15,ABS(N(U816))&gt;Parametros!$B$14),"SÍ","")</f>
        <v/>
      </c>
      <c r="Z816" s="3" t="n">
        <f aca="false">COUNTIF(V816:Y816,"SÍ")</f>
        <v>0</v>
      </c>
      <c r="AA816" s="3" t="n">
        <f aca="false">(3*(V816="SÍ")+2*(W816="SÍ")+2*(X816="SÍ")+(Y816="SÍ"))*IF(LEFT(D816,1)="A",3,IF(OR(LEFT(D816,1)="B",D816="SIN HIST"),2,1))</f>
        <v>0</v>
      </c>
      <c r="AB816" s="3" t="str">
        <f aca="false">IF(AA816&gt;=9,"1-ALTA",IF(AA816&gt;=4,"2-MEDIA",IF(AA816&gt;0,"3-BAJA","")))</f>
        <v/>
      </c>
      <c r="AC816" s="3" t="str">
        <f aca="false">IF(E816="BAJO SS","Stock + XLIB bajo el SS: riesgo real de quiebre, adelantar producción. ","")&amp;IF(E816="BAJO SS (XLIB CUBRE)","Disponible bajo el SS; depende de liberar "&amp;TEXT(J816,"#,##0")&amp;" kg"&amp;IF(ISNUMBER(K816)," el "&amp;TEXT(K816,"dd-mm"),"")&amp;". ","")&amp;IF(W816="SÍ","Stock parece sano pero "&amp;TEXT(L816,"#,##0")&amp;" kg no pasan filtro "&amp;Stock_Seguridad!O816&amp;": sin ellos queda bajo el SS para esa cadena. ","")&amp;IF(E816="SOBRE MAX VENDIBLE","Sobrestock vs vida útil: frenar producción/activar venta. ","")&amp;IF(N(N816)&gt;=Parametros!$B$17,TEXT(N816,"#,##0")&amp;" kg ya no los acepta ninguna cadena: venta intermedia/liquidación. ","")&amp;IF(N(M816)&gt;=Parametros!$B$17,TEXT(M816,"#,##0")&amp;" kg a punto de salir del filtro: despachar primero (FEFO). ","")&amp;IF(Y816="SÍ","Pedidos "&amp;IF(N(U816)&gt;0,"sobre","bajo")&amp;" FCST "&amp;TEXT(ABS(N(U816)),"0%")&amp;": revisar forecast con KAM.","")</f>
        <v/>
      </c>
    </row>
    <row r="817" customFormat="false" ht="15" hidden="false" customHeight="false" outlineLevel="0" collapsed="false">
      <c r="A817" s="18" t="n">
        <f aca="false">Stock_Seguridad!A817</f>
        <v>30000296</v>
      </c>
      <c r="B817" s="18" t="str">
        <f aca="false">Stock_Seguridad!B817</f>
        <v>VINO TTO OCHAGAV CS RVA BOT 12X750ML</v>
      </c>
      <c r="C817" s="18" t="str">
        <f aca="false">Stock_Seguridad!C817</f>
        <v>VINOS</v>
      </c>
      <c r="D817" s="18" t="str">
        <f aca="false">Stock_Seguridad!F817</f>
        <v>SIN HIST</v>
      </c>
      <c r="E817" s="19" t="str">
        <f aca="false">Stock_Seguridad!X817</f>
        <v>SIN FCST</v>
      </c>
      <c r="F817" s="20" t="str">
        <f aca="false">Stock_Seguridad!W817</f>
        <v/>
      </c>
      <c r="G817" s="21" t="n">
        <f aca="false">Stock_Seguridad!T817</f>
        <v>1323</v>
      </c>
      <c r="H817" s="21" t="n">
        <f aca="false">Stock_Seguridad!R817</f>
        <v>0</v>
      </c>
      <c r="I817" s="21" t="n">
        <f aca="false">Stock_Seguridad!S817</f>
        <v>0</v>
      </c>
      <c r="J817" s="21" t="n">
        <f aca="false">Stock_Seguridad!U817</f>
        <v>0</v>
      </c>
      <c r="K817" s="22"/>
      <c r="L817" s="23" t="n">
        <v>0</v>
      </c>
      <c r="M817" s="23" t="n">
        <v>0</v>
      </c>
      <c r="N817" s="23" t="n">
        <v>0</v>
      </c>
      <c r="O817" s="24" t="n">
        <v>0.419727891156463</v>
      </c>
      <c r="P817" s="24" t="str">
        <f aca="false">IF(ISNUMBER(Stock_Seguridad!N817),Stock_Seguridad!N817,"")</f>
        <v/>
      </c>
      <c r="Q817" s="24" t="str">
        <f aca="false">IF(AND(ISNUMBER(O817),ISNUMBER(P817)),P817-O817,"")</f>
        <v/>
      </c>
      <c r="R817" s="23" t="n">
        <f aca="false">MAX(0,G817-N(L817))</f>
        <v>1323</v>
      </c>
      <c r="S817" s="23" t="n">
        <f aca="false">SUMIFS(Cadenas_vs_FCST!$D$17:$D$2437,Cadenas_vs_FCST!$A$17:$A$2437,A817)</f>
        <v>0</v>
      </c>
      <c r="T817" s="23" t="n">
        <f aca="false">SUMIFS(Cadenas_vs_FCST!$E$17:$E$2437,Cadenas_vs_FCST!$A$17:$A$2437,A817)</f>
        <v>0</v>
      </c>
      <c r="U817" s="24" t="str">
        <f aca="false">IF(T817&gt;0,S817/T817-1,"")</f>
        <v/>
      </c>
      <c r="V817" s="3" t="str">
        <f aca="false">IF(OR(E817="BAJO SS",E817="BAJO SS (XLIB CUBRE)"),"SÍ","")</f>
        <v/>
      </c>
      <c r="W817" s="3" t="str">
        <f aca="false">IF(AND(V817="",N(L817)&gt;=Parametros!$B$17,G817&gt;=H817,R817&lt;H817),"SÍ","")</f>
        <v/>
      </c>
      <c r="X817" s="3" t="str">
        <f aca="false">IF(OR(E817="SOBRE MAX VENDIBLE",N(N817)&gt;=Parametros!$B$17,N(M817)&gt;=Parametros!$B$17),"SÍ","")</f>
        <v/>
      </c>
      <c r="Y817" s="3" t="str">
        <f aca="false">IF(AND(ISNUMBER(U817),MAX(S817,T817)&gt;=Parametros!$B$15,ABS(N(U817))&gt;Parametros!$B$14),"SÍ","")</f>
        <v/>
      </c>
      <c r="Z817" s="3" t="n">
        <f aca="false">COUNTIF(V817:Y817,"SÍ")</f>
        <v>0</v>
      </c>
      <c r="AA817" s="3" t="n">
        <f aca="false">(3*(V817="SÍ")+2*(W817="SÍ")+2*(X817="SÍ")+(Y817="SÍ"))*IF(LEFT(D817,1)="A",3,IF(OR(LEFT(D817,1)="B",D817="SIN HIST"),2,1))</f>
        <v>0</v>
      </c>
      <c r="AB817" s="3" t="str">
        <f aca="false">IF(AA817&gt;=9,"1-ALTA",IF(AA817&gt;=4,"2-MEDIA",IF(AA817&gt;0,"3-BAJA","")))</f>
        <v/>
      </c>
      <c r="AC817" s="3" t="str">
        <f aca="false">IF(E817="BAJO SS","Stock + XLIB bajo el SS: riesgo real de quiebre, adelantar producción. ","")&amp;IF(E817="BAJO SS (XLIB CUBRE)","Disponible bajo el SS; depende de liberar "&amp;TEXT(J817,"#,##0")&amp;" kg"&amp;IF(ISNUMBER(K817)," el "&amp;TEXT(K817,"dd-mm"),"")&amp;". ","")&amp;IF(W817="SÍ","Stock parece sano pero "&amp;TEXT(L817,"#,##0")&amp;" kg no pasan filtro "&amp;Stock_Seguridad!O817&amp;": sin ellos queda bajo el SS para esa cadena. ","")&amp;IF(E817="SOBRE MAX VENDIBLE","Sobrestock vs vida útil: frenar producción/activar venta. ","")&amp;IF(N(N817)&gt;=Parametros!$B$17,TEXT(N817,"#,##0")&amp;" kg ya no los acepta ninguna cadena: venta intermedia/liquidación. ","")&amp;IF(N(M817)&gt;=Parametros!$B$17,TEXT(M817,"#,##0")&amp;" kg a punto de salir del filtro: despachar primero (FEFO). ","")&amp;IF(Y817="SÍ","Pedidos "&amp;IF(N(U817)&gt;0,"sobre","bajo")&amp;" FCST "&amp;TEXT(ABS(N(U817)),"0%")&amp;": revisar forecast con KAM.","")</f>
        <v/>
      </c>
    </row>
    <row r="818" customFormat="false" ht="15" hidden="false" customHeight="false" outlineLevel="0" collapsed="false">
      <c r="A818" s="18" t="n">
        <f aca="false">Stock_Seguridad!A818</f>
        <v>30001434</v>
      </c>
      <c r="B818" s="18" t="str">
        <f aca="false">Stock_Seguridad!B818</f>
        <v>VINO STA CAROLIN GR CR NAC TN21 6X750ML</v>
      </c>
      <c r="C818" s="18" t="str">
        <f aca="false">Stock_Seguridad!C818</f>
        <v>VINOS</v>
      </c>
      <c r="D818" s="18" t="str">
        <f aca="false">Stock_Seguridad!F818</f>
        <v>SIN HIST</v>
      </c>
      <c r="E818" s="19" t="str">
        <f aca="false">Stock_Seguridad!X818</f>
        <v>SIN FCST</v>
      </c>
      <c r="F818" s="20" t="str">
        <f aca="false">Stock_Seguridad!W818</f>
        <v/>
      </c>
      <c r="G818" s="21" t="n">
        <f aca="false">Stock_Seguridad!T818</f>
        <v>1372.5</v>
      </c>
      <c r="H818" s="21" t="n">
        <f aca="false">Stock_Seguridad!R818</f>
        <v>0</v>
      </c>
      <c r="I818" s="21" t="n">
        <f aca="false">Stock_Seguridad!S818</f>
        <v>0</v>
      </c>
      <c r="J818" s="21" t="n">
        <f aca="false">Stock_Seguridad!U818</f>
        <v>0</v>
      </c>
      <c r="K818" s="22"/>
      <c r="L818" s="23" t="n">
        <v>0</v>
      </c>
      <c r="M818" s="23" t="n">
        <v>0</v>
      </c>
      <c r="N818" s="23" t="n">
        <v>0</v>
      </c>
      <c r="O818" s="24" t="n">
        <v>-0.300885245901639</v>
      </c>
      <c r="P818" s="24" t="str">
        <f aca="false">IF(ISNUMBER(Stock_Seguridad!N818),Stock_Seguridad!N818,"")</f>
        <v/>
      </c>
      <c r="Q818" s="24" t="str">
        <f aca="false">IF(AND(ISNUMBER(O818),ISNUMBER(P818)),P818-O818,"")</f>
        <v/>
      </c>
      <c r="R818" s="23" t="n">
        <f aca="false">MAX(0,G818-N(L818))</f>
        <v>1372.5</v>
      </c>
      <c r="S818" s="23" t="n">
        <f aca="false">SUMIFS(Cadenas_vs_FCST!$D$17:$D$2437,Cadenas_vs_FCST!$A$17:$A$2437,A818)</f>
        <v>0</v>
      </c>
      <c r="T818" s="23" t="n">
        <f aca="false">SUMIFS(Cadenas_vs_FCST!$E$17:$E$2437,Cadenas_vs_FCST!$A$17:$A$2437,A818)</f>
        <v>0</v>
      </c>
      <c r="U818" s="24" t="str">
        <f aca="false">IF(T818&gt;0,S818/T818-1,"")</f>
        <v/>
      </c>
      <c r="V818" s="3" t="str">
        <f aca="false">IF(OR(E818="BAJO SS",E818="BAJO SS (XLIB CUBRE)"),"SÍ","")</f>
        <v/>
      </c>
      <c r="W818" s="3" t="str">
        <f aca="false">IF(AND(V818="",N(L818)&gt;=Parametros!$B$17,G818&gt;=H818,R818&lt;H818),"SÍ","")</f>
        <v/>
      </c>
      <c r="X818" s="3" t="str">
        <f aca="false">IF(OR(E818="SOBRE MAX VENDIBLE",N(N818)&gt;=Parametros!$B$17,N(M818)&gt;=Parametros!$B$17),"SÍ","")</f>
        <v/>
      </c>
      <c r="Y818" s="3" t="str">
        <f aca="false">IF(AND(ISNUMBER(U818),MAX(S818,T818)&gt;=Parametros!$B$15,ABS(N(U818))&gt;Parametros!$B$14),"SÍ","")</f>
        <v/>
      </c>
      <c r="Z818" s="3" t="n">
        <f aca="false">COUNTIF(V818:Y818,"SÍ")</f>
        <v>0</v>
      </c>
      <c r="AA818" s="3" t="n">
        <f aca="false">(3*(V818="SÍ")+2*(W818="SÍ")+2*(X818="SÍ")+(Y818="SÍ"))*IF(LEFT(D818,1)="A",3,IF(OR(LEFT(D818,1)="B",D818="SIN HIST"),2,1))</f>
        <v>0</v>
      </c>
      <c r="AB818" s="3" t="str">
        <f aca="false">IF(AA818&gt;=9,"1-ALTA",IF(AA818&gt;=4,"2-MEDIA",IF(AA818&gt;0,"3-BAJA","")))</f>
        <v/>
      </c>
      <c r="AC818" s="3" t="str">
        <f aca="false">IF(E818="BAJO SS","Stock + XLIB bajo el SS: riesgo real de quiebre, adelantar producción. ","")&amp;IF(E818="BAJO SS (XLIB CUBRE)","Disponible bajo el SS; depende de liberar "&amp;TEXT(J818,"#,##0")&amp;" kg"&amp;IF(ISNUMBER(K818)," el "&amp;TEXT(K818,"dd-mm"),"")&amp;". ","")&amp;IF(W818="SÍ","Stock parece sano pero "&amp;TEXT(L818,"#,##0")&amp;" kg no pasan filtro "&amp;Stock_Seguridad!O818&amp;": sin ellos queda bajo el SS para esa cadena. ","")&amp;IF(E818="SOBRE MAX VENDIBLE","Sobrestock vs vida útil: frenar producción/activar venta. ","")&amp;IF(N(N818)&gt;=Parametros!$B$17,TEXT(N818,"#,##0")&amp;" kg ya no los acepta ninguna cadena: venta intermedia/liquidación. ","")&amp;IF(N(M818)&gt;=Parametros!$B$17,TEXT(M818,"#,##0")&amp;" kg a punto de salir del filtro: despachar primero (FEFO). ","")&amp;IF(Y818="SÍ","Pedidos "&amp;IF(N(U818)&gt;0,"sobre","bajo")&amp;" FCST "&amp;TEXT(ABS(N(U818)),"0%")&amp;": revisar forecast con KAM.","")</f>
        <v/>
      </c>
    </row>
    <row r="819" customFormat="false" ht="15" hidden="false" customHeight="false" outlineLevel="0" collapsed="false">
      <c r="A819" s="18" t="n">
        <f aca="false">Stock_Seguridad!A819</f>
        <v>30001435</v>
      </c>
      <c r="B819" s="18" t="str">
        <f aca="false">Stock_Seguridad!B819</f>
        <v>VINO STA CAROLIN GR AS NAC TN21 6X750ML</v>
      </c>
      <c r="C819" s="18" t="str">
        <f aca="false">Stock_Seguridad!C819</f>
        <v>VINOS</v>
      </c>
      <c r="D819" s="18" t="str">
        <f aca="false">Stock_Seguridad!F819</f>
        <v>SIN HIST</v>
      </c>
      <c r="E819" s="19" t="str">
        <f aca="false">Stock_Seguridad!X819</f>
        <v>SIN FCST</v>
      </c>
      <c r="F819" s="20" t="str">
        <f aca="false">Stock_Seguridad!W819</f>
        <v/>
      </c>
      <c r="G819" s="21" t="n">
        <f aca="false">Stock_Seguridad!T819</f>
        <v>612</v>
      </c>
      <c r="H819" s="21" t="n">
        <f aca="false">Stock_Seguridad!R819</f>
        <v>0</v>
      </c>
      <c r="I819" s="21" t="n">
        <f aca="false">Stock_Seguridad!S819</f>
        <v>0</v>
      </c>
      <c r="J819" s="21" t="n">
        <f aca="false">Stock_Seguridad!U819</f>
        <v>0</v>
      </c>
      <c r="K819" s="22"/>
      <c r="L819" s="23" t="n">
        <v>0</v>
      </c>
      <c r="M819" s="23" t="n">
        <v>0</v>
      </c>
      <c r="N819" s="23" t="n">
        <v>0</v>
      </c>
      <c r="O819" s="24" t="n">
        <v>-0.117426470588235</v>
      </c>
      <c r="P819" s="24" t="str">
        <f aca="false">IF(ISNUMBER(Stock_Seguridad!N819),Stock_Seguridad!N819,"")</f>
        <v/>
      </c>
      <c r="Q819" s="24" t="str">
        <f aca="false">IF(AND(ISNUMBER(O819),ISNUMBER(P819)),P819-O819,"")</f>
        <v/>
      </c>
      <c r="R819" s="23" t="n">
        <f aca="false">MAX(0,G819-N(L819))</f>
        <v>612</v>
      </c>
      <c r="S819" s="23" t="n">
        <f aca="false">SUMIFS(Cadenas_vs_FCST!$D$17:$D$2437,Cadenas_vs_FCST!$A$17:$A$2437,A819)</f>
        <v>0</v>
      </c>
      <c r="T819" s="23" t="n">
        <f aca="false">SUMIFS(Cadenas_vs_FCST!$E$17:$E$2437,Cadenas_vs_FCST!$A$17:$A$2437,A819)</f>
        <v>0</v>
      </c>
      <c r="U819" s="24" t="str">
        <f aca="false">IF(T819&gt;0,S819/T819-1,"")</f>
        <v/>
      </c>
      <c r="V819" s="3" t="str">
        <f aca="false">IF(OR(E819="BAJO SS",E819="BAJO SS (XLIB CUBRE)"),"SÍ","")</f>
        <v/>
      </c>
      <c r="W819" s="3" t="str">
        <f aca="false">IF(AND(V819="",N(L819)&gt;=Parametros!$B$17,G819&gt;=H819,R819&lt;H819),"SÍ","")</f>
        <v/>
      </c>
      <c r="X819" s="3" t="str">
        <f aca="false">IF(OR(E819="SOBRE MAX VENDIBLE",N(N819)&gt;=Parametros!$B$17,N(M819)&gt;=Parametros!$B$17),"SÍ","")</f>
        <v/>
      </c>
      <c r="Y819" s="3" t="str">
        <f aca="false">IF(AND(ISNUMBER(U819),MAX(S819,T819)&gt;=Parametros!$B$15,ABS(N(U819))&gt;Parametros!$B$14),"SÍ","")</f>
        <v/>
      </c>
      <c r="Z819" s="3" t="n">
        <f aca="false">COUNTIF(V819:Y819,"SÍ")</f>
        <v>0</v>
      </c>
      <c r="AA819" s="3" t="n">
        <f aca="false">(3*(V819="SÍ")+2*(W819="SÍ")+2*(X819="SÍ")+(Y819="SÍ"))*IF(LEFT(D819,1)="A",3,IF(OR(LEFT(D819,1)="B",D819="SIN HIST"),2,1))</f>
        <v>0</v>
      </c>
      <c r="AB819" s="3" t="str">
        <f aca="false">IF(AA819&gt;=9,"1-ALTA",IF(AA819&gt;=4,"2-MEDIA",IF(AA819&gt;0,"3-BAJA","")))</f>
        <v/>
      </c>
      <c r="AC819" s="3" t="str">
        <f aca="false">IF(E819="BAJO SS","Stock + XLIB bajo el SS: riesgo real de quiebre, adelantar producción. ","")&amp;IF(E819="BAJO SS (XLIB CUBRE)","Disponible bajo el SS; depende de liberar "&amp;TEXT(J819,"#,##0")&amp;" kg"&amp;IF(ISNUMBER(K819)," el "&amp;TEXT(K819,"dd-mm"),"")&amp;". ","")&amp;IF(W819="SÍ","Stock parece sano pero "&amp;TEXT(L819,"#,##0")&amp;" kg no pasan filtro "&amp;Stock_Seguridad!O819&amp;": sin ellos queda bajo el SS para esa cadena. ","")&amp;IF(E819="SOBRE MAX VENDIBLE","Sobrestock vs vida útil: frenar producción/activar venta. ","")&amp;IF(N(N819)&gt;=Parametros!$B$17,TEXT(N819,"#,##0")&amp;" kg ya no los acepta ninguna cadena: venta intermedia/liquidación. ","")&amp;IF(N(M819)&gt;=Parametros!$B$17,TEXT(M819,"#,##0")&amp;" kg a punto de salir del filtro: despachar primero (FEFO). ","")&amp;IF(Y819="SÍ","Pedidos "&amp;IF(N(U819)&gt;0,"sobre","bajo")&amp;" FCST "&amp;TEXT(ABS(N(U819)),"0%")&amp;": revisar forecast con KAM.","")</f>
        <v/>
      </c>
    </row>
    <row r="820" customFormat="false" ht="15" hidden="false" customHeight="false" outlineLevel="0" collapsed="false">
      <c r="A820" s="18" t="n">
        <f aca="false">Stock_Seguridad!A820</f>
        <v>30001666</v>
      </c>
      <c r="B820" s="18" t="str">
        <f aca="false">Stock_Seguridad!B820</f>
        <v>VINO STA CAROLINA GRV SB NAC TN 6X750ML</v>
      </c>
      <c r="C820" s="18" t="str">
        <f aca="false">Stock_Seguridad!C820</f>
        <v>VINOS</v>
      </c>
      <c r="D820" s="18" t="str">
        <f aca="false">Stock_Seguridad!F820</f>
        <v>SIN HIST</v>
      </c>
      <c r="E820" s="19" t="str">
        <f aca="false">Stock_Seguridad!X820</f>
        <v>SIN FCST</v>
      </c>
      <c r="F820" s="20" t="str">
        <f aca="false">Stock_Seguridad!W820</f>
        <v/>
      </c>
      <c r="G820" s="21" t="n">
        <f aca="false">Stock_Seguridad!T820</f>
        <v>1066.5</v>
      </c>
      <c r="H820" s="21" t="n">
        <f aca="false">Stock_Seguridad!R820</f>
        <v>0</v>
      </c>
      <c r="I820" s="21" t="n">
        <f aca="false">Stock_Seguridad!S820</f>
        <v>0</v>
      </c>
      <c r="J820" s="21" t="n">
        <f aca="false">Stock_Seguridad!U820</f>
        <v>0</v>
      </c>
      <c r="K820" s="22"/>
      <c r="L820" s="23" t="n">
        <v>0</v>
      </c>
      <c r="M820" s="23" t="n">
        <v>0</v>
      </c>
      <c r="N820" s="23" t="n">
        <v>0</v>
      </c>
      <c r="O820" s="24" t="n">
        <v>0.222658227848101</v>
      </c>
      <c r="P820" s="24" t="str">
        <f aca="false">IF(ISNUMBER(Stock_Seguridad!N820),Stock_Seguridad!N820,"")</f>
        <v/>
      </c>
      <c r="Q820" s="24" t="str">
        <f aca="false">IF(AND(ISNUMBER(O820),ISNUMBER(P820)),P820-O820,"")</f>
        <v/>
      </c>
      <c r="R820" s="23" t="n">
        <f aca="false">MAX(0,G820-N(L820))</f>
        <v>1066.5</v>
      </c>
      <c r="S820" s="23" t="n">
        <f aca="false">SUMIFS(Cadenas_vs_FCST!$D$17:$D$2437,Cadenas_vs_FCST!$A$17:$A$2437,A820)</f>
        <v>0</v>
      </c>
      <c r="T820" s="23" t="n">
        <f aca="false">SUMIFS(Cadenas_vs_FCST!$E$17:$E$2437,Cadenas_vs_FCST!$A$17:$A$2437,A820)</f>
        <v>0</v>
      </c>
      <c r="U820" s="24" t="str">
        <f aca="false">IF(T820&gt;0,S820/T820-1,"")</f>
        <v/>
      </c>
      <c r="V820" s="3" t="str">
        <f aca="false">IF(OR(E820="BAJO SS",E820="BAJO SS (XLIB CUBRE)"),"SÍ","")</f>
        <v/>
      </c>
      <c r="W820" s="3" t="str">
        <f aca="false">IF(AND(V820="",N(L820)&gt;=Parametros!$B$17,G820&gt;=H820,R820&lt;H820),"SÍ","")</f>
        <v/>
      </c>
      <c r="X820" s="3" t="str">
        <f aca="false">IF(OR(E820="SOBRE MAX VENDIBLE",N(N820)&gt;=Parametros!$B$17,N(M820)&gt;=Parametros!$B$17),"SÍ","")</f>
        <v/>
      </c>
      <c r="Y820" s="3" t="str">
        <f aca="false">IF(AND(ISNUMBER(U820),MAX(S820,T820)&gt;=Parametros!$B$15,ABS(N(U820))&gt;Parametros!$B$14),"SÍ","")</f>
        <v/>
      </c>
      <c r="Z820" s="3" t="n">
        <f aca="false">COUNTIF(V820:Y820,"SÍ")</f>
        <v>0</v>
      </c>
      <c r="AA820" s="3" t="n">
        <f aca="false">(3*(V820="SÍ")+2*(W820="SÍ")+2*(X820="SÍ")+(Y820="SÍ"))*IF(LEFT(D820,1)="A",3,IF(OR(LEFT(D820,1)="B",D820="SIN HIST"),2,1))</f>
        <v>0</v>
      </c>
      <c r="AB820" s="3" t="str">
        <f aca="false">IF(AA820&gt;=9,"1-ALTA",IF(AA820&gt;=4,"2-MEDIA",IF(AA820&gt;0,"3-BAJA","")))</f>
        <v/>
      </c>
      <c r="AC820" s="3" t="str">
        <f aca="false">IF(E820="BAJO SS","Stock + XLIB bajo el SS: riesgo real de quiebre, adelantar producción. ","")&amp;IF(E820="BAJO SS (XLIB CUBRE)","Disponible bajo el SS; depende de liberar "&amp;TEXT(J820,"#,##0")&amp;" kg"&amp;IF(ISNUMBER(K820)," el "&amp;TEXT(K820,"dd-mm"),"")&amp;". ","")&amp;IF(W820="SÍ","Stock parece sano pero "&amp;TEXT(L820,"#,##0")&amp;" kg no pasan filtro "&amp;Stock_Seguridad!O820&amp;": sin ellos queda bajo el SS para esa cadena. ","")&amp;IF(E820="SOBRE MAX VENDIBLE","Sobrestock vs vida útil: frenar producción/activar venta. ","")&amp;IF(N(N820)&gt;=Parametros!$B$17,TEXT(N820,"#,##0")&amp;" kg ya no los acepta ninguna cadena: venta intermedia/liquidación. ","")&amp;IF(N(M820)&gt;=Parametros!$B$17,TEXT(M820,"#,##0")&amp;" kg a punto de salir del filtro: despachar primero (FEFO). ","")&amp;IF(Y820="SÍ","Pedidos "&amp;IF(N(U820)&gt;0,"sobre","bajo")&amp;" FCST "&amp;TEXT(ABS(N(U820)),"0%")&amp;": revisar forecast con KAM.","")</f>
        <v/>
      </c>
    </row>
    <row r="821" customFormat="false" ht="15" hidden="false" customHeight="false" outlineLevel="0" collapsed="false">
      <c r="A821" s="18" t="n">
        <f aca="false">Stock_Seguridad!A821</f>
        <v>30000037</v>
      </c>
      <c r="B821" s="18" t="str">
        <f aca="false">Stock_Seguridad!B821</f>
        <v>ACEITE SOYA LECITINA 2X10LT</v>
      </c>
      <c r="C821" s="18" t="str">
        <f aca="false">Stock_Seguridad!C821</f>
        <v>ACEITES</v>
      </c>
      <c r="D821" s="18" t="str">
        <f aca="false">Stock_Seguridad!F821</f>
        <v>SIN HIST</v>
      </c>
      <c r="E821" s="19" t="str">
        <f aca="false">Stock_Seguridad!X821</f>
        <v>SIN FCST</v>
      </c>
      <c r="F821" s="20" t="str">
        <f aca="false">Stock_Seguridad!W821</f>
        <v/>
      </c>
      <c r="G821" s="21" t="n">
        <f aca="false">Stock_Seguridad!T821</f>
        <v>478.4</v>
      </c>
      <c r="H821" s="21" t="n">
        <f aca="false">Stock_Seguridad!R821</f>
        <v>0</v>
      </c>
      <c r="I821" s="21" t="n">
        <f aca="false">Stock_Seguridad!S821</f>
        <v>0</v>
      </c>
      <c r="J821" s="21" t="n">
        <f aca="false">Stock_Seguridad!U821</f>
        <v>0</v>
      </c>
      <c r="K821" s="22"/>
      <c r="L821" s="23" t="n">
        <v>0</v>
      </c>
      <c r="M821" s="23" t="n">
        <v>0</v>
      </c>
      <c r="N821" s="23" t="n">
        <v>0</v>
      </c>
      <c r="O821" s="24" t="n">
        <v>0.12</v>
      </c>
      <c r="P821" s="24" t="str">
        <f aca="false">IF(ISNUMBER(Stock_Seguridad!N821),Stock_Seguridad!N821,"")</f>
        <v/>
      </c>
      <c r="Q821" s="24" t="str">
        <f aca="false">IF(AND(ISNUMBER(O821),ISNUMBER(P821)),P821-O821,"")</f>
        <v/>
      </c>
      <c r="R821" s="23" t="n">
        <f aca="false">MAX(0,G821-N(L821))</f>
        <v>478.4</v>
      </c>
      <c r="S821" s="23" t="n">
        <f aca="false">SUMIFS(Cadenas_vs_FCST!$D$17:$D$2437,Cadenas_vs_FCST!$A$17:$A$2437,A821)</f>
        <v>0</v>
      </c>
      <c r="T821" s="23" t="n">
        <f aca="false">SUMIFS(Cadenas_vs_FCST!$E$17:$E$2437,Cadenas_vs_FCST!$A$17:$A$2437,A821)</f>
        <v>0</v>
      </c>
      <c r="U821" s="24" t="str">
        <f aca="false">IF(T821&gt;0,S821/T821-1,"")</f>
        <v/>
      </c>
      <c r="V821" s="3" t="str">
        <f aca="false">IF(OR(E821="BAJO SS",E821="BAJO SS (XLIB CUBRE)"),"SÍ","")</f>
        <v/>
      </c>
      <c r="W821" s="3" t="str">
        <f aca="false">IF(AND(V821="",N(L821)&gt;=Parametros!$B$17,G821&gt;=H821,R821&lt;H821),"SÍ","")</f>
        <v/>
      </c>
      <c r="X821" s="3" t="str">
        <f aca="false">IF(OR(E821="SOBRE MAX VENDIBLE",N(N821)&gt;=Parametros!$B$17,N(M821)&gt;=Parametros!$B$17),"SÍ","")</f>
        <v/>
      </c>
      <c r="Y821" s="3" t="str">
        <f aca="false">IF(AND(ISNUMBER(U821),MAX(S821,T821)&gt;=Parametros!$B$15,ABS(N(U821))&gt;Parametros!$B$14),"SÍ","")</f>
        <v/>
      </c>
      <c r="Z821" s="3" t="n">
        <f aca="false">COUNTIF(V821:Y821,"SÍ")</f>
        <v>0</v>
      </c>
      <c r="AA821" s="3" t="n">
        <f aca="false">(3*(V821="SÍ")+2*(W821="SÍ")+2*(X821="SÍ")+(Y821="SÍ"))*IF(LEFT(D821,1)="A",3,IF(OR(LEFT(D821,1)="B",D821="SIN HIST"),2,1))</f>
        <v>0</v>
      </c>
      <c r="AB821" s="3" t="str">
        <f aca="false">IF(AA821&gt;=9,"1-ALTA",IF(AA821&gt;=4,"2-MEDIA",IF(AA821&gt;0,"3-BAJA","")))</f>
        <v/>
      </c>
      <c r="AC821" s="3" t="str">
        <f aca="false">IF(E821="BAJO SS","Stock + XLIB bajo el SS: riesgo real de quiebre, adelantar producción. ","")&amp;IF(E821="BAJO SS (XLIB CUBRE)","Disponible bajo el SS; depende de liberar "&amp;TEXT(J821,"#,##0")&amp;" kg"&amp;IF(ISNUMBER(K821)," el "&amp;TEXT(K821,"dd-mm"),"")&amp;". ","")&amp;IF(W821="SÍ","Stock parece sano pero "&amp;TEXT(L821,"#,##0")&amp;" kg no pasan filtro "&amp;Stock_Seguridad!O821&amp;": sin ellos queda bajo el SS para esa cadena. ","")&amp;IF(E821="SOBRE MAX VENDIBLE","Sobrestock vs vida útil: frenar producción/activar venta. ","")&amp;IF(N(N821)&gt;=Parametros!$B$17,TEXT(N821,"#,##0")&amp;" kg ya no los acepta ninguna cadena: venta intermedia/liquidación. ","")&amp;IF(N(M821)&gt;=Parametros!$B$17,TEXT(M821,"#,##0")&amp;" kg a punto de salir del filtro: despachar primero (FEFO). ","")&amp;IF(Y821="SÍ","Pedidos "&amp;IF(N(U821)&gt;0,"sobre","bajo")&amp;" FCST "&amp;TEXT(ABS(N(U821)),"0%")&amp;": revisar forecast con KAM.","")</f>
        <v/>
      </c>
    </row>
    <row r="822" customFormat="false" ht="15" hidden="false" customHeight="false" outlineLevel="0" collapsed="false">
      <c r="A822" s="18" t="n">
        <f aca="false">Stock_Seguridad!A822</f>
        <v>30000046</v>
      </c>
      <c r="B822" s="18" t="str">
        <f aca="false">Stock_Seguridad!B822</f>
        <v>ACEITE MAZOLA CANOLA 12X1LT</v>
      </c>
      <c r="C822" s="18" t="str">
        <f aca="false">Stock_Seguridad!C822</f>
        <v>ACEITES</v>
      </c>
      <c r="D822" s="18" t="str">
        <f aca="false">Stock_Seguridad!F822</f>
        <v>CZ</v>
      </c>
      <c r="E822" s="19" t="str">
        <f aca="false">Stock_Seguridad!X822</f>
        <v>SIN FCST</v>
      </c>
      <c r="F822" s="20" t="str">
        <f aca="false">Stock_Seguridad!W822</f>
        <v/>
      </c>
      <c r="G822" s="21" t="n">
        <f aca="false">Stock_Seguridad!T822</f>
        <v>66.2</v>
      </c>
      <c r="H822" s="21" t="n">
        <f aca="false">Stock_Seguridad!R822</f>
        <v>0</v>
      </c>
      <c r="I822" s="21" t="n">
        <f aca="false">Stock_Seguridad!S822</f>
        <v>0</v>
      </c>
      <c r="J822" s="21" t="n">
        <f aca="false">Stock_Seguridad!U822</f>
        <v>0</v>
      </c>
      <c r="K822" s="22"/>
      <c r="L822" s="23" t="n">
        <v>66.24</v>
      </c>
      <c r="M822" s="23" t="n">
        <v>0</v>
      </c>
      <c r="N822" s="23" t="n">
        <v>66.24</v>
      </c>
      <c r="O822" s="24" t="n">
        <v>0.59</v>
      </c>
      <c r="P822" s="24" t="n">
        <f aca="false">IF(ISNUMBER(Stock_Seguridad!N822),Stock_Seguridad!N822,"")</f>
        <v>0.273972602739726</v>
      </c>
      <c r="Q822" s="24" t="n">
        <f aca="false">IF(AND(ISNUMBER(O822),ISNUMBER(P822)),P822-O822,"")</f>
        <v>-0.316027397260274</v>
      </c>
      <c r="R822" s="23" t="n">
        <f aca="false">MAX(0,G822-N(L822))</f>
        <v>0</v>
      </c>
      <c r="S822" s="23" t="n">
        <f aca="false">SUMIFS(Cadenas_vs_FCST!$D$17:$D$2437,Cadenas_vs_FCST!$A$17:$A$2437,A822)</f>
        <v>0</v>
      </c>
      <c r="T822" s="23" t="n">
        <f aca="false">SUMIFS(Cadenas_vs_FCST!$E$17:$E$2437,Cadenas_vs_FCST!$A$17:$A$2437,A822)</f>
        <v>0</v>
      </c>
      <c r="U822" s="24" t="str">
        <f aca="false">IF(T822&gt;0,S822/T822-1,"")</f>
        <v/>
      </c>
      <c r="V822" s="3" t="str">
        <f aca="false">IF(OR(E822="BAJO SS",E822="BAJO SS (XLIB CUBRE)"),"SÍ","")</f>
        <v/>
      </c>
      <c r="W822" s="3" t="str">
        <f aca="false">IF(AND(V822="",N(L822)&gt;=Parametros!$B$17,G822&gt;=H822,R822&lt;H822),"SÍ","")</f>
        <v/>
      </c>
      <c r="X822" s="3" t="str">
        <f aca="false">IF(OR(E822="SOBRE MAX VENDIBLE",N(N822)&gt;=Parametros!$B$17,N(M822)&gt;=Parametros!$B$17),"SÍ","")</f>
        <v/>
      </c>
      <c r="Y822" s="3" t="str">
        <f aca="false">IF(AND(ISNUMBER(U822),MAX(S822,T822)&gt;=Parametros!$B$15,ABS(N(U822))&gt;Parametros!$B$14),"SÍ","")</f>
        <v/>
      </c>
      <c r="Z822" s="3" t="n">
        <f aca="false">COUNTIF(V822:Y822,"SÍ")</f>
        <v>0</v>
      </c>
      <c r="AA822" s="3" t="n">
        <f aca="false">(3*(V822="SÍ")+2*(W822="SÍ")+2*(X822="SÍ")+(Y822="SÍ"))*IF(LEFT(D822,1)="A",3,IF(OR(LEFT(D822,1)="B",D822="SIN HIST"),2,1))</f>
        <v>0</v>
      </c>
      <c r="AB822" s="3" t="str">
        <f aca="false">IF(AA822&gt;=9,"1-ALTA",IF(AA822&gt;=4,"2-MEDIA",IF(AA822&gt;0,"3-BAJA","")))</f>
        <v/>
      </c>
      <c r="AC822" s="3" t="str">
        <f aca="false">IF(E822="BAJO SS","Stock + XLIB bajo el SS: riesgo real de quiebre, adelantar producción. ","")&amp;IF(E822="BAJO SS (XLIB CUBRE)","Disponible bajo el SS; depende de liberar "&amp;TEXT(J822,"#,##0")&amp;" kg"&amp;IF(ISNUMBER(K822)," el "&amp;TEXT(K822,"dd-mm"),"")&amp;". ","")&amp;IF(W822="SÍ","Stock parece sano pero "&amp;TEXT(L822,"#,##0")&amp;" kg no pasan filtro "&amp;Stock_Seguridad!O822&amp;": sin ellos queda bajo el SS para esa cadena. ","")&amp;IF(E822="SOBRE MAX VENDIBLE","Sobrestock vs vida útil: frenar producción/activar venta. ","")&amp;IF(N(N822)&gt;=Parametros!$B$17,TEXT(N822,"#,##0")&amp;" kg ya no los acepta ninguna cadena: venta intermedia/liquidación. ","")&amp;IF(N(M822)&gt;=Parametros!$B$17,TEXT(M822,"#,##0")&amp;" kg a punto de salir del filtro: despachar primero (FEFO). ","")&amp;IF(Y822="SÍ","Pedidos "&amp;IF(N(U822)&gt;0,"sobre","bajo")&amp;" FCST "&amp;TEXT(ABS(N(U822)),"0%")&amp;": revisar forecast con KAM.","")</f>
        <v/>
      </c>
    </row>
    <row r="823" customFormat="false" ht="15" hidden="false" customHeight="false" outlineLevel="0" collapsed="false">
      <c r="A823" s="18" t="n">
        <f aca="false">Stock_Seguridad!A823</f>
        <v>30000035</v>
      </c>
      <c r="B823" s="18" t="str">
        <f aca="false">Stock_Seguridad!B823</f>
        <v>ACEITE MAIZ CRECER TB1X190LT</v>
      </c>
      <c r="C823" s="18" t="str">
        <f aca="false">Stock_Seguridad!C823</f>
        <v>ACEITES</v>
      </c>
      <c r="D823" s="18" t="str">
        <f aca="false">Stock_Seguridad!F823</f>
        <v>SIN HIST</v>
      </c>
      <c r="E823" s="19" t="str">
        <f aca="false">Stock_Seguridad!X823</f>
        <v>SIN FCST</v>
      </c>
      <c r="F823" s="20" t="str">
        <f aca="false">Stock_Seguridad!W823</f>
        <v/>
      </c>
      <c r="G823" s="21" t="n">
        <f aca="false">Stock_Seguridad!T823</f>
        <v>3040</v>
      </c>
      <c r="H823" s="21" t="n">
        <f aca="false">Stock_Seguridad!R823</f>
        <v>0</v>
      </c>
      <c r="I823" s="21" t="n">
        <f aca="false">Stock_Seguridad!S823</f>
        <v>0</v>
      </c>
      <c r="J823" s="21" t="n">
        <f aca="false">Stock_Seguridad!U823</f>
        <v>0</v>
      </c>
      <c r="K823" s="22"/>
      <c r="L823" s="23" t="n">
        <v>0</v>
      </c>
      <c r="M823" s="23" t="n">
        <v>0</v>
      </c>
      <c r="N823" s="23" t="n">
        <v>0</v>
      </c>
      <c r="O823" s="24" t="n">
        <v>0.05</v>
      </c>
      <c r="P823" s="24" t="n">
        <f aca="false">IF(ISNUMBER(Stock_Seguridad!N823),Stock_Seguridad!N823,"")</f>
        <v>0.21</v>
      </c>
      <c r="Q823" s="24" t="n">
        <f aca="false">IF(AND(ISNUMBER(O823),ISNUMBER(P823)),P823-O823,"")</f>
        <v>0.16</v>
      </c>
      <c r="R823" s="23" t="n">
        <f aca="false">MAX(0,G823-N(L823))</f>
        <v>3040</v>
      </c>
      <c r="S823" s="23" t="n">
        <f aca="false">SUMIFS(Cadenas_vs_FCST!$D$17:$D$2437,Cadenas_vs_FCST!$A$17:$A$2437,A823)</f>
        <v>0</v>
      </c>
      <c r="T823" s="23" t="n">
        <f aca="false">SUMIFS(Cadenas_vs_FCST!$E$17:$E$2437,Cadenas_vs_FCST!$A$17:$A$2437,A823)</f>
        <v>0</v>
      </c>
      <c r="U823" s="24" t="str">
        <f aca="false">IF(T823&gt;0,S823/T823-1,"")</f>
        <v/>
      </c>
      <c r="V823" s="3" t="str">
        <f aca="false">IF(OR(E823="BAJO SS",E823="BAJO SS (XLIB CUBRE)"),"SÍ","")</f>
        <v/>
      </c>
      <c r="W823" s="3" t="str">
        <f aca="false">IF(AND(V823="",N(L823)&gt;=Parametros!$B$17,G823&gt;=H823,R823&lt;H823),"SÍ","")</f>
        <v/>
      </c>
      <c r="X823" s="3" t="str">
        <f aca="false">IF(OR(E823="SOBRE MAX VENDIBLE",N(N823)&gt;=Parametros!$B$17,N(M823)&gt;=Parametros!$B$17),"SÍ","")</f>
        <v/>
      </c>
      <c r="Y823" s="3" t="str">
        <f aca="false">IF(AND(ISNUMBER(U823),MAX(S823,T823)&gt;=Parametros!$B$15,ABS(N(U823))&gt;Parametros!$B$14),"SÍ","")</f>
        <v/>
      </c>
      <c r="Z823" s="3" t="n">
        <f aca="false">COUNTIF(V823:Y823,"SÍ")</f>
        <v>0</v>
      </c>
      <c r="AA823" s="3" t="n">
        <f aca="false">(3*(V823="SÍ")+2*(W823="SÍ")+2*(X823="SÍ")+(Y823="SÍ"))*IF(LEFT(D823,1)="A",3,IF(OR(LEFT(D823,1)="B",D823="SIN HIST"),2,1))</f>
        <v>0</v>
      </c>
      <c r="AB823" s="3" t="str">
        <f aca="false">IF(AA823&gt;=9,"1-ALTA",IF(AA823&gt;=4,"2-MEDIA",IF(AA823&gt;0,"3-BAJA","")))</f>
        <v/>
      </c>
      <c r="AC823" s="3" t="str">
        <f aca="false">IF(E823="BAJO SS","Stock + XLIB bajo el SS: riesgo real de quiebre, adelantar producción. ","")&amp;IF(E823="BAJO SS (XLIB CUBRE)","Disponible bajo el SS; depende de liberar "&amp;TEXT(J823,"#,##0")&amp;" kg"&amp;IF(ISNUMBER(K823)," el "&amp;TEXT(K823,"dd-mm"),"")&amp;". ","")&amp;IF(W823="SÍ","Stock parece sano pero "&amp;TEXT(L823,"#,##0")&amp;" kg no pasan filtro "&amp;Stock_Seguridad!O823&amp;": sin ellos queda bajo el SS para esa cadena. ","")&amp;IF(E823="SOBRE MAX VENDIBLE","Sobrestock vs vida útil: frenar producción/activar venta. ","")&amp;IF(N(N823)&gt;=Parametros!$B$17,TEXT(N823,"#,##0")&amp;" kg ya no los acepta ninguna cadena: venta intermedia/liquidación. ","")&amp;IF(N(M823)&gt;=Parametros!$B$17,TEXT(M823,"#,##0")&amp;" kg a punto de salir del filtro: despachar primero (FEFO). ","")&amp;IF(Y823="SÍ","Pedidos "&amp;IF(N(U823)&gt;0,"sobre","bajo")&amp;" FCST "&amp;TEXT(ABS(N(U823)),"0%")&amp;": revisar forecast con KAM.","")</f>
        <v/>
      </c>
    </row>
    <row r="824" customFormat="false" ht="15" hidden="false" customHeight="false" outlineLevel="0" collapsed="false">
      <c r="A824" s="18" t="n">
        <f aca="false">Stock_Seguridad!A824</f>
        <v>30002265</v>
      </c>
      <c r="B824" s="18" t="str">
        <f aca="false">Stock_Seguridad!B824</f>
        <v>YOGURT GRANEL AGROZZI 1X200KG</v>
      </c>
      <c r="C824" s="18" t="str">
        <f aca="false">Stock_Seguridad!C824</f>
        <v>YOGURT</v>
      </c>
      <c r="D824" s="18" t="str">
        <f aca="false">Stock_Seguridad!F824</f>
        <v>SIN HIST</v>
      </c>
      <c r="E824" s="19" t="str">
        <f aca="false">Stock_Seguridad!X824</f>
        <v>SIN FCST</v>
      </c>
      <c r="F824" s="20" t="str">
        <f aca="false">Stock_Seguridad!W824</f>
        <v/>
      </c>
      <c r="G824" s="21" t="n">
        <f aca="false">Stock_Seguridad!T824</f>
        <v>0</v>
      </c>
      <c r="H824" s="21" t="n">
        <f aca="false">Stock_Seguridad!R824</f>
        <v>0</v>
      </c>
      <c r="I824" s="21" t="n">
        <f aca="false">Stock_Seguridad!S824</f>
        <v>0</v>
      </c>
      <c r="J824" s="21" t="n">
        <f aca="false">Stock_Seguridad!U824</f>
        <v>0</v>
      </c>
      <c r="K824" s="22"/>
      <c r="L824" s="23"/>
      <c r="M824" s="23"/>
      <c r="N824" s="23"/>
      <c r="O824" s="24"/>
      <c r="P824" s="24" t="str">
        <f aca="false">IF(ISNUMBER(Stock_Seguridad!N824),Stock_Seguridad!N824,"")</f>
        <v/>
      </c>
      <c r="Q824" s="24" t="str">
        <f aca="false">IF(AND(ISNUMBER(O824),ISNUMBER(P824)),P824-O824,"")</f>
        <v/>
      </c>
      <c r="R824" s="23" t="n">
        <f aca="false">MAX(0,G824-N(L824))</f>
        <v>0</v>
      </c>
      <c r="S824" s="23" t="n">
        <f aca="false">SUMIFS(Cadenas_vs_FCST!$D$17:$D$2437,Cadenas_vs_FCST!$A$17:$A$2437,A824)</f>
        <v>0</v>
      </c>
      <c r="T824" s="23" t="n">
        <f aca="false">SUMIFS(Cadenas_vs_FCST!$E$17:$E$2437,Cadenas_vs_FCST!$A$17:$A$2437,A824)</f>
        <v>0</v>
      </c>
      <c r="U824" s="24" t="str">
        <f aca="false">IF(T824&gt;0,S824/T824-1,"")</f>
        <v/>
      </c>
      <c r="V824" s="3" t="str">
        <f aca="false">IF(OR(E824="BAJO SS",E824="BAJO SS (XLIB CUBRE)"),"SÍ","")</f>
        <v/>
      </c>
      <c r="W824" s="3" t="str">
        <f aca="false">IF(AND(V824="",N(L824)&gt;=Parametros!$B$17,G824&gt;=H824,R824&lt;H824),"SÍ","")</f>
        <v/>
      </c>
      <c r="X824" s="3" t="str">
        <f aca="false">IF(OR(E824="SOBRE MAX VENDIBLE",N(N824)&gt;=Parametros!$B$17,N(M824)&gt;=Parametros!$B$17),"SÍ","")</f>
        <v/>
      </c>
      <c r="Y824" s="3" t="str">
        <f aca="false">IF(AND(ISNUMBER(U824),MAX(S824,T824)&gt;=Parametros!$B$15,ABS(N(U824))&gt;Parametros!$B$14),"SÍ","")</f>
        <v/>
      </c>
      <c r="Z824" s="3" t="n">
        <f aca="false">COUNTIF(V824:Y824,"SÍ")</f>
        <v>0</v>
      </c>
      <c r="AA824" s="3" t="n">
        <f aca="false">(3*(V824="SÍ")+2*(W824="SÍ")+2*(X824="SÍ")+(Y824="SÍ"))*IF(LEFT(D824,1)="A",3,IF(OR(LEFT(D824,1)="B",D824="SIN HIST"),2,1))</f>
        <v>0</v>
      </c>
      <c r="AB824" s="3" t="str">
        <f aca="false">IF(AA824&gt;=9,"1-ALTA",IF(AA824&gt;=4,"2-MEDIA",IF(AA824&gt;0,"3-BAJA","")))</f>
        <v/>
      </c>
      <c r="AC824" s="3" t="str">
        <f aca="false">IF(E824="BAJO SS","Stock + XLIB bajo el SS: riesgo real de quiebre, adelantar producción. ","")&amp;IF(E824="BAJO SS (XLIB CUBRE)","Disponible bajo el SS; depende de liberar "&amp;TEXT(J824,"#,##0")&amp;" kg"&amp;IF(ISNUMBER(K824)," el "&amp;TEXT(K824,"dd-mm"),"")&amp;". ","")&amp;IF(W824="SÍ","Stock parece sano pero "&amp;TEXT(L824,"#,##0")&amp;" kg no pasan filtro "&amp;Stock_Seguridad!O824&amp;": sin ellos queda bajo el SS para esa cadena. ","")&amp;IF(E824="SOBRE MAX VENDIBLE","Sobrestock vs vida útil: frenar producción/activar venta. ","")&amp;IF(N(N824)&gt;=Parametros!$B$17,TEXT(N824,"#,##0")&amp;" kg ya no los acepta ninguna cadena: venta intermedia/liquidación. ","")&amp;IF(N(M824)&gt;=Parametros!$B$17,TEXT(M824,"#,##0")&amp;" kg a punto de salir del filtro: despachar primero (FEFO). ","")&amp;IF(Y824="SÍ","Pedidos "&amp;IF(N(U824)&gt;0,"sobre","bajo")&amp;" FCST "&amp;TEXT(ABS(N(U824)),"0%")&amp;": revisar forecast con KAM.","")</f>
        <v/>
      </c>
    </row>
    <row r="825" customFormat="false" ht="15" hidden="false" customHeight="false" outlineLevel="0" collapsed="false">
      <c r="A825" s="18" t="n">
        <f aca="false">Stock_Seguridad!A825</f>
        <v>30001881</v>
      </c>
      <c r="B825" s="18" t="str">
        <f aca="false">Stock_Seguridad!B825</f>
        <v>ACEITE CHEF OLIVA MARAVILLA 12X1LT</v>
      </c>
      <c r="C825" s="18" t="str">
        <f aca="false">Stock_Seguridad!C825</f>
        <v>ACEITES</v>
      </c>
      <c r="D825" s="18" t="str">
        <f aca="false">Stock_Seguridad!F825</f>
        <v>CZ</v>
      </c>
      <c r="E825" s="19" t="str">
        <f aca="false">Stock_Seguridad!X825</f>
        <v>SIN FCST</v>
      </c>
      <c r="F825" s="20" t="str">
        <f aca="false">Stock_Seguridad!W825</f>
        <v/>
      </c>
      <c r="G825" s="21" t="n">
        <f aca="false">Stock_Seguridad!T825</f>
        <v>143.5</v>
      </c>
      <c r="H825" s="21" t="n">
        <f aca="false">Stock_Seguridad!R825</f>
        <v>0</v>
      </c>
      <c r="I825" s="21" t="n">
        <f aca="false">Stock_Seguridad!S825</f>
        <v>0</v>
      </c>
      <c r="J825" s="21" t="n">
        <f aca="false">Stock_Seguridad!U825</f>
        <v>0</v>
      </c>
      <c r="K825" s="22"/>
      <c r="L825" s="23" t="n">
        <v>143.52</v>
      </c>
      <c r="M825" s="23" t="n">
        <v>0</v>
      </c>
      <c r="N825" s="23" t="n">
        <v>143.52</v>
      </c>
      <c r="O825" s="24" t="n">
        <v>0.75</v>
      </c>
      <c r="P825" s="24" t="n">
        <f aca="false">IF(ISNUMBER(Stock_Seguridad!N825),Stock_Seguridad!N825,"")</f>
        <v>0.194520547945206</v>
      </c>
      <c r="Q825" s="24" t="n">
        <f aca="false">IF(AND(ISNUMBER(O825),ISNUMBER(P825)),P825-O825,"")</f>
        <v>-0.555479452054795</v>
      </c>
      <c r="R825" s="23" t="n">
        <f aca="false">MAX(0,G825-N(L825))</f>
        <v>0</v>
      </c>
      <c r="S825" s="23" t="n">
        <f aca="false">SUMIFS(Cadenas_vs_FCST!$D$17:$D$2437,Cadenas_vs_FCST!$A$17:$A$2437,A825)</f>
        <v>0</v>
      </c>
      <c r="T825" s="23" t="n">
        <f aca="false">SUMIFS(Cadenas_vs_FCST!$E$17:$E$2437,Cadenas_vs_FCST!$A$17:$A$2437,A825)</f>
        <v>0</v>
      </c>
      <c r="U825" s="24" t="str">
        <f aca="false">IF(T825&gt;0,S825/T825-1,"")</f>
        <v/>
      </c>
      <c r="V825" s="3" t="str">
        <f aca="false">IF(OR(E825="BAJO SS",E825="BAJO SS (XLIB CUBRE)"),"SÍ","")</f>
        <v/>
      </c>
      <c r="W825" s="3" t="str">
        <f aca="false">IF(AND(V825="",N(L825)&gt;=Parametros!$B$17,G825&gt;=H825,R825&lt;H825),"SÍ","")</f>
        <v/>
      </c>
      <c r="X825" s="3" t="str">
        <f aca="false">IF(OR(E825="SOBRE MAX VENDIBLE",N(N825)&gt;=Parametros!$B$17,N(M825)&gt;=Parametros!$B$17),"SÍ","")</f>
        <v/>
      </c>
      <c r="Y825" s="3" t="str">
        <f aca="false">IF(AND(ISNUMBER(U825),MAX(S825,T825)&gt;=Parametros!$B$15,ABS(N(U825))&gt;Parametros!$B$14),"SÍ","")</f>
        <v/>
      </c>
      <c r="Z825" s="3" t="n">
        <f aca="false">COUNTIF(V825:Y825,"SÍ")</f>
        <v>0</v>
      </c>
      <c r="AA825" s="3" t="n">
        <f aca="false">(3*(V825="SÍ")+2*(W825="SÍ")+2*(X825="SÍ")+(Y825="SÍ"))*IF(LEFT(D825,1)="A",3,IF(OR(LEFT(D825,1)="B",D825="SIN HIST"),2,1))</f>
        <v>0</v>
      </c>
      <c r="AB825" s="3" t="str">
        <f aca="false">IF(AA825&gt;=9,"1-ALTA",IF(AA825&gt;=4,"2-MEDIA",IF(AA825&gt;0,"3-BAJA","")))</f>
        <v/>
      </c>
      <c r="AC825" s="3" t="str">
        <f aca="false">IF(E825="BAJO SS","Stock + XLIB bajo el SS: riesgo real de quiebre, adelantar producción. ","")&amp;IF(E825="BAJO SS (XLIB CUBRE)","Disponible bajo el SS; depende de liberar "&amp;TEXT(J825,"#,##0")&amp;" kg"&amp;IF(ISNUMBER(K825)," el "&amp;TEXT(K825,"dd-mm"),"")&amp;". ","")&amp;IF(W825="SÍ","Stock parece sano pero "&amp;TEXT(L825,"#,##0")&amp;" kg no pasan filtro "&amp;Stock_Seguridad!O825&amp;": sin ellos queda bajo el SS para esa cadena. ","")&amp;IF(E825="SOBRE MAX VENDIBLE","Sobrestock vs vida útil: frenar producción/activar venta. ","")&amp;IF(N(N825)&gt;=Parametros!$B$17,TEXT(N825,"#,##0")&amp;" kg ya no los acepta ninguna cadena: venta intermedia/liquidación. ","")&amp;IF(N(M825)&gt;=Parametros!$B$17,TEXT(M825,"#,##0")&amp;" kg a punto de salir del filtro: despachar primero (FEFO). ","")&amp;IF(Y825="SÍ","Pedidos "&amp;IF(N(U825)&gt;0,"sobre","bajo")&amp;" FCST "&amp;TEXT(ABS(N(U825)),"0%")&amp;": revisar forecast con KAM.","")</f>
        <v/>
      </c>
    </row>
    <row r="826" customFormat="false" ht="15" hidden="false" customHeight="false" outlineLevel="0" collapsed="false">
      <c r="A826" s="18" t="n">
        <f aca="false">Stock_Seguridad!A826</f>
        <v>30002357</v>
      </c>
      <c r="B826" s="18" t="str">
        <f aca="false">Stock_Seguridad!B826</f>
        <v>YOG LONCO PROTEIN NAT BOLSA 20X500GR</v>
      </c>
      <c r="C826" s="18" t="str">
        <f aca="false">Stock_Seguridad!C826</f>
        <v>YOGURT</v>
      </c>
      <c r="D826" s="18" t="str">
        <f aca="false">Stock_Seguridad!F826</f>
        <v>CY</v>
      </c>
      <c r="E826" s="19" t="str">
        <f aca="false">Stock_Seguridad!X826</f>
        <v>SIN FCST</v>
      </c>
      <c r="F826" s="20" t="str">
        <f aca="false">Stock_Seguridad!W826</f>
        <v/>
      </c>
      <c r="G826" s="21" t="n">
        <f aca="false">Stock_Seguridad!T826</f>
        <v>1620</v>
      </c>
      <c r="H826" s="21" t="n">
        <f aca="false">Stock_Seguridad!R826</f>
        <v>3833.34260178944</v>
      </c>
      <c r="I826" s="21" t="n">
        <f aca="false">Stock_Seguridad!S826</f>
        <v>3833.34260178944</v>
      </c>
      <c r="J826" s="21" t="n">
        <f aca="false">Stock_Seguridad!U826</f>
        <v>0</v>
      </c>
      <c r="K826" s="22"/>
      <c r="L826" s="23" t="n">
        <v>0</v>
      </c>
      <c r="M826" s="23" t="n">
        <v>0</v>
      </c>
      <c r="N826" s="23" t="n">
        <v>0</v>
      </c>
      <c r="O826" s="24" t="n">
        <v>0.31</v>
      </c>
      <c r="P826" s="24" t="str">
        <f aca="false">IF(ISNUMBER(Stock_Seguridad!N826),Stock_Seguridad!N826,"")</f>
        <v/>
      </c>
      <c r="Q826" s="24" t="str">
        <f aca="false">IF(AND(ISNUMBER(O826),ISNUMBER(P826)),P826-O826,"")</f>
        <v/>
      </c>
      <c r="R826" s="23" t="n">
        <f aca="false">MAX(0,G826-N(L826))</f>
        <v>1620</v>
      </c>
      <c r="S826" s="23" t="n">
        <f aca="false">SUMIFS(Cadenas_vs_FCST!$D$17:$D$2437,Cadenas_vs_FCST!$A$17:$A$2437,A826)</f>
        <v>8740</v>
      </c>
      <c r="T826" s="23" t="n">
        <f aca="false">SUMIFS(Cadenas_vs_FCST!$E$17:$E$2437,Cadenas_vs_FCST!$A$17:$A$2437,A826)</f>
        <v>10000</v>
      </c>
      <c r="U826" s="24" t="n">
        <f aca="false">IF(T826&gt;0,S826/T826-1,"")</f>
        <v>-0.126</v>
      </c>
      <c r="V826" s="3" t="str">
        <f aca="false">IF(OR(E826="BAJO SS",E826="BAJO SS (XLIB CUBRE)"),"SÍ","")</f>
        <v/>
      </c>
      <c r="W826" s="3" t="str">
        <f aca="false">IF(AND(V826="",N(L826)&gt;=Parametros!$B$17,G826&gt;=H826,R826&lt;H826),"SÍ","")</f>
        <v/>
      </c>
      <c r="X826" s="3" t="str">
        <f aca="false">IF(OR(E826="SOBRE MAX VENDIBLE",N(N826)&gt;=Parametros!$B$17,N(M826)&gt;=Parametros!$B$17),"SÍ","")</f>
        <v/>
      </c>
      <c r="Y826" s="3" t="str">
        <f aca="false">IF(AND(ISNUMBER(U826),MAX(S826,T826)&gt;=Parametros!$B$15,ABS(N(U826))&gt;Parametros!$B$14),"SÍ","")</f>
        <v/>
      </c>
      <c r="Z826" s="3" t="n">
        <f aca="false">COUNTIF(V826:Y826,"SÍ")</f>
        <v>0</v>
      </c>
      <c r="AA826" s="3" t="n">
        <f aca="false">(3*(V826="SÍ")+2*(W826="SÍ")+2*(X826="SÍ")+(Y826="SÍ"))*IF(LEFT(D826,1)="A",3,IF(OR(LEFT(D826,1)="B",D826="SIN HIST"),2,1))</f>
        <v>0</v>
      </c>
      <c r="AB826" s="3" t="str">
        <f aca="false">IF(AA826&gt;=9,"1-ALTA",IF(AA826&gt;=4,"2-MEDIA",IF(AA826&gt;0,"3-BAJA","")))</f>
        <v/>
      </c>
      <c r="AC826" s="3" t="str">
        <f aca="false">IF(E826="BAJO SS","Stock + XLIB bajo el SS: riesgo real de quiebre, adelantar producción. ","")&amp;IF(E826="BAJO SS (XLIB CUBRE)","Disponible bajo el SS; depende de liberar "&amp;TEXT(J826,"#,##0")&amp;" kg"&amp;IF(ISNUMBER(K826)," el "&amp;TEXT(K826,"dd-mm"),"")&amp;". ","")&amp;IF(W826="SÍ","Stock parece sano pero "&amp;TEXT(L826,"#,##0")&amp;" kg no pasan filtro "&amp;Stock_Seguridad!O826&amp;": sin ellos queda bajo el SS para esa cadena. ","")&amp;IF(E826="SOBRE MAX VENDIBLE","Sobrestock vs vida útil: frenar producción/activar venta. ","")&amp;IF(N(N826)&gt;=Parametros!$B$17,TEXT(N826,"#,##0")&amp;" kg ya no los acepta ninguna cadena: venta intermedia/liquidación. ","")&amp;IF(N(M826)&gt;=Parametros!$B$17,TEXT(M826,"#,##0")&amp;" kg a punto de salir del filtro: despachar primero (FEFO). ","")&amp;IF(Y826="SÍ","Pedidos "&amp;IF(N(U826)&gt;0,"sobre","bajo")&amp;" FCST "&amp;TEXT(ABS(N(U826)),"0%")&amp;": revisar forecast con KAM.","")</f>
        <v/>
      </c>
    </row>
  </sheetData>
  <autoFilter ref="A4:AC826"/>
  <conditionalFormatting sqref="E5:E826">
    <cfRule type="expression" priority="2" aboveAverage="0" equalAverage="0" bottom="0" percent="0" rank="0" text="" dxfId="10">
      <formula>E5="BAJO SS"</formula>
    </cfRule>
    <cfRule type="expression" priority="3" aboveAverage="0" equalAverage="0" bottom="0" percent="0" rank="0" text="" dxfId="11">
      <formula>E5="BAJO SS (XLIB CUBRE)"</formula>
    </cfRule>
    <cfRule type="expression" priority="4" aboveAverage="0" equalAverage="0" bottom="0" percent="0" rank="0" text="" dxfId="12">
      <formula>E5="BAJO P.REORDEN"</formula>
    </cfRule>
    <cfRule type="expression" priority="5" aboveAverage="0" equalAverage="0" bottom="0" percent="0" rank="0" text="" dxfId="13">
      <formula>E5="SOBRE MAX VENDIBLE"</formula>
    </cfRule>
    <cfRule type="expression" priority="6" aboveAverage="0" equalAverage="0" bottom="0" percent="0" rank="0" text="" dxfId="14">
      <formula>E5="OK"</formula>
    </cfRule>
  </conditionalFormatting>
  <conditionalFormatting sqref="V5:Y826">
    <cfRule type="expression" priority="7" aboveAverage="0" equalAverage="0" bottom="0" percent="0" rank="0" text="" dxfId="15">
      <formula>V5="SÍ"</formula>
    </cfRule>
  </conditionalFormatting>
  <conditionalFormatting sqref="AB5:AB826">
    <cfRule type="expression" priority="8" aboveAverage="0" equalAverage="0" bottom="0" percent="0" rank="0" text="" dxfId="10">
      <formula>AB5="1-ALTA"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19" min="5" style="0" width="10"/>
  </cols>
  <sheetData>
    <row r="1" customFormat="false" ht="15" hidden="false" customHeight="false" outlineLevel="0" collapsed="false">
      <c r="A1" s="4" t="s">
        <v>193</v>
      </c>
    </row>
    <row r="2" customFormat="false" ht="15" hidden="false" customHeight="false" outlineLevel="0" collapsed="false">
      <c r="A2" s="26" t="s">
        <v>194</v>
      </c>
    </row>
    <row r="4" customFormat="false" ht="42" hidden="false" customHeight="true" outlineLevel="0" collapsed="false">
      <c r="A4" s="14" t="s">
        <v>158</v>
      </c>
      <c r="B4" s="14" t="s">
        <v>159</v>
      </c>
      <c r="C4" s="14" t="s">
        <v>121</v>
      </c>
      <c r="D4" s="14" t="s">
        <v>195</v>
      </c>
      <c r="E4" s="14" t="s">
        <v>196</v>
      </c>
      <c r="F4" s="14" t="s">
        <v>197</v>
      </c>
      <c r="G4" s="14" t="s">
        <v>198</v>
      </c>
      <c r="H4" s="14" t="s">
        <v>199</v>
      </c>
      <c r="I4" s="14" t="s">
        <v>200</v>
      </c>
      <c r="J4" s="14" t="s">
        <v>201</v>
      </c>
      <c r="K4" s="14" t="s">
        <v>202</v>
      </c>
      <c r="L4" s="14" t="s">
        <v>203</v>
      </c>
      <c r="M4" s="14" t="s">
        <v>204</v>
      </c>
      <c r="N4" s="14" t="s">
        <v>205</v>
      </c>
      <c r="O4" s="14" t="s">
        <v>206</v>
      </c>
      <c r="P4" s="14" t="s">
        <v>207</v>
      </c>
      <c r="Q4" s="14" t="s">
        <v>208</v>
      </c>
      <c r="R4" s="14" t="s">
        <v>209</v>
      </c>
      <c r="S4" s="14" t="s">
        <v>210</v>
      </c>
    </row>
    <row r="5" customFormat="false" ht="15" hidden="false" customHeight="false" outlineLevel="0" collapsed="false">
      <c r="A5" s="3" t="n">
        <v>30000522</v>
      </c>
      <c r="B5" s="3" t="s">
        <v>211</v>
      </c>
      <c r="C5" s="3" t="s">
        <v>212</v>
      </c>
      <c r="D5" s="3" t="s">
        <v>213</v>
      </c>
      <c r="E5" s="3" t="s">
        <v>214</v>
      </c>
      <c r="F5" s="23" t="n">
        <v>411132</v>
      </c>
      <c r="G5" s="23" t="n">
        <v>320976</v>
      </c>
      <c r="H5" s="23" t="n">
        <v>267708</v>
      </c>
      <c r="I5" s="23" t="n">
        <v>462924</v>
      </c>
      <c r="J5" s="23" t="n">
        <v>488724</v>
      </c>
      <c r="K5" s="23" t="n">
        <v>302916</v>
      </c>
      <c r="L5" s="23" t="n">
        <v>315348</v>
      </c>
      <c r="M5" s="23" t="n">
        <v>320000</v>
      </c>
      <c r="N5" s="23" t="n">
        <v>300500</v>
      </c>
      <c r="O5" s="23" t="n">
        <v>276590.5</v>
      </c>
      <c r="P5" s="23" t="n">
        <v>373000</v>
      </c>
      <c r="Q5" s="23" t="n">
        <v>350619.3</v>
      </c>
      <c r="R5" s="23" t="n">
        <v>455066.311500311</v>
      </c>
      <c r="S5" s="23" t="n">
        <v>353809.258162328</v>
      </c>
    </row>
    <row r="6" customFormat="false" ht="15" hidden="false" customHeight="false" outlineLevel="0" collapsed="false">
      <c r="A6" s="3" t="n">
        <v>30000038</v>
      </c>
      <c r="B6" s="3" t="s">
        <v>215</v>
      </c>
      <c r="C6" s="3" t="s">
        <v>212</v>
      </c>
      <c r="D6" s="3" t="s">
        <v>213</v>
      </c>
      <c r="E6" s="3" t="s">
        <v>214</v>
      </c>
      <c r="F6" s="23" t="n">
        <v>177666.72</v>
      </c>
      <c r="G6" s="23" t="n">
        <v>194502.72</v>
      </c>
      <c r="H6" s="23" t="n">
        <v>103985.76</v>
      </c>
      <c r="I6" s="23" t="n">
        <v>141488.64</v>
      </c>
      <c r="J6" s="23" t="n">
        <v>159185.76</v>
      </c>
      <c r="K6" s="23" t="n">
        <v>82700.64</v>
      </c>
      <c r="L6" s="23" t="n">
        <v>69022.08</v>
      </c>
      <c r="M6" s="23" t="n">
        <v>145600</v>
      </c>
      <c r="N6" s="23" t="n">
        <v>190600</v>
      </c>
      <c r="O6" s="23" t="n">
        <v>82989.76</v>
      </c>
      <c r="P6" s="23" t="n">
        <v>172400</v>
      </c>
      <c r="Q6" s="23" t="n">
        <v>124900</v>
      </c>
      <c r="R6" s="23" t="n">
        <v>106400</v>
      </c>
      <c r="S6" s="23" t="n">
        <v>123400</v>
      </c>
    </row>
    <row r="7" customFormat="false" ht="15" hidden="false" customHeight="false" outlineLevel="0" collapsed="false">
      <c r="A7" s="3" t="n">
        <v>30000325</v>
      </c>
      <c r="B7" s="3" t="s">
        <v>216</v>
      </c>
      <c r="C7" s="3" t="s">
        <v>139</v>
      </c>
      <c r="D7" s="3" t="s">
        <v>213</v>
      </c>
      <c r="E7" s="3" t="s">
        <v>214</v>
      </c>
      <c r="F7" s="23" t="n">
        <v>108900</v>
      </c>
      <c r="G7" s="23" t="n">
        <v>121404</v>
      </c>
      <c r="H7" s="23" t="n">
        <v>103236</v>
      </c>
      <c r="I7" s="23" t="n">
        <v>112224</v>
      </c>
      <c r="J7" s="23" t="n">
        <v>158844</v>
      </c>
      <c r="K7" s="23" t="n">
        <v>128628</v>
      </c>
      <c r="L7" s="23" t="n">
        <v>64584</v>
      </c>
      <c r="M7" s="23" t="n">
        <v>111100</v>
      </c>
      <c r="N7" s="23" t="n">
        <v>119024</v>
      </c>
      <c r="O7" s="23" t="n">
        <v>70528.15</v>
      </c>
      <c r="P7" s="23" t="n">
        <v>150768.4512</v>
      </c>
      <c r="Q7" s="23" t="n">
        <v>152774.8</v>
      </c>
      <c r="R7" s="23" t="n">
        <v>169458.775297465</v>
      </c>
      <c r="S7" s="23" t="n">
        <v>130767.573778296</v>
      </c>
    </row>
    <row r="8" customFormat="false" ht="15" hidden="false" customHeight="false" outlineLevel="0" collapsed="false">
      <c r="A8" s="3" t="n">
        <v>30000049</v>
      </c>
      <c r="B8" s="3" t="s">
        <v>217</v>
      </c>
      <c r="C8" s="3" t="s">
        <v>212</v>
      </c>
      <c r="D8" s="3" t="s">
        <v>213</v>
      </c>
      <c r="E8" s="3" t="s">
        <v>214</v>
      </c>
      <c r="F8" s="23" t="n">
        <v>95683.68</v>
      </c>
      <c r="G8" s="23" t="n">
        <v>108026.4</v>
      </c>
      <c r="H8" s="23" t="n">
        <v>137503.2</v>
      </c>
      <c r="I8" s="23" t="n">
        <v>99393.12</v>
      </c>
      <c r="J8" s="23" t="n">
        <v>138496.8</v>
      </c>
      <c r="K8" s="23" t="n">
        <v>102727.2</v>
      </c>
      <c r="L8" s="23" t="n">
        <v>80481.6</v>
      </c>
      <c r="M8" s="23" t="n">
        <v>136300</v>
      </c>
      <c r="N8" s="23" t="n">
        <v>172300</v>
      </c>
      <c r="O8" s="23" t="n">
        <v>62422.24</v>
      </c>
      <c r="P8" s="23" t="n">
        <v>129700</v>
      </c>
      <c r="Q8" s="23" t="n">
        <v>160700</v>
      </c>
      <c r="R8" s="23" t="n">
        <v>123700</v>
      </c>
      <c r="S8" s="23" t="n">
        <v>141700</v>
      </c>
    </row>
    <row r="9" customFormat="false" ht="15" hidden="false" customHeight="false" outlineLevel="0" collapsed="false">
      <c r="A9" s="3" t="n">
        <v>30000326</v>
      </c>
      <c r="B9" s="3" t="s">
        <v>218</v>
      </c>
      <c r="C9" s="3" t="s">
        <v>139</v>
      </c>
      <c r="D9" s="3" t="s">
        <v>213</v>
      </c>
      <c r="E9" s="3" t="s">
        <v>214</v>
      </c>
      <c r="F9" s="23" t="n">
        <v>90384</v>
      </c>
      <c r="G9" s="23" t="n">
        <v>83892</v>
      </c>
      <c r="H9" s="23" t="n">
        <v>69900</v>
      </c>
      <c r="I9" s="23" t="n">
        <v>138744</v>
      </c>
      <c r="J9" s="23" t="n">
        <v>144564</v>
      </c>
      <c r="K9" s="23" t="n">
        <v>129552</v>
      </c>
      <c r="L9" s="23" t="n">
        <v>58740</v>
      </c>
      <c r="M9" s="23" t="n">
        <v>109700</v>
      </c>
      <c r="N9" s="23" t="n">
        <v>104164</v>
      </c>
      <c r="O9" s="23" t="n">
        <v>60352.89</v>
      </c>
      <c r="P9" s="23" t="n">
        <v>149901.7004</v>
      </c>
      <c r="Q9" s="23" t="n">
        <v>150441.4</v>
      </c>
      <c r="R9" s="23" t="n">
        <v>160747.379100659</v>
      </c>
      <c r="S9" s="23" t="n">
        <v>134228.30212944</v>
      </c>
    </row>
    <row r="10" customFormat="false" ht="15" hidden="false" customHeight="false" outlineLevel="0" collapsed="false">
      <c r="A10" s="3" t="n">
        <v>30000353</v>
      </c>
      <c r="B10" s="3" t="s">
        <v>219</v>
      </c>
      <c r="C10" s="3" t="s">
        <v>139</v>
      </c>
      <c r="D10" s="3" t="s">
        <v>213</v>
      </c>
      <c r="E10" s="3" t="s">
        <v>214</v>
      </c>
      <c r="F10" s="23" t="n">
        <v>69480</v>
      </c>
      <c r="G10" s="23" t="n">
        <v>60024</v>
      </c>
      <c r="H10" s="23" t="n">
        <v>43164</v>
      </c>
      <c r="I10" s="23" t="n">
        <v>99120</v>
      </c>
      <c r="J10" s="23" t="n">
        <v>145800</v>
      </c>
      <c r="K10" s="23" t="n">
        <v>139380</v>
      </c>
      <c r="L10" s="23" t="n">
        <v>39468</v>
      </c>
      <c r="M10" s="23" t="n">
        <v>92100</v>
      </c>
      <c r="N10" s="23" t="n">
        <v>85500</v>
      </c>
      <c r="O10" s="23" t="n">
        <v>46319.54</v>
      </c>
      <c r="P10" s="23" t="n">
        <v>120920.7168</v>
      </c>
      <c r="Q10" s="23" t="n">
        <v>103171</v>
      </c>
      <c r="R10" s="23" t="n">
        <v>123249.901437621</v>
      </c>
      <c r="S10" s="23" t="n">
        <v>106847.35625</v>
      </c>
    </row>
    <row r="11" customFormat="false" ht="15" hidden="false" customHeight="false" outlineLevel="0" collapsed="false">
      <c r="A11" s="3" t="n">
        <v>30000524</v>
      </c>
      <c r="B11" s="3" t="s">
        <v>220</v>
      </c>
      <c r="C11" s="3" t="s">
        <v>212</v>
      </c>
      <c r="D11" s="3" t="s">
        <v>213</v>
      </c>
      <c r="E11" s="3" t="s">
        <v>214</v>
      </c>
      <c r="F11" s="23" t="n">
        <v>33372</v>
      </c>
      <c r="G11" s="23" t="n">
        <v>64548</v>
      </c>
      <c r="H11" s="23" t="n">
        <v>25932</v>
      </c>
      <c r="I11" s="23" t="n">
        <v>33204</v>
      </c>
      <c r="J11" s="23" t="n">
        <v>293196</v>
      </c>
      <c r="K11" s="23" t="n">
        <v>74100</v>
      </c>
      <c r="L11" s="23" t="n">
        <v>39420</v>
      </c>
      <c r="M11" s="23" t="n">
        <v>48700</v>
      </c>
      <c r="N11" s="23" t="n">
        <v>38200</v>
      </c>
      <c r="O11" s="23" t="n">
        <v>25565.9</v>
      </c>
      <c r="P11" s="23" t="n">
        <v>34259.58</v>
      </c>
      <c r="Q11" s="23" t="n">
        <v>53633.1</v>
      </c>
      <c r="R11" s="23" t="n">
        <v>112535.022113639</v>
      </c>
      <c r="S11" s="23" t="n">
        <v>51875.4166666667</v>
      </c>
    </row>
    <row r="12" customFormat="false" ht="15" hidden="false" customHeight="false" outlineLevel="0" collapsed="false">
      <c r="A12" s="3" t="n">
        <v>30000255</v>
      </c>
      <c r="B12" s="3" t="s">
        <v>221</v>
      </c>
      <c r="C12" s="3" t="s">
        <v>212</v>
      </c>
      <c r="D12" s="3" t="s">
        <v>213</v>
      </c>
      <c r="E12" s="3" t="s">
        <v>214</v>
      </c>
      <c r="F12" s="23" t="n">
        <v>92094</v>
      </c>
      <c r="G12" s="23" t="n">
        <v>71400</v>
      </c>
      <c r="H12" s="23" t="n">
        <v>79212</v>
      </c>
      <c r="I12" s="23" t="n">
        <v>44844</v>
      </c>
      <c r="J12" s="23" t="n">
        <v>37926</v>
      </c>
      <c r="K12" s="23" t="n">
        <v>155424</v>
      </c>
      <c r="L12" s="23" t="n">
        <v>17820</v>
      </c>
      <c r="M12" s="23" t="n">
        <v>75061.722092039</v>
      </c>
      <c r="N12" s="23" t="n">
        <v>59016</v>
      </c>
      <c r="O12" s="23" t="n">
        <v>62214.57336</v>
      </c>
      <c r="P12" s="23" t="n">
        <v>54030.19136</v>
      </c>
      <c r="Q12" s="23" t="n">
        <v>63227.3</v>
      </c>
      <c r="R12" s="23" t="n">
        <v>97477.4161977066</v>
      </c>
      <c r="S12" s="23" t="n">
        <v>110013.570794926</v>
      </c>
    </row>
    <row r="13" customFormat="false" ht="15" hidden="false" customHeight="false" outlineLevel="0" collapsed="false">
      <c r="A13" s="3" t="n">
        <v>30000523</v>
      </c>
      <c r="B13" s="3" t="s">
        <v>222</v>
      </c>
      <c r="C13" s="3" t="s">
        <v>212</v>
      </c>
      <c r="D13" s="3" t="s">
        <v>213</v>
      </c>
      <c r="E13" s="3" t="s">
        <v>214</v>
      </c>
      <c r="F13" s="23" t="n">
        <v>70908</v>
      </c>
      <c r="G13" s="23" t="n">
        <v>79032</v>
      </c>
      <c r="H13" s="23" t="n">
        <v>54276</v>
      </c>
      <c r="I13" s="23" t="n">
        <v>50832</v>
      </c>
      <c r="J13" s="23" t="n">
        <v>118152</v>
      </c>
      <c r="K13" s="23" t="n">
        <v>50328</v>
      </c>
      <c r="L13" s="23" t="n">
        <v>69444</v>
      </c>
      <c r="M13" s="23" t="n">
        <v>112400</v>
      </c>
      <c r="N13" s="23" t="n">
        <v>79000</v>
      </c>
      <c r="O13" s="23" t="n">
        <v>62643.6</v>
      </c>
      <c r="P13" s="23" t="n">
        <v>91617.12</v>
      </c>
      <c r="Q13" s="23" t="n">
        <v>106267.6</v>
      </c>
      <c r="R13" s="23" t="n">
        <v>201414.187120916</v>
      </c>
      <c r="S13" s="23" t="n">
        <v>103847.213032259</v>
      </c>
    </row>
    <row r="14" customFormat="false" ht="15" hidden="false" customHeight="false" outlineLevel="0" collapsed="false">
      <c r="A14" s="3" t="n">
        <v>30001086</v>
      </c>
      <c r="B14" s="3" t="s">
        <v>223</v>
      </c>
      <c r="C14" s="3" t="s">
        <v>212</v>
      </c>
      <c r="D14" s="3" t="s">
        <v>224</v>
      </c>
      <c r="E14" s="3" t="s">
        <v>214</v>
      </c>
      <c r="F14" s="23" t="n">
        <v>72136.8</v>
      </c>
      <c r="G14" s="23" t="n">
        <v>95421.6</v>
      </c>
      <c r="H14" s="23" t="n">
        <v>50781.6</v>
      </c>
      <c r="I14" s="23" t="n">
        <v>63079.2</v>
      </c>
      <c r="J14" s="23" t="n">
        <v>57074.4</v>
      </c>
      <c r="K14" s="23" t="n">
        <v>59328</v>
      </c>
      <c r="L14" s="23" t="n">
        <v>29282.4</v>
      </c>
      <c r="M14" s="23" t="n">
        <v>61961.144776381</v>
      </c>
      <c r="N14" s="23" t="n">
        <v>70477.4779602599</v>
      </c>
      <c r="O14" s="23" t="n">
        <v>38025.3293964762</v>
      </c>
      <c r="P14" s="23" t="n">
        <v>68307.6677919651</v>
      </c>
      <c r="Q14" s="23" t="n">
        <v>64307.6677919651</v>
      </c>
      <c r="R14" s="23" t="n">
        <v>55500</v>
      </c>
      <c r="S14" s="23" t="n">
        <v>53822.1674391086</v>
      </c>
    </row>
    <row r="15" customFormat="false" ht="15" hidden="false" customHeight="false" outlineLevel="0" collapsed="false">
      <c r="A15" s="3" t="n">
        <v>30000256</v>
      </c>
      <c r="B15" s="3" t="s">
        <v>225</v>
      </c>
      <c r="C15" s="3" t="s">
        <v>212</v>
      </c>
      <c r="D15" s="3" t="s">
        <v>213</v>
      </c>
      <c r="E15" s="3" t="s">
        <v>214</v>
      </c>
      <c r="F15" s="23" t="n">
        <v>71766</v>
      </c>
      <c r="G15" s="23" t="n">
        <v>41712</v>
      </c>
      <c r="H15" s="23" t="n">
        <v>66648</v>
      </c>
      <c r="I15" s="23" t="n">
        <v>24630</v>
      </c>
      <c r="J15" s="23" t="n">
        <v>20106</v>
      </c>
      <c r="K15" s="23" t="n">
        <v>112140</v>
      </c>
      <c r="L15" s="23" t="n">
        <v>24066</v>
      </c>
      <c r="M15" s="23" t="n">
        <v>51931.2332284242</v>
      </c>
      <c r="N15" s="23" t="n">
        <v>48400</v>
      </c>
      <c r="O15" s="23" t="n">
        <v>43716.93744</v>
      </c>
      <c r="P15" s="23" t="n">
        <v>38299.59044</v>
      </c>
      <c r="Q15" s="23" t="n">
        <v>53448.571</v>
      </c>
      <c r="R15" s="23" t="n">
        <v>68350.2776663861</v>
      </c>
      <c r="S15" s="23" t="n">
        <v>86235.6905334192</v>
      </c>
    </row>
    <row r="16" customFormat="false" ht="15" hidden="false" customHeight="false" outlineLevel="0" collapsed="false">
      <c r="A16" s="3" t="n">
        <v>30001051</v>
      </c>
      <c r="B16" s="3" t="s">
        <v>226</v>
      </c>
      <c r="C16" s="3" t="s">
        <v>212</v>
      </c>
      <c r="D16" s="3" t="s">
        <v>224</v>
      </c>
      <c r="E16" s="3" t="s">
        <v>214</v>
      </c>
      <c r="F16" s="23" t="n">
        <v>62028</v>
      </c>
      <c r="G16" s="23" t="n">
        <v>47112</v>
      </c>
      <c r="H16" s="23" t="n">
        <v>41664</v>
      </c>
      <c r="I16" s="23" t="n">
        <v>39552</v>
      </c>
      <c r="J16" s="23" t="n">
        <v>64140</v>
      </c>
      <c r="K16" s="23" t="n">
        <v>79140</v>
      </c>
      <c r="L16" s="23" t="n">
        <v>68316</v>
      </c>
      <c r="M16" s="23" t="n">
        <v>50109.3441548459</v>
      </c>
      <c r="N16" s="23" t="n">
        <v>41474.9960868282</v>
      </c>
      <c r="O16" s="23" t="n">
        <v>20362.7630789061</v>
      </c>
      <c r="P16" s="23" t="n">
        <v>49085.5482848286</v>
      </c>
      <c r="Q16" s="23" t="n">
        <v>42662.6120598749</v>
      </c>
      <c r="R16" s="23" t="n">
        <v>40388.236319954</v>
      </c>
      <c r="S16" s="23" t="n">
        <v>54004.2614555977</v>
      </c>
    </row>
    <row r="17" customFormat="false" ht="15" hidden="false" customHeight="false" outlineLevel="0" collapsed="false">
      <c r="A17" s="3" t="n">
        <v>30000258</v>
      </c>
      <c r="B17" s="3" t="s">
        <v>227</v>
      </c>
      <c r="C17" s="3" t="s">
        <v>212</v>
      </c>
      <c r="D17" s="3" t="s">
        <v>213</v>
      </c>
      <c r="E17" s="3" t="s">
        <v>214</v>
      </c>
      <c r="F17" s="23" t="n">
        <v>96636</v>
      </c>
      <c r="G17" s="23" t="n">
        <v>78198</v>
      </c>
      <c r="H17" s="23" t="n">
        <v>23334</v>
      </c>
      <c r="I17" s="23" t="n">
        <v>66330</v>
      </c>
      <c r="J17" s="23" t="n">
        <v>25110</v>
      </c>
      <c r="K17" s="23" t="n">
        <v>36006</v>
      </c>
      <c r="L17" s="23" t="n">
        <v>109716</v>
      </c>
      <c r="M17" s="23" t="n">
        <v>109791.2593363</v>
      </c>
      <c r="N17" s="23" t="n">
        <v>48148.7985791893</v>
      </c>
      <c r="O17" s="23" t="n">
        <v>48950.2908</v>
      </c>
      <c r="P17" s="23" t="n">
        <v>71337.5328</v>
      </c>
      <c r="Q17" s="23" t="n">
        <v>55530.5</v>
      </c>
      <c r="R17" s="23" t="n">
        <v>66017.22365364</v>
      </c>
      <c r="S17" s="23" t="n">
        <v>79588.9567584832</v>
      </c>
    </row>
    <row r="18" customFormat="false" ht="15" hidden="false" customHeight="false" outlineLevel="0" collapsed="false">
      <c r="A18" s="3" t="n">
        <v>30000257</v>
      </c>
      <c r="B18" s="3" t="s">
        <v>228</v>
      </c>
      <c r="C18" s="3" t="s">
        <v>212</v>
      </c>
      <c r="D18" s="3" t="s">
        <v>213</v>
      </c>
      <c r="E18" s="3" t="s">
        <v>214</v>
      </c>
      <c r="F18" s="23" t="n">
        <v>33714</v>
      </c>
      <c r="G18" s="23" t="n">
        <v>79338</v>
      </c>
      <c r="H18" s="23" t="n">
        <v>34560</v>
      </c>
      <c r="I18" s="23" t="n">
        <v>62724</v>
      </c>
      <c r="J18" s="23" t="n">
        <v>26832</v>
      </c>
      <c r="K18" s="23" t="n">
        <v>85410</v>
      </c>
      <c r="L18" s="23" t="n">
        <v>51270</v>
      </c>
      <c r="M18" s="23" t="n">
        <v>42136.7715562179</v>
      </c>
      <c r="N18" s="23" t="n">
        <v>41156</v>
      </c>
      <c r="O18" s="23" t="n">
        <v>44346.26656</v>
      </c>
      <c r="P18" s="23" t="n">
        <v>69862.90956</v>
      </c>
      <c r="Q18" s="23" t="n">
        <v>43057.5</v>
      </c>
      <c r="R18" s="23" t="n">
        <v>67587.8244683353</v>
      </c>
      <c r="S18" s="23" t="n">
        <v>81715.0008256515</v>
      </c>
    </row>
    <row r="19" customFormat="false" ht="15" hidden="false" customHeight="false" outlineLevel="0" collapsed="false">
      <c r="A19" s="3" t="n">
        <v>30000441</v>
      </c>
      <c r="B19" s="3" t="s">
        <v>229</v>
      </c>
      <c r="C19" s="3" t="s">
        <v>149</v>
      </c>
      <c r="D19" s="3" t="s">
        <v>224</v>
      </c>
      <c r="E19" s="3" t="s">
        <v>214</v>
      </c>
      <c r="F19" s="23" t="n">
        <v>40864</v>
      </c>
      <c r="G19" s="23" t="n">
        <v>57200</v>
      </c>
      <c r="H19" s="23" t="n">
        <v>11820</v>
      </c>
      <c r="I19" s="23" t="n">
        <v>58494</v>
      </c>
      <c r="J19" s="23" t="n">
        <v>66730</v>
      </c>
      <c r="K19" s="23" t="n">
        <v>27720</v>
      </c>
      <c r="L19" s="23" t="n">
        <v>31080</v>
      </c>
      <c r="M19" s="23" t="n">
        <v>35900.0000185084</v>
      </c>
      <c r="N19" s="23" t="n">
        <v>38774.5281354204</v>
      </c>
      <c r="O19" s="23" t="n">
        <v>21802.6218399043</v>
      </c>
      <c r="P19" s="23" t="n">
        <v>53966.9810168295</v>
      </c>
      <c r="Q19" s="23" t="n">
        <v>54266.9810168295</v>
      </c>
      <c r="R19" s="23" t="n">
        <v>28800</v>
      </c>
      <c r="S19" s="23" t="n">
        <v>32600</v>
      </c>
    </row>
    <row r="20" customFormat="false" ht="15" hidden="false" customHeight="false" outlineLevel="0" collapsed="false">
      <c r="A20" s="3" t="n">
        <v>30001038</v>
      </c>
      <c r="B20" s="3" t="s">
        <v>230</v>
      </c>
      <c r="C20" s="3" t="s">
        <v>155</v>
      </c>
      <c r="D20" s="3" t="s">
        <v>224</v>
      </c>
      <c r="E20" s="3" t="s">
        <v>231</v>
      </c>
      <c r="F20" s="23" t="n">
        <v>47710.08</v>
      </c>
      <c r="G20" s="23" t="n">
        <v>54204.48</v>
      </c>
      <c r="H20" s="23" t="n">
        <v>32794.08</v>
      </c>
      <c r="I20" s="23" t="n">
        <v>38406.72</v>
      </c>
      <c r="J20" s="23" t="n">
        <v>41257.92</v>
      </c>
      <c r="K20" s="23" t="n">
        <v>44272.8</v>
      </c>
      <c r="L20" s="23" t="n">
        <v>29335.68</v>
      </c>
      <c r="M20" s="23" t="n">
        <v>32900</v>
      </c>
      <c r="N20" s="23" t="n">
        <v>45847.4374798951</v>
      </c>
      <c r="O20" s="23" t="n">
        <v>28848.3691711531</v>
      </c>
      <c r="P20" s="23" t="n">
        <v>46569.1357851793</v>
      </c>
      <c r="Q20" s="23" t="n">
        <v>43569.1357851793</v>
      </c>
      <c r="R20" s="23" t="n">
        <v>34757.1428571429</v>
      </c>
      <c r="S20" s="23" t="n">
        <v>22606.4362049297</v>
      </c>
    </row>
    <row r="21" customFormat="false" ht="15" hidden="false" customHeight="false" outlineLevel="0" collapsed="false">
      <c r="A21" s="3" t="n">
        <v>30000637</v>
      </c>
      <c r="B21" s="3" t="s">
        <v>232</v>
      </c>
      <c r="C21" s="3" t="s">
        <v>212</v>
      </c>
      <c r="D21" s="3" t="s">
        <v>213</v>
      </c>
      <c r="E21" s="3" t="s">
        <v>214</v>
      </c>
      <c r="F21" s="23" t="n">
        <v>35312.64</v>
      </c>
      <c r="G21" s="23" t="n">
        <v>37756.8</v>
      </c>
      <c r="H21" s="23" t="n">
        <v>33367.04</v>
      </c>
      <c r="I21" s="23" t="n">
        <v>62338.24</v>
      </c>
      <c r="J21" s="23" t="n">
        <v>54209.28</v>
      </c>
      <c r="K21" s="23" t="n">
        <v>27177.6</v>
      </c>
      <c r="L21" s="23" t="n">
        <v>27627.52</v>
      </c>
      <c r="M21" s="23" t="n">
        <v>35363.2</v>
      </c>
      <c r="N21" s="23" t="n">
        <v>37430</v>
      </c>
      <c r="O21" s="23" t="n">
        <v>31430.8</v>
      </c>
      <c r="P21" s="23" t="n">
        <v>60101.6</v>
      </c>
      <c r="Q21" s="23" t="n">
        <v>41155.12</v>
      </c>
      <c r="R21" s="23" t="n">
        <v>37759.12</v>
      </c>
      <c r="S21" s="23" t="n">
        <v>34596.72</v>
      </c>
    </row>
    <row r="22" customFormat="false" ht="15" hidden="false" customHeight="false" outlineLevel="0" collapsed="false">
      <c r="A22" s="3" t="n">
        <v>30001050</v>
      </c>
      <c r="B22" s="3" t="s">
        <v>233</v>
      </c>
      <c r="C22" s="3" t="s">
        <v>212</v>
      </c>
      <c r="D22" s="3" t="s">
        <v>224</v>
      </c>
      <c r="E22" s="3" t="s">
        <v>214</v>
      </c>
      <c r="F22" s="23" t="n">
        <v>40752</v>
      </c>
      <c r="G22" s="23" t="n">
        <v>38664</v>
      </c>
      <c r="H22" s="23" t="n">
        <v>14844</v>
      </c>
      <c r="I22" s="23" t="n">
        <v>45192</v>
      </c>
      <c r="J22" s="23" t="n">
        <v>39024</v>
      </c>
      <c r="K22" s="23" t="n">
        <v>61620</v>
      </c>
      <c r="L22" s="23" t="n">
        <v>52452</v>
      </c>
      <c r="M22" s="23" t="n">
        <v>37861.5569661172</v>
      </c>
      <c r="N22" s="23" t="n">
        <v>33752.1337755903</v>
      </c>
      <c r="O22" s="23" t="n">
        <v>13150.8359556546</v>
      </c>
      <c r="P22" s="23" t="n">
        <v>27266.2863196253</v>
      </c>
      <c r="Q22" s="23" t="n">
        <v>29167.5726915397</v>
      </c>
      <c r="R22" s="23" t="n">
        <v>29094.5444163588</v>
      </c>
      <c r="S22" s="23" t="n">
        <v>46094.5444163588</v>
      </c>
    </row>
    <row r="23" customFormat="false" ht="15" hidden="false" customHeight="false" outlineLevel="0" collapsed="false">
      <c r="A23" s="3" t="n">
        <v>30000401</v>
      </c>
      <c r="B23" s="3" t="s">
        <v>234</v>
      </c>
      <c r="C23" s="3" t="s">
        <v>212</v>
      </c>
      <c r="D23" s="3" t="s">
        <v>213</v>
      </c>
      <c r="E23" s="3" t="s">
        <v>214</v>
      </c>
      <c r="F23" s="23" t="n">
        <v>29064</v>
      </c>
      <c r="G23" s="23" t="n">
        <v>69312</v>
      </c>
      <c r="H23" s="23" t="n">
        <v>8076</v>
      </c>
      <c r="I23" s="23" t="n">
        <v>29928</v>
      </c>
      <c r="J23" s="23" t="n">
        <v>23538</v>
      </c>
      <c r="K23" s="23" t="n">
        <v>79170</v>
      </c>
      <c r="L23" s="23" t="n">
        <v>16536</v>
      </c>
      <c r="M23" s="23" t="n">
        <v>10592.7669350687</v>
      </c>
      <c r="N23" s="23" t="n">
        <v>21992.7669350687</v>
      </c>
      <c r="O23" s="23" t="n">
        <v>8260.8838</v>
      </c>
      <c r="P23" s="23" t="n">
        <v>36023.3</v>
      </c>
      <c r="Q23" s="23" t="n">
        <v>21944.83</v>
      </c>
      <c r="R23" s="23" t="n">
        <v>56193.7366113806</v>
      </c>
      <c r="S23" s="23" t="n">
        <v>16949.6782732187</v>
      </c>
    </row>
    <row r="24" customFormat="false" ht="15" hidden="false" customHeight="false" outlineLevel="0" collapsed="false">
      <c r="A24" s="3" t="n">
        <v>30000400</v>
      </c>
      <c r="B24" s="3" t="s">
        <v>235</v>
      </c>
      <c r="C24" s="3" t="s">
        <v>212</v>
      </c>
      <c r="D24" s="3" t="s">
        <v>213</v>
      </c>
      <c r="E24" s="3" t="s">
        <v>214</v>
      </c>
      <c r="F24" s="23" t="n">
        <v>26772</v>
      </c>
      <c r="G24" s="23" t="n">
        <v>31920</v>
      </c>
      <c r="H24" s="23" t="n">
        <v>30036</v>
      </c>
      <c r="I24" s="23" t="n">
        <v>40914</v>
      </c>
      <c r="J24" s="23" t="n">
        <v>39558</v>
      </c>
      <c r="K24" s="23" t="n">
        <v>63612</v>
      </c>
      <c r="L24" s="23" t="n">
        <v>29928</v>
      </c>
      <c r="M24" s="23" t="n">
        <v>25245.9669045954</v>
      </c>
      <c r="N24" s="23" t="n">
        <v>29700</v>
      </c>
      <c r="O24" s="23" t="n">
        <v>28773.465</v>
      </c>
      <c r="P24" s="23" t="n">
        <v>32761.85</v>
      </c>
      <c r="Q24" s="23" t="n">
        <v>34207.971</v>
      </c>
      <c r="R24" s="23" t="n">
        <v>49699.4351801749</v>
      </c>
      <c r="S24" s="23" t="n">
        <v>38242.4890008328</v>
      </c>
    </row>
    <row r="25" customFormat="false" ht="15" hidden="false" customHeight="false" outlineLevel="0" collapsed="false">
      <c r="A25" s="3" t="n">
        <v>30000309</v>
      </c>
      <c r="B25" s="3" t="s">
        <v>236</v>
      </c>
      <c r="C25" s="3" t="s">
        <v>139</v>
      </c>
      <c r="D25" s="3" t="s">
        <v>213</v>
      </c>
      <c r="E25" s="3" t="s">
        <v>214</v>
      </c>
      <c r="F25" s="23" t="n">
        <v>35322</v>
      </c>
      <c r="G25" s="23" t="n">
        <v>42312</v>
      </c>
      <c r="H25" s="23" t="n">
        <v>25626</v>
      </c>
      <c r="I25" s="23" t="n">
        <v>45072</v>
      </c>
      <c r="J25" s="23" t="n">
        <v>43626</v>
      </c>
      <c r="K25" s="23" t="n">
        <v>37128</v>
      </c>
      <c r="L25" s="23" t="n">
        <v>26610</v>
      </c>
      <c r="M25" s="23" t="n">
        <v>33854.441260745</v>
      </c>
      <c r="N25" s="23" t="n">
        <v>39792</v>
      </c>
      <c r="O25" s="23" t="n">
        <v>25272.778</v>
      </c>
      <c r="P25" s="23" t="n">
        <v>43825.217</v>
      </c>
      <c r="Q25" s="23" t="n">
        <v>45633.7</v>
      </c>
      <c r="R25" s="23" t="n">
        <v>42205.3852620081</v>
      </c>
      <c r="S25" s="23" t="n">
        <v>39336.8409598742</v>
      </c>
    </row>
    <row r="26" customFormat="false" ht="15" hidden="false" customHeight="false" outlineLevel="0" collapsed="false">
      <c r="A26" s="3" t="n">
        <v>30002099</v>
      </c>
      <c r="B26" s="3" t="s">
        <v>237</v>
      </c>
      <c r="C26" s="3" t="s">
        <v>212</v>
      </c>
      <c r="D26" s="3" t="s">
        <v>213</v>
      </c>
      <c r="E26" s="3" t="s">
        <v>214</v>
      </c>
      <c r="F26" s="23" t="n">
        <v>86268</v>
      </c>
      <c r="G26" s="23" t="n">
        <v>22044</v>
      </c>
      <c r="H26" s="23" t="n">
        <v>70386</v>
      </c>
      <c r="I26" s="23" t="n">
        <v>17664</v>
      </c>
      <c r="J26" s="23" t="n">
        <v>8472</v>
      </c>
      <c r="K26" s="23" t="n">
        <v>23058</v>
      </c>
      <c r="L26" s="23" t="n">
        <v>54972</v>
      </c>
      <c r="M26" s="23" t="n">
        <v>46533.8123662081</v>
      </c>
      <c r="N26" s="23" t="n">
        <v>35600</v>
      </c>
      <c r="O26" s="23" t="n">
        <v>36848.03184</v>
      </c>
      <c r="P26" s="23" t="n">
        <v>21716.47584</v>
      </c>
      <c r="Q26" s="23" t="n">
        <v>40633.908</v>
      </c>
      <c r="R26" s="23" t="n">
        <v>28690.3873210317</v>
      </c>
      <c r="S26" s="23" t="n">
        <v>32058.3375411161</v>
      </c>
    </row>
    <row r="27" customFormat="false" ht="15" hidden="false" customHeight="false" outlineLevel="0" collapsed="false">
      <c r="A27" s="3" t="n">
        <v>30000626</v>
      </c>
      <c r="B27" s="3" t="s">
        <v>238</v>
      </c>
      <c r="C27" s="3" t="s">
        <v>129</v>
      </c>
      <c r="D27" s="3" t="s">
        <v>213</v>
      </c>
      <c r="E27" s="3" t="s">
        <v>214</v>
      </c>
      <c r="F27" s="23" t="n">
        <v>50676.8</v>
      </c>
      <c r="G27" s="23" t="n">
        <v>63675.84</v>
      </c>
      <c r="H27" s="23" t="n">
        <v>43678.72</v>
      </c>
      <c r="I27" s="23" t="n">
        <v>25183.36</v>
      </c>
      <c r="J27" s="23" t="n">
        <v>8736.96</v>
      </c>
      <c r="K27" s="23" t="n">
        <v>14470.4</v>
      </c>
      <c r="L27" s="23" t="n">
        <v>19370.88</v>
      </c>
      <c r="M27" s="23" t="n">
        <v>32964.8</v>
      </c>
      <c r="N27" s="23" t="n">
        <v>46057.12</v>
      </c>
      <c r="O27" s="23" t="n">
        <v>22050</v>
      </c>
      <c r="P27" s="23" t="n">
        <v>45005.28</v>
      </c>
      <c r="Q27" s="23" t="n">
        <v>19812.8</v>
      </c>
      <c r="R27" s="23" t="n">
        <v>15646.88</v>
      </c>
      <c r="S27" s="23" t="n">
        <v>25633.6</v>
      </c>
    </row>
    <row r="28" customFormat="false" ht="15" hidden="false" customHeight="false" outlineLevel="0" collapsed="false">
      <c r="A28" s="3" t="n">
        <v>30001862</v>
      </c>
      <c r="B28" s="3" t="s">
        <v>239</v>
      </c>
      <c r="C28" s="3" t="s">
        <v>212</v>
      </c>
      <c r="D28" s="3" t="s">
        <v>224</v>
      </c>
      <c r="E28" s="3" t="s">
        <v>214</v>
      </c>
      <c r="F28" s="23" t="n">
        <v>37143</v>
      </c>
      <c r="G28" s="23" t="n">
        <v>43479</v>
      </c>
      <c r="H28" s="23" t="n">
        <v>27261</v>
      </c>
      <c r="I28" s="23" t="n">
        <v>37062</v>
      </c>
      <c r="J28" s="23" t="n">
        <v>24075</v>
      </c>
      <c r="K28" s="23" t="n">
        <v>28647</v>
      </c>
      <c r="L28" s="23" t="n">
        <v>19746</v>
      </c>
      <c r="M28" s="23" t="n">
        <v>32600.0000624657</v>
      </c>
      <c r="N28" s="23" t="n">
        <v>35762.263049704</v>
      </c>
      <c r="O28" s="23" t="n">
        <v>23902.9973122387</v>
      </c>
      <c r="P28" s="23" t="n">
        <v>37962.263049704</v>
      </c>
      <c r="Q28" s="23" t="n">
        <v>40281.1308461812</v>
      </c>
      <c r="R28" s="23" t="n">
        <v>34300</v>
      </c>
      <c r="S28" s="23" t="n">
        <v>33500</v>
      </c>
    </row>
    <row r="29" customFormat="false" ht="15" hidden="false" customHeight="false" outlineLevel="0" collapsed="false">
      <c r="A29" s="3" t="n">
        <v>30000643</v>
      </c>
      <c r="B29" s="3" t="s">
        <v>240</v>
      </c>
      <c r="C29" s="3" t="s">
        <v>212</v>
      </c>
      <c r="D29" s="3" t="s">
        <v>213</v>
      </c>
      <c r="E29" s="3" t="s">
        <v>214</v>
      </c>
      <c r="F29" s="23" t="n">
        <v>27031.68</v>
      </c>
      <c r="G29" s="23" t="n">
        <v>40249.6</v>
      </c>
      <c r="H29" s="23" t="n">
        <v>27311.36</v>
      </c>
      <c r="I29" s="23" t="n">
        <v>46280.96</v>
      </c>
      <c r="J29" s="23" t="n">
        <v>35118.08</v>
      </c>
      <c r="K29" s="23" t="n">
        <v>18246.08</v>
      </c>
      <c r="L29" s="23" t="n">
        <v>22532.48</v>
      </c>
      <c r="M29" s="23" t="n">
        <v>26320.8</v>
      </c>
      <c r="N29" s="23" t="n">
        <v>26620.8</v>
      </c>
      <c r="O29" s="23" t="n">
        <v>22484.08</v>
      </c>
      <c r="P29" s="23" t="n">
        <v>39341.6</v>
      </c>
      <c r="Q29" s="23" t="n">
        <v>25437.76</v>
      </c>
      <c r="R29" s="23" t="n">
        <v>27412.4</v>
      </c>
      <c r="S29" s="23" t="n">
        <v>26636.8</v>
      </c>
    </row>
    <row r="30" customFormat="false" ht="15" hidden="false" customHeight="false" outlineLevel="0" collapsed="false">
      <c r="A30" s="3" t="n">
        <v>30000481</v>
      </c>
      <c r="B30" s="3" t="s">
        <v>241</v>
      </c>
      <c r="C30" s="3" t="s">
        <v>139</v>
      </c>
      <c r="D30" s="3" t="s">
        <v>213</v>
      </c>
      <c r="E30" s="3" t="s">
        <v>214</v>
      </c>
      <c r="F30" s="23" t="n">
        <v>24348</v>
      </c>
      <c r="G30" s="23" t="n">
        <v>27444</v>
      </c>
      <c r="H30" s="23" t="n">
        <v>28728</v>
      </c>
      <c r="I30" s="23" t="n">
        <v>29424</v>
      </c>
      <c r="J30" s="23" t="n">
        <v>45000</v>
      </c>
      <c r="K30" s="23" t="n">
        <v>30864</v>
      </c>
      <c r="L30" s="23" t="n">
        <v>28392</v>
      </c>
      <c r="M30" s="23" t="n">
        <v>50900</v>
      </c>
      <c r="N30" s="23" t="n">
        <v>39600</v>
      </c>
      <c r="O30" s="23" t="n">
        <v>22800</v>
      </c>
      <c r="P30" s="23" t="n">
        <v>42300</v>
      </c>
      <c r="Q30" s="23" t="n">
        <v>35500</v>
      </c>
      <c r="R30" s="23" t="n">
        <v>38668.353681915</v>
      </c>
      <c r="S30" s="23" t="n">
        <v>39963.5660204392</v>
      </c>
    </row>
    <row r="31" customFormat="false" ht="15" hidden="false" customHeight="false" outlineLevel="0" collapsed="false">
      <c r="A31" s="3" t="n">
        <v>30001871</v>
      </c>
      <c r="B31" s="3" t="s">
        <v>242</v>
      </c>
      <c r="C31" s="3" t="s">
        <v>143</v>
      </c>
      <c r="D31" s="3" t="s">
        <v>224</v>
      </c>
      <c r="E31" s="3" t="s">
        <v>214</v>
      </c>
      <c r="F31" s="23" t="n">
        <v>22177.8</v>
      </c>
      <c r="G31" s="23" t="n">
        <v>34565.4</v>
      </c>
      <c r="H31" s="23" t="n">
        <v>27189</v>
      </c>
      <c r="I31" s="23" t="n">
        <v>41526</v>
      </c>
      <c r="J31" s="23" t="n">
        <v>24948</v>
      </c>
      <c r="K31" s="23" t="n">
        <v>35364.6</v>
      </c>
      <c r="L31" s="23" t="n">
        <v>17928</v>
      </c>
      <c r="M31" s="23" t="n">
        <v>34808.9284396839</v>
      </c>
      <c r="N31" s="23" t="n">
        <v>33148.4669519399</v>
      </c>
      <c r="O31" s="23" t="n">
        <v>18927.7159774228</v>
      </c>
      <c r="P31" s="23" t="n">
        <v>39006.1311855166</v>
      </c>
      <c r="Q31" s="23" t="n">
        <v>36750.4708465734</v>
      </c>
      <c r="R31" s="23" t="n">
        <v>33000</v>
      </c>
      <c r="S31" s="23" t="n">
        <v>25600</v>
      </c>
    </row>
    <row r="32" customFormat="false" ht="15" hidden="false" customHeight="false" outlineLevel="0" collapsed="false">
      <c r="A32" s="3" t="n">
        <v>30001052</v>
      </c>
      <c r="B32" s="3" t="s">
        <v>243</v>
      </c>
      <c r="C32" s="3" t="s">
        <v>212</v>
      </c>
      <c r="D32" s="3" t="s">
        <v>224</v>
      </c>
      <c r="E32" s="3" t="s">
        <v>214</v>
      </c>
      <c r="F32" s="23" t="n">
        <v>25320</v>
      </c>
      <c r="G32" s="23" t="n">
        <v>32580</v>
      </c>
      <c r="H32" s="23" t="n">
        <v>24684</v>
      </c>
      <c r="I32" s="23" t="n">
        <v>29124</v>
      </c>
      <c r="J32" s="23" t="n">
        <v>28512</v>
      </c>
      <c r="K32" s="23" t="n">
        <v>43848</v>
      </c>
      <c r="L32" s="23" t="n">
        <v>20676</v>
      </c>
      <c r="M32" s="23" t="n">
        <v>15203.1128976019</v>
      </c>
      <c r="N32" s="23" t="n">
        <v>18165.1090778475</v>
      </c>
      <c r="O32" s="23" t="n">
        <v>17740.3494451786</v>
      </c>
      <c r="P32" s="23" t="n">
        <v>21134.6324433841</v>
      </c>
      <c r="Q32" s="23" t="n">
        <v>32368.2435843174</v>
      </c>
      <c r="R32" s="23" t="n">
        <v>30656.1329835703</v>
      </c>
      <c r="S32" s="23" t="n">
        <v>32297.4024548508</v>
      </c>
    </row>
    <row r="33" customFormat="false" ht="15" hidden="false" customHeight="false" outlineLevel="0" collapsed="false">
      <c r="A33" s="3" t="n">
        <v>30000639</v>
      </c>
      <c r="B33" s="3" t="s">
        <v>244</v>
      </c>
      <c r="C33" s="3" t="s">
        <v>212</v>
      </c>
      <c r="D33" s="3" t="s">
        <v>213</v>
      </c>
      <c r="E33" s="3" t="s">
        <v>214</v>
      </c>
      <c r="F33" s="23" t="n">
        <v>28326.72</v>
      </c>
      <c r="G33" s="23" t="n">
        <v>22854.72</v>
      </c>
      <c r="H33" s="23" t="n">
        <v>25681.92</v>
      </c>
      <c r="I33" s="23" t="n">
        <v>44377.92</v>
      </c>
      <c r="J33" s="23" t="n">
        <v>25523.84</v>
      </c>
      <c r="K33" s="23" t="n">
        <v>24709.12</v>
      </c>
      <c r="L33" s="23" t="n">
        <v>18458.88</v>
      </c>
      <c r="M33" s="23" t="n">
        <v>27516</v>
      </c>
      <c r="N33" s="23" t="n">
        <v>28941.6</v>
      </c>
      <c r="O33" s="23" t="n">
        <v>23971.6</v>
      </c>
      <c r="P33" s="23" t="n">
        <v>34713.2</v>
      </c>
      <c r="Q33" s="23" t="n">
        <v>26043.76</v>
      </c>
      <c r="R33" s="23" t="n">
        <v>29591.6</v>
      </c>
      <c r="S33" s="23" t="n">
        <v>23957.04</v>
      </c>
    </row>
    <row r="34" customFormat="false" ht="15" hidden="false" customHeight="false" outlineLevel="0" collapsed="false">
      <c r="A34" s="3" t="n">
        <v>30000551</v>
      </c>
      <c r="B34" s="3" t="s">
        <v>245</v>
      </c>
      <c r="C34" s="3" t="s">
        <v>149</v>
      </c>
      <c r="D34" s="3" t="s">
        <v>224</v>
      </c>
      <c r="E34" s="3" t="s">
        <v>214</v>
      </c>
      <c r="F34" s="23" t="n">
        <v>35548.8</v>
      </c>
      <c r="G34" s="23" t="n">
        <v>30643.2</v>
      </c>
      <c r="H34" s="23" t="n">
        <v>24628.8</v>
      </c>
      <c r="I34" s="23" t="n">
        <v>30856</v>
      </c>
      <c r="J34" s="23" t="n">
        <v>24561.6</v>
      </c>
      <c r="K34" s="23" t="n">
        <v>24298.4</v>
      </c>
      <c r="L34" s="23" t="n">
        <v>7168</v>
      </c>
      <c r="M34" s="23" t="n">
        <v>24500.0000925418</v>
      </c>
      <c r="N34" s="23" t="n">
        <v>32237.7355929544</v>
      </c>
      <c r="O34" s="23" t="n">
        <v>15988.015062003</v>
      </c>
      <c r="P34" s="23" t="n">
        <v>26818.8677964772</v>
      </c>
      <c r="Q34" s="23" t="n">
        <v>28518.8677964772</v>
      </c>
      <c r="R34" s="23" t="n">
        <v>23100</v>
      </c>
      <c r="S34" s="23" t="n">
        <v>20100</v>
      </c>
    </row>
    <row r="35" customFormat="false" ht="15" hidden="false" customHeight="false" outlineLevel="0" collapsed="false">
      <c r="A35" s="3" t="n">
        <v>30001055</v>
      </c>
      <c r="B35" s="3" t="s">
        <v>246</v>
      </c>
      <c r="C35" s="3" t="s">
        <v>155</v>
      </c>
      <c r="D35" s="3" t="s">
        <v>224</v>
      </c>
      <c r="E35" s="3" t="s">
        <v>214</v>
      </c>
      <c r="F35" s="23" t="n">
        <v>23288.16</v>
      </c>
      <c r="G35" s="23" t="n">
        <v>33768</v>
      </c>
      <c r="H35" s="23" t="n">
        <v>30629.76</v>
      </c>
      <c r="I35" s="23" t="n">
        <v>30243.36</v>
      </c>
      <c r="J35" s="23" t="n">
        <v>26554.08</v>
      </c>
      <c r="K35" s="23" t="n">
        <v>18809.28</v>
      </c>
      <c r="L35" s="23" t="n">
        <v>8853.6</v>
      </c>
      <c r="M35" s="23" t="n">
        <v>20669.2504460705</v>
      </c>
      <c r="N35" s="23" t="n">
        <v>29296.537269308</v>
      </c>
      <c r="O35" s="23" t="n">
        <v>14222.777069984</v>
      </c>
      <c r="P35" s="23" t="n">
        <v>38439.9309846935</v>
      </c>
      <c r="Q35" s="23" t="n">
        <v>29735.6697966799</v>
      </c>
      <c r="R35" s="23" t="n">
        <v>21223.7980895388</v>
      </c>
      <c r="S35" s="23" t="n">
        <v>21223.7980895388</v>
      </c>
    </row>
    <row r="36" customFormat="false" ht="15" hidden="false" customHeight="false" outlineLevel="0" collapsed="false">
      <c r="A36" s="3" t="n">
        <v>30002066</v>
      </c>
      <c r="B36" s="3" t="s">
        <v>247</v>
      </c>
      <c r="C36" s="3" t="s">
        <v>212</v>
      </c>
      <c r="D36" s="3" t="s">
        <v>213</v>
      </c>
      <c r="E36" s="3" t="s">
        <v>214</v>
      </c>
      <c r="F36" s="23" t="n">
        <v>18852</v>
      </c>
      <c r="G36" s="23" t="n">
        <v>33732</v>
      </c>
      <c r="H36" s="23" t="n">
        <v>12324</v>
      </c>
      <c r="I36" s="23" t="n">
        <v>28536</v>
      </c>
      <c r="J36" s="23" t="n">
        <v>27396</v>
      </c>
      <c r="K36" s="23" t="n">
        <v>40560</v>
      </c>
      <c r="L36" s="23" t="n">
        <v>9816</v>
      </c>
      <c r="M36" s="23" t="n">
        <v>12308</v>
      </c>
      <c r="N36" s="23" t="n">
        <v>8174</v>
      </c>
      <c r="O36" s="23" t="n">
        <v>7644.845</v>
      </c>
      <c r="P36" s="23" t="n">
        <v>17028.737</v>
      </c>
      <c r="Q36" s="23" t="n">
        <v>5601.9</v>
      </c>
      <c r="R36" s="23" t="n">
        <v>7897.0875669944</v>
      </c>
      <c r="S36" s="23" t="n">
        <v>31984.9444471416</v>
      </c>
    </row>
    <row r="37" customFormat="false" ht="15" hidden="false" customHeight="false" outlineLevel="0" collapsed="false">
      <c r="A37" s="3" t="n">
        <v>30001364</v>
      </c>
      <c r="B37" s="3" t="s">
        <v>248</v>
      </c>
      <c r="C37" s="3" t="s">
        <v>124</v>
      </c>
      <c r="D37" s="3" t="s">
        <v>213</v>
      </c>
      <c r="E37" s="3" t="s">
        <v>249</v>
      </c>
      <c r="F37" s="23" t="n">
        <v>27682.9</v>
      </c>
      <c r="G37" s="23" t="n">
        <v>35177.66</v>
      </c>
      <c r="H37" s="23" t="n">
        <v>20277.6</v>
      </c>
      <c r="I37" s="23" t="n">
        <v>26997.04</v>
      </c>
      <c r="J37" s="23" t="n">
        <v>24253.6</v>
      </c>
      <c r="K37" s="23" t="n">
        <v>22623.44</v>
      </c>
      <c r="L37" s="23" t="n">
        <v>13796.72</v>
      </c>
      <c r="M37" s="23" t="n">
        <v>15200</v>
      </c>
      <c r="N37" s="23" t="n">
        <v>35200</v>
      </c>
      <c r="O37" s="23" t="n">
        <v>15200</v>
      </c>
      <c r="P37" s="23" t="n">
        <v>20200</v>
      </c>
      <c r="Q37" s="23" t="n">
        <v>25200</v>
      </c>
      <c r="R37" s="23" t="n">
        <v>25050</v>
      </c>
      <c r="S37" s="23" t="n">
        <v>25100</v>
      </c>
    </row>
    <row r="38" customFormat="false" ht="15" hidden="false" customHeight="false" outlineLevel="0" collapsed="false">
      <c r="A38" s="3" t="n">
        <v>30001861</v>
      </c>
      <c r="B38" s="3" t="s">
        <v>250</v>
      </c>
      <c r="C38" s="3" t="s">
        <v>143</v>
      </c>
      <c r="D38" s="3" t="s">
        <v>224</v>
      </c>
      <c r="E38" s="3" t="s">
        <v>231</v>
      </c>
      <c r="F38" s="23" t="n">
        <v>32761.8</v>
      </c>
      <c r="G38" s="23" t="n">
        <v>40208.4</v>
      </c>
      <c r="H38" s="23" t="n">
        <v>27545.4</v>
      </c>
      <c r="I38" s="23" t="n">
        <v>23128.2</v>
      </c>
      <c r="J38" s="23" t="n">
        <v>11674.8</v>
      </c>
      <c r="K38" s="23" t="n">
        <v>15195.6</v>
      </c>
      <c r="L38" s="23" t="n">
        <v>10384.2</v>
      </c>
      <c r="M38" s="23" t="n">
        <v>22614.5374449339</v>
      </c>
      <c r="N38" s="23" t="n">
        <v>25960.2896284376</v>
      </c>
      <c r="O38" s="23" t="n">
        <v>13148.9963108696</v>
      </c>
      <c r="P38" s="23" t="n">
        <v>29460.2896284376</v>
      </c>
      <c r="Q38" s="23" t="n">
        <v>30960.2896284376</v>
      </c>
      <c r="R38" s="23" t="n">
        <v>19914.5374449339</v>
      </c>
      <c r="S38" s="23" t="n">
        <v>11794.7896883679</v>
      </c>
    </row>
    <row r="39" customFormat="false" ht="15" hidden="false" customHeight="false" outlineLevel="0" collapsed="false">
      <c r="A39" s="3" t="n">
        <v>30000302</v>
      </c>
      <c r="B39" s="3" t="s">
        <v>251</v>
      </c>
      <c r="C39" s="3" t="s">
        <v>142</v>
      </c>
      <c r="D39" s="3" t="s">
        <v>224</v>
      </c>
      <c r="E39" s="3" t="s">
        <v>214</v>
      </c>
      <c r="F39" s="23" t="n">
        <v>28085</v>
      </c>
      <c r="G39" s="23" t="n">
        <v>28380</v>
      </c>
      <c r="H39" s="23" t="n">
        <v>23165</v>
      </c>
      <c r="I39" s="23" t="n">
        <v>26945</v>
      </c>
      <c r="J39" s="23" t="n">
        <v>14890</v>
      </c>
      <c r="K39" s="23" t="n">
        <v>26855</v>
      </c>
      <c r="L39" s="23" t="n">
        <v>14905</v>
      </c>
      <c r="M39" s="23" t="n">
        <v>33830.7692708114</v>
      </c>
      <c r="N39" s="23" t="n">
        <v>31814.6945234065</v>
      </c>
      <c r="O39" s="23" t="n">
        <v>19740.5364349746</v>
      </c>
      <c r="P39" s="23" t="n">
        <v>33314.6945234065</v>
      </c>
      <c r="Q39" s="23" t="n">
        <v>33314.6945234065</v>
      </c>
      <c r="R39" s="23" t="n">
        <v>29330.7692307692</v>
      </c>
      <c r="S39" s="23" t="n">
        <v>20030.7692307692</v>
      </c>
    </row>
    <row r="40" customFormat="false" ht="15" hidden="false" customHeight="false" outlineLevel="0" collapsed="false">
      <c r="A40" s="3" t="n">
        <v>30000514</v>
      </c>
      <c r="B40" s="3" t="s">
        <v>252</v>
      </c>
      <c r="C40" s="3" t="s">
        <v>139</v>
      </c>
      <c r="D40" s="3" t="s">
        <v>213</v>
      </c>
      <c r="E40" s="3" t="s">
        <v>231</v>
      </c>
      <c r="F40" s="23" t="n">
        <v>24576</v>
      </c>
      <c r="G40" s="23" t="n">
        <v>19272</v>
      </c>
      <c r="H40" s="23" t="n">
        <v>18480</v>
      </c>
      <c r="I40" s="23" t="n">
        <v>17976</v>
      </c>
      <c r="J40" s="23" t="n">
        <v>34152</v>
      </c>
      <c r="K40" s="23" t="n">
        <v>23076</v>
      </c>
      <c r="L40" s="23" t="n">
        <v>18228</v>
      </c>
      <c r="M40" s="23" t="n">
        <v>28800</v>
      </c>
      <c r="N40" s="23" t="n">
        <v>26650</v>
      </c>
      <c r="O40" s="23" t="n">
        <v>13942.5</v>
      </c>
      <c r="P40" s="23" t="n">
        <v>22300.84</v>
      </c>
      <c r="Q40" s="23" t="n">
        <v>19799.6</v>
      </c>
      <c r="R40" s="23" t="n">
        <v>22862.4368299531</v>
      </c>
      <c r="S40" s="23" t="n">
        <v>22176.2329306675</v>
      </c>
    </row>
    <row r="41" customFormat="false" ht="15" hidden="false" customHeight="false" outlineLevel="0" collapsed="false">
      <c r="A41" s="3" t="n">
        <v>30002329</v>
      </c>
      <c r="B41" s="3" t="s">
        <v>253</v>
      </c>
      <c r="C41" s="3" t="s">
        <v>212</v>
      </c>
      <c r="D41" s="3" t="s">
        <v>213</v>
      </c>
      <c r="E41" s="3" t="s">
        <v>214</v>
      </c>
      <c r="F41" s="23" t="n">
        <v>20226</v>
      </c>
      <c r="G41" s="23" t="n">
        <v>30960</v>
      </c>
      <c r="H41" s="23" t="n">
        <v>13956</v>
      </c>
      <c r="I41" s="23" t="n">
        <v>19668</v>
      </c>
      <c r="J41" s="23" t="n">
        <v>26274</v>
      </c>
      <c r="K41" s="23" t="n">
        <v>23562</v>
      </c>
      <c r="L41" s="23" t="n">
        <v>26292</v>
      </c>
      <c r="M41" s="23" t="n">
        <v>22522</v>
      </c>
      <c r="N41" s="23" t="n">
        <v>19022</v>
      </c>
      <c r="O41" s="23" t="n">
        <v>17338</v>
      </c>
      <c r="P41" s="23" t="n">
        <v>22438</v>
      </c>
      <c r="Q41" s="23" t="n">
        <v>21782</v>
      </c>
      <c r="R41" s="23" t="n">
        <v>20121.086939072</v>
      </c>
      <c r="S41" s="23" t="n">
        <v>23916.5967792586</v>
      </c>
    </row>
    <row r="42" customFormat="false" ht="15" hidden="false" customHeight="false" outlineLevel="0" collapsed="false">
      <c r="A42" s="3" t="n">
        <v>30000305</v>
      </c>
      <c r="B42" s="3" t="s">
        <v>254</v>
      </c>
      <c r="C42" s="3" t="s">
        <v>139</v>
      </c>
      <c r="D42" s="3" t="s">
        <v>213</v>
      </c>
      <c r="E42" s="3" t="s">
        <v>214</v>
      </c>
      <c r="F42" s="23" t="n">
        <v>21414</v>
      </c>
      <c r="G42" s="23" t="n">
        <v>24024</v>
      </c>
      <c r="H42" s="23" t="n">
        <v>19176</v>
      </c>
      <c r="I42" s="23" t="n">
        <v>25428</v>
      </c>
      <c r="J42" s="23" t="n">
        <v>21576</v>
      </c>
      <c r="K42" s="23" t="n">
        <v>17100</v>
      </c>
      <c r="L42" s="23" t="n">
        <v>14352</v>
      </c>
      <c r="M42" s="23" t="n">
        <v>19401.0659025788</v>
      </c>
      <c r="N42" s="23" t="n">
        <v>20628</v>
      </c>
      <c r="O42" s="23" t="n">
        <v>14401.533</v>
      </c>
      <c r="P42" s="23" t="n">
        <v>24918.1488</v>
      </c>
      <c r="Q42" s="23" t="n">
        <v>23831.46</v>
      </c>
      <c r="R42" s="23" t="n">
        <v>21886.6633594348</v>
      </c>
      <c r="S42" s="23" t="n">
        <v>18303.5302139745</v>
      </c>
    </row>
    <row r="43" customFormat="false" ht="15" hidden="false" customHeight="false" outlineLevel="0" collapsed="false">
      <c r="A43" s="3" t="n">
        <v>30001753</v>
      </c>
      <c r="B43" s="3" t="s">
        <v>255</v>
      </c>
      <c r="C43" s="3" t="s">
        <v>212</v>
      </c>
      <c r="D43" s="3" t="s">
        <v>213</v>
      </c>
      <c r="E43" s="3" t="s">
        <v>214</v>
      </c>
      <c r="F43" s="23" t="n">
        <v>16572.6</v>
      </c>
      <c r="G43" s="23" t="n">
        <v>20336.4</v>
      </c>
      <c r="H43" s="23" t="n">
        <v>12312</v>
      </c>
      <c r="I43" s="23" t="n">
        <v>20482.2</v>
      </c>
      <c r="J43" s="23" t="n">
        <v>34732.8</v>
      </c>
      <c r="K43" s="23" t="n">
        <v>21427.2</v>
      </c>
      <c r="L43" s="23" t="n">
        <v>14358.6</v>
      </c>
      <c r="M43" s="23" t="n">
        <v>21067</v>
      </c>
      <c r="N43" s="23" t="n">
        <v>18301</v>
      </c>
      <c r="O43" s="23" t="n">
        <v>14947</v>
      </c>
      <c r="P43" s="23" t="n">
        <v>17009.2</v>
      </c>
      <c r="Q43" s="23" t="n">
        <v>24075.2</v>
      </c>
      <c r="R43" s="23" t="n">
        <v>24106.925</v>
      </c>
      <c r="S43" s="23" t="n">
        <v>27942.2</v>
      </c>
    </row>
    <row r="44" customFormat="false" ht="15" hidden="false" customHeight="false" outlineLevel="0" collapsed="false">
      <c r="A44" s="3" t="n">
        <v>30001074</v>
      </c>
      <c r="B44" s="3" t="s">
        <v>256</v>
      </c>
      <c r="C44" s="3" t="s">
        <v>155</v>
      </c>
      <c r="D44" s="3" t="s">
        <v>224</v>
      </c>
      <c r="E44" s="3" t="s">
        <v>231</v>
      </c>
      <c r="F44" s="23" t="n">
        <v>24377.76</v>
      </c>
      <c r="G44" s="23" t="n">
        <v>34288.32</v>
      </c>
      <c r="H44" s="23" t="n">
        <v>10121.76</v>
      </c>
      <c r="I44" s="23" t="n">
        <v>12936</v>
      </c>
      <c r="J44" s="23" t="n">
        <v>11864.16</v>
      </c>
      <c r="K44" s="23" t="n">
        <v>19578.24</v>
      </c>
      <c r="L44" s="23" t="n">
        <v>10348.8</v>
      </c>
      <c r="M44" s="23" t="n">
        <v>17088.2106434439</v>
      </c>
      <c r="N44" s="23" t="n">
        <v>16537.9101939375</v>
      </c>
      <c r="O44" s="23" t="n">
        <v>8797.79172742928</v>
      </c>
      <c r="P44" s="23" t="n">
        <v>24780.5329457197</v>
      </c>
      <c r="Q44" s="23" t="n">
        <v>23250.4882593817</v>
      </c>
      <c r="R44" s="23" t="n">
        <v>17747.1500161167</v>
      </c>
      <c r="S44" s="23" t="n">
        <v>12069.2423272341</v>
      </c>
    </row>
    <row r="45" customFormat="false" ht="15" hidden="false" customHeight="false" outlineLevel="0" collapsed="false">
      <c r="A45" s="3" t="n">
        <v>30001042</v>
      </c>
      <c r="B45" s="3" t="s">
        <v>257</v>
      </c>
      <c r="C45" s="3" t="s">
        <v>212</v>
      </c>
      <c r="D45" s="3" t="s">
        <v>224</v>
      </c>
      <c r="E45" s="3" t="s">
        <v>214</v>
      </c>
      <c r="F45" s="23" t="n">
        <v>18284.64</v>
      </c>
      <c r="G45" s="23" t="n">
        <v>25138.08</v>
      </c>
      <c r="H45" s="23" t="n">
        <v>14773.44</v>
      </c>
      <c r="I45" s="23" t="n">
        <v>18395.52</v>
      </c>
      <c r="J45" s="23" t="n">
        <v>15713.28</v>
      </c>
      <c r="K45" s="23" t="n">
        <v>19836.96</v>
      </c>
      <c r="L45" s="23" t="n">
        <v>15612.96</v>
      </c>
      <c r="M45" s="23" t="n">
        <v>21432.1839688665</v>
      </c>
      <c r="N45" s="23" t="n">
        <v>20921.3419648999</v>
      </c>
      <c r="O45" s="23" t="n">
        <v>14170.6890919944</v>
      </c>
      <c r="P45" s="23" t="n">
        <v>28836.3583518625</v>
      </c>
      <c r="Q45" s="23" t="n">
        <v>23952.8523713011</v>
      </c>
      <c r="R45" s="23" t="n">
        <v>20732.9022176793</v>
      </c>
      <c r="S45" s="23" t="n">
        <v>19857.1471910551</v>
      </c>
    </row>
    <row r="46" customFormat="false" ht="15" hidden="false" customHeight="false" outlineLevel="0" collapsed="false">
      <c r="A46" s="3" t="n">
        <v>30001041</v>
      </c>
      <c r="B46" s="3" t="s">
        <v>258</v>
      </c>
      <c r="C46" s="3" t="s">
        <v>212</v>
      </c>
      <c r="D46" s="3" t="s">
        <v>224</v>
      </c>
      <c r="E46" s="3" t="s">
        <v>214</v>
      </c>
      <c r="F46" s="23" t="n">
        <v>19678.56</v>
      </c>
      <c r="G46" s="23" t="n">
        <v>29784.48</v>
      </c>
      <c r="H46" s="23" t="n">
        <v>16188.48</v>
      </c>
      <c r="I46" s="23" t="n">
        <v>13812.48</v>
      </c>
      <c r="J46" s="23" t="n">
        <v>14931.84</v>
      </c>
      <c r="K46" s="23" t="n">
        <v>16732.32</v>
      </c>
      <c r="L46" s="23" t="n">
        <v>13411.2</v>
      </c>
      <c r="M46" s="23" t="n">
        <v>20797.3779182239</v>
      </c>
      <c r="N46" s="23" t="n">
        <v>18682.4306336397</v>
      </c>
      <c r="O46" s="23" t="n">
        <v>8633.74946699448</v>
      </c>
      <c r="P46" s="23" t="n">
        <v>25578.0531805234</v>
      </c>
      <c r="Q46" s="23" t="n">
        <v>23449.4408191277</v>
      </c>
      <c r="R46" s="23" t="n">
        <v>18952.1561548301</v>
      </c>
      <c r="S46" s="23" t="n">
        <v>19159.7868287652</v>
      </c>
    </row>
    <row r="47" customFormat="false" ht="15" hidden="false" customHeight="false" outlineLevel="0" collapsed="false">
      <c r="A47" s="3" t="n">
        <v>30001056</v>
      </c>
      <c r="B47" s="3" t="s">
        <v>259</v>
      </c>
      <c r="C47" s="3" t="s">
        <v>155</v>
      </c>
      <c r="D47" s="3" t="s">
        <v>224</v>
      </c>
      <c r="E47" s="3" t="s">
        <v>214</v>
      </c>
      <c r="F47" s="23" t="n">
        <v>14686.56</v>
      </c>
      <c r="G47" s="23" t="n">
        <v>20358.24</v>
      </c>
      <c r="H47" s="23" t="n">
        <v>20452.32</v>
      </c>
      <c r="I47" s="23" t="n">
        <v>25357.92</v>
      </c>
      <c r="J47" s="23" t="n">
        <v>16588.32</v>
      </c>
      <c r="K47" s="23" t="n">
        <v>13634.88</v>
      </c>
      <c r="L47" s="23" t="n">
        <v>5460</v>
      </c>
      <c r="M47" s="23" t="n">
        <v>11750.6488934352</v>
      </c>
      <c r="N47" s="23" t="n">
        <v>17286.4466658564</v>
      </c>
      <c r="O47" s="23" t="n">
        <v>7676.50197469055</v>
      </c>
      <c r="P47" s="23" t="n">
        <v>30902.6899237738</v>
      </c>
      <c r="Q47" s="23" t="n">
        <v>23983.6887381798</v>
      </c>
      <c r="R47" s="23" t="n">
        <v>16626.6043962098</v>
      </c>
      <c r="S47" s="23" t="n">
        <v>13626.6043962098</v>
      </c>
    </row>
    <row r="48" customFormat="false" ht="15" hidden="false" customHeight="false" outlineLevel="0" collapsed="false">
      <c r="A48" s="3" t="n">
        <v>30002315</v>
      </c>
      <c r="B48" s="3" t="s">
        <v>260</v>
      </c>
      <c r="C48" s="3" t="s">
        <v>212</v>
      </c>
      <c r="D48" s="3" t="s">
        <v>213</v>
      </c>
      <c r="E48" s="3" t="s">
        <v>212</v>
      </c>
      <c r="F48" s="23" t="n">
        <v>12288</v>
      </c>
      <c r="G48" s="23" t="n">
        <v>24768</v>
      </c>
      <c r="H48" s="23" t="n">
        <v>18444</v>
      </c>
      <c r="I48" s="23" t="n">
        <v>22536</v>
      </c>
      <c r="J48" s="23" t="n">
        <v>16944</v>
      </c>
      <c r="K48" s="23" t="n">
        <v>15756</v>
      </c>
      <c r="L48" s="23" t="n">
        <v>24444</v>
      </c>
      <c r="M48" s="23" t="n">
        <v>13370</v>
      </c>
      <c r="N48" s="23" t="n">
        <v>12076</v>
      </c>
      <c r="O48" s="23" t="n">
        <v>7900</v>
      </c>
      <c r="P48" s="23" t="n">
        <v>13476</v>
      </c>
      <c r="Q48" s="23" t="n">
        <v>18926</v>
      </c>
      <c r="R48" s="23" t="n">
        <v>13066.4179562293</v>
      </c>
      <c r="S48" s="23" t="n">
        <v>18494.1373510106</v>
      </c>
    </row>
    <row r="49" customFormat="false" ht="15" hidden="false" customHeight="false" outlineLevel="0" collapsed="false">
      <c r="A49" s="3" t="n">
        <v>30000644</v>
      </c>
      <c r="B49" s="3" t="s">
        <v>261</v>
      </c>
      <c r="C49" s="3" t="s">
        <v>129</v>
      </c>
      <c r="D49" s="3" t="s">
        <v>213</v>
      </c>
      <c r="E49" s="3" t="n">
        <v>0</v>
      </c>
      <c r="F49" s="23" t="n">
        <v>19448</v>
      </c>
      <c r="G49" s="23" t="n">
        <v>28272</v>
      </c>
      <c r="H49" s="23" t="n">
        <v>19208</v>
      </c>
      <c r="I49" s="23" t="n">
        <v>16672</v>
      </c>
      <c r="J49" s="23" t="n">
        <v>19192</v>
      </c>
      <c r="K49" s="23" t="n">
        <v>7904</v>
      </c>
      <c r="L49" s="23" t="n">
        <v>9672</v>
      </c>
      <c r="M49" s="23" t="n">
        <v>20680</v>
      </c>
      <c r="N49" s="23" t="n">
        <v>29780</v>
      </c>
      <c r="O49" s="23" t="n">
        <v>16240</v>
      </c>
      <c r="P49" s="23" t="n">
        <v>15224</v>
      </c>
      <c r="Q49" s="23" t="n">
        <v>17500</v>
      </c>
      <c r="R49" s="23" t="n">
        <v>14400.8</v>
      </c>
      <c r="S49" s="23" t="n">
        <v>13548.8</v>
      </c>
    </row>
    <row r="50" customFormat="false" ht="15" hidden="false" customHeight="false" outlineLevel="0" collapsed="false">
      <c r="A50" s="3" t="n">
        <v>30000384</v>
      </c>
      <c r="B50" s="3" t="s">
        <v>262</v>
      </c>
      <c r="C50" s="3" t="s">
        <v>130</v>
      </c>
      <c r="D50" s="3" t="s">
        <v>213</v>
      </c>
      <c r="E50" s="3" t="s">
        <v>214</v>
      </c>
      <c r="F50" s="23" t="n">
        <v>16434</v>
      </c>
      <c r="G50" s="23" t="n">
        <v>12894</v>
      </c>
      <c r="H50" s="23" t="n">
        <v>24264</v>
      </c>
      <c r="I50" s="23" t="n">
        <v>18756</v>
      </c>
      <c r="J50" s="23" t="n">
        <v>24594</v>
      </c>
      <c r="K50" s="23" t="n">
        <v>13158</v>
      </c>
      <c r="L50" s="23" t="n">
        <v>15786</v>
      </c>
      <c r="M50" s="23" t="n">
        <v>20100</v>
      </c>
      <c r="N50" s="23" t="n">
        <v>19500</v>
      </c>
      <c r="O50" s="23" t="n">
        <v>11837.93</v>
      </c>
      <c r="P50" s="23" t="n">
        <v>22608.53</v>
      </c>
      <c r="Q50" s="23" t="n">
        <v>16813.88</v>
      </c>
      <c r="R50" s="23" t="n">
        <v>21699.504472687</v>
      </c>
      <c r="S50" s="23" t="n">
        <v>21293.4492940375</v>
      </c>
    </row>
    <row r="51" customFormat="false" ht="15" hidden="false" customHeight="false" outlineLevel="0" collapsed="false">
      <c r="A51" s="3" t="n">
        <v>30001400</v>
      </c>
      <c r="B51" s="3" t="s">
        <v>263</v>
      </c>
      <c r="C51" s="3" t="s">
        <v>149</v>
      </c>
      <c r="D51" s="3" t="s">
        <v>224</v>
      </c>
      <c r="E51" s="3" t="s">
        <v>214</v>
      </c>
      <c r="F51" s="23" t="n">
        <v>21116.16</v>
      </c>
      <c r="G51" s="23" t="n">
        <v>15927.36</v>
      </c>
      <c r="H51" s="23" t="n">
        <v>16181.16</v>
      </c>
      <c r="I51" s="23" t="n">
        <v>16158.6</v>
      </c>
      <c r="J51" s="23" t="n">
        <v>14985.48</v>
      </c>
      <c r="K51" s="23" t="n">
        <v>17726.52</v>
      </c>
      <c r="L51" s="23" t="n">
        <v>10614.48</v>
      </c>
      <c r="M51" s="23" t="n">
        <v>17900.0000023135</v>
      </c>
      <c r="N51" s="23" t="n">
        <v>13507.5471185909</v>
      </c>
      <c r="O51" s="23" t="n">
        <v>8111.61054340207</v>
      </c>
      <c r="P51" s="23" t="n">
        <v>15763.207457534</v>
      </c>
      <c r="Q51" s="23" t="n">
        <v>20307.5471185909</v>
      </c>
      <c r="R51" s="23" t="n">
        <v>17603.7735592954</v>
      </c>
      <c r="S51" s="23" t="n">
        <v>15400</v>
      </c>
    </row>
    <row r="52" customFormat="false" ht="15" hidden="false" customHeight="false" outlineLevel="0" collapsed="false">
      <c r="A52" s="3" t="n">
        <v>30001751</v>
      </c>
      <c r="B52" s="3" t="s">
        <v>264</v>
      </c>
      <c r="C52" s="3" t="s">
        <v>212</v>
      </c>
      <c r="D52" s="3" t="s">
        <v>213</v>
      </c>
      <c r="E52" s="3" t="s">
        <v>214</v>
      </c>
      <c r="F52" s="23" t="n">
        <v>12150</v>
      </c>
      <c r="G52" s="23" t="n">
        <v>17917.2</v>
      </c>
      <c r="H52" s="23" t="n">
        <v>10341</v>
      </c>
      <c r="I52" s="23" t="n">
        <v>15957</v>
      </c>
      <c r="J52" s="23" t="n">
        <v>29187</v>
      </c>
      <c r="K52" s="23" t="n">
        <v>15724.8</v>
      </c>
      <c r="L52" s="23" t="n">
        <v>11307.6</v>
      </c>
      <c r="M52" s="23" t="n">
        <v>15043</v>
      </c>
      <c r="N52" s="23" t="n">
        <v>14167</v>
      </c>
      <c r="O52" s="23" t="n">
        <v>10594</v>
      </c>
      <c r="P52" s="23" t="n">
        <v>13427</v>
      </c>
      <c r="Q52" s="23" t="n">
        <v>19352</v>
      </c>
      <c r="R52" s="23" t="n">
        <v>17753.4945652174</v>
      </c>
      <c r="S52" s="23" t="n">
        <v>21719</v>
      </c>
    </row>
    <row r="53" customFormat="false" ht="15" hidden="false" customHeight="false" outlineLevel="0" collapsed="false">
      <c r="A53" s="3" t="n">
        <v>30001597</v>
      </c>
      <c r="B53" s="3" t="s">
        <v>265</v>
      </c>
      <c r="C53" s="3" t="s">
        <v>129</v>
      </c>
      <c r="D53" s="3" t="s">
        <v>213</v>
      </c>
      <c r="E53" s="3" t="s">
        <v>231</v>
      </c>
      <c r="F53" s="23" t="n">
        <v>23576</v>
      </c>
      <c r="G53" s="23" t="n">
        <v>18184</v>
      </c>
      <c r="H53" s="23" t="n">
        <v>10616</v>
      </c>
      <c r="I53" s="23" t="n">
        <v>21016</v>
      </c>
      <c r="J53" s="23" t="n">
        <v>13608</v>
      </c>
      <c r="K53" s="23" t="n">
        <v>9880</v>
      </c>
      <c r="L53" s="23" t="n">
        <v>11096</v>
      </c>
      <c r="M53" s="23" t="n">
        <v>16400</v>
      </c>
      <c r="N53" s="23" t="n">
        <v>20420</v>
      </c>
      <c r="O53" s="23" t="n">
        <v>11300</v>
      </c>
      <c r="P53" s="23" t="n">
        <v>13440</v>
      </c>
      <c r="Q53" s="23" t="n">
        <v>16800</v>
      </c>
      <c r="R53" s="23" t="n">
        <v>12800</v>
      </c>
      <c r="S53" s="23" t="n">
        <v>11250</v>
      </c>
    </row>
    <row r="54" customFormat="false" ht="15" hidden="false" customHeight="false" outlineLevel="0" collapsed="false">
      <c r="A54" s="3" t="n">
        <v>30000466</v>
      </c>
      <c r="B54" s="3" t="s">
        <v>266</v>
      </c>
      <c r="C54" s="3" t="s">
        <v>149</v>
      </c>
      <c r="D54" s="3" t="s">
        <v>224</v>
      </c>
      <c r="E54" s="3" t="s">
        <v>214</v>
      </c>
      <c r="F54" s="23" t="n">
        <v>13229.988</v>
      </c>
      <c r="G54" s="23" t="n">
        <v>12240</v>
      </c>
      <c r="H54" s="23" t="n">
        <v>7656</v>
      </c>
      <c r="I54" s="23" t="n">
        <v>18456</v>
      </c>
      <c r="J54" s="23" t="n">
        <v>25644</v>
      </c>
      <c r="K54" s="23" t="n">
        <v>16032</v>
      </c>
      <c r="L54" s="23" t="n">
        <v>10428</v>
      </c>
      <c r="M54" s="23" t="n">
        <v>17400.0000323896</v>
      </c>
      <c r="N54" s="23" t="n">
        <v>22154.7159311131</v>
      </c>
      <c r="O54" s="23" t="n">
        <v>13815.7310394257</v>
      </c>
      <c r="P54" s="23" t="n">
        <v>21914.1498293517</v>
      </c>
      <c r="Q54" s="23" t="n">
        <v>23559.4338982386</v>
      </c>
      <c r="R54" s="23" t="n">
        <v>25000</v>
      </c>
      <c r="S54" s="23" t="n">
        <v>19100</v>
      </c>
    </row>
    <row r="55" customFormat="false" ht="15" hidden="false" customHeight="false" outlineLevel="0" collapsed="false">
      <c r="A55" s="3" t="n">
        <v>30001081</v>
      </c>
      <c r="B55" s="3" t="s">
        <v>267</v>
      </c>
      <c r="C55" s="3" t="s">
        <v>155</v>
      </c>
      <c r="D55" s="3" t="s">
        <v>224</v>
      </c>
      <c r="E55" s="3" t="s">
        <v>214</v>
      </c>
      <c r="F55" s="23" t="n">
        <v>13263.36</v>
      </c>
      <c r="G55" s="23" t="n">
        <v>19008</v>
      </c>
      <c r="H55" s="23" t="n">
        <v>10549.44</v>
      </c>
      <c r="I55" s="23" t="n">
        <v>17107.2</v>
      </c>
      <c r="J55" s="23" t="n">
        <v>17941.44</v>
      </c>
      <c r="K55" s="23" t="n">
        <v>14921.28</v>
      </c>
      <c r="L55" s="23" t="n">
        <v>5992.8</v>
      </c>
      <c r="M55" s="23" t="n">
        <v>14381.3694097841</v>
      </c>
      <c r="N55" s="23" t="n">
        <v>10704.8283383813</v>
      </c>
      <c r="O55" s="23" t="n">
        <v>7727.31844507656</v>
      </c>
      <c r="P55" s="23" t="n">
        <v>15531.153969988</v>
      </c>
      <c r="Q55" s="23" t="n">
        <v>13167.2942885922</v>
      </c>
      <c r="R55" s="23" t="n">
        <v>16114.4889729678</v>
      </c>
      <c r="S55" s="23" t="n">
        <v>16547.0309726039</v>
      </c>
    </row>
    <row r="56" customFormat="false" ht="15" hidden="false" customHeight="false" outlineLevel="0" collapsed="false">
      <c r="A56" s="3" t="n">
        <v>30000194</v>
      </c>
      <c r="B56" s="3" t="s">
        <v>268</v>
      </c>
      <c r="C56" s="3" t="s">
        <v>212</v>
      </c>
      <c r="D56" s="3" t="s">
        <v>213</v>
      </c>
      <c r="E56" s="3" t="s">
        <v>231</v>
      </c>
      <c r="F56" s="23" t="n">
        <v>20364</v>
      </c>
      <c r="G56" s="23" t="n">
        <v>18525</v>
      </c>
      <c r="H56" s="23" t="n">
        <v>12066</v>
      </c>
      <c r="I56" s="23" t="n">
        <v>14223</v>
      </c>
      <c r="J56" s="23" t="n">
        <v>16764</v>
      </c>
      <c r="K56" s="23" t="n">
        <v>10566</v>
      </c>
      <c r="L56" s="23" t="n">
        <v>11139</v>
      </c>
      <c r="M56" s="23" t="n">
        <v>16128</v>
      </c>
      <c r="N56" s="23" t="n">
        <v>16556</v>
      </c>
      <c r="O56" s="23" t="n">
        <v>12050</v>
      </c>
      <c r="P56" s="23" t="n">
        <v>14780</v>
      </c>
      <c r="Q56" s="23" t="n">
        <v>18250</v>
      </c>
      <c r="R56" s="23" t="n">
        <v>13835</v>
      </c>
      <c r="S56" s="23" t="n">
        <v>14435</v>
      </c>
    </row>
    <row r="57" customFormat="false" ht="15" hidden="false" customHeight="false" outlineLevel="0" collapsed="false">
      <c r="A57" s="3" t="n">
        <v>30001049</v>
      </c>
      <c r="B57" s="3" t="s">
        <v>269</v>
      </c>
      <c r="C57" s="3" t="s">
        <v>212</v>
      </c>
      <c r="D57" s="3" t="s">
        <v>224</v>
      </c>
      <c r="E57" s="3" t="s">
        <v>214</v>
      </c>
      <c r="F57" s="23" t="n">
        <v>18384</v>
      </c>
      <c r="G57" s="23" t="n">
        <v>21552</v>
      </c>
      <c r="H57" s="23" t="n">
        <v>9312</v>
      </c>
      <c r="I57" s="23" t="n">
        <v>13152</v>
      </c>
      <c r="J57" s="23" t="n">
        <v>12576</v>
      </c>
      <c r="K57" s="23" t="n">
        <v>17364</v>
      </c>
      <c r="L57" s="23" t="n">
        <v>8304</v>
      </c>
      <c r="M57" s="23" t="n">
        <v>14138.419589255</v>
      </c>
      <c r="N57" s="23" t="n">
        <v>14718.4529977061</v>
      </c>
      <c r="O57" s="23" t="n">
        <v>8908.32574594966</v>
      </c>
      <c r="P57" s="23" t="n">
        <v>17649.6994693971</v>
      </c>
      <c r="Q57" s="23" t="n">
        <v>12858.1353955041</v>
      </c>
      <c r="R57" s="23" t="n">
        <v>11185.842117395</v>
      </c>
      <c r="S57" s="23" t="n">
        <v>12628.5475104708</v>
      </c>
    </row>
    <row r="58" customFormat="false" ht="15" hidden="false" customHeight="false" outlineLevel="0" collapsed="false">
      <c r="A58" s="3" t="n">
        <v>30001409</v>
      </c>
      <c r="B58" s="3" t="s">
        <v>270</v>
      </c>
      <c r="C58" s="3" t="s">
        <v>212</v>
      </c>
      <c r="D58" s="3" t="s">
        <v>213</v>
      </c>
      <c r="E58" s="3" t="s">
        <v>214</v>
      </c>
      <c r="F58" s="23" t="n">
        <v>12597</v>
      </c>
      <c r="G58" s="23" t="n">
        <v>17000</v>
      </c>
      <c r="H58" s="23" t="n">
        <v>10234</v>
      </c>
      <c r="I58" s="23" t="n">
        <v>16898</v>
      </c>
      <c r="J58" s="23" t="n">
        <v>15283</v>
      </c>
      <c r="K58" s="23" t="n">
        <v>17884</v>
      </c>
      <c r="L58" s="23" t="n">
        <v>8789</v>
      </c>
      <c r="M58" s="23" t="n">
        <v>21317</v>
      </c>
      <c r="N58" s="23" t="n">
        <v>19130</v>
      </c>
      <c r="O58" s="23" t="n">
        <v>14752.1765</v>
      </c>
      <c r="P58" s="23" t="n">
        <v>16516.6765</v>
      </c>
      <c r="Q58" s="23" t="n">
        <v>17073.06</v>
      </c>
      <c r="R58" s="23" t="n">
        <v>17711.4094823844</v>
      </c>
      <c r="S58" s="23" t="n">
        <v>15985.9579971916</v>
      </c>
    </row>
    <row r="59" customFormat="false" ht="15" hidden="false" customHeight="false" outlineLevel="0" collapsed="false">
      <c r="A59" s="3" t="n">
        <v>30002347</v>
      </c>
      <c r="B59" s="3" t="s">
        <v>271</v>
      </c>
      <c r="C59" s="3" t="s">
        <v>149</v>
      </c>
      <c r="D59" s="3" t="s">
        <v>224</v>
      </c>
      <c r="E59" s="3" t="s">
        <v>231</v>
      </c>
      <c r="F59" s="23" t="n">
        <v>16780</v>
      </c>
      <c r="G59" s="23" t="n">
        <v>24436</v>
      </c>
      <c r="H59" s="23" t="n">
        <v>17609</v>
      </c>
      <c r="I59" s="23" t="n">
        <v>18773</v>
      </c>
      <c r="J59" s="23" t="n">
        <v>4514</v>
      </c>
      <c r="K59" s="23" t="n">
        <v>7527</v>
      </c>
      <c r="L59" s="23" t="n">
        <v>3900</v>
      </c>
      <c r="M59" s="23" t="n">
        <v>10200</v>
      </c>
      <c r="N59" s="23" t="n">
        <v>10033.4905084147</v>
      </c>
      <c r="O59" s="23" t="n">
        <v>6476.03012400591</v>
      </c>
      <c r="P59" s="23" t="n">
        <v>16125.9433898239</v>
      </c>
      <c r="Q59" s="23" t="n">
        <v>13625.9433898239</v>
      </c>
      <c r="R59" s="23" t="n">
        <v>9100</v>
      </c>
      <c r="S59" s="23" t="n">
        <v>9100</v>
      </c>
    </row>
    <row r="60" customFormat="false" ht="15" hidden="false" customHeight="false" outlineLevel="0" collapsed="false">
      <c r="A60" s="3" t="n">
        <v>30000254</v>
      </c>
      <c r="B60" s="3" t="s">
        <v>272</v>
      </c>
      <c r="C60" s="3" t="s">
        <v>135</v>
      </c>
      <c r="D60" s="3" t="s">
        <v>213</v>
      </c>
      <c r="E60" s="3" t="s">
        <v>214</v>
      </c>
      <c r="F60" s="23" t="n">
        <v>13116</v>
      </c>
      <c r="G60" s="23" t="n">
        <v>23382</v>
      </c>
      <c r="H60" s="23" t="n">
        <v>11388</v>
      </c>
      <c r="I60" s="23" t="n">
        <v>11226</v>
      </c>
      <c r="J60" s="23" t="n">
        <v>7806</v>
      </c>
      <c r="K60" s="23" t="n">
        <v>20304</v>
      </c>
      <c r="L60" s="23" t="n">
        <v>13206</v>
      </c>
      <c r="M60" s="23" t="n">
        <v>12891.2338770603</v>
      </c>
      <c r="N60" s="23" t="n">
        <v>11470</v>
      </c>
      <c r="O60" s="23" t="n">
        <v>12620.7428</v>
      </c>
      <c r="P60" s="23" t="n">
        <v>14543.3128</v>
      </c>
      <c r="Q60" s="23" t="n">
        <v>13806.34</v>
      </c>
      <c r="R60" s="23" t="n">
        <v>20230.2684080137</v>
      </c>
      <c r="S60" s="23" t="n">
        <v>13927.3880034788</v>
      </c>
    </row>
    <row r="61" customFormat="false" ht="15" hidden="false" customHeight="false" outlineLevel="0" collapsed="false">
      <c r="A61" s="3" t="n">
        <v>30002155</v>
      </c>
      <c r="B61" s="3" t="s">
        <v>273</v>
      </c>
      <c r="C61" s="3" t="s">
        <v>212</v>
      </c>
      <c r="D61" s="3" t="s">
        <v>224</v>
      </c>
      <c r="E61" s="3" t="n">
        <v>0</v>
      </c>
      <c r="F61" s="23" t="n">
        <v>17054.4</v>
      </c>
      <c r="G61" s="23" t="n">
        <v>11732.16</v>
      </c>
      <c r="H61" s="23" t="n">
        <v>11283.36</v>
      </c>
      <c r="I61" s="23" t="n">
        <v>15063.84</v>
      </c>
      <c r="J61" s="23" t="n">
        <v>12645.6</v>
      </c>
      <c r="K61" s="23" t="n">
        <v>17165.28</v>
      </c>
      <c r="L61" s="23" t="n">
        <v>7761.6</v>
      </c>
      <c r="M61" s="23" t="n">
        <v>10556.4253603209</v>
      </c>
      <c r="N61" s="23" t="n">
        <v>8946.63583803378</v>
      </c>
      <c r="O61" s="23" t="n">
        <v>8924.98095336321</v>
      </c>
      <c r="P61" s="23" t="n">
        <v>14442.0701636057</v>
      </c>
      <c r="Q61" s="23" t="n">
        <v>12198.1135043064</v>
      </c>
      <c r="R61" s="23" t="n">
        <v>11651.0157655998</v>
      </c>
      <c r="S61" s="23" t="n">
        <v>12949.1533172664</v>
      </c>
    </row>
    <row r="62" customFormat="false" ht="15" hidden="false" customHeight="false" outlineLevel="0" collapsed="false">
      <c r="A62" s="3" t="n">
        <v>30001684</v>
      </c>
      <c r="B62" s="3" t="s">
        <v>274</v>
      </c>
      <c r="C62" s="3" t="s">
        <v>135</v>
      </c>
      <c r="D62" s="3" t="s">
        <v>213</v>
      </c>
      <c r="E62" s="3" t="s">
        <v>249</v>
      </c>
      <c r="F62" s="23" t="n">
        <v>10674</v>
      </c>
      <c r="G62" s="23" t="n">
        <v>17142</v>
      </c>
      <c r="H62" s="23" t="n">
        <v>10866</v>
      </c>
      <c r="I62" s="23" t="n">
        <v>16056</v>
      </c>
      <c r="J62" s="23" t="n">
        <v>10566</v>
      </c>
      <c r="K62" s="23" t="n">
        <v>18330</v>
      </c>
      <c r="L62" s="23" t="n">
        <v>9312</v>
      </c>
      <c r="M62" s="23" t="n">
        <v>14500</v>
      </c>
      <c r="N62" s="23" t="n">
        <v>13000</v>
      </c>
      <c r="O62" s="23" t="n">
        <v>10490</v>
      </c>
      <c r="P62" s="23" t="n">
        <v>16690</v>
      </c>
      <c r="Q62" s="23" t="n">
        <v>15128</v>
      </c>
      <c r="R62" s="23" t="n">
        <v>21556.7470800718</v>
      </c>
      <c r="S62" s="23" t="n">
        <v>16310.5325101911</v>
      </c>
    </row>
    <row r="63" customFormat="false" ht="15" hidden="false" customHeight="false" outlineLevel="0" collapsed="false">
      <c r="A63" s="3" t="n">
        <v>30002330</v>
      </c>
      <c r="B63" s="3" t="s">
        <v>275</v>
      </c>
      <c r="C63" s="3" t="s">
        <v>212</v>
      </c>
      <c r="D63" s="3" t="s">
        <v>213</v>
      </c>
      <c r="E63" s="3" t="s">
        <v>214</v>
      </c>
      <c r="F63" s="23" t="n">
        <v>11244</v>
      </c>
      <c r="G63" s="23" t="n">
        <v>13464</v>
      </c>
      <c r="H63" s="23" t="n">
        <v>9540</v>
      </c>
      <c r="I63" s="23" t="n">
        <v>22866</v>
      </c>
      <c r="J63" s="23" t="n">
        <v>16848</v>
      </c>
      <c r="K63" s="23" t="n">
        <v>8700</v>
      </c>
      <c r="L63" s="23" t="n">
        <v>9852</v>
      </c>
      <c r="M63" s="23" t="n">
        <v>11214</v>
      </c>
      <c r="N63" s="23" t="n">
        <v>7350</v>
      </c>
      <c r="O63" s="23" t="n">
        <v>6112</v>
      </c>
      <c r="P63" s="23" t="n">
        <v>11462</v>
      </c>
      <c r="Q63" s="23" t="n">
        <v>10910</v>
      </c>
      <c r="R63" s="23" t="n">
        <v>12385.7276297603</v>
      </c>
      <c r="S63" s="23" t="n">
        <v>12316.1324749304</v>
      </c>
    </row>
    <row r="64" customFormat="false" ht="15" hidden="false" customHeight="false" outlineLevel="0" collapsed="false">
      <c r="A64" s="3" t="n">
        <v>30002199</v>
      </c>
      <c r="B64" s="3" t="s">
        <v>276</v>
      </c>
      <c r="C64" s="3" t="s">
        <v>155</v>
      </c>
      <c r="D64" s="3" t="s">
        <v>224</v>
      </c>
      <c r="E64" s="3" t="s">
        <v>212</v>
      </c>
      <c r="F64" s="23" t="n">
        <v>15532.8</v>
      </c>
      <c r="G64" s="23" t="n">
        <v>14313.6</v>
      </c>
      <c r="H64" s="23" t="n">
        <v>11726.4</v>
      </c>
      <c r="I64" s="23" t="n">
        <v>12456</v>
      </c>
      <c r="J64" s="23" t="n">
        <v>12168</v>
      </c>
      <c r="K64" s="23" t="n">
        <v>14544</v>
      </c>
      <c r="L64" s="23" t="n">
        <v>7387.2</v>
      </c>
      <c r="M64" s="23" t="n">
        <v>19126.263910308</v>
      </c>
      <c r="N64" s="23" t="n">
        <v>13356.5354125359</v>
      </c>
      <c r="O64" s="23" t="n">
        <v>8022.11337010653</v>
      </c>
      <c r="P64" s="23" t="n">
        <v>13977.1015142973</v>
      </c>
      <c r="Q64" s="23" t="n">
        <v>13477.1015142973</v>
      </c>
      <c r="R64" s="23" t="n">
        <v>12045.1143956267</v>
      </c>
      <c r="S64" s="23" t="n">
        <v>12045.1143956267</v>
      </c>
    </row>
    <row r="65" customFormat="false" ht="15" hidden="false" customHeight="false" outlineLevel="0" collapsed="false">
      <c r="A65" s="3" t="n">
        <v>30000638</v>
      </c>
      <c r="B65" s="3" t="s">
        <v>277</v>
      </c>
      <c r="C65" s="3" t="s">
        <v>212</v>
      </c>
      <c r="D65" s="3" t="s">
        <v>213</v>
      </c>
      <c r="E65" s="3" t="s">
        <v>214</v>
      </c>
      <c r="F65" s="23" t="n">
        <v>14063.04</v>
      </c>
      <c r="G65" s="23" t="n">
        <v>11083.84</v>
      </c>
      <c r="H65" s="23" t="n">
        <v>8439.04</v>
      </c>
      <c r="I65" s="23" t="n">
        <v>18586.56</v>
      </c>
      <c r="J65" s="23" t="n">
        <v>16361.28</v>
      </c>
      <c r="K65" s="23" t="n">
        <v>11436.48</v>
      </c>
      <c r="L65" s="23" t="n">
        <v>11345.28</v>
      </c>
      <c r="M65" s="23" t="n">
        <v>14770.88</v>
      </c>
      <c r="N65" s="23" t="n">
        <v>16220.8</v>
      </c>
      <c r="O65" s="23" t="n">
        <v>11793.84</v>
      </c>
      <c r="P65" s="23" t="n">
        <v>17770.88</v>
      </c>
      <c r="Q65" s="23" t="n">
        <v>14927.84</v>
      </c>
      <c r="R65" s="23" t="n">
        <v>17670.8</v>
      </c>
      <c r="S65" s="23" t="n">
        <v>13648.64</v>
      </c>
    </row>
    <row r="66" customFormat="false" ht="15" hidden="false" customHeight="false" outlineLevel="0" collapsed="false">
      <c r="A66" s="3" t="n">
        <v>30001080</v>
      </c>
      <c r="B66" s="3" t="s">
        <v>278</v>
      </c>
      <c r="C66" s="3" t="s">
        <v>155</v>
      </c>
      <c r="D66" s="3" t="s">
        <v>224</v>
      </c>
      <c r="E66" s="3" t="s">
        <v>214</v>
      </c>
      <c r="F66" s="23" t="n">
        <v>14593.92</v>
      </c>
      <c r="G66" s="23" t="n">
        <v>18115.68</v>
      </c>
      <c r="H66" s="23" t="n">
        <v>7682.4</v>
      </c>
      <c r="I66" s="23" t="n">
        <v>10575.84</v>
      </c>
      <c r="J66" s="23" t="n">
        <v>15026.88</v>
      </c>
      <c r="K66" s="23" t="n">
        <v>12708.96</v>
      </c>
      <c r="L66" s="23" t="n">
        <v>4905.12</v>
      </c>
      <c r="M66" s="23" t="n">
        <v>13701.1795418369</v>
      </c>
      <c r="N66" s="23" t="n">
        <v>10817.0896967471</v>
      </c>
      <c r="O66" s="23" t="n">
        <v>8228.50833673578</v>
      </c>
      <c r="P66" s="23" t="n">
        <v>13643.4153283538</v>
      </c>
      <c r="Q66" s="23" t="n">
        <v>12337.4208074244</v>
      </c>
      <c r="R66" s="23" t="n">
        <v>14178.9592577706</v>
      </c>
      <c r="S66" s="23" t="n">
        <v>15576.2753214604</v>
      </c>
    </row>
    <row r="67" customFormat="false" ht="15" hidden="false" customHeight="false" outlineLevel="0" collapsed="false">
      <c r="A67" s="3" t="n">
        <v>30000615</v>
      </c>
      <c r="B67" s="3" t="s">
        <v>279</v>
      </c>
      <c r="C67" s="3" t="s">
        <v>212</v>
      </c>
      <c r="D67" s="3" t="s">
        <v>213</v>
      </c>
      <c r="E67" s="3" t="s">
        <v>231</v>
      </c>
      <c r="F67" s="23" t="n">
        <v>14390.4</v>
      </c>
      <c r="G67" s="23" t="n">
        <v>13257.6</v>
      </c>
      <c r="H67" s="23" t="n">
        <v>8400</v>
      </c>
      <c r="I67" s="23" t="n">
        <v>17174.4</v>
      </c>
      <c r="J67" s="23" t="n">
        <v>17472</v>
      </c>
      <c r="K67" s="23" t="n">
        <v>7478.4</v>
      </c>
      <c r="L67" s="23" t="n">
        <v>9830.4</v>
      </c>
      <c r="M67" s="23" t="n">
        <v>14870</v>
      </c>
      <c r="N67" s="23" t="n">
        <v>21070</v>
      </c>
      <c r="O67" s="23" t="n">
        <v>6285.6</v>
      </c>
      <c r="P67" s="23" t="n">
        <v>14450</v>
      </c>
      <c r="Q67" s="23" t="n">
        <v>14950</v>
      </c>
      <c r="R67" s="23" t="n">
        <v>12270</v>
      </c>
      <c r="S67" s="23" t="n">
        <v>12770</v>
      </c>
    </row>
    <row r="68" customFormat="false" ht="15" hidden="false" customHeight="false" outlineLevel="0" collapsed="false">
      <c r="A68" s="3" t="n">
        <v>30000668</v>
      </c>
      <c r="B68" s="3" t="s">
        <v>280</v>
      </c>
      <c r="C68" s="3" t="s">
        <v>212</v>
      </c>
      <c r="D68" s="3" t="s">
        <v>213</v>
      </c>
      <c r="E68" s="3" t="s">
        <v>214</v>
      </c>
      <c r="F68" s="23" t="n">
        <v>11241.92</v>
      </c>
      <c r="G68" s="23" t="n">
        <v>11272.32</v>
      </c>
      <c r="H68" s="23" t="n">
        <v>6888.64</v>
      </c>
      <c r="I68" s="23" t="n">
        <v>18823.68</v>
      </c>
      <c r="J68" s="23" t="n">
        <v>15692.48</v>
      </c>
      <c r="K68" s="23" t="n">
        <v>14111.68</v>
      </c>
      <c r="L68" s="23" t="n">
        <v>7478.4</v>
      </c>
      <c r="M68" s="23" t="n">
        <v>10490.8</v>
      </c>
      <c r="N68" s="23" t="n">
        <v>11590.8</v>
      </c>
      <c r="O68" s="23" t="n">
        <v>7110</v>
      </c>
      <c r="P68" s="23" t="n">
        <v>20280.8</v>
      </c>
      <c r="Q68" s="23" t="n">
        <v>13230.8</v>
      </c>
      <c r="R68" s="23" t="n">
        <v>17151.6</v>
      </c>
      <c r="S68" s="23" t="n">
        <v>13201.6</v>
      </c>
    </row>
    <row r="69" customFormat="false" ht="15" hidden="false" customHeight="false" outlineLevel="0" collapsed="false">
      <c r="A69" s="3" t="n">
        <v>30000516</v>
      </c>
      <c r="B69" s="3" t="s">
        <v>281</v>
      </c>
      <c r="C69" s="3" t="s">
        <v>139</v>
      </c>
      <c r="D69" s="3" t="s">
        <v>213</v>
      </c>
      <c r="E69" s="3" t="s">
        <v>231</v>
      </c>
      <c r="F69" s="23" t="n">
        <v>13584</v>
      </c>
      <c r="G69" s="23" t="n">
        <v>11520</v>
      </c>
      <c r="H69" s="23" t="n">
        <v>11628</v>
      </c>
      <c r="I69" s="23" t="n">
        <v>11208</v>
      </c>
      <c r="J69" s="23" t="n">
        <v>15708</v>
      </c>
      <c r="K69" s="23" t="n">
        <v>13248</v>
      </c>
      <c r="L69" s="23" t="n">
        <v>9156</v>
      </c>
      <c r="M69" s="23" t="n">
        <v>16562</v>
      </c>
      <c r="N69" s="23" t="n">
        <v>14462</v>
      </c>
      <c r="O69" s="23" t="n">
        <v>10255.99</v>
      </c>
      <c r="P69" s="23" t="n">
        <v>15785.36</v>
      </c>
      <c r="Q69" s="23" t="n">
        <v>12640.4</v>
      </c>
      <c r="R69" s="23" t="n">
        <v>13982.0159017021</v>
      </c>
      <c r="S69" s="23" t="n">
        <v>14007.3357948665</v>
      </c>
    </row>
    <row r="70" customFormat="false" ht="15" hidden="false" customHeight="false" outlineLevel="0" collapsed="false">
      <c r="A70" s="3" t="n">
        <v>30001079</v>
      </c>
      <c r="B70" s="3" t="s">
        <v>282</v>
      </c>
      <c r="C70" s="3" t="s">
        <v>155</v>
      </c>
      <c r="D70" s="3" t="s">
        <v>224</v>
      </c>
      <c r="E70" s="3" t="s">
        <v>214</v>
      </c>
      <c r="F70" s="23" t="n">
        <v>11394.24</v>
      </c>
      <c r="G70" s="23" t="n">
        <v>15797.76</v>
      </c>
      <c r="H70" s="23" t="n">
        <v>10956</v>
      </c>
      <c r="I70" s="23" t="n">
        <v>15808.32</v>
      </c>
      <c r="J70" s="23" t="n">
        <v>11061.6</v>
      </c>
      <c r="K70" s="23" t="n">
        <v>11510.4</v>
      </c>
      <c r="L70" s="23" t="n">
        <v>3780.48</v>
      </c>
      <c r="M70" s="23" t="n">
        <v>10759.4743106629</v>
      </c>
      <c r="N70" s="23" t="n">
        <v>8086.42204106957</v>
      </c>
      <c r="O70" s="23" t="n">
        <v>5895.92925285185</v>
      </c>
      <c r="P70" s="23" t="n">
        <v>11815.2641846736</v>
      </c>
      <c r="Q70" s="23" t="n">
        <v>11219.9438614123</v>
      </c>
      <c r="R70" s="23" t="n">
        <v>10929.6922922502</v>
      </c>
      <c r="S70" s="23" t="n">
        <v>11598.4373381437</v>
      </c>
    </row>
    <row r="71" customFormat="false" ht="15" hidden="false" customHeight="false" outlineLevel="0" collapsed="false">
      <c r="A71" s="3" t="n">
        <v>30000115</v>
      </c>
      <c r="B71" s="3" t="s">
        <v>283</v>
      </c>
      <c r="C71" s="3" t="s">
        <v>141</v>
      </c>
      <c r="D71" s="3" t="s">
        <v>224</v>
      </c>
      <c r="E71" s="3" t="s">
        <v>214</v>
      </c>
      <c r="F71" s="23" t="n">
        <v>25856</v>
      </c>
      <c r="G71" s="23" t="n">
        <v>18912</v>
      </c>
      <c r="H71" s="23" t="n">
        <v>10280</v>
      </c>
      <c r="I71" s="23" t="n">
        <v>9248</v>
      </c>
      <c r="J71" s="23" t="n">
        <v>7032</v>
      </c>
      <c r="K71" s="23" t="n">
        <v>4848</v>
      </c>
      <c r="L71" s="23" t="n">
        <v>3048</v>
      </c>
      <c r="M71" s="23" t="n">
        <v>27275.250445983</v>
      </c>
      <c r="N71" s="23" t="n">
        <v>22985.4905283181</v>
      </c>
      <c r="O71" s="23" t="n">
        <v>10638.7330784509</v>
      </c>
      <c r="P71" s="23" t="n">
        <v>22288.8976193879</v>
      </c>
      <c r="Q71" s="23" t="n">
        <v>5881.35504280197</v>
      </c>
      <c r="R71" s="23" t="n">
        <v>5539.44599119185</v>
      </c>
      <c r="S71" s="23" t="n">
        <v>6774.92499638071</v>
      </c>
    </row>
    <row r="72" customFormat="false" ht="15" hidden="false" customHeight="false" outlineLevel="0" collapsed="false">
      <c r="A72" s="3" t="n">
        <v>30001774</v>
      </c>
      <c r="B72" s="3" t="s">
        <v>284</v>
      </c>
      <c r="C72" s="3" t="s">
        <v>149</v>
      </c>
      <c r="D72" s="3" t="s">
        <v>224</v>
      </c>
      <c r="E72" s="3" t="s">
        <v>231</v>
      </c>
      <c r="F72" s="23" t="n">
        <v>25639</v>
      </c>
      <c r="G72" s="23" t="n">
        <v>24400</v>
      </c>
      <c r="H72" s="23" t="n">
        <v>12843</v>
      </c>
      <c r="I72" s="23" t="n">
        <v>3290</v>
      </c>
      <c r="J72" s="23" t="n">
        <v>4140</v>
      </c>
      <c r="K72" s="23" t="n">
        <v>4331</v>
      </c>
      <c r="L72" s="23" t="n">
        <v>4090</v>
      </c>
      <c r="M72" s="23" t="n">
        <v>25397.4302207625</v>
      </c>
      <c r="N72" s="23" t="n">
        <v>26549.0562708407</v>
      </c>
      <c r="O72" s="23" t="n">
        <v>9128.83916120769</v>
      </c>
      <c r="P72" s="23" t="n">
        <v>21549.0562708407</v>
      </c>
      <c r="Q72" s="23" t="n">
        <v>7504.24508453967</v>
      </c>
      <c r="R72" s="23" t="n">
        <v>5600</v>
      </c>
      <c r="S72" s="23" t="n">
        <v>5600</v>
      </c>
    </row>
    <row r="73" customFormat="false" ht="15" hidden="false" customHeight="false" outlineLevel="0" collapsed="false">
      <c r="A73" s="3" t="n">
        <v>30002177</v>
      </c>
      <c r="B73" s="3" t="s">
        <v>285</v>
      </c>
      <c r="C73" s="3" t="s">
        <v>140</v>
      </c>
      <c r="D73" s="3" t="s">
        <v>213</v>
      </c>
      <c r="E73" s="3" t="s">
        <v>214</v>
      </c>
      <c r="F73" s="23" t="n">
        <v>13128.4</v>
      </c>
      <c r="G73" s="23" t="n">
        <v>13855.2</v>
      </c>
      <c r="H73" s="23" t="n">
        <v>6909.2</v>
      </c>
      <c r="I73" s="23" t="n">
        <v>16238</v>
      </c>
      <c r="J73" s="23" t="n">
        <v>10929.6</v>
      </c>
      <c r="K73" s="23" t="n">
        <v>12714.4</v>
      </c>
      <c r="L73" s="23" t="n">
        <v>5299.2</v>
      </c>
      <c r="M73" s="23" t="n">
        <v>20201.2</v>
      </c>
      <c r="N73" s="23" t="n">
        <v>14801.2</v>
      </c>
      <c r="O73" s="23" t="n">
        <v>10301.2</v>
      </c>
      <c r="P73" s="23" t="n">
        <v>12701.2</v>
      </c>
      <c r="Q73" s="23" t="n">
        <v>11239.6</v>
      </c>
      <c r="R73" s="23" t="n">
        <v>14674.3982926305</v>
      </c>
      <c r="S73" s="23" t="n">
        <v>10508.6210312457</v>
      </c>
    </row>
    <row r="74" customFormat="false" ht="15" hidden="false" customHeight="false" outlineLevel="0" collapsed="false">
      <c r="A74" s="3" t="n">
        <v>30002336</v>
      </c>
      <c r="B74" s="3" t="s">
        <v>286</v>
      </c>
      <c r="C74" s="3" t="s">
        <v>149</v>
      </c>
      <c r="D74" s="3" t="s">
        <v>224</v>
      </c>
      <c r="E74" s="3" t="s">
        <v>214</v>
      </c>
      <c r="F74" s="23" t="n">
        <v>15424</v>
      </c>
      <c r="G74" s="23" t="n">
        <v>19617</v>
      </c>
      <c r="H74" s="23" t="n">
        <v>5868</v>
      </c>
      <c r="I74" s="23" t="n">
        <v>9622</v>
      </c>
      <c r="J74" s="23" t="n">
        <v>10339</v>
      </c>
      <c r="K74" s="23" t="n">
        <v>12581</v>
      </c>
      <c r="L74" s="23" t="n">
        <v>3280</v>
      </c>
      <c r="M74" s="23" t="n">
        <v>13743.8204803147</v>
      </c>
      <c r="N74" s="23" t="n">
        <v>9323.21532748989</v>
      </c>
      <c r="O74" s="23" t="n">
        <v>5747.35411792282</v>
      </c>
      <c r="P74" s="23" t="n">
        <v>10623.2153274899</v>
      </c>
      <c r="Q74" s="23" t="n">
        <v>9823.21532748989</v>
      </c>
      <c r="R74" s="23" t="n">
        <v>7308.69565217392</v>
      </c>
      <c r="S74" s="23" t="n">
        <v>7008.69565217392</v>
      </c>
    </row>
    <row r="75" customFormat="false" ht="15" hidden="false" customHeight="false" outlineLevel="0" collapsed="false">
      <c r="A75" s="3" t="n">
        <v>30000206</v>
      </c>
      <c r="B75" s="3" t="s">
        <v>287</v>
      </c>
      <c r="C75" s="3" t="s">
        <v>212</v>
      </c>
      <c r="D75" s="3" t="s">
        <v>213</v>
      </c>
      <c r="E75" s="3" t="s">
        <v>214</v>
      </c>
      <c r="F75" s="23" t="n">
        <v>13818</v>
      </c>
      <c r="G75" s="23" t="n">
        <v>17604</v>
      </c>
      <c r="H75" s="23" t="n">
        <v>8616</v>
      </c>
      <c r="I75" s="23" t="n">
        <v>11616</v>
      </c>
      <c r="J75" s="23" t="n">
        <v>8418</v>
      </c>
      <c r="K75" s="23" t="n">
        <v>12156</v>
      </c>
      <c r="L75" s="23" t="n">
        <v>8676</v>
      </c>
      <c r="M75" s="23" t="n">
        <v>14620.6654367652</v>
      </c>
      <c r="N75" s="23" t="n">
        <v>12800</v>
      </c>
      <c r="O75" s="23" t="n">
        <v>10412.5296</v>
      </c>
      <c r="P75" s="23" t="n">
        <v>11557.5696</v>
      </c>
      <c r="Q75" s="23" t="n">
        <v>12135.7</v>
      </c>
      <c r="R75" s="23" t="n">
        <v>13376.7628332148</v>
      </c>
      <c r="S75" s="23" t="n">
        <v>12425.97627954</v>
      </c>
    </row>
    <row r="76" customFormat="false" ht="15" hidden="false" customHeight="false" outlineLevel="0" collapsed="false">
      <c r="A76" s="3" t="n">
        <v>30001058</v>
      </c>
      <c r="B76" s="3" t="s">
        <v>288</v>
      </c>
      <c r="C76" s="3" t="s">
        <v>155</v>
      </c>
      <c r="D76" s="3" t="s">
        <v>224</v>
      </c>
      <c r="E76" s="3" t="s">
        <v>214</v>
      </c>
      <c r="F76" s="23" t="n">
        <v>11995.2</v>
      </c>
      <c r="G76" s="23" t="n">
        <v>13416.48</v>
      </c>
      <c r="H76" s="23" t="n">
        <v>11444.16</v>
      </c>
      <c r="I76" s="23" t="n">
        <v>15072.96</v>
      </c>
      <c r="J76" s="23" t="n">
        <v>11749.92</v>
      </c>
      <c r="K76" s="23" t="n">
        <v>8457.12</v>
      </c>
      <c r="L76" s="23" t="n">
        <v>3323.04</v>
      </c>
      <c r="M76" s="23" t="n">
        <v>7274.28781755862</v>
      </c>
      <c r="N76" s="23" t="n">
        <v>10042.8000904017</v>
      </c>
      <c r="O76" s="23" t="n">
        <v>4026.94457632925</v>
      </c>
      <c r="P76" s="23" t="n">
        <v>17168.9042621061</v>
      </c>
      <c r="Q76" s="23" t="n">
        <v>12789.2995658136</v>
      </c>
      <c r="R76" s="23" t="n">
        <v>8838.07953009135</v>
      </c>
      <c r="S76" s="23" t="n">
        <v>8838.07953009135</v>
      </c>
    </row>
    <row r="77" customFormat="false" ht="15" hidden="false" customHeight="false" outlineLevel="0" collapsed="false">
      <c r="A77" s="3" t="n">
        <v>30001489</v>
      </c>
      <c r="B77" s="3" t="s">
        <v>289</v>
      </c>
      <c r="C77" s="3" t="s">
        <v>155</v>
      </c>
      <c r="D77" s="3" t="s">
        <v>224</v>
      </c>
      <c r="E77" s="3" t="s">
        <v>231</v>
      </c>
      <c r="F77" s="23" t="n">
        <v>15146.856</v>
      </c>
      <c r="G77" s="23" t="n">
        <v>13326.984</v>
      </c>
      <c r="H77" s="23" t="n">
        <v>8351.304</v>
      </c>
      <c r="I77" s="23" t="n">
        <v>11212.32</v>
      </c>
      <c r="J77" s="23" t="n">
        <v>11133.936</v>
      </c>
      <c r="K77" s="23" t="n">
        <v>12001.272</v>
      </c>
      <c r="L77" s="23" t="n">
        <v>5975.928</v>
      </c>
      <c r="M77" s="23" t="n">
        <v>12142.5000615981</v>
      </c>
      <c r="N77" s="23" t="n">
        <v>13495.5066181692</v>
      </c>
      <c r="O77" s="23" t="n">
        <v>8053.2213831825</v>
      </c>
      <c r="P77" s="23" t="n">
        <v>12773.808312885</v>
      </c>
      <c r="Q77" s="23" t="n">
        <v>12995.5066181692</v>
      </c>
      <c r="R77" s="23" t="n">
        <v>10142.5</v>
      </c>
      <c r="S77" s="23" t="n">
        <v>10142.5</v>
      </c>
    </row>
    <row r="78" customFormat="false" ht="15" hidden="false" customHeight="false" outlineLevel="0" collapsed="false">
      <c r="A78" s="3" t="n">
        <v>30001043</v>
      </c>
      <c r="B78" s="3" t="s">
        <v>290</v>
      </c>
      <c r="C78" s="3" t="s">
        <v>155</v>
      </c>
      <c r="D78" s="3" t="s">
        <v>224</v>
      </c>
      <c r="E78" s="3" t="s">
        <v>214</v>
      </c>
      <c r="F78" s="23" t="n">
        <v>12513.6</v>
      </c>
      <c r="G78" s="23" t="n">
        <v>20180.16</v>
      </c>
      <c r="H78" s="23" t="n">
        <v>8875.68</v>
      </c>
      <c r="I78" s="23" t="n">
        <v>8257.92</v>
      </c>
      <c r="J78" s="23" t="n">
        <v>8643.36</v>
      </c>
      <c r="K78" s="23" t="n">
        <v>11827.2</v>
      </c>
      <c r="L78" s="23" t="n">
        <v>8580</v>
      </c>
      <c r="M78" s="23" t="n">
        <v>13058.4229499499</v>
      </c>
      <c r="N78" s="23" t="n">
        <v>10280.6851145397</v>
      </c>
      <c r="O78" s="23" t="n">
        <v>5413.73676148809</v>
      </c>
      <c r="P78" s="23" t="n">
        <v>18495.724796961</v>
      </c>
      <c r="Q78" s="23" t="n">
        <v>14816.9648566465</v>
      </c>
      <c r="R78" s="23" t="n">
        <v>12379.4836307988</v>
      </c>
      <c r="S78" s="23" t="n">
        <v>11139.8823525338</v>
      </c>
    </row>
    <row r="79" customFormat="false" ht="15" hidden="false" customHeight="false" outlineLevel="0" collapsed="false">
      <c r="A79" s="3" t="n">
        <v>30000300</v>
      </c>
      <c r="B79" s="3" t="s">
        <v>291</v>
      </c>
      <c r="C79" s="3" t="s">
        <v>139</v>
      </c>
      <c r="D79" s="3" t="s">
        <v>213</v>
      </c>
      <c r="E79" s="3" t="s">
        <v>214</v>
      </c>
      <c r="F79" s="23" t="n">
        <v>11262</v>
      </c>
      <c r="G79" s="23" t="n">
        <v>17202</v>
      </c>
      <c r="H79" s="23" t="n">
        <v>12276</v>
      </c>
      <c r="I79" s="23" t="n">
        <v>11352</v>
      </c>
      <c r="J79" s="23" t="n">
        <v>9996</v>
      </c>
      <c r="K79" s="23" t="n">
        <v>7908</v>
      </c>
      <c r="L79" s="23" t="n">
        <v>4656</v>
      </c>
      <c r="M79" s="23" t="n">
        <v>9383.0654449522</v>
      </c>
      <c r="N79" s="23" t="n">
        <v>9583.0654449522</v>
      </c>
      <c r="O79" s="23" t="n">
        <v>6924.286</v>
      </c>
      <c r="P79" s="23" t="n">
        <v>11347.4</v>
      </c>
      <c r="Q79" s="23" t="n">
        <v>10736.1</v>
      </c>
      <c r="R79" s="23" t="n">
        <v>9976.81366329054</v>
      </c>
      <c r="S79" s="23" t="n">
        <v>8994.51800708669</v>
      </c>
    </row>
    <row r="80" customFormat="false" ht="15" hidden="false" customHeight="false" outlineLevel="0" collapsed="false">
      <c r="A80" s="3" t="n">
        <v>30001977</v>
      </c>
      <c r="B80" s="3" t="s">
        <v>292</v>
      </c>
      <c r="C80" s="3" t="s">
        <v>139</v>
      </c>
      <c r="D80" s="3" t="s">
        <v>213</v>
      </c>
      <c r="E80" s="3" t="s">
        <v>231</v>
      </c>
      <c r="F80" s="23" t="n">
        <v>9996</v>
      </c>
      <c r="G80" s="23" t="n">
        <v>14940</v>
      </c>
      <c r="H80" s="23" t="n">
        <v>14196</v>
      </c>
      <c r="I80" s="23" t="n">
        <v>15174</v>
      </c>
      <c r="J80" s="23" t="n">
        <v>7914</v>
      </c>
      <c r="K80" s="23" t="n">
        <v>7482</v>
      </c>
      <c r="L80" s="23" t="n">
        <v>4428</v>
      </c>
      <c r="M80" s="23" t="n">
        <v>8050</v>
      </c>
      <c r="N80" s="23" t="n">
        <v>7400</v>
      </c>
      <c r="O80" s="23" t="n">
        <v>5172.07</v>
      </c>
      <c r="P80" s="23" t="n">
        <v>12862.09</v>
      </c>
      <c r="Q80" s="23" t="n">
        <v>14935.3</v>
      </c>
      <c r="R80" s="23" t="n">
        <v>8894.43534111938</v>
      </c>
      <c r="S80" s="23" t="n">
        <v>9596.14175196623</v>
      </c>
    </row>
    <row r="81" customFormat="false" ht="15" hidden="false" customHeight="false" outlineLevel="0" collapsed="false">
      <c r="A81" s="3" t="n">
        <v>30001362</v>
      </c>
      <c r="B81" s="3" t="s">
        <v>293</v>
      </c>
      <c r="C81" s="3" t="s">
        <v>124</v>
      </c>
      <c r="D81" s="3" t="s">
        <v>213</v>
      </c>
      <c r="E81" s="3" t="s">
        <v>231</v>
      </c>
      <c r="F81" s="23" t="n">
        <v>9212.88</v>
      </c>
      <c r="G81" s="23" t="n">
        <v>6381.12</v>
      </c>
      <c r="H81" s="23" t="n">
        <v>7733.52</v>
      </c>
      <c r="I81" s="23" t="n">
        <v>17785.44</v>
      </c>
      <c r="J81" s="23" t="n">
        <v>13468.8</v>
      </c>
      <c r="K81" s="23" t="n">
        <v>14981.28</v>
      </c>
      <c r="L81" s="23" t="n">
        <v>7970.88</v>
      </c>
      <c r="M81" s="23" t="n">
        <v>10950</v>
      </c>
      <c r="N81" s="23" t="n">
        <v>9950</v>
      </c>
      <c r="O81" s="23" t="n">
        <v>6250</v>
      </c>
      <c r="P81" s="23" t="n">
        <v>14991.04</v>
      </c>
      <c r="Q81" s="23" t="n">
        <v>10713.68</v>
      </c>
      <c r="R81" s="23" t="n">
        <v>11500</v>
      </c>
      <c r="S81" s="23" t="n">
        <v>10750</v>
      </c>
    </row>
    <row r="82" customFormat="false" ht="15" hidden="false" customHeight="false" outlineLevel="0" collapsed="false">
      <c r="A82" s="3" t="n">
        <v>30001057</v>
      </c>
      <c r="B82" s="3" t="s">
        <v>294</v>
      </c>
      <c r="C82" s="3" t="s">
        <v>155</v>
      </c>
      <c r="D82" s="3" t="s">
        <v>224</v>
      </c>
      <c r="E82" s="3" t="s">
        <v>214</v>
      </c>
      <c r="F82" s="23" t="n">
        <v>10174.08</v>
      </c>
      <c r="G82" s="23" t="n">
        <v>15432.48</v>
      </c>
      <c r="H82" s="23" t="n">
        <v>8070.72</v>
      </c>
      <c r="I82" s="23" t="n">
        <v>15328.32</v>
      </c>
      <c r="J82" s="23" t="n">
        <v>9397.92</v>
      </c>
      <c r="K82" s="23" t="n">
        <v>9068.64</v>
      </c>
      <c r="L82" s="23" t="n">
        <v>3507.84</v>
      </c>
      <c r="M82" s="23" t="n">
        <v>9524.54326981056</v>
      </c>
      <c r="N82" s="23" t="n">
        <v>12834.5649267179</v>
      </c>
      <c r="O82" s="23" t="n">
        <v>5914.60775863655</v>
      </c>
      <c r="P82" s="23" t="n">
        <v>18327.8862601902</v>
      </c>
      <c r="Q82" s="23" t="n">
        <v>13894.417738693</v>
      </c>
      <c r="R82" s="23" t="n">
        <v>9294.13070337693</v>
      </c>
      <c r="S82" s="23" t="n">
        <v>9294.13070337693</v>
      </c>
    </row>
    <row r="83" customFormat="false" ht="15" hidden="false" customHeight="false" outlineLevel="0" collapsed="false">
      <c r="A83" s="3" t="n">
        <v>30000398</v>
      </c>
      <c r="B83" s="3" t="s">
        <v>295</v>
      </c>
      <c r="C83" s="3" t="s">
        <v>139</v>
      </c>
      <c r="D83" s="3" t="s">
        <v>213</v>
      </c>
      <c r="E83" s="3" t="s">
        <v>231</v>
      </c>
      <c r="F83" s="23" t="n">
        <v>8256</v>
      </c>
      <c r="G83" s="23" t="n">
        <v>13734</v>
      </c>
      <c r="H83" s="23" t="n">
        <v>9840</v>
      </c>
      <c r="I83" s="23" t="n">
        <v>10638</v>
      </c>
      <c r="J83" s="23" t="n">
        <v>12246</v>
      </c>
      <c r="K83" s="23" t="n">
        <v>11910</v>
      </c>
      <c r="L83" s="23" t="n">
        <v>4098</v>
      </c>
      <c r="M83" s="23" t="n">
        <v>10000</v>
      </c>
      <c r="N83" s="23" t="n">
        <v>8600</v>
      </c>
      <c r="O83" s="23" t="n">
        <v>6609.3</v>
      </c>
      <c r="P83" s="23" t="n">
        <v>10806.4854</v>
      </c>
      <c r="Q83" s="23" t="n">
        <v>10006.4854</v>
      </c>
      <c r="R83" s="23" t="n">
        <v>9647.54664775102</v>
      </c>
      <c r="S83" s="23" t="n">
        <v>9227.04322057516</v>
      </c>
    </row>
    <row r="84" customFormat="false" ht="15" hidden="false" customHeight="false" outlineLevel="0" collapsed="false">
      <c r="A84" s="3" t="n">
        <v>30001754</v>
      </c>
      <c r="B84" s="3" t="s">
        <v>296</v>
      </c>
      <c r="C84" s="3" t="s">
        <v>144</v>
      </c>
      <c r="D84" s="3" t="s">
        <v>213</v>
      </c>
      <c r="E84" s="3" t="s">
        <v>214</v>
      </c>
      <c r="F84" s="23" t="n">
        <v>8418.6</v>
      </c>
      <c r="G84" s="23" t="n">
        <v>7624.8</v>
      </c>
      <c r="H84" s="23" t="n">
        <v>6334.2</v>
      </c>
      <c r="I84" s="23" t="n">
        <v>12295.8</v>
      </c>
      <c r="J84" s="23" t="n">
        <v>17971.2</v>
      </c>
      <c r="K84" s="23" t="n">
        <v>11853</v>
      </c>
      <c r="L84" s="23" t="n">
        <v>8769.6</v>
      </c>
      <c r="M84" s="23" t="n">
        <v>10117</v>
      </c>
      <c r="N84" s="23" t="n">
        <v>9287</v>
      </c>
      <c r="O84" s="23" t="n">
        <v>7804</v>
      </c>
      <c r="P84" s="23" t="n">
        <v>10250</v>
      </c>
      <c r="Q84" s="23" t="n">
        <v>10600</v>
      </c>
      <c r="R84" s="23" t="n">
        <v>12920.9239130435</v>
      </c>
      <c r="S84" s="23" t="n">
        <v>14067</v>
      </c>
    </row>
    <row r="85" customFormat="false" ht="15" hidden="false" customHeight="false" outlineLevel="0" collapsed="false">
      <c r="A85" s="3" t="n">
        <v>30001075</v>
      </c>
      <c r="B85" s="3" t="s">
        <v>297</v>
      </c>
      <c r="C85" s="3" t="s">
        <v>155</v>
      </c>
      <c r="D85" s="3" t="s">
        <v>224</v>
      </c>
      <c r="E85" s="3" t="s">
        <v>231</v>
      </c>
      <c r="F85" s="23" t="n">
        <v>13184.16</v>
      </c>
      <c r="G85" s="23" t="n">
        <v>15602.4</v>
      </c>
      <c r="H85" s="23" t="n">
        <v>5992.8</v>
      </c>
      <c r="I85" s="23" t="n">
        <v>8030.88</v>
      </c>
      <c r="J85" s="23" t="n">
        <v>8675.04</v>
      </c>
      <c r="K85" s="23" t="n">
        <v>11953.92</v>
      </c>
      <c r="L85" s="23" t="n">
        <v>5295.84</v>
      </c>
      <c r="M85" s="23" t="n">
        <v>9305.8352007189</v>
      </c>
      <c r="N85" s="23" t="n">
        <v>9109.37231429684</v>
      </c>
      <c r="O85" s="23" t="n">
        <v>4848.60681097026</v>
      </c>
      <c r="P85" s="23" t="n">
        <v>10761.8099082655</v>
      </c>
      <c r="Q85" s="23" t="n">
        <v>9292.53473901387</v>
      </c>
      <c r="R85" s="23" t="n">
        <v>8308.42864510347</v>
      </c>
      <c r="S85" s="23" t="n">
        <v>6201.70406328134</v>
      </c>
    </row>
    <row r="86" customFormat="false" ht="15" hidden="false" customHeight="false" outlineLevel="0" collapsed="false">
      <c r="A86" s="3" t="n">
        <v>30001750</v>
      </c>
      <c r="B86" s="3" t="s">
        <v>298</v>
      </c>
      <c r="C86" s="3" t="s">
        <v>212</v>
      </c>
      <c r="D86" s="3" t="s">
        <v>213</v>
      </c>
      <c r="E86" s="3" t="s">
        <v>214</v>
      </c>
      <c r="F86" s="23" t="n">
        <v>8591.4</v>
      </c>
      <c r="G86" s="23" t="n">
        <v>8602.2</v>
      </c>
      <c r="H86" s="23" t="n">
        <v>5324.4</v>
      </c>
      <c r="I86" s="23" t="n">
        <v>15028.2</v>
      </c>
      <c r="J86" s="23" t="n">
        <v>13824</v>
      </c>
      <c r="K86" s="23" t="n">
        <v>10778.4</v>
      </c>
      <c r="L86" s="23" t="n">
        <v>12209.4</v>
      </c>
      <c r="M86" s="23" t="n">
        <v>9893</v>
      </c>
      <c r="N86" s="23" t="n">
        <v>9393</v>
      </c>
      <c r="O86" s="23" t="n">
        <v>8429.2</v>
      </c>
      <c r="P86" s="23" t="n">
        <v>10143</v>
      </c>
      <c r="Q86" s="23" t="n">
        <v>11600</v>
      </c>
      <c r="R86" s="23" t="n">
        <v>13139.5380434783</v>
      </c>
      <c r="S86" s="23" t="n">
        <v>14667</v>
      </c>
    </row>
    <row r="87" customFormat="false" ht="15" hidden="false" customHeight="false" outlineLevel="0" collapsed="false">
      <c r="A87" s="3" t="n">
        <v>30001873</v>
      </c>
      <c r="B87" s="3" t="s">
        <v>299</v>
      </c>
      <c r="C87" s="3" t="s">
        <v>143</v>
      </c>
      <c r="D87" s="3" t="s">
        <v>224</v>
      </c>
      <c r="E87" s="3" t="s">
        <v>214</v>
      </c>
      <c r="F87" s="23" t="n">
        <v>12576.6</v>
      </c>
      <c r="G87" s="23" t="n">
        <v>9660.6</v>
      </c>
      <c r="H87" s="23" t="n">
        <v>8127</v>
      </c>
      <c r="I87" s="23" t="n">
        <v>15865.2</v>
      </c>
      <c r="J87" s="23" t="n">
        <v>6566.4</v>
      </c>
      <c r="K87" s="23" t="n">
        <v>7700.4</v>
      </c>
      <c r="L87" s="23" t="n">
        <v>5130</v>
      </c>
      <c r="M87" s="23" t="n">
        <v>14946.1083106537</v>
      </c>
      <c r="N87" s="23" t="n">
        <v>14077.3582496188</v>
      </c>
      <c r="O87" s="23" t="n">
        <v>8360.79501456338</v>
      </c>
      <c r="P87" s="23" t="n">
        <v>13877.3581917801</v>
      </c>
      <c r="Q87" s="23" t="n">
        <v>15677.3581917801</v>
      </c>
      <c r="R87" s="23" t="n">
        <v>13666.6666666667</v>
      </c>
      <c r="S87" s="23" t="n">
        <v>12666.6666666667</v>
      </c>
    </row>
    <row r="88" customFormat="false" ht="15" hidden="false" customHeight="false" outlineLevel="0" collapsed="false">
      <c r="A88" s="3" t="n">
        <v>30000207</v>
      </c>
      <c r="B88" s="3" t="s">
        <v>300</v>
      </c>
      <c r="C88" s="3" t="s">
        <v>212</v>
      </c>
      <c r="D88" s="3" t="s">
        <v>213</v>
      </c>
      <c r="E88" s="3" t="s">
        <v>214</v>
      </c>
      <c r="F88" s="23" t="n">
        <v>13638</v>
      </c>
      <c r="G88" s="23" t="n">
        <v>10656</v>
      </c>
      <c r="H88" s="23" t="n">
        <v>7824</v>
      </c>
      <c r="I88" s="23" t="n">
        <v>10674</v>
      </c>
      <c r="J88" s="23" t="n">
        <v>10980</v>
      </c>
      <c r="K88" s="23" t="n">
        <v>5982</v>
      </c>
      <c r="L88" s="23" t="n">
        <v>5802</v>
      </c>
      <c r="M88" s="23" t="n">
        <v>11726.1006861745</v>
      </c>
      <c r="N88" s="23" t="n">
        <v>11530</v>
      </c>
      <c r="O88" s="23" t="n">
        <v>8230.0576</v>
      </c>
      <c r="P88" s="23" t="n">
        <v>10062.4176</v>
      </c>
      <c r="Q88" s="23" t="n">
        <v>9977.26</v>
      </c>
      <c r="R88" s="23" t="n">
        <v>9842.01277204082</v>
      </c>
      <c r="S88" s="23" t="n">
        <v>9399.13618705677</v>
      </c>
    </row>
    <row r="89" customFormat="false" ht="15" hidden="false" customHeight="false" outlineLevel="0" collapsed="false">
      <c r="A89" s="3" t="n">
        <v>30001760</v>
      </c>
      <c r="B89" s="3" t="s">
        <v>301</v>
      </c>
      <c r="C89" s="3" t="s">
        <v>212</v>
      </c>
      <c r="D89" s="3" t="s">
        <v>213</v>
      </c>
      <c r="E89" s="3" t="s">
        <v>214</v>
      </c>
      <c r="F89" s="23" t="n">
        <v>7959.6</v>
      </c>
      <c r="G89" s="23" t="n">
        <v>9644.4</v>
      </c>
      <c r="H89" s="23" t="n">
        <v>9714.6</v>
      </c>
      <c r="I89" s="23" t="n">
        <v>9347.4</v>
      </c>
      <c r="J89" s="23" t="n">
        <v>14418</v>
      </c>
      <c r="K89" s="23" t="n">
        <v>7948.8</v>
      </c>
      <c r="L89" s="23" t="n">
        <v>5788.8</v>
      </c>
      <c r="M89" s="23" t="n">
        <v>7642</v>
      </c>
      <c r="N89" s="23" t="n">
        <v>6709.2</v>
      </c>
      <c r="O89" s="23" t="n">
        <v>6150</v>
      </c>
      <c r="P89" s="23" t="n">
        <v>6848.6</v>
      </c>
      <c r="Q89" s="23" t="n">
        <v>9973.6</v>
      </c>
      <c r="R89" s="23" t="n">
        <v>9478.66847826087</v>
      </c>
      <c r="S89" s="23" t="n">
        <v>11073.6</v>
      </c>
    </row>
    <row r="90" customFormat="false" ht="15" hidden="false" customHeight="false" outlineLevel="0" collapsed="false">
      <c r="A90" s="3" t="n">
        <v>30001365</v>
      </c>
      <c r="B90" s="3" t="s">
        <v>302</v>
      </c>
      <c r="C90" s="3" t="s">
        <v>124</v>
      </c>
      <c r="D90" s="3" t="s">
        <v>213</v>
      </c>
      <c r="E90" s="3" t="s">
        <v>231</v>
      </c>
      <c r="F90" s="23" t="n">
        <v>5994.65</v>
      </c>
      <c r="G90" s="23" t="n">
        <v>10328.2</v>
      </c>
      <c r="H90" s="23" t="n">
        <v>8503.25</v>
      </c>
      <c r="I90" s="23" t="n">
        <v>8350.7</v>
      </c>
      <c r="J90" s="23" t="n">
        <v>12582.55</v>
      </c>
      <c r="K90" s="23" t="n">
        <v>12865.05</v>
      </c>
      <c r="L90" s="23" t="n">
        <v>9062.6</v>
      </c>
      <c r="M90" s="23" t="n">
        <v>11327.2</v>
      </c>
      <c r="N90" s="23" t="n">
        <v>11481.7</v>
      </c>
      <c r="O90" s="23" t="n">
        <v>4031.7</v>
      </c>
      <c r="P90" s="23" t="n">
        <v>9135.55</v>
      </c>
      <c r="Q90" s="23" t="n">
        <v>10299.6</v>
      </c>
      <c r="R90" s="23" t="n">
        <v>10366.4</v>
      </c>
      <c r="S90" s="23" t="n">
        <v>11675</v>
      </c>
    </row>
    <row r="91" customFormat="false" ht="15" hidden="false" customHeight="false" outlineLevel="0" collapsed="false">
      <c r="A91" s="3" t="n">
        <v>30001091</v>
      </c>
      <c r="B91" s="3" t="s">
        <v>303</v>
      </c>
      <c r="C91" s="3" t="s">
        <v>212</v>
      </c>
      <c r="D91" s="3" t="s">
        <v>224</v>
      </c>
      <c r="E91" s="3" t="s">
        <v>214</v>
      </c>
      <c r="F91" s="23" t="n">
        <v>11239.2</v>
      </c>
      <c r="G91" s="23" t="n">
        <v>15696.144</v>
      </c>
      <c r="H91" s="23" t="n">
        <v>7819.2</v>
      </c>
      <c r="I91" s="23" t="n">
        <v>7200</v>
      </c>
      <c r="J91" s="23" t="n">
        <v>7272</v>
      </c>
      <c r="K91" s="23" t="n">
        <v>8776.8</v>
      </c>
      <c r="L91" s="23" t="n">
        <v>4658.4</v>
      </c>
      <c r="M91" s="23" t="n">
        <v>12645.0534883559</v>
      </c>
      <c r="N91" s="23" t="n">
        <v>10091.855133995</v>
      </c>
      <c r="O91" s="23" t="n">
        <v>6765.77903043382</v>
      </c>
      <c r="P91" s="23" t="n">
        <v>10746.2961395731</v>
      </c>
      <c r="Q91" s="23" t="n">
        <v>9437.41412841698</v>
      </c>
      <c r="R91" s="23" t="n">
        <v>7884.82339668545</v>
      </c>
      <c r="S91" s="23" t="n">
        <v>7884.82339668545</v>
      </c>
    </row>
    <row r="92" customFormat="false" ht="15" hidden="false" customHeight="false" outlineLevel="0" collapsed="false">
      <c r="A92" s="3" t="n">
        <v>30001401</v>
      </c>
      <c r="B92" s="3" t="s">
        <v>304</v>
      </c>
      <c r="C92" s="3" t="s">
        <v>143</v>
      </c>
      <c r="D92" s="3" t="s">
        <v>224</v>
      </c>
      <c r="E92" s="3" t="s">
        <v>214</v>
      </c>
      <c r="F92" s="23" t="n">
        <v>10810.8</v>
      </c>
      <c r="G92" s="23" t="n">
        <v>12684.6</v>
      </c>
      <c r="H92" s="23" t="n">
        <v>8877.6</v>
      </c>
      <c r="I92" s="23" t="n">
        <v>9158.4</v>
      </c>
      <c r="J92" s="23" t="n">
        <v>6037.2</v>
      </c>
      <c r="K92" s="23" t="n">
        <v>10341</v>
      </c>
      <c r="L92" s="23" t="n">
        <v>4325.4</v>
      </c>
      <c r="M92" s="23" t="n">
        <v>11683.6449325333</v>
      </c>
      <c r="N92" s="23" t="n">
        <v>14377.5142642671</v>
      </c>
      <c r="O92" s="23" t="n">
        <v>9276.90197075658</v>
      </c>
      <c r="P92" s="23" t="n">
        <v>14728.9295186706</v>
      </c>
      <c r="Q92" s="23" t="n">
        <v>13728.9295186706</v>
      </c>
      <c r="R92" s="23" t="n">
        <v>13083.6448126073</v>
      </c>
      <c r="S92" s="23" t="n">
        <v>9083.64481260734</v>
      </c>
    </row>
    <row r="93" customFormat="false" ht="15" hidden="false" customHeight="false" outlineLevel="0" collapsed="false">
      <c r="A93" s="3" t="n">
        <v>30001404</v>
      </c>
      <c r="B93" s="3" t="s">
        <v>305</v>
      </c>
      <c r="C93" s="3" t="s">
        <v>139</v>
      </c>
      <c r="D93" s="3" t="s">
        <v>213</v>
      </c>
      <c r="E93" s="3" t="s">
        <v>231</v>
      </c>
      <c r="F93" s="23" t="n">
        <v>8307</v>
      </c>
      <c r="G93" s="23" t="n">
        <v>10602</v>
      </c>
      <c r="H93" s="23" t="n">
        <v>8703</v>
      </c>
      <c r="I93" s="23" t="n">
        <v>9819</v>
      </c>
      <c r="J93" s="23" t="n">
        <v>9414</v>
      </c>
      <c r="K93" s="23" t="n">
        <v>10818</v>
      </c>
      <c r="L93" s="23" t="n">
        <v>4329</v>
      </c>
      <c r="M93" s="23" t="n">
        <v>9366.5</v>
      </c>
      <c r="N93" s="23" t="n">
        <v>8766.5</v>
      </c>
      <c r="O93" s="23" t="n">
        <v>5877.67</v>
      </c>
      <c r="P93" s="23" t="n">
        <v>8528.25575</v>
      </c>
      <c r="Q93" s="23" t="n">
        <v>9545.69</v>
      </c>
      <c r="R93" s="23" t="n">
        <v>9652.17239049695</v>
      </c>
      <c r="S93" s="23" t="n">
        <v>9534.43699135592</v>
      </c>
    </row>
    <row r="94" customFormat="false" ht="15" hidden="false" customHeight="false" outlineLevel="0" collapsed="false">
      <c r="A94" s="3" t="n">
        <v>30000318</v>
      </c>
      <c r="B94" s="3" t="s">
        <v>306</v>
      </c>
      <c r="C94" s="3" t="s">
        <v>139</v>
      </c>
      <c r="D94" s="3" t="s">
        <v>213</v>
      </c>
      <c r="E94" s="3" t="s">
        <v>214</v>
      </c>
      <c r="F94" s="23" t="n">
        <v>7584</v>
      </c>
      <c r="G94" s="23" t="n">
        <v>10770</v>
      </c>
      <c r="H94" s="23" t="n">
        <v>11382</v>
      </c>
      <c r="I94" s="23" t="n">
        <v>7950</v>
      </c>
      <c r="J94" s="23" t="n">
        <v>11214</v>
      </c>
      <c r="K94" s="23" t="n">
        <v>8736</v>
      </c>
      <c r="L94" s="23" t="n">
        <v>4632</v>
      </c>
      <c r="M94" s="23" t="n">
        <v>9659.35816618911</v>
      </c>
      <c r="N94" s="23" t="n">
        <v>8598</v>
      </c>
      <c r="O94" s="23" t="n">
        <v>6465.874</v>
      </c>
      <c r="P94" s="23" t="n">
        <v>11169.83</v>
      </c>
      <c r="Q94" s="23" t="n">
        <v>12689.42</v>
      </c>
      <c r="R94" s="23" t="n">
        <v>8688.66018855975</v>
      </c>
      <c r="S94" s="23" t="n">
        <v>9486.77748830434</v>
      </c>
    </row>
    <row r="95" customFormat="false" ht="15" hidden="false" customHeight="false" outlineLevel="0" collapsed="false">
      <c r="A95" s="3" t="n">
        <v>30001749</v>
      </c>
      <c r="B95" s="3" t="s">
        <v>307</v>
      </c>
      <c r="C95" s="3" t="s">
        <v>212</v>
      </c>
      <c r="D95" s="3" t="s">
        <v>213</v>
      </c>
      <c r="E95" s="3" t="s">
        <v>214</v>
      </c>
      <c r="F95" s="23" t="n">
        <v>7079.4</v>
      </c>
      <c r="G95" s="23" t="n">
        <v>9963</v>
      </c>
      <c r="H95" s="23" t="n">
        <v>6458.4</v>
      </c>
      <c r="I95" s="23" t="n">
        <v>9876.6</v>
      </c>
      <c r="J95" s="23" t="n">
        <v>15913.8</v>
      </c>
      <c r="K95" s="23" t="n">
        <v>7705.8</v>
      </c>
      <c r="L95" s="23" t="n">
        <v>8024.4</v>
      </c>
      <c r="M95" s="23" t="n">
        <v>8417</v>
      </c>
      <c r="N95" s="23" t="n">
        <v>8108.4</v>
      </c>
      <c r="O95" s="23" t="n">
        <v>5529.2</v>
      </c>
      <c r="P95" s="23" t="n">
        <v>5300</v>
      </c>
      <c r="Q95" s="23" t="n">
        <v>9100</v>
      </c>
      <c r="R95" s="23" t="n">
        <v>9696.73913043478</v>
      </c>
      <c r="S95" s="23" t="n">
        <v>12796.2</v>
      </c>
    </row>
    <row r="96" customFormat="false" ht="15" hidden="false" customHeight="false" outlineLevel="0" collapsed="false">
      <c r="A96" s="3" t="n">
        <v>30000627</v>
      </c>
      <c r="B96" s="3" t="s">
        <v>308</v>
      </c>
      <c r="C96" s="3" t="s">
        <v>129</v>
      </c>
      <c r="D96" s="3" t="s">
        <v>213</v>
      </c>
      <c r="E96" s="3" t="s">
        <v>214</v>
      </c>
      <c r="F96" s="23" t="n">
        <v>8589.76</v>
      </c>
      <c r="G96" s="23" t="n">
        <v>10629.76</v>
      </c>
      <c r="H96" s="23" t="n">
        <v>4107.2</v>
      </c>
      <c r="I96" s="23" t="n">
        <v>9982.4</v>
      </c>
      <c r="J96" s="23" t="n">
        <v>11260.8</v>
      </c>
      <c r="K96" s="23" t="n">
        <v>11989.76</v>
      </c>
      <c r="L96" s="23" t="n">
        <v>9356.8</v>
      </c>
      <c r="M96" s="23" t="n">
        <v>10834.4</v>
      </c>
      <c r="N96" s="23" t="n">
        <v>14334.4</v>
      </c>
      <c r="O96" s="23" t="n">
        <v>7000</v>
      </c>
      <c r="P96" s="23" t="n">
        <v>9996</v>
      </c>
      <c r="Q96" s="23" t="n">
        <v>10374.08</v>
      </c>
      <c r="R96" s="23" t="n">
        <v>10084.4</v>
      </c>
      <c r="S96" s="23" t="n">
        <v>10819.4856670665</v>
      </c>
    </row>
    <row r="97" customFormat="false" ht="15" hidden="false" customHeight="false" outlineLevel="0" collapsed="false">
      <c r="A97" s="3" t="n">
        <v>30001711</v>
      </c>
      <c r="B97" s="3" t="s">
        <v>309</v>
      </c>
      <c r="C97" s="3" t="s">
        <v>155</v>
      </c>
      <c r="D97" s="3" t="s">
        <v>224</v>
      </c>
      <c r="E97" s="3" t="s">
        <v>214</v>
      </c>
      <c r="F97" s="23" t="n">
        <v>8406.72</v>
      </c>
      <c r="G97" s="23" t="n">
        <v>10879.68</v>
      </c>
      <c r="H97" s="23" t="n">
        <v>14034.72</v>
      </c>
      <c r="I97" s="23" t="n">
        <v>8235.36</v>
      </c>
      <c r="J97" s="23" t="n">
        <v>6706.56</v>
      </c>
      <c r="K97" s="23" t="n">
        <v>7657.44</v>
      </c>
      <c r="L97" s="23" t="n">
        <v>3931.2</v>
      </c>
      <c r="M97" s="23" t="n">
        <v>6090.48693997461</v>
      </c>
      <c r="N97" s="23" t="n">
        <v>7411.13176014034</v>
      </c>
      <c r="O97" s="23" t="n">
        <v>4625.85215252784</v>
      </c>
      <c r="P97" s="23" t="n">
        <v>14558.5848241894</v>
      </c>
      <c r="Q97" s="23" t="n">
        <v>12750.5538665222</v>
      </c>
      <c r="R97" s="23" t="n">
        <v>6810.35603975153</v>
      </c>
      <c r="S97" s="23" t="n">
        <v>5310.35603975153</v>
      </c>
    </row>
    <row r="98" customFormat="false" ht="15" hidden="false" customHeight="false" outlineLevel="0" collapsed="false">
      <c r="A98" s="3" t="n">
        <v>30001887</v>
      </c>
      <c r="B98" s="3" t="s">
        <v>310</v>
      </c>
      <c r="C98" s="3" t="s">
        <v>142</v>
      </c>
      <c r="D98" s="3" t="s">
        <v>224</v>
      </c>
      <c r="E98" s="3" t="s">
        <v>231</v>
      </c>
      <c r="F98" s="23" t="n">
        <v>9852</v>
      </c>
      <c r="G98" s="23" t="n">
        <v>11880</v>
      </c>
      <c r="H98" s="23" t="n">
        <v>7100</v>
      </c>
      <c r="I98" s="23" t="n">
        <v>8784</v>
      </c>
      <c r="J98" s="23" t="n">
        <v>8496</v>
      </c>
      <c r="K98" s="23" t="n">
        <v>9716</v>
      </c>
      <c r="L98" s="23" t="n">
        <v>5188</v>
      </c>
      <c r="M98" s="23" t="n">
        <v>11927.9069767442</v>
      </c>
      <c r="N98" s="23" t="n">
        <v>13068.2534487777</v>
      </c>
      <c r="O98" s="23" t="n">
        <v>7217.51604414497</v>
      </c>
      <c r="P98" s="23" t="n">
        <v>11627.6873470163</v>
      </c>
      <c r="Q98" s="23" t="n">
        <v>12618.0122190869</v>
      </c>
      <c r="R98" s="23" t="n">
        <v>7946.51162790698</v>
      </c>
      <c r="S98" s="23" t="n">
        <v>6301.75871509883</v>
      </c>
    </row>
    <row r="99" customFormat="false" ht="15" hidden="false" customHeight="false" outlineLevel="0" collapsed="false">
      <c r="A99" s="3" t="n">
        <v>30000192</v>
      </c>
      <c r="B99" s="3" t="s">
        <v>311</v>
      </c>
      <c r="C99" s="3" t="s">
        <v>212</v>
      </c>
      <c r="D99" s="3" t="s">
        <v>213</v>
      </c>
      <c r="E99" s="3" t="s">
        <v>231</v>
      </c>
      <c r="F99" s="23" t="n">
        <v>12024</v>
      </c>
      <c r="G99" s="23" t="n">
        <v>9264</v>
      </c>
      <c r="H99" s="23" t="n">
        <v>6306</v>
      </c>
      <c r="I99" s="23" t="n">
        <v>9726</v>
      </c>
      <c r="J99" s="23" t="n">
        <v>8148</v>
      </c>
      <c r="K99" s="23" t="n">
        <v>7956</v>
      </c>
      <c r="L99" s="23" t="n">
        <v>7602</v>
      </c>
      <c r="M99" s="23" t="n">
        <v>9904</v>
      </c>
      <c r="N99" s="23" t="n">
        <v>12686</v>
      </c>
      <c r="O99" s="23" t="n">
        <v>5662</v>
      </c>
      <c r="P99" s="23" t="n">
        <v>10050</v>
      </c>
      <c r="Q99" s="23" t="n">
        <v>7996</v>
      </c>
      <c r="R99" s="23" t="n">
        <v>8710</v>
      </c>
      <c r="S99" s="23" t="n">
        <v>9554</v>
      </c>
    </row>
    <row r="100" customFormat="false" ht="15" hidden="false" customHeight="false" outlineLevel="0" collapsed="false">
      <c r="A100" s="3" t="n">
        <v>30001939</v>
      </c>
      <c r="B100" s="3" t="s">
        <v>312</v>
      </c>
      <c r="C100" s="3" t="s">
        <v>135</v>
      </c>
      <c r="D100" s="3" t="s">
        <v>224</v>
      </c>
      <c r="E100" s="3" t="s">
        <v>214</v>
      </c>
      <c r="F100" s="23" t="n">
        <v>10214.4</v>
      </c>
      <c r="G100" s="23" t="n">
        <v>10809.6</v>
      </c>
      <c r="H100" s="23" t="n">
        <v>8208</v>
      </c>
      <c r="I100" s="23" t="n">
        <v>9168</v>
      </c>
      <c r="J100" s="23" t="n">
        <v>8620.8</v>
      </c>
      <c r="K100" s="23" t="n">
        <v>6201.6</v>
      </c>
      <c r="L100" s="23" t="n">
        <v>1968</v>
      </c>
      <c r="M100" s="23" t="n">
        <v>9500.00008097407</v>
      </c>
      <c r="N100" s="23" t="n">
        <v>12470.7545761249</v>
      </c>
      <c r="O100" s="23" t="n">
        <v>4646.81656820325</v>
      </c>
      <c r="P100" s="23" t="n">
        <v>10470.7545761249</v>
      </c>
      <c r="Q100" s="23" t="n">
        <v>6070.75460620101</v>
      </c>
      <c r="R100" s="23" t="n">
        <v>5500.00003007608</v>
      </c>
      <c r="S100" s="23" t="n">
        <v>5500.00003007608</v>
      </c>
    </row>
    <row r="101" customFormat="false" ht="15" hidden="false" customHeight="false" outlineLevel="0" collapsed="false">
      <c r="A101" s="3" t="n">
        <v>30002065</v>
      </c>
      <c r="B101" s="3" t="s">
        <v>313</v>
      </c>
      <c r="C101" s="3" t="s">
        <v>212</v>
      </c>
      <c r="D101" s="3" t="s">
        <v>213</v>
      </c>
      <c r="E101" s="3" t="s">
        <v>214</v>
      </c>
      <c r="F101" s="23" t="n">
        <v>6672</v>
      </c>
      <c r="G101" s="23" t="n">
        <v>16764</v>
      </c>
      <c r="H101" s="23" t="n">
        <v>8184</v>
      </c>
      <c r="I101" s="23" t="n">
        <v>11592</v>
      </c>
      <c r="J101" s="23" t="n">
        <v>4548</v>
      </c>
      <c r="K101" s="23" t="n">
        <v>4560</v>
      </c>
      <c r="L101" s="23" t="n">
        <v>6996</v>
      </c>
      <c r="M101" s="23" t="n">
        <v>12882</v>
      </c>
      <c r="N101" s="23" t="n">
        <v>7434</v>
      </c>
      <c r="O101" s="23" t="n">
        <v>8930.625</v>
      </c>
      <c r="P101" s="23" t="n">
        <v>8512.8254</v>
      </c>
      <c r="Q101" s="23" t="n">
        <v>6615.23</v>
      </c>
      <c r="R101" s="23" t="n">
        <v>6986.55456674345</v>
      </c>
      <c r="S101" s="23" t="n">
        <v>11763.9264703399</v>
      </c>
    </row>
    <row r="102" customFormat="false" ht="15" hidden="false" customHeight="false" outlineLevel="0" collapsed="false">
      <c r="A102" s="3" t="n">
        <v>30002165</v>
      </c>
      <c r="B102" s="3" t="s">
        <v>314</v>
      </c>
      <c r="C102" s="3" t="s">
        <v>155</v>
      </c>
      <c r="D102" s="3" t="s">
        <v>224</v>
      </c>
      <c r="E102" s="3" t="s">
        <v>214</v>
      </c>
      <c r="F102" s="23" t="n">
        <v>8262.24</v>
      </c>
      <c r="G102" s="23" t="n">
        <v>8047.2</v>
      </c>
      <c r="H102" s="23" t="n">
        <v>7566.72</v>
      </c>
      <c r="I102" s="23" t="n">
        <v>11867.52</v>
      </c>
      <c r="J102" s="23" t="n">
        <v>7815.36</v>
      </c>
      <c r="K102" s="23" t="n">
        <v>8282.4</v>
      </c>
      <c r="L102" s="23" t="n">
        <v>3390.24</v>
      </c>
      <c r="M102" s="23" t="n">
        <v>6734.09040257878</v>
      </c>
      <c r="N102" s="23" t="n">
        <v>9042.17085252488</v>
      </c>
      <c r="O102" s="23" t="n">
        <v>4918.35690260116</v>
      </c>
      <c r="P102" s="23" t="n">
        <v>9852.06105494635</v>
      </c>
      <c r="Q102" s="23" t="n">
        <v>8810.77365183303</v>
      </c>
      <c r="R102" s="23" t="n">
        <v>7118.39175867083</v>
      </c>
      <c r="S102" s="23" t="n">
        <v>7118.39175867083</v>
      </c>
    </row>
    <row r="103" customFormat="false" ht="15" hidden="false" customHeight="false" outlineLevel="0" collapsed="false">
      <c r="A103" s="3" t="n">
        <v>30002230</v>
      </c>
      <c r="B103" s="3" t="s">
        <v>315</v>
      </c>
      <c r="C103" s="3" t="s">
        <v>135</v>
      </c>
      <c r="D103" s="3" t="s">
        <v>213</v>
      </c>
      <c r="E103" s="3" t="s">
        <v>214</v>
      </c>
      <c r="F103" s="23" t="n">
        <v>5175</v>
      </c>
      <c r="G103" s="23" t="n">
        <v>0</v>
      </c>
      <c r="H103" s="23" t="n">
        <v>6900</v>
      </c>
      <c r="I103" s="23" t="n">
        <v>19665</v>
      </c>
      <c r="J103" s="23" t="n">
        <v>9775</v>
      </c>
      <c r="K103" s="23" t="n">
        <v>9775</v>
      </c>
      <c r="L103" s="23" t="n">
        <v>57.5</v>
      </c>
      <c r="M103" s="23" t="n">
        <v>1060.84</v>
      </c>
      <c r="N103" s="23" t="n">
        <v>5260.84</v>
      </c>
      <c r="O103" s="23" t="n">
        <v>6060.84</v>
      </c>
      <c r="P103" s="23" t="n">
        <v>11057.5</v>
      </c>
      <c r="Q103" s="23" t="n">
        <v>8077.05</v>
      </c>
      <c r="R103" s="23" t="n">
        <v>3578.05708333333</v>
      </c>
      <c r="S103" s="23" t="n">
        <v>6078.81239583333</v>
      </c>
    </row>
    <row r="104" customFormat="false" ht="15" hidden="false" customHeight="false" outlineLevel="0" collapsed="false">
      <c r="A104" s="3" t="n">
        <v>30001032</v>
      </c>
      <c r="B104" s="3" t="s">
        <v>316</v>
      </c>
      <c r="C104" s="3" t="s">
        <v>155</v>
      </c>
      <c r="D104" s="3" t="s">
        <v>224</v>
      </c>
      <c r="E104" s="3" t="s">
        <v>231</v>
      </c>
      <c r="F104" s="23" t="n">
        <v>11048.4</v>
      </c>
      <c r="G104" s="23" t="n">
        <v>8391.6</v>
      </c>
      <c r="H104" s="23" t="n">
        <v>6847.2</v>
      </c>
      <c r="I104" s="23" t="n">
        <v>7732.8</v>
      </c>
      <c r="J104" s="23" t="n">
        <v>7873.2</v>
      </c>
      <c r="K104" s="23" t="n">
        <v>8726.4</v>
      </c>
      <c r="L104" s="23" t="n">
        <v>2667.6</v>
      </c>
      <c r="M104" s="23" t="n">
        <v>6687.83782373459</v>
      </c>
      <c r="N104" s="23" t="n">
        <v>8422.88961645628</v>
      </c>
      <c r="O104" s="23" t="n">
        <v>4202.00077211418</v>
      </c>
      <c r="P104" s="23" t="n">
        <v>8914.85343945284</v>
      </c>
      <c r="Q104" s="23" t="n">
        <v>8056.41243761267</v>
      </c>
      <c r="R104" s="23" t="n">
        <v>7914.59036360099</v>
      </c>
      <c r="S104" s="23" t="n">
        <v>7733.61518361474</v>
      </c>
    </row>
    <row r="105" customFormat="false" ht="15" hidden="false" customHeight="false" outlineLevel="0" collapsed="false">
      <c r="A105" s="3" t="n">
        <v>30002090</v>
      </c>
      <c r="B105" s="3" t="s">
        <v>317</v>
      </c>
      <c r="C105" s="3" t="s">
        <v>155</v>
      </c>
      <c r="D105" s="3" t="s">
        <v>224</v>
      </c>
      <c r="E105" s="3" t="n">
        <v>0</v>
      </c>
      <c r="F105" s="23" t="n">
        <v>9957.6</v>
      </c>
      <c r="G105" s="23" t="n">
        <v>5689.8</v>
      </c>
      <c r="H105" s="23" t="n">
        <v>6899.4</v>
      </c>
      <c r="I105" s="23" t="n">
        <v>10193.4</v>
      </c>
      <c r="J105" s="23" t="n">
        <v>8307</v>
      </c>
      <c r="K105" s="23" t="n">
        <v>9212.4</v>
      </c>
      <c r="L105" s="23" t="n">
        <v>4255.2</v>
      </c>
      <c r="M105" s="23" t="n">
        <v>4001.72838657899</v>
      </c>
      <c r="N105" s="23" t="n">
        <v>3122.17622846148</v>
      </c>
      <c r="O105" s="23" t="n">
        <v>2100.42375302753</v>
      </c>
      <c r="P105" s="23" t="n">
        <v>4122.17622846148</v>
      </c>
      <c r="Q105" s="23" t="n">
        <v>6194.18143999142</v>
      </c>
      <c r="R105" s="23" t="n">
        <v>4109.98679743493</v>
      </c>
      <c r="S105" s="23" t="n">
        <v>3808.61938890985</v>
      </c>
    </row>
    <row r="106" customFormat="false" ht="15" hidden="false" customHeight="false" outlineLevel="0" collapsed="false">
      <c r="A106" s="3" t="n">
        <v>30001508</v>
      </c>
      <c r="B106" s="3" t="s">
        <v>318</v>
      </c>
      <c r="C106" s="3" t="s">
        <v>155</v>
      </c>
      <c r="D106" s="3" t="s">
        <v>224</v>
      </c>
      <c r="E106" s="3" t="s">
        <v>231</v>
      </c>
      <c r="F106" s="23" t="n">
        <v>10857.15</v>
      </c>
      <c r="G106" s="23" t="n">
        <v>8531.85</v>
      </c>
      <c r="H106" s="23" t="n">
        <v>4830</v>
      </c>
      <c r="I106" s="23" t="n">
        <v>9594.45</v>
      </c>
      <c r="J106" s="23" t="n">
        <v>8255.85</v>
      </c>
      <c r="K106" s="23" t="n">
        <v>7514.1</v>
      </c>
      <c r="L106" s="23" t="n">
        <v>3760.5</v>
      </c>
      <c r="M106" s="23" t="n">
        <v>10355.4639982365</v>
      </c>
      <c r="N106" s="23" t="n">
        <v>9279.28926744576</v>
      </c>
      <c r="O106" s="23" t="n">
        <v>7143.62108006315</v>
      </c>
      <c r="P106" s="23" t="n">
        <v>7992.84942294144</v>
      </c>
      <c r="Q106" s="23" t="n">
        <v>7992.84942294144</v>
      </c>
      <c r="R106" s="23" t="n">
        <v>6708.60833562135</v>
      </c>
      <c r="S106" s="23" t="n">
        <v>6708.60833562135</v>
      </c>
    </row>
    <row r="107" customFormat="false" ht="15" hidden="false" customHeight="false" outlineLevel="0" collapsed="false">
      <c r="A107" s="3" t="n">
        <v>30000347</v>
      </c>
      <c r="B107" s="3" t="s">
        <v>319</v>
      </c>
      <c r="C107" s="3" t="s">
        <v>212</v>
      </c>
      <c r="D107" s="3" t="s">
        <v>213</v>
      </c>
      <c r="E107" s="3" t="s">
        <v>214</v>
      </c>
      <c r="F107" s="23" t="n">
        <v>8406</v>
      </c>
      <c r="G107" s="23" t="n">
        <v>10944</v>
      </c>
      <c r="H107" s="23" t="n">
        <v>4956</v>
      </c>
      <c r="I107" s="23" t="n">
        <v>6534</v>
      </c>
      <c r="J107" s="23" t="n">
        <v>12498</v>
      </c>
      <c r="K107" s="23" t="n">
        <v>5700</v>
      </c>
      <c r="L107" s="23" t="n">
        <v>7446</v>
      </c>
      <c r="M107" s="23" t="n">
        <v>10728</v>
      </c>
      <c r="N107" s="23" t="n">
        <v>11518</v>
      </c>
      <c r="O107" s="23" t="n">
        <v>6836</v>
      </c>
      <c r="P107" s="23" t="n">
        <v>10218</v>
      </c>
      <c r="Q107" s="23" t="n">
        <v>8018</v>
      </c>
      <c r="R107" s="23" t="n">
        <v>9137.2440421152</v>
      </c>
      <c r="S107" s="23" t="n">
        <v>9517.72615247788</v>
      </c>
    </row>
    <row r="108" customFormat="false" ht="15" hidden="false" customHeight="false" outlineLevel="0" collapsed="false">
      <c r="A108" s="3" t="n">
        <v>30002286</v>
      </c>
      <c r="B108" s="3" t="s">
        <v>320</v>
      </c>
      <c r="C108" s="3" t="s">
        <v>212</v>
      </c>
      <c r="D108" s="3" t="s">
        <v>224</v>
      </c>
      <c r="E108" s="3" t="s">
        <v>212</v>
      </c>
      <c r="F108" s="23" t="n">
        <v>8266.752</v>
      </c>
      <c r="G108" s="23" t="n">
        <v>8412.48</v>
      </c>
      <c r="H108" s="23" t="n">
        <v>5458.176</v>
      </c>
      <c r="I108" s="23" t="n">
        <v>8592.984</v>
      </c>
      <c r="J108" s="23" t="n">
        <v>8419.104</v>
      </c>
      <c r="K108" s="23" t="n">
        <v>8750.304</v>
      </c>
      <c r="L108" s="23" t="n">
        <v>3646.512</v>
      </c>
      <c r="M108" s="23" t="n">
        <v>2900</v>
      </c>
      <c r="N108" s="23" t="n">
        <v>6829.7169491193</v>
      </c>
      <c r="O108" s="23" t="n">
        <v>6446.84346288116</v>
      </c>
      <c r="P108" s="23" t="n">
        <v>8951.88677964772</v>
      </c>
      <c r="Q108" s="23" t="n">
        <v>7951.88677964772</v>
      </c>
      <c r="R108" s="23" t="n">
        <v>7900</v>
      </c>
      <c r="S108" s="23" t="n">
        <v>7900</v>
      </c>
    </row>
    <row r="109" customFormat="false" ht="15" hidden="false" customHeight="false" outlineLevel="0" collapsed="false">
      <c r="A109" s="3" t="n">
        <v>30001715</v>
      </c>
      <c r="B109" s="3" t="s">
        <v>321</v>
      </c>
      <c r="C109" s="3" t="s">
        <v>138</v>
      </c>
      <c r="D109" s="3" t="s">
        <v>213</v>
      </c>
      <c r="E109" s="3" t="s">
        <v>231</v>
      </c>
      <c r="F109" s="23" t="n">
        <v>12418.4</v>
      </c>
      <c r="G109" s="23" t="n">
        <v>11050.4</v>
      </c>
      <c r="H109" s="23" t="n">
        <v>2667.6</v>
      </c>
      <c r="I109" s="23" t="n">
        <v>6543.6</v>
      </c>
      <c r="J109" s="23" t="n">
        <v>5616.4</v>
      </c>
      <c r="K109" s="23" t="n">
        <v>9021.2</v>
      </c>
      <c r="L109" s="23" t="n">
        <v>2401.6</v>
      </c>
      <c r="M109" s="23" t="n">
        <v>3219.2</v>
      </c>
      <c r="N109" s="23" t="n">
        <v>15154.8</v>
      </c>
      <c r="O109" s="23" t="n">
        <v>10100</v>
      </c>
      <c r="P109" s="23" t="n">
        <v>11600</v>
      </c>
      <c r="Q109" s="23" t="n">
        <v>10972</v>
      </c>
      <c r="R109" s="23" t="n">
        <v>7332.85403816818</v>
      </c>
      <c r="S109" s="23" t="n">
        <v>5658.81814511947</v>
      </c>
    </row>
    <row r="110" customFormat="false" ht="15" hidden="false" customHeight="false" outlineLevel="0" collapsed="false">
      <c r="A110" s="3" t="n">
        <v>30000658</v>
      </c>
      <c r="B110" s="3" t="s">
        <v>322</v>
      </c>
      <c r="C110" s="3" t="s">
        <v>147</v>
      </c>
      <c r="D110" s="3" t="s">
        <v>224</v>
      </c>
      <c r="E110" s="3" t="s">
        <v>214</v>
      </c>
      <c r="F110" s="23" t="n">
        <v>9304.8</v>
      </c>
      <c r="G110" s="23" t="n">
        <v>9943.2</v>
      </c>
      <c r="H110" s="23" t="n">
        <v>5889.6</v>
      </c>
      <c r="I110" s="23" t="n">
        <v>8983.2</v>
      </c>
      <c r="J110" s="23" t="n">
        <v>4984.8</v>
      </c>
      <c r="K110" s="23" t="n">
        <v>7356</v>
      </c>
      <c r="L110" s="23" t="n">
        <v>3285.6</v>
      </c>
      <c r="M110" s="23" t="n">
        <v>7633.01922691508</v>
      </c>
      <c r="N110" s="23" t="n">
        <v>8620.92696162492</v>
      </c>
      <c r="O110" s="23" t="n">
        <v>6253.92595643918</v>
      </c>
      <c r="P110" s="23" t="n">
        <v>10647.1010381903</v>
      </c>
      <c r="Q110" s="23" t="n">
        <v>8316.28370096579</v>
      </c>
      <c r="R110" s="23" t="n">
        <v>6980.66966230002</v>
      </c>
      <c r="S110" s="23" t="n">
        <v>6980.66966230002</v>
      </c>
    </row>
    <row r="111" customFormat="false" ht="15" hidden="false" customHeight="false" outlineLevel="0" collapsed="false">
      <c r="A111" s="3" t="n">
        <v>30000301</v>
      </c>
      <c r="B111" s="3" t="s">
        <v>323</v>
      </c>
      <c r="C111" s="3" t="s">
        <v>142</v>
      </c>
      <c r="D111" s="3" t="s">
        <v>224</v>
      </c>
      <c r="E111" s="3" t="s">
        <v>231</v>
      </c>
      <c r="F111" s="23" t="n">
        <v>8745</v>
      </c>
      <c r="G111" s="23" t="n">
        <v>10300</v>
      </c>
      <c r="H111" s="23" t="n">
        <v>7190</v>
      </c>
      <c r="I111" s="23" t="n">
        <v>7110</v>
      </c>
      <c r="J111" s="23" t="n">
        <v>6705</v>
      </c>
      <c r="K111" s="23" t="n">
        <v>5645</v>
      </c>
      <c r="L111" s="23" t="n">
        <v>3465</v>
      </c>
      <c r="M111" s="23" t="n">
        <v>10211.4531090016</v>
      </c>
      <c r="N111" s="23" t="n">
        <v>11530.8957622299</v>
      </c>
      <c r="O111" s="23" t="n">
        <v>6697.75309356043</v>
      </c>
      <c r="P111" s="23" t="n">
        <v>11479.0089825822</v>
      </c>
      <c r="Q111" s="23" t="n">
        <v>9552.12254226983</v>
      </c>
      <c r="R111" s="23" t="n">
        <v>7550</v>
      </c>
      <c r="S111" s="23" t="n">
        <v>7150</v>
      </c>
    </row>
    <row r="112" customFormat="false" ht="15" hidden="false" customHeight="false" outlineLevel="0" collapsed="false">
      <c r="A112" s="3" t="n">
        <v>30001410</v>
      </c>
      <c r="B112" s="3" t="s">
        <v>324</v>
      </c>
      <c r="C112" s="3" t="s">
        <v>138</v>
      </c>
      <c r="D112" s="3" t="s">
        <v>213</v>
      </c>
      <c r="E112" s="3" t="s">
        <v>231</v>
      </c>
      <c r="F112" s="23" t="n">
        <v>10333.44</v>
      </c>
      <c r="G112" s="23" t="n">
        <v>8631.36</v>
      </c>
      <c r="H112" s="23" t="n">
        <v>4743.36</v>
      </c>
      <c r="I112" s="23" t="n">
        <v>7344</v>
      </c>
      <c r="J112" s="23" t="n">
        <v>9434.88</v>
      </c>
      <c r="K112" s="23" t="n">
        <v>4527.36</v>
      </c>
      <c r="L112" s="23" t="n">
        <v>4078.08</v>
      </c>
      <c r="M112" s="23" t="n">
        <v>6888.8</v>
      </c>
      <c r="N112" s="23" t="n">
        <v>9267.84</v>
      </c>
      <c r="O112" s="23" t="n">
        <v>4788.87425</v>
      </c>
      <c r="P112" s="23" t="n">
        <v>5000.90425</v>
      </c>
      <c r="Q112" s="23" t="n">
        <v>5972.56</v>
      </c>
      <c r="R112" s="23" t="n">
        <v>7033.77210119388</v>
      </c>
      <c r="S112" s="23" t="n">
        <v>6105.59416476561</v>
      </c>
    </row>
    <row r="113" customFormat="false" ht="15" hidden="false" customHeight="false" outlineLevel="0" collapsed="false">
      <c r="A113" s="3" t="n">
        <v>30002091</v>
      </c>
      <c r="B113" s="3" t="s">
        <v>325</v>
      </c>
      <c r="C113" s="3" t="s">
        <v>155</v>
      </c>
      <c r="D113" s="3" t="s">
        <v>224</v>
      </c>
      <c r="E113" s="3" t="n">
        <v>0</v>
      </c>
      <c r="F113" s="23" t="n">
        <v>9459</v>
      </c>
      <c r="G113" s="23" t="n">
        <v>5094</v>
      </c>
      <c r="H113" s="23" t="n">
        <v>6170.4</v>
      </c>
      <c r="I113" s="23" t="n">
        <v>9334.8</v>
      </c>
      <c r="J113" s="23" t="n">
        <v>7281</v>
      </c>
      <c r="K113" s="23" t="n">
        <v>7421.4</v>
      </c>
      <c r="L113" s="23" t="n">
        <v>3648.6</v>
      </c>
      <c r="M113" s="23" t="n">
        <v>3704.29818201135</v>
      </c>
      <c r="N113" s="23" t="n">
        <v>2896.23283863762</v>
      </c>
      <c r="O113" s="23" t="n">
        <v>2103.53917970914</v>
      </c>
      <c r="P113" s="23" t="n">
        <v>3896.23283863762</v>
      </c>
      <c r="Q113" s="23" t="n">
        <v>5968.23805016755</v>
      </c>
      <c r="R113" s="23" t="n">
        <v>3909.98679743493</v>
      </c>
      <c r="S113" s="23" t="n">
        <v>3608.61938890985</v>
      </c>
    </row>
    <row r="114" customFormat="false" ht="15" hidden="false" customHeight="false" outlineLevel="0" collapsed="false">
      <c r="A114" s="3" t="n">
        <v>30001094</v>
      </c>
      <c r="B114" s="3" t="s">
        <v>326</v>
      </c>
      <c r="C114" s="3" t="s">
        <v>212</v>
      </c>
      <c r="D114" s="3" t="s">
        <v>224</v>
      </c>
      <c r="E114" s="3" t="s">
        <v>214</v>
      </c>
      <c r="F114" s="23" t="n">
        <v>8820</v>
      </c>
      <c r="G114" s="23" t="n">
        <v>11347.2</v>
      </c>
      <c r="H114" s="23" t="n">
        <v>5241.6</v>
      </c>
      <c r="I114" s="23" t="n">
        <v>5601.6</v>
      </c>
      <c r="J114" s="23" t="n">
        <v>5673.6</v>
      </c>
      <c r="K114" s="23" t="n">
        <v>7660.8</v>
      </c>
      <c r="L114" s="23" t="n">
        <v>2469.6</v>
      </c>
      <c r="M114" s="23" t="n">
        <v>10311.9192544387</v>
      </c>
      <c r="N114" s="23" t="n">
        <v>8724.26546138683</v>
      </c>
      <c r="O114" s="23" t="n">
        <v>5914.99415070053</v>
      </c>
      <c r="P114" s="23" t="n">
        <v>9397.21630048125</v>
      </c>
      <c r="Q114" s="23" t="n">
        <v>8051.31462229241</v>
      </c>
      <c r="R114" s="23" t="n">
        <v>6733.43601060563</v>
      </c>
      <c r="S114" s="23" t="n">
        <v>6066.4106176173</v>
      </c>
    </row>
    <row r="115" customFormat="false" ht="15" hidden="false" customHeight="false" outlineLevel="0" collapsed="false">
      <c r="A115" s="3" t="n">
        <v>30001093</v>
      </c>
      <c r="B115" s="3" t="s">
        <v>327</v>
      </c>
      <c r="C115" s="3" t="s">
        <v>155</v>
      </c>
      <c r="D115" s="3" t="s">
        <v>224</v>
      </c>
      <c r="E115" s="3" t="s">
        <v>214</v>
      </c>
      <c r="F115" s="23" t="n">
        <v>8337.6</v>
      </c>
      <c r="G115" s="23" t="n">
        <v>9345.6</v>
      </c>
      <c r="H115" s="23" t="n">
        <v>6638.4</v>
      </c>
      <c r="I115" s="23" t="n">
        <v>6566.4</v>
      </c>
      <c r="J115" s="23" t="n">
        <v>5860.8</v>
      </c>
      <c r="K115" s="23" t="n">
        <v>7128</v>
      </c>
      <c r="L115" s="23" t="n">
        <v>2491.2</v>
      </c>
      <c r="M115" s="23" t="n">
        <v>9103.54588554646</v>
      </c>
      <c r="N115" s="23" t="n">
        <v>7412.63685365285</v>
      </c>
      <c r="O115" s="23" t="n">
        <v>5087.86934546442</v>
      </c>
      <c r="P115" s="23" t="n">
        <v>8085.24500898038</v>
      </c>
      <c r="Q115" s="23" t="n">
        <v>6740.02869832532</v>
      </c>
      <c r="R115" s="23" t="n">
        <v>5565.04760220527</v>
      </c>
      <c r="S115" s="23" t="n">
        <v>5025.40592677002</v>
      </c>
    </row>
    <row r="116" customFormat="false" ht="15" hidden="false" customHeight="false" outlineLevel="0" collapsed="false">
      <c r="A116" s="3" t="n">
        <v>30001423</v>
      </c>
      <c r="B116" s="3" t="s">
        <v>328</v>
      </c>
      <c r="C116" s="3" t="s">
        <v>139</v>
      </c>
      <c r="D116" s="3" t="s">
        <v>213</v>
      </c>
      <c r="E116" s="3" t="s">
        <v>214</v>
      </c>
      <c r="F116" s="23" t="n">
        <v>7011</v>
      </c>
      <c r="G116" s="23" t="n">
        <v>9517.5</v>
      </c>
      <c r="H116" s="23" t="n">
        <v>6880.5</v>
      </c>
      <c r="I116" s="23" t="n">
        <v>6223.5</v>
      </c>
      <c r="J116" s="23" t="n">
        <v>6799.5</v>
      </c>
      <c r="K116" s="23" t="n">
        <v>6849</v>
      </c>
      <c r="L116" s="23" t="n">
        <v>4666.5</v>
      </c>
      <c r="M116" s="23" t="n">
        <v>7698</v>
      </c>
      <c r="N116" s="23" t="n">
        <v>6302.5</v>
      </c>
      <c r="O116" s="23" t="n">
        <v>4709</v>
      </c>
      <c r="P116" s="23" t="n">
        <v>8475.5</v>
      </c>
      <c r="Q116" s="23" t="n">
        <v>7985.5</v>
      </c>
      <c r="R116" s="23" t="n">
        <v>7355.63163986829</v>
      </c>
      <c r="S116" s="23" t="n">
        <v>6293.79668725356</v>
      </c>
    </row>
    <row r="117" customFormat="false" ht="15" hidden="false" customHeight="false" outlineLevel="0" collapsed="false">
      <c r="A117" s="3" t="n">
        <v>30000306</v>
      </c>
      <c r="B117" s="3" t="s">
        <v>329</v>
      </c>
      <c r="C117" s="3" t="s">
        <v>212</v>
      </c>
      <c r="D117" s="3" t="s">
        <v>213</v>
      </c>
      <c r="E117" s="3" t="s">
        <v>214</v>
      </c>
      <c r="F117" s="23" t="n">
        <v>5382</v>
      </c>
      <c r="G117" s="23" t="n">
        <v>7950</v>
      </c>
      <c r="H117" s="23" t="n">
        <v>8406</v>
      </c>
      <c r="I117" s="23" t="n">
        <v>6750</v>
      </c>
      <c r="J117" s="23" t="n">
        <v>6978</v>
      </c>
      <c r="K117" s="23" t="n">
        <v>7464</v>
      </c>
      <c r="L117" s="23" t="n">
        <v>6006</v>
      </c>
      <c r="M117" s="23" t="n">
        <v>7445.07580098984</v>
      </c>
      <c r="N117" s="23" t="n">
        <v>7424</v>
      </c>
      <c r="O117" s="23" t="n">
        <v>6554.744</v>
      </c>
      <c r="P117" s="23" t="n">
        <v>10132.1382</v>
      </c>
      <c r="Q117" s="23" t="n">
        <v>9927.9</v>
      </c>
      <c r="R117" s="23" t="n">
        <v>6444.54389317566</v>
      </c>
      <c r="S117" s="23" t="n">
        <v>8168.36108195785</v>
      </c>
    </row>
    <row r="118" customFormat="false" ht="15" hidden="false" customHeight="false" outlineLevel="0" collapsed="false">
      <c r="A118" s="3" t="n">
        <v>30001857</v>
      </c>
      <c r="B118" s="3" t="s">
        <v>330</v>
      </c>
      <c r="C118" s="3" t="s">
        <v>155</v>
      </c>
      <c r="D118" s="3" t="s">
        <v>224</v>
      </c>
      <c r="E118" s="3" t="s">
        <v>249</v>
      </c>
      <c r="F118" s="23" t="n">
        <v>9508.8</v>
      </c>
      <c r="G118" s="23" t="n">
        <v>5977.44</v>
      </c>
      <c r="H118" s="23" t="n">
        <v>5281.92</v>
      </c>
      <c r="I118" s="23" t="n">
        <v>7459.2</v>
      </c>
      <c r="J118" s="23" t="n">
        <v>7351.68</v>
      </c>
      <c r="K118" s="23" t="n">
        <v>6918.24</v>
      </c>
      <c r="L118" s="23" t="n">
        <v>2990.4</v>
      </c>
      <c r="M118" s="23" t="n">
        <v>7285.03838841602</v>
      </c>
      <c r="N118" s="23" t="n">
        <v>7953.43368299923</v>
      </c>
      <c r="O118" s="23" t="n">
        <v>2586.66420375298</v>
      </c>
      <c r="P118" s="23" t="n">
        <v>7304.67568513446</v>
      </c>
      <c r="Q118" s="23" t="n">
        <v>6904.67568513446</v>
      </c>
      <c r="R118" s="23" t="n">
        <v>3257.73258156687</v>
      </c>
      <c r="S118" s="23" t="n">
        <v>3257.73258156687</v>
      </c>
    </row>
    <row r="119" customFormat="false" ht="15" hidden="false" customHeight="false" outlineLevel="0" collapsed="false">
      <c r="A119" s="3" t="n">
        <v>30000010</v>
      </c>
      <c r="B119" s="3" t="s">
        <v>331</v>
      </c>
      <c r="C119" s="3" t="s">
        <v>139</v>
      </c>
      <c r="D119" s="3" t="s">
        <v>213</v>
      </c>
      <c r="E119" s="3" t="s">
        <v>231</v>
      </c>
      <c r="F119" s="23" t="n">
        <v>5004</v>
      </c>
      <c r="G119" s="23" t="n">
        <v>11424</v>
      </c>
      <c r="H119" s="23" t="n">
        <v>8436</v>
      </c>
      <c r="I119" s="23" t="n">
        <v>7728</v>
      </c>
      <c r="J119" s="23" t="n">
        <v>5280</v>
      </c>
      <c r="K119" s="23" t="n">
        <v>4116</v>
      </c>
      <c r="L119" s="23" t="n">
        <v>7092</v>
      </c>
      <c r="M119" s="23" t="n">
        <v>8486</v>
      </c>
      <c r="N119" s="23" t="n">
        <v>8872</v>
      </c>
      <c r="O119" s="23" t="n">
        <v>6013.2</v>
      </c>
      <c r="P119" s="23" t="n">
        <v>8167.8</v>
      </c>
      <c r="Q119" s="23" t="n">
        <v>8336</v>
      </c>
      <c r="R119" s="23" t="n">
        <v>8851.73748676122</v>
      </c>
      <c r="S119" s="23" t="n">
        <v>8374.47858697918</v>
      </c>
    </row>
    <row r="120" customFormat="false" ht="15" hidden="false" customHeight="false" outlineLevel="0" collapsed="false">
      <c r="A120" s="3" t="n">
        <v>30001815</v>
      </c>
      <c r="B120" s="3" t="s">
        <v>332</v>
      </c>
      <c r="C120" s="3" t="s">
        <v>149</v>
      </c>
      <c r="D120" s="3" t="s">
        <v>224</v>
      </c>
      <c r="E120" s="3" t="s">
        <v>231</v>
      </c>
      <c r="F120" s="23" t="n">
        <v>6579</v>
      </c>
      <c r="G120" s="23" t="n">
        <v>8135</v>
      </c>
      <c r="H120" s="23" t="n">
        <v>4740</v>
      </c>
      <c r="I120" s="23" t="n">
        <v>9959</v>
      </c>
      <c r="J120" s="23" t="n">
        <v>5102</v>
      </c>
      <c r="K120" s="23" t="n">
        <v>6769</v>
      </c>
      <c r="L120" s="23" t="n">
        <v>7000</v>
      </c>
      <c r="M120" s="23" t="n">
        <v>6400.0000416438</v>
      </c>
      <c r="N120" s="23" t="n">
        <v>7411.32067788632</v>
      </c>
      <c r="O120" s="23" t="n">
        <v>3429.21355580266</v>
      </c>
      <c r="P120" s="23" t="n">
        <v>7611.32067788632</v>
      </c>
      <c r="Q120" s="23" t="n">
        <v>8111.32067788632</v>
      </c>
      <c r="R120" s="23" t="n">
        <v>7300</v>
      </c>
      <c r="S120" s="23" t="n">
        <v>7300</v>
      </c>
    </row>
    <row r="121" customFormat="false" ht="15" hidden="false" customHeight="false" outlineLevel="0" collapsed="false">
      <c r="A121" s="3" t="n">
        <v>30000599</v>
      </c>
      <c r="B121" s="3" t="s">
        <v>333</v>
      </c>
      <c r="C121" s="3" t="s">
        <v>212</v>
      </c>
      <c r="D121" s="3" t="s">
        <v>213</v>
      </c>
      <c r="E121" s="3" t="s">
        <v>214</v>
      </c>
      <c r="F121" s="23" t="n">
        <v>13182.96</v>
      </c>
      <c r="G121" s="23" t="n">
        <v>9699.6</v>
      </c>
      <c r="H121" s="23" t="n">
        <v>5961.36</v>
      </c>
      <c r="I121" s="23" t="n">
        <v>5862.24</v>
      </c>
      <c r="J121" s="23" t="n">
        <v>2718.72</v>
      </c>
      <c r="K121" s="23" t="n">
        <v>3285.12</v>
      </c>
      <c r="L121" s="23" t="n">
        <v>2874.48</v>
      </c>
      <c r="M121" s="23" t="n">
        <v>6678.32</v>
      </c>
      <c r="N121" s="23" t="n">
        <v>6778.32</v>
      </c>
      <c r="O121" s="23" t="n">
        <v>4220</v>
      </c>
      <c r="P121" s="23" t="n">
        <v>5713.84</v>
      </c>
      <c r="Q121" s="23" t="n">
        <v>4920</v>
      </c>
      <c r="R121" s="23" t="n">
        <v>6733.28</v>
      </c>
      <c r="S121" s="23" t="n">
        <v>3975.76</v>
      </c>
    </row>
    <row r="122" customFormat="false" ht="15" hidden="false" customHeight="false" outlineLevel="0" collapsed="false">
      <c r="A122" s="3" t="n">
        <v>30001031</v>
      </c>
      <c r="B122" s="3" t="s">
        <v>334</v>
      </c>
      <c r="C122" s="3" t="s">
        <v>155</v>
      </c>
      <c r="D122" s="3" t="s">
        <v>224</v>
      </c>
      <c r="E122" s="3" t="s">
        <v>231</v>
      </c>
      <c r="F122" s="23" t="n">
        <v>8996.4</v>
      </c>
      <c r="G122" s="23" t="n">
        <v>6955.2</v>
      </c>
      <c r="H122" s="23" t="n">
        <v>6296.4</v>
      </c>
      <c r="I122" s="23" t="n">
        <v>7009.2</v>
      </c>
      <c r="J122" s="23" t="n">
        <v>5551.2</v>
      </c>
      <c r="K122" s="23" t="n">
        <v>5886</v>
      </c>
      <c r="L122" s="23" t="n">
        <v>3088.8</v>
      </c>
      <c r="M122" s="23" t="n">
        <v>5496.04580766725</v>
      </c>
      <c r="N122" s="23" t="n">
        <v>6921.90636318656</v>
      </c>
      <c r="O122" s="23" t="n">
        <v>3438.55105192163</v>
      </c>
      <c r="P122" s="23" t="n">
        <v>7332.70046282806</v>
      </c>
      <c r="Q122" s="23" t="n">
        <v>6615.89471012387</v>
      </c>
      <c r="R122" s="23" t="n">
        <v>6563.14637611446</v>
      </c>
      <c r="S122" s="23" t="n">
        <v>6563.14637611446</v>
      </c>
    </row>
    <row r="123" customFormat="false" ht="15" hidden="false" customHeight="false" outlineLevel="0" collapsed="false">
      <c r="A123" s="3" t="n">
        <v>30001710</v>
      </c>
      <c r="B123" s="3" t="s">
        <v>335</v>
      </c>
      <c r="C123" s="3" t="s">
        <v>155</v>
      </c>
      <c r="D123" s="3" t="s">
        <v>224</v>
      </c>
      <c r="E123" s="3" t="s">
        <v>214</v>
      </c>
      <c r="F123" s="23" t="n">
        <v>7949.76</v>
      </c>
      <c r="G123" s="23" t="n">
        <v>9431.52</v>
      </c>
      <c r="H123" s="23" t="n">
        <v>6071.52</v>
      </c>
      <c r="I123" s="23" t="n">
        <v>4609.92</v>
      </c>
      <c r="J123" s="23" t="n">
        <v>5466.72</v>
      </c>
      <c r="K123" s="23" t="n">
        <v>7002.24</v>
      </c>
      <c r="L123" s="23" t="n">
        <v>3024</v>
      </c>
      <c r="M123" s="23" t="n">
        <v>5268.0194074081</v>
      </c>
      <c r="N123" s="23" t="n">
        <v>6634.72213482679</v>
      </c>
      <c r="O123" s="23" t="n">
        <v>4182.84703033826</v>
      </c>
      <c r="P123" s="23" t="n">
        <v>7106.66506628688</v>
      </c>
      <c r="Q123" s="23" t="n">
        <v>7106.66506628688</v>
      </c>
      <c r="R123" s="23" t="n">
        <v>6071.63820837072</v>
      </c>
      <c r="S123" s="23" t="n">
        <v>4571.63820837072</v>
      </c>
    </row>
    <row r="124" customFormat="false" ht="15" hidden="false" customHeight="false" outlineLevel="0" collapsed="false">
      <c r="A124" s="3" t="n">
        <v>30001944</v>
      </c>
      <c r="B124" s="3" t="s">
        <v>336</v>
      </c>
      <c r="C124" s="3" t="s">
        <v>135</v>
      </c>
      <c r="D124" s="3" t="s">
        <v>224</v>
      </c>
      <c r="E124" s="3" t="s">
        <v>214</v>
      </c>
      <c r="F124" s="23" t="n">
        <v>5856</v>
      </c>
      <c r="G124" s="23" t="n">
        <v>6806.4</v>
      </c>
      <c r="H124" s="23" t="n">
        <v>3619.2</v>
      </c>
      <c r="I124" s="23" t="n">
        <v>8726.4</v>
      </c>
      <c r="J124" s="23" t="n">
        <v>7737.6</v>
      </c>
      <c r="K124" s="23" t="n">
        <v>7401.6</v>
      </c>
      <c r="L124" s="23" t="n">
        <v>3360</v>
      </c>
      <c r="M124" s="23" t="n">
        <v>6800.0000879147</v>
      </c>
      <c r="N124" s="23" t="n">
        <v>5807.54711859088</v>
      </c>
      <c r="O124" s="23" t="n">
        <v>4026.2173213034</v>
      </c>
      <c r="P124" s="23" t="n">
        <v>5807.54711859088</v>
      </c>
      <c r="Q124" s="23" t="n">
        <v>7303.77355929544</v>
      </c>
      <c r="R124" s="23" t="n">
        <v>7200</v>
      </c>
      <c r="S124" s="23" t="n">
        <v>7200</v>
      </c>
    </row>
    <row r="125" customFormat="false" ht="15" hidden="false" customHeight="false" outlineLevel="0" collapsed="false">
      <c r="A125" s="3" t="n">
        <v>30001490</v>
      </c>
      <c r="B125" s="3" t="s">
        <v>337</v>
      </c>
      <c r="C125" s="3" t="s">
        <v>155</v>
      </c>
      <c r="D125" s="3" t="s">
        <v>224</v>
      </c>
      <c r="E125" s="3" t="s">
        <v>231</v>
      </c>
      <c r="F125" s="23" t="n">
        <v>7906.7</v>
      </c>
      <c r="G125" s="23" t="n">
        <v>7682.3</v>
      </c>
      <c r="H125" s="23" t="n">
        <v>5402.6</v>
      </c>
      <c r="I125" s="23" t="n">
        <v>6932.6</v>
      </c>
      <c r="J125" s="23" t="n">
        <v>4953.8</v>
      </c>
      <c r="K125" s="23" t="n">
        <v>7146.8</v>
      </c>
      <c r="L125" s="23" t="n">
        <v>3439.1</v>
      </c>
      <c r="M125" s="23" t="n">
        <v>6346.25005428154</v>
      </c>
      <c r="N125" s="23" t="n">
        <v>7362.96542757743</v>
      </c>
      <c r="O125" s="23" t="n">
        <v>4641.9665281174</v>
      </c>
      <c r="P125" s="23" t="n">
        <v>7362.96542757743</v>
      </c>
      <c r="Q125" s="23" t="n">
        <v>6714.38068198092</v>
      </c>
      <c r="R125" s="23" t="n">
        <v>5846.25</v>
      </c>
      <c r="S125" s="23" t="n">
        <v>5846.25</v>
      </c>
    </row>
    <row r="126" customFormat="false" ht="15" hidden="false" customHeight="false" outlineLevel="0" collapsed="false">
      <c r="A126" s="3" t="n">
        <v>30000600</v>
      </c>
      <c r="B126" s="3" t="s">
        <v>338</v>
      </c>
      <c r="C126" s="3" t="s">
        <v>129</v>
      </c>
      <c r="D126" s="3" t="s">
        <v>213</v>
      </c>
      <c r="E126" s="3" t="s">
        <v>214</v>
      </c>
      <c r="F126" s="23" t="n">
        <v>14358.24</v>
      </c>
      <c r="G126" s="23" t="n">
        <v>8779.2</v>
      </c>
      <c r="H126" s="23" t="n">
        <v>4686.96</v>
      </c>
      <c r="I126" s="23" t="n">
        <v>4361.28</v>
      </c>
      <c r="J126" s="23" t="n">
        <v>3157.68</v>
      </c>
      <c r="K126" s="23" t="n">
        <v>4587.84</v>
      </c>
      <c r="L126" s="23" t="n">
        <v>1430.16</v>
      </c>
      <c r="M126" s="23" t="n">
        <v>9750</v>
      </c>
      <c r="N126" s="23" t="n">
        <v>9950</v>
      </c>
      <c r="O126" s="23" t="n">
        <v>6700</v>
      </c>
      <c r="P126" s="23" t="n">
        <v>5608.88</v>
      </c>
      <c r="Q126" s="23" t="n">
        <v>3900</v>
      </c>
      <c r="R126" s="23" t="n">
        <v>4870.8</v>
      </c>
      <c r="S126" s="23" t="n">
        <v>4578.8</v>
      </c>
    </row>
    <row r="127" customFormat="false" ht="15" hidden="false" customHeight="false" outlineLevel="0" collapsed="false">
      <c r="A127" s="3" t="n">
        <v>30002078</v>
      </c>
      <c r="B127" s="3" t="s">
        <v>339</v>
      </c>
      <c r="C127" s="3" t="s">
        <v>139</v>
      </c>
      <c r="D127" s="3" t="s">
        <v>213</v>
      </c>
      <c r="E127" s="3" t="s">
        <v>214</v>
      </c>
      <c r="F127" s="23" t="n">
        <v>4620</v>
      </c>
      <c r="G127" s="23" t="n">
        <v>6144</v>
      </c>
      <c r="H127" s="23" t="n">
        <v>5628</v>
      </c>
      <c r="I127" s="23" t="n">
        <v>10536</v>
      </c>
      <c r="J127" s="23" t="n">
        <v>7368</v>
      </c>
      <c r="K127" s="23" t="n">
        <v>5568</v>
      </c>
      <c r="L127" s="23" t="n">
        <v>7344</v>
      </c>
      <c r="M127" s="23" t="n">
        <v>9550</v>
      </c>
      <c r="N127" s="23" t="n">
        <v>8520</v>
      </c>
      <c r="O127" s="23" t="n">
        <v>4580.845</v>
      </c>
      <c r="P127" s="23" t="n">
        <v>6080.07667554929</v>
      </c>
      <c r="Q127" s="23" t="n">
        <v>7404.32327554929</v>
      </c>
      <c r="R127" s="23" t="n">
        <v>9632.60798618391</v>
      </c>
      <c r="S127" s="23" t="n">
        <v>6913.25760106735</v>
      </c>
    </row>
    <row r="128" customFormat="false" ht="15" hidden="false" customHeight="false" outlineLevel="0" collapsed="false">
      <c r="A128" s="3" t="n">
        <v>30001780</v>
      </c>
      <c r="B128" s="3" t="s">
        <v>340</v>
      </c>
      <c r="C128" s="3" t="s">
        <v>212</v>
      </c>
      <c r="D128" s="3" t="s">
        <v>213</v>
      </c>
      <c r="E128" s="3" t="s">
        <v>231</v>
      </c>
      <c r="F128" s="23" t="n">
        <v>7938.864</v>
      </c>
      <c r="G128" s="23" t="n">
        <v>4600.368</v>
      </c>
      <c r="H128" s="23" t="n">
        <v>4342.032</v>
      </c>
      <c r="I128" s="23" t="n">
        <v>6806.16</v>
      </c>
      <c r="J128" s="23" t="n">
        <v>7720.272</v>
      </c>
      <c r="K128" s="23" t="n">
        <v>8326.368</v>
      </c>
      <c r="L128" s="23" t="n">
        <v>5176.656</v>
      </c>
      <c r="M128" s="23" t="n">
        <v>8901.928</v>
      </c>
      <c r="N128" s="23" t="n">
        <v>9853.856</v>
      </c>
      <c r="O128" s="23" t="n">
        <v>5526.928</v>
      </c>
      <c r="P128" s="23" t="n">
        <v>8851.928</v>
      </c>
      <c r="Q128" s="23" t="n">
        <v>8980.784</v>
      </c>
      <c r="R128" s="23" t="n">
        <v>6880.784</v>
      </c>
      <c r="S128" s="23" t="n">
        <v>7901.928</v>
      </c>
    </row>
    <row r="129" customFormat="false" ht="15" hidden="false" customHeight="false" outlineLevel="0" collapsed="false">
      <c r="A129" s="3" t="n">
        <v>30001895</v>
      </c>
      <c r="B129" s="3" t="s">
        <v>341</v>
      </c>
      <c r="C129" s="3" t="s">
        <v>138</v>
      </c>
      <c r="D129" s="3" t="s">
        <v>213</v>
      </c>
      <c r="E129" s="3" t="s">
        <v>231</v>
      </c>
      <c r="F129" s="23" t="n">
        <v>7949.6</v>
      </c>
      <c r="G129" s="23" t="n">
        <v>12768</v>
      </c>
      <c r="H129" s="23" t="n">
        <v>6004</v>
      </c>
      <c r="I129" s="23" t="n">
        <v>4088.8</v>
      </c>
      <c r="J129" s="23" t="n">
        <v>3268</v>
      </c>
      <c r="K129" s="23" t="n">
        <v>5548</v>
      </c>
      <c r="L129" s="23" t="n">
        <v>4271.2</v>
      </c>
      <c r="M129" s="23" t="n">
        <v>8048</v>
      </c>
      <c r="N129" s="23" t="n">
        <v>8562.4</v>
      </c>
      <c r="O129" s="23" t="n">
        <v>5116.8</v>
      </c>
      <c r="P129" s="23" t="n">
        <v>6516.8</v>
      </c>
      <c r="Q129" s="23" t="n">
        <v>7262.4</v>
      </c>
      <c r="R129" s="23" t="n">
        <v>6779.11430806865</v>
      </c>
      <c r="S129" s="23" t="n">
        <v>6505.83011085141</v>
      </c>
    </row>
    <row r="130" customFormat="false" ht="15" hidden="false" customHeight="false" outlineLevel="0" collapsed="false">
      <c r="A130" s="3" t="n">
        <v>30001942</v>
      </c>
      <c r="B130" s="3" t="s">
        <v>342</v>
      </c>
      <c r="C130" s="3" t="s">
        <v>135</v>
      </c>
      <c r="D130" s="3" t="s">
        <v>224</v>
      </c>
      <c r="E130" s="3" t="s">
        <v>214</v>
      </c>
      <c r="F130" s="23" t="n">
        <v>5212.8</v>
      </c>
      <c r="G130" s="23" t="n">
        <v>6038.4</v>
      </c>
      <c r="H130" s="23" t="n">
        <v>5011.2</v>
      </c>
      <c r="I130" s="23" t="n">
        <v>7324.8</v>
      </c>
      <c r="J130" s="23" t="n">
        <v>7689.6</v>
      </c>
      <c r="K130" s="23" t="n">
        <v>8332.8</v>
      </c>
      <c r="L130" s="23" t="n">
        <v>1814.4</v>
      </c>
      <c r="M130" s="23" t="n">
        <v>4507.61671812098</v>
      </c>
      <c r="N130" s="23" t="n">
        <v>4042.47323496956</v>
      </c>
      <c r="O130" s="23" t="n">
        <v>2781.45262780785</v>
      </c>
      <c r="P130" s="23" t="n">
        <v>4684.31075886973</v>
      </c>
      <c r="Q130" s="23" t="n">
        <v>3428.33140695063</v>
      </c>
      <c r="R130" s="23" t="n">
        <v>4103.61445783133</v>
      </c>
      <c r="S130" s="23" t="n">
        <v>7000</v>
      </c>
    </row>
    <row r="131" customFormat="false" ht="15" hidden="false" customHeight="false" outlineLevel="0" collapsed="false">
      <c r="A131" s="3" t="n">
        <v>30001709</v>
      </c>
      <c r="B131" s="3" t="s">
        <v>343</v>
      </c>
      <c r="C131" s="3" t="s">
        <v>155</v>
      </c>
      <c r="D131" s="3" t="s">
        <v>224</v>
      </c>
      <c r="E131" s="3" t="s">
        <v>214</v>
      </c>
      <c r="F131" s="23" t="n">
        <v>7388.64</v>
      </c>
      <c r="G131" s="23" t="n">
        <v>10053.12</v>
      </c>
      <c r="H131" s="23" t="n">
        <v>5604.48</v>
      </c>
      <c r="I131" s="23" t="n">
        <v>4455.36</v>
      </c>
      <c r="J131" s="23" t="n">
        <v>5120.64</v>
      </c>
      <c r="K131" s="23" t="n">
        <v>6881.28</v>
      </c>
      <c r="L131" s="23" t="n">
        <v>3370.08</v>
      </c>
      <c r="M131" s="23" t="n">
        <v>6062.66726631793</v>
      </c>
      <c r="N131" s="23" t="n">
        <v>7635.52857970369</v>
      </c>
      <c r="O131" s="23" t="n">
        <v>4813.80341115224</v>
      </c>
      <c r="P131" s="23" t="n">
        <v>7635.52857970369</v>
      </c>
      <c r="Q131" s="23" t="n">
        <v>8202.27383391106</v>
      </c>
      <c r="R131" s="23" t="n">
        <v>6190.61060749723</v>
      </c>
      <c r="S131" s="23" t="n">
        <v>4690.61060749723</v>
      </c>
    </row>
    <row r="132" customFormat="false" ht="15" hidden="false" customHeight="false" outlineLevel="0" collapsed="false">
      <c r="A132" s="3" t="n">
        <v>30002229</v>
      </c>
      <c r="B132" s="3" t="s">
        <v>344</v>
      </c>
      <c r="C132" s="3" t="s">
        <v>135</v>
      </c>
      <c r="D132" s="3" t="s">
        <v>213</v>
      </c>
      <c r="E132" s="3" t="s">
        <v>214</v>
      </c>
      <c r="F132" s="23" t="n">
        <v>3450</v>
      </c>
      <c r="G132" s="23" t="n">
        <v>0</v>
      </c>
      <c r="H132" s="23" t="n">
        <v>5175</v>
      </c>
      <c r="I132" s="23" t="n">
        <v>16790</v>
      </c>
      <c r="J132" s="23" t="n">
        <v>6900</v>
      </c>
      <c r="K132" s="23" t="n">
        <v>6900</v>
      </c>
      <c r="L132" s="23" t="n">
        <v>74.75</v>
      </c>
      <c r="M132" s="23" t="n">
        <v>2957.5</v>
      </c>
      <c r="N132" s="23" t="n">
        <v>3057.5</v>
      </c>
      <c r="O132" s="23" t="n">
        <v>4057.5</v>
      </c>
      <c r="P132" s="23" t="n">
        <v>9057.5</v>
      </c>
      <c r="Q132" s="23" t="n">
        <v>8000</v>
      </c>
      <c r="R132" s="23" t="n">
        <v>2303.83333333333</v>
      </c>
      <c r="S132" s="23" t="n">
        <v>4183.18992787643</v>
      </c>
    </row>
    <row r="133" customFormat="false" ht="15" hidden="false" customHeight="false" outlineLevel="0" collapsed="false">
      <c r="A133" s="3" t="n">
        <v>30001773</v>
      </c>
      <c r="B133" s="3" t="s">
        <v>345</v>
      </c>
      <c r="C133" s="3" t="s">
        <v>149</v>
      </c>
      <c r="D133" s="3" t="s">
        <v>224</v>
      </c>
      <c r="E133" s="3" t="s">
        <v>249</v>
      </c>
      <c r="F133" s="23" t="n">
        <v>4846.4</v>
      </c>
      <c r="G133" s="23" t="n">
        <v>6435.46</v>
      </c>
      <c r="H133" s="23" t="n">
        <v>6910.78</v>
      </c>
      <c r="I133" s="23" t="n">
        <v>8518.48</v>
      </c>
      <c r="J133" s="23" t="n">
        <v>6770.98</v>
      </c>
      <c r="K133" s="23" t="n">
        <v>4906.98</v>
      </c>
      <c r="L133" s="23" t="n">
        <v>4044.88</v>
      </c>
      <c r="M133" s="23" t="n">
        <v>3996.14532304627</v>
      </c>
      <c r="N133" s="23" t="n">
        <v>4803.77356623608</v>
      </c>
      <c r="O133" s="23" t="n">
        <v>2174.90640135126</v>
      </c>
      <c r="P133" s="23" t="n">
        <v>4492.68865097187</v>
      </c>
      <c r="Q133" s="23" t="n">
        <v>7400.00000694063</v>
      </c>
      <c r="R133" s="23" t="n">
        <v>8500</v>
      </c>
      <c r="S133" s="23" t="n">
        <v>5350</v>
      </c>
    </row>
    <row r="134" customFormat="false" ht="15" hidden="false" customHeight="false" outlineLevel="0" collapsed="false">
      <c r="A134" s="3" t="n">
        <v>30001923</v>
      </c>
      <c r="B134" s="3" t="s">
        <v>346</v>
      </c>
      <c r="C134" s="3" t="s">
        <v>135</v>
      </c>
      <c r="D134" s="3" t="s">
        <v>213</v>
      </c>
      <c r="E134" s="3" t="s">
        <v>249</v>
      </c>
      <c r="F134" s="23" t="n">
        <v>4890</v>
      </c>
      <c r="G134" s="23" t="n">
        <v>4326</v>
      </c>
      <c r="H134" s="23" t="n">
        <v>4524</v>
      </c>
      <c r="I134" s="23" t="n">
        <v>6288</v>
      </c>
      <c r="J134" s="23" t="n">
        <v>4446</v>
      </c>
      <c r="K134" s="23" t="n">
        <v>13632</v>
      </c>
      <c r="L134" s="23" t="n">
        <v>2346</v>
      </c>
      <c r="M134" s="23" t="n">
        <v>5090</v>
      </c>
      <c r="N134" s="23" t="n">
        <v>5456</v>
      </c>
      <c r="O134" s="23" t="n">
        <v>4883.92</v>
      </c>
      <c r="P134" s="23" t="n">
        <v>6383.92</v>
      </c>
      <c r="Q134" s="23" t="n">
        <v>7282</v>
      </c>
      <c r="R134" s="23" t="n">
        <v>11846.7628849725</v>
      </c>
      <c r="S134" s="23" t="n">
        <v>5508.98313140178</v>
      </c>
    </row>
    <row r="135" customFormat="false" ht="15" hidden="false" customHeight="false" outlineLevel="0" collapsed="false">
      <c r="A135" s="3" t="n">
        <v>30000629</v>
      </c>
      <c r="B135" s="3" t="s">
        <v>347</v>
      </c>
      <c r="C135" s="3" t="s">
        <v>212</v>
      </c>
      <c r="D135" s="3" t="s">
        <v>213</v>
      </c>
      <c r="E135" s="3" t="s">
        <v>214</v>
      </c>
      <c r="F135" s="23" t="n">
        <v>7788.48</v>
      </c>
      <c r="G135" s="23" t="n">
        <v>6390.08</v>
      </c>
      <c r="H135" s="23" t="n">
        <v>3508.16</v>
      </c>
      <c r="I135" s="23" t="n">
        <v>4936.96</v>
      </c>
      <c r="J135" s="23" t="n">
        <v>5259.2</v>
      </c>
      <c r="K135" s="23" t="n">
        <v>10141.44</v>
      </c>
      <c r="L135" s="23" t="n">
        <v>5070.72</v>
      </c>
      <c r="M135" s="23" t="n">
        <v>8400</v>
      </c>
      <c r="N135" s="23" t="n">
        <v>10900</v>
      </c>
      <c r="O135" s="23" t="n">
        <v>4800</v>
      </c>
      <c r="P135" s="23" t="n">
        <v>7939.04</v>
      </c>
      <c r="Q135" s="23" t="n">
        <v>6049.28</v>
      </c>
      <c r="R135" s="23" t="n">
        <v>7720.8</v>
      </c>
      <c r="S135" s="23" t="n">
        <v>6762.48</v>
      </c>
    </row>
    <row r="136" customFormat="false" ht="15" hidden="false" customHeight="false" outlineLevel="0" collapsed="false">
      <c r="A136" s="3" t="n">
        <v>30000195</v>
      </c>
      <c r="B136" s="3" t="s">
        <v>348</v>
      </c>
      <c r="C136" s="3" t="s">
        <v>212</v>
      </c>
      <c r="D136" s="3" t="s">
        <v>213</v>
      </c>
      <c r="E136" s="3" t="s">
        <v>231</v>
      </c>
      <c r="F136" s="23" t="n">
        <v>7692</v>
      </c>
      <c r="G136" s="23" t="n">
        <v>6360</v>
      </c>
      <c r="H136" s="23" t="n">
        <v>3312</v>
      </c>
      <c r="I136" s="23" t="n">
        <v>6816</v>
      </c>
      <c r="J136" s="23" t="n">
        <v>7296</v>
      </c>
      <c r="K136" s="23" t="n">
        <v>6168</v>
      </c>
      <c r="L136" s="23" t="n">
        <v>5640</v>
      </c>
      <c r="M136" s="23" t="n">
        <v>5296</v>
      </c>
      <c r="N136" s="23" t="n">
        <v>7060</v>
      </c>
      <c r="O136" s="23" t="n">
        <v>4800</v>
      </c>
      <c r="P136" s="23" t="n">
        <v>6540</v>
      </c>
      <c r="Q136" s="23" t="n">
        <v>6800</v>
      </c>
      <c r="R136" s="23" t="n">
        <v>7190</v>
      </c>
      <c r="S136" s="23" t="n">
        <v>6940</v>
      </c>
    </row>
    <row r="137" customFormat="false" ht="15" hidden="false" customHeight="false" outlineLevel="0" collapsed="false">
      <c r="A137" s="3" t="n">
        <v>30000054</v>
      </c>
      <c r="B137" s="3" t="s">
        <v>349</v>
      </c>
      <c r="C137" s="3" t="s">
        <v>212</v>
      </c>
      <c r="D137" s="3" t="s">
        <v>213</v>
      </c>
      <c r="E137" s="3" t="s">
        <v>231</v>
      </c>
      <c r="F137" s="23" t="n">
        <v>5023.2</v>
      </c>
      <c r="G137" s="23" t="n">
        <v>8843.04</v>
      </c>
      <c r="H137" s="23" t="n">
        <v>8147.52</v>
      </c>
      <c r="I137" s="23" t="n">
        <v>6480.48</v>
      </c>
      <c r="J137" s="23" t="n">
        <v>3113.28</v>
      </c>
      <c r="K137" s="23" t="n">
        <v>5873.28</v>
      </c>
      <c r="L137" s="23" t="n">
        <v>2296.32</v>
      </c>
      <c r="M137" s="23" t="n">
        <v>6546.32</v>
      </c>
      <c r="N137" s="23" t="n">
        <v>6903.28</v>
      </c>
      <c r="O137" s="23" t="n">
        <v>2674.16</v>
      </c>
      <c r="P137" s="23" t="n">
        <v>6124.08</v>
      </c>
      <c r="Q137" s="23" t="n">
        <v>6104.08</v>
      </c>
      <c r="R137" s="23" t="n">
        <v>4448.16</v>
      </c>
      <c r="S137" s="23" t="n">
        <v>4954.08</v>
      </c>
    </row>
    <row r="138" customFormat="false" ht="15" hidden="false" customHeight="false" outlineLevel="0" collapsed="false">
      <c r="A138" s="3" t="n">
        <v>30001656</v>
      </c>
      <c r="B138" s="3" t="s">
        <v>350</v>
      </c>
      <c r="C138" s="3" t="s">
        <v>144</v>
      </c>
      <c r="D138" s="3" t="s">
        <v>213</v>
      </c>
      <c r="E138" s="3" t="s">
        <v>231</v>
      </c>
      <c r="F138" s="23" t="n">
        <v>6333.12</v>
      </c>
      <c r="G138" s="23" t="n">
        <v>6730.56</v>
      </c>
      <c r="H138" s="23" t="n">
        <v>4116.96</v>
      </c>
      <c r="I138" s="23" t="n">
        <v>8117.28</v>
      </c>
      <c r="J138" s="23" t="n">
        <v>6397.92</v>
      </c>
      <c r="K138" s="23" t="n">
        <v>5378.4</v>
      </c>
      <c r="L138" s="23" t="n">
        <v>5490.72</v>
      </c>
      <c r="M138" s="23" t="n">
        <v>5597.14742505765</v>
      </c>
      <c r="N138" s="23" t="n">
        <v>5598.8</v>
      </c>
      <c r="O138" s="23" t="n">
        <v>4390.64</v>
      </c>
      <c r="P138" s="23" t="n">
        <v>5710</v>
      </c>
      <c r="Q138" s="23" t="n">
        <v>5202.32</v>
      </c>
      <c r="R138" s="23" t="n">
        <v>6128.8</v>
      </c>
      <c r="S138" s="23" t="n">
        <v>6052.32</v>
      </c>
    </row>
    <row r="139" customFormat="false" ht="15" hidden="false" customHeight="false" outlineLevel="0" collapsed="false">
      <c r="A139" s="3" t="n">
        <v>30000321</v>
      </c>
      <c r="B139" s="3" t="s">
        <v>351</v>
      </c>
      <c r="C139" s="3" t="s">
        <v>212</v>
      </c>
      <c r="D139" s="3" t="s">
        <v>213</v>
      </c>
      <c r="E139" s="3" t="s">
        <v>231</v>
      </c>
      <c r="F139" s="23" t="n">
        <v>9152</v>
      </c>
      <c r="G139" s="23" t="n">
        <v>6512</v>
      </c>
      <c r="H139" s="23" t="n">
        <v>3544</v>
      </c>
      <c r="I139" s="23" t="n">
        <v>6304</v>
      </c>
      <c r="J139" s="23" t="n">
        <v>5920</v>
      </c>
      <c r="K139" s="23" t="n">
        <v>5360</v>
      </c>
      <c r="L139" s="23" t="n">
        <v>2448</v>
      </c>
      <c r="M139" s="23" t="n">
        <v>8828.8</v>
      </c>
      <c r="N139" s="23" t="n">
        <v>7130</v>
      </c>
      <c r="O139" s="23" t="n">
        <v>3890.8</v>
      </c>
      <c r="P139" s="23" t="n">
        <v>4890.8</v>
      </c>
      <c r="Q139" s="23" t="n">
        <v>5430</v>
      </c>
      <c r="R139" s="23" t="n">
        <v>5266.9230550219</v>
      </c>
      <c r="S139" s="23" t="n">
        <v>4208.56797534783</v>
      </c>
    </row>
    <row r="140" customFormat="false" ht="15" hidden="false" customHeight="false" outlineLevel="0" collapsed="false">
      <c r="A140" s="3" t="n">
        <v>30001506</v>
      </c>
      <c r="B140" s="3" t="s">
        <v>352</v>
      </c>
      <c r="C140" s="3" t="s">
        <v>155</v>
      </c>
      <c r="D140" s="3" t="s">
        <v>224</v>
      </c>
      <c r="E140" s="3" t="s">
        <v>231</v>
      </c>
      <c r="F140" s="23" t="n">
        <v>7503.75</v>
      </c>
      <c r="G140" s="23" t="n">
        <v>6910.35</v>
      </c>
      <c r="H140" s="23" t="n">
        <v>3867.45</v>
      </c>
      <c r="I140" s="23" t="n">
        <v>6572.25</v>
      </c>
      <c r="J140" s="23" t="n">
        <v>5271.6</v>
      </c>
      <c r="K140" s="23" t="n">
        <v>6548.1</v>
      </c>
      <c r="L140" s="23" t="n">
        <v>2511.6</v>
      </c>
      <c r="M140" s="23" t="n">
        <v>7759.94984284997</v>
      </c>
      <c r="N140" s="23" t="n">
        <v>6254.15414412418</v>
      </c>
      <c r="O140" s="23" t="n">
        <v>4585.45858618557</v>
      </c>
      <c r="P140" s="23" t="n">
        <v>4926.86239955775</v>
      </c>
      <c r="Q140" s="23" t="n">
        <v>4926.86239955775</v>
      </c>
      <c r="R140" s="23" t="n">
        <v>4201.18620439113</v>
      </c>
      <c r="S140" s="23" t="n">
        <v>4201.18620439113</v>
      </c>
    </row>
    <row r="141" customFormat="false" ht="15" hidden="false" customHeight="false" outlineLevel="0" collapsed="false">
      <c r="A141" s="3" t="n">
        <v>30001487</v>
      </c>
      <c r="B141" s="3" t="s">
        <v>353</v>
      </c>
      <c r="C141" s="3" t="s">
        <v>135</v>
      </c>
      <c r="D141" s="3" t="s">
        <v>213</v>
      </c>
      <c r="E141" s="3" t="s">
        <v>249</v>
      </c>
      <c r="F141" s="23" t="n">
        <v>4980</v>
      </c>
      <c r="G141" s="23" t="n">
        <v>5244</v>
      </c>
      <c r="H141" s="23" t="n">
        <v>6204</v>
      </c>
      <c r="I141" s="23" t="n">
        <v>5814</v>
      </c>
      <c r="J141" s="23" t="n">
        <v>2892</v>
      </c>
      <c r="K141" s="23" t="n">
        <v>11532</v>
      </c>
      <c r="L141" s="23" t="n">
        <v>2628</v>
      </c>
      <c r="M141" s="23" t="n">
        <v>4400</v>
      </c>
      <c r="N141" s="23" t="n">
        <v>4964</v>
      </c>
      <c r="O141" s="23" t="n">
        <v>4963.88</v>
      </c>
      <c r="P141" s="23" t="n">
        <v>5963.88</v>
      </c>
      <c r="Q141" s="23" t="n">
        <v>5862</v>
      </c>
      <c r="R141" s="23" t="n">
        <v>7210.013722626</v>
      </c>
      <c r="S141" s="23" t="n">
        <v>5720.16534760224</v>
      </c>
    </row>
    <row r="142" customFormat="false" ht="15" hidden="false" customHeight="false" outlineLevel="0" collapsed="false">
      <c r="A142" s="3" t="n">
        <v>30000097</v>
      </c>
      <c r="B142" s="3" t="s">
        <v>354</v>
      </c>
      <c r="C142" s="3" t="s">
        <v>143</v>
      </c>
      <c r="D142" s="3" t="s">
        <v>224</v>
      </c>
      <c r="E142" s="3" t="s">
        <v>231</v>
      </c>
      <c r="F142" s="23" t="n">
        <v>6783</v>
      </c>
      <c r="G142" s="23" t="n">
        <v>6140.4</v>
      </c>
      <c r="H142" s="23" t="n">
        <v>5107.2</v>
      </c>
      <c r="I142" s="23" t="n">
        <v>6921.6</v>
      </c>
      <c r="J142" s="23" t="n">
        <v>5846.4</v>
      </c>
      <c r="K142" s="23" t="n">
        <v>5287.8</v>
      </c>
      <c r="L142" s="23" t="n">
        <v>2801.4</v>
      </c>
      <c r="M142" s="23" t="n">
        <v>7189.72086685498</v>
      </c>
      <c r="N142" s="23" t="n">
        <v>8311.79220313055</v>
      </c>
      <c r="O142" s="23" t="n">
        <v>4846.62937090577</v>
      </c>
      <c r="P142" s="23" t="n">
        <v>7811.79220313055</v>
      </c>
      <c r="Q142" s="23" t="n">
        <v>6444.81118630106</v>
      </c>
      <c r="R142" s="23" t="n">
        <v>6100</v>
      </c>
      <c r="S142" s="23" t="n">
        <v>6100</v>
      </c>
    </row>
    <row r="143" customFormat="false" ht="15" hidden="false" customHeight="false" outlineLevel="0" collapsed="false">
      <c r="A143" s="3" t="n">
        <v>30001019</v>
      </c>
      <c r="B143" s="3" t="s">
        <v>355</v>
      </c>
      <c r="C143" s="3" t="s">
        <v>155</v>
      </c>
      <c r="D143" s="3" t="s">
        <v>224</v>
      </c>
      <c r="E143" s="3" t="s">
        <v>214</v>
      </c>
      <c r="F143" s="23" t="n">
        <v>5961.6</v>
      </c>
      <c r="G143" s="23" t="n">
        <v>6563.28</v>
      </c>
      <c r="H143" s="23" t="n">
        <v>3505.2</v>
      </c>
      <c r="I143" s="23" t="n">
        <v>6116.16</v>
      </c>
      <c r="J143" s="23" t="n">
        <v>6072</v>
      </c>
      <c r="K143" s="23" t="n">
        <v>7573.44</v>
      </c>
      <c r="L143" s="23" t="n">
        <v>3803.28</v>
      </c>
      <c r="M143" s="23" t="n">
        <v>4500.06162158795</v>
      </c>
      <c r="N143" s="23" t="n">
        <v>4254.24224280295</v>
      </c>
      <c r="O143" s="23" t="n">
        <v>2893.85031555253</v>
      </c>
      <c r="P143" s="23" t="n">
        <v>3832.72280778211</v>
      </c>
      <c r="Q143" s="23" t="n">
        <v>4479.24224280295</v>
      </c>
      <c r="R143" s="23" t="n">
        <v>4275.58732297004</v>
      </c>
      <c r="S143" s="23" t="n">
        <v>5033.29746002918</v>
      </c>
    </row>
    <row r="144" customFormat="false" ht="15" hidden="false" customHeight="false" outlineLevel="0" collapsed="false">
      <c r="A144" s="3" t="n">
        <v>30000630</v>
      </c>
      <c r="B144" s="3" t="s">
        <v>356</v>
      </c>
      <c r="C144" s="3" t="s">
        <v>212</v>
      </c>
      <c r="D144" s="3" t="s">
        <v>213</v>
      </c>
      <c r="E144" s="3" t="s">
        <v>214</v>
      </c>
      <c r="F144" s="23" t="n">
        <v>5690.24</v>
      </c>
      <c r="G144" s="23" t="n">
        <v>5151.68</v>
      </c>
      <c r="H144" s="23" t="n">
        <v>4080</v>
      </c>
      <c r="I144" s="23" t="n">
        <v>9068.48</v>
      </c>
      <c r="J144" s="23" t="n">
        <v>6054.72</v>
      </c>
      <c r="K144" s="23" t="n">
        <v>5505.28</v>
      </c>
      <c r="L144" s="23" t="n">
        <v>3002.88</v>
      </c>
      <c r="M144" s="23" t="n">
        <v>7088.2</v>
      </c>
      <c r="N144" s="23" t="n">
        <v>8535</v>
      </c>
      <c r="O144" s="23" t="n">
        <v>3105</v>
      </c>
      <c r="P144" s="23" t="n">
        <v>7735</v>
      </c>
      <c r="Q144" s="23" t="n">
        <v>5825</v>
      </c>
      <c r="R144" s="23" t="n">
        <v>5635</v>
      </c>
      <c r="S144" s="23" t="n">
        <v>5869</v>
      </c>
    </row>
    <row r="145" customFormat="false" ht="15" hidden="false" customHeight="false" outlineLevel="0" collapsed="false">
      <c r="A145" s="3" t="n">
        <v>30002200</v>
      </c>
      <c r="B145" s="3" t="s">
        <v>357</v>
      </c>
      <c r="C145" s="3" t="s">
        <v>212</v>
      </c>
      <c r="D145" s="3" t="s">
        <v>224</v>
      </c>
      <c r="E145" s="3" t="s">
        <v>212</v>
      </c>
      <c r="F145" s="23" t="n">
        <v>6720</v>
      </c>
      <c r="G145" s="23" t="n">
        <v>4632</v>
      </c>
      <c r="H145" s="23" t="n">
        <v>6643.2</v>
      </c>
      <c r="I145" s="23" t="n">
        <v>5774.4</v>
      </c>
      <c r="J145" s="23" t="n">
        <v>5140.8</v>
      </c>
      <c r="K145" s="23" t="n">
        <v>6249.6</v>
      </c>
      <c r="L145" s="23" t="n">
        <v>3158.4</v>
      </c>
      <c r="M145" s="23" t="n">
        <v>9900</v>
      </c>
      <c r="N145" s="23" t="n">
        <v>8251.88677964772</v>
      </c>
      <c r="O145" s="23" t="n">
        <v>3458.8015062003</v>
      </c>
      <c r="P145" s="23" t="n">
        <v>6251.88677964772</v>
      </c>
      <c r="Q145" s="23" t="n">
        <v>4751.88677964772</v>
      </c>
      <c r="R145" s="23" t="n">
        <v>4700</v>
      </c>
      <c r="S145" s="23" t="n">
        <v>4700</v>
      </c>
    </row>
    <row r="146" customFormat="false" ht="15" hidden="false" customHeight="false" outlineLevel="0" collapsed="false">
      <c r="A146" s="3" t="n">
        <v>30001689</v>
      </c>
      <c r="B146" s="3" t="s">
        <v>358</v>
      </c>
      <c r="C146" s="3" t="s">
        <v>149</v>
      </c>
      <c r="D146" s="3" t="s">
        <v>224</v>
      </c>
      <c r="E146" s="3" t="s">
        <v>231</v>
      </c>
      <c r="F146" s="23" t="n">
        <v>3348.8</v>
      </c>
      <c r="G146" s="23" t="n">
        <v>7690.8</v>
      </c>
      <c r="H146" s="23" t="n">
        <v>7139.6</v>
      </c>
      <c r="I146" s="23" t="n">
        <v>7815.6</v>
      </c>
      <c r="J146" s="23" t="n">
        <v>4981.6</v>
      </c>
      <c r="K146" s="23" t="n">
        <v>4108</v>
      </c>
      <c r="L146" s="23" t="n">
        <v>3556.8</v>
      </c>
      <c r="M146" s="23" t="n">
        <v>8536.10419762224</v>
      </c>
      <c r="N146" s="23" t="n">
        <v>7296.6230657906</v>
      </c>
      <c r="O146" s="23" t="n">
        <v>4076.13979429128</v>
      </c>
      <c r="P146" s="23" t="n">
        <v>8796.6230657906</v>
      </c>
      <c r="Q146" s="23" t="n">
        <v>6896.6230657906</v>
      </c>
      <c r="R146" s="23" t="n">
        <v>5673.72320740693</v>
      </c>
      <c r="S146" s="23" t="n">
        <v>7173.72320740693</v>
      </c>
    </row>
    <row r="147" customFormat="false" ht="15" hidden="false" customHeight="false" outlineLevel="0" collapsed="false">
      <c r="A147" s="3" t="n">
        <v>30000178</v>
      </c>
      <c r="B147" s="3" t="s">
        <v>359</v>
      </c>
      <c r="C147" s="3" t="s">
        <v>144</v>
      </c>
      <c r="D147" s="3" t="s">
        <v>213</v>
      </c>
      <c r="E147" s="3" t="s">
        <v>214</v>
      </c>
      <c r="F147" s="23" t="n">
        <v>5404.8</v>
      </c>
      <c r="G147" s="23" t="n">
        <v>6907.2</v>
      </c>
      <c r="H147" s="23" t="n">
        <v>4569.6</v>
      </c>
      <c r="I147" s="23" t="n">
        <v>8688</v>
      </c>
      <c r="J147" s="23" t="n">
        <v>4876.8</v>
      </c>
      <c r="K147" s="23" t="n">
        <v>4012.8</v>
      </c>
      <c r="L147" s="23" t="n">
        <v>4747.2</v>
      </c>
      <c r="M147" s="23" t="n">
        <v>7250</v>
      </c>
      <c r="N147" s="23" t="n">
        <v>9068.8</v>
      </c>
      <c r="O147" s="23" t="n">
        <v>4997.6</v>
      </c>
      <c r="P147" s="23" t="n">
        <v>6350</v>
      </c>
      <c r="Q147" s="23" t="n">
        <v>5700</v>
      </c>
      <c r="R147" s="23" t="n">
        <v>6056.58309812386</v>
      </c>
      <c r="S147" s="23" t="n">
        <v>6556.58309812386</v>
      </c>
    </row>
    <row r="148" customFormat="false" ht="15" hidden="false" customHeight="false" outlineLevel="0" collapsed="false">
      <c r="A148" s="3" t="n">
        <v>30001017</v>
      </c>
      <c r="B148" s="3" t="s">
        <v>360</v>
      </c>
      <c r="C148" s="3" t="s">
        <v>155</v>
      </c>
      <c r="D148" s="3" t="s">
        <v>224</v>
      </c>
      <c r="E148" s="3" t="s">
        <v>214</v>
      </c>
      <c r="F148" s="23" t="n">
        <v>6386.64</v>
      </c>
      <c r="G148" s="23" t="n">
        <v>6110.64</v>
      </c>
      <c r="H148" s="23" t="n">
        <v>3069.12</v>
      </c>
      <c r="I148" s="23" t="n">
        <v>6618.48</v>
      </c>
      <c r="J148" s="23" t="n">
        <v>5277.12</v>
      </c>
      <c r="K148" s="23" t="n">
        <v>6662.64</v>
      </c>
      <c r="L148" s="23" t="n">
        <v>1650.48</v>
      </c>
      <c r="M148" s="23" t="n">
        <v>5856.69463090062</v>
      </c>
      <c r="N148" s="23" t="n">
        <v>6501.65708890991</v>
      </c>
      <c r="O148" s="23" t="n">
        <v>3640.37306638775</v>
      </c>
      <c r="P148" s="23" t="n">
        <v>5463.77421255313</v>
      </c>
      <c r="Q148" s="23" t="n">
        <v>6740.11546153951</v>
      </c>
      <c r="R148" s="23" t="n">
        <v>6138.42029772239</v>
      </c>
      <c r="S148" s="23" t="n">
        <v>4489.83555212589</v>
      </c>
    </row>
    <row r="149" customFormat="false" ht="15" hidden="false" customHeight="false" outlineLevel="0" collapsed="false">
      <c r="A149" s="3" t="n">
        <v>30001045</v>
      </c>
      <c r="B149" s="3" t="s">
        <v>361</v>
      </c>
      <c r="C149" s="3" t="s">
        <v>155</v>
      </c>
      <c r="D149" s="3" t="s">
        <v>224</v>
      </c>
      <c r="E149" s="3" t="s">
        <v>214</v>
      </c>
      <c r="F149" s="23" t="n">
        <v>6933.6</v>
      </c>
      <c r="G149" s="23" t="n">
        <v>8553.6</v>
      </c>
      <c r="H149" s="23" t="n">
        <v>5140.8</v>
      </c>
      <c r="I149" s="23" t="n">
        <v>3062.88</v>
      </c>
      <c r="J149" s="23" t="n">
        <v>4255.2</v>
      </c>
      <c r="K149" s="23" t="n">
        <v>6121.44</v>
      </c>
      <c r="L149" s="23" t="n">
        <v>3317.76</v>
      </c>
      <c r="M149" s="23" t="n">
        <v>6170.35348190199</v>
      </c>
      <c r="N149" s="23" t="n">
        <v>6758.77089603407</v>
      </c>
      <c r="O149" s="23" t="n">
        <v>4261.05331869348</v>
      </c>
      <c r="P149" s="23" t="n">
        <v>6758.77089603407</v>
      </c>
      <c r="Q149" s="23" t="n">
        <v>5398.42613449587</v>
      </c>
      <c r="R149" s="23" t="n">
        <v>4835.70425700764</v>
      </c>
      <c r="S149" s="23" t="n">
        <v>4835.70425700764</v>
      </c>
    </row>
    <row r="150" customFormat="false" ht="15" hidden="false" customHeight="false" outlineLevel="0" collapsed="false">
      <c r="A150" s="3" t="n">
        <v>30002198</v>
      </c>
      <c r="B150" s="3" t="s">
        <v>362</v>
      </c>
      <c r="C150" s="3" t="s">
        <v>155</v>
      </c>
      <c r="D150" s="3" t="s">
        <v>224</v>
      </c>
      <c r="E150" s="3" t="s">
        <v>212</v>
      </c>
      <c r="F150" s="23" t="n">
        <v>5419.2</v>
      </c>
      <c r="G150" s="23" t="n">
        <v>5136</v>
      </c>
      <c r="H150" s="23" t="n">
        <v>4310.4</v>
      </c>
      <c r="I150" s="23" t="n">
        <v>5755.2</v>
      </c>
      <c r="J150" s="23" t="n">
        <v>5380.8</v>
      </c>
      <c r="K150" s="23" t="n">
        <v>6830.4</v>
      </c>
      <c r="L150" s="23" t="n">
        <v>2980.8</v>
      </c>
      <c r="M150" s="23" t="n">
        <v>7237.50675238982</v>
      </c>
      <c r="N150" s="23" t="n">
        <v>7636.38807793128</v>
      </c>
      <c r="O150" s="23" t="n">
        <v>4208.80697412253</v>
      </c>
      <c r="P150" s="23" t="n">
        <v>7155.25587440848</v>
      </c>
      <c r="Q150" s="23" t="n">
        <v>6636.38807793128</v>
      </c>
      <c r="R150" s="23" t="n">
        <v>5465.18001074691</v>
      </c>
      <c r="S150" s="23" t="n">
        <v>6465.18001074691</v>
      </c>
    </row>
    <row r="151" customFormat="false" ht="15" hidden="false" customHeight="false" outlineLevel="0" collapsed="false">
      <c r="A151" s="3" t="n">
        <v>30001758</v>
      </c>
      <c r="B151" s="3" t="s">
        <v>363</v>
      </c>
      <c r="C151" s="3" t="s">
        <v>144</v>
      </c>
      <c r="D151" s="3" t="s">
        <v>213</v>
      </c>
      <c r="E151" s="3" t="s">
        <v>214</v>
      </c>
      <c r="F151" s="23" t="n">
        <v>5899.5</v>
      </c>
      <c r="G151" s="23" t="n">
        <v>4236.3</v>
      </c>
      <c r="H151" s="23" t="n">
        <v>4922.1</v>
      </c>
      <c r="I151" s="23" t="n">
        <v>4730.4</v>
      </c>
      <c r="J151" s="23" t="n">
        <v>6914.7</v>
      </c>
      <c r="K151" s="23" t="n">
        <v>5715.9</v>
      </c>
      <c r="L151" s="23" t="n">
        <v>2789.1</v>
      </c>
      <c r="M151" s="23" t="n">
        <v>4500</v>
      </c>
      <c r="N151" s="23" t="n">
        <v>4500</v>
      </c>
      <c r="O151" s="23" t="n">
        <v>2500</v>
      </c>
      <c r="P151" s="23" t="n">
        <v>4000</v>
      </c>
      <c r="Q151" s="23" t="n">
        <v>5000</v>
      </c>
      <c r="R151" s="23" t="n">
        <v>4800</v>
      </c>
      <c r="S151" s="23" t="n">
        <v>6600</v>
      </c>
    </row>
    <row r="152" customFormat="false" ht="15" hidden="false" customHeight="false" outlineLevel="0" collapsed="false">
      <c r="A152" s="3" t="n">
        <v>30002077</v>
      </c>
      <c r="B152" s="3" t="s">
        <v>364</v>
      </c>
      <c r="C152" s="3" t="s">
        <v>212</v>
      </c>
      <c r="D152" s="3" t="s">
        <v>213</v>
      </c>
      <c r="E152" s="3" t="s">
        <v>214</v>
      </c>
      <c r="F152" s="23" t="n">
        <v>2688</v>
      </c>
      <c r="G152" s="23" t="n">
        <v>9672</v>
      </c>
      <c r="H152" s="23" t="n">
        <v>8520</v>
      </c>
      <c r="I152" s="23" t="n">
        <v>6600</v>
      </c>
      <c r="J152" s="23" t="n">
        <v>2016</v>
      </c>
      <c r="K152" s="23" t="n">
        <v>2808</v>
      </c>
      <c r="L152" s="23" t="n">
        <v>2328</v>
      </c>
      <c r="M152" s="23" t="n">
        <v>4150</v>
      </c>
      <c r="N152" s="23" t="n">
        <v>4050</v>
      </c>
      <c r="O152" s="23" t="n">
        <v>1803.07133642411</v>
      </c>
      <c r="P152" s="23" t="n">
        <v>2326.09613642411</v>
      </c>
      <c r="Q152" s="23" t="n">
        <v>4686.72133642411</v>
      </c>
      <c r="R152" s="23" t="n">
        <v>3837.00075845419</v>
      </c>
      <c r="S152" s="23" t="n">
        <v>2416.34624289224</v>
      </c>
    </row>
    <row r="153" customFormat="false" ht="15" hidden="false" customHeight="false" outlineLevel="0" collapsed="false">
      <c r="A153" s="3" t="n">
        <v>30001574</v>
      </c>
      <c r="B153" s="3" t="s">
        <v>365</v>
      </c>
      <c r="C153" s="3" t="s">
        <v>139</v>
      </c>
      <c r="D153" s="3" t="s">
        <v>213</v>
      </c>
      <c r="E153" s="3" t="s">
        <v>249</v>
      </c>
      <c r="F153" s="23" t="n">
        <v>2832</v>
      </c>
      <c r="G153" s="23" t="n">
        <v>4680</v>
      </c>
      <c r="H153" s="23" t="n">
        <v>4176</v>
      </c>
      <c r="I153" s="23" t="n">
        <v>7764</v>
      </c>
      <c r="J153" s="23" t="n">
        <v>6144</v>
      </c>
      <c r="K153" s="23" t="n">
        <v>6708</v>
      </c>
      <c r="L153" s="23" t="n">
        <v>4224</v>
      </c>
      <c r="M153" s="23" t="n">
        <v>8288</v>
      </c>
      <c r="N153" s="23" t="n">
        <v>5688</v>
      </c>
      <c r="O153" s="23" t="n">
        <v>4576</v>
      </c>
      <c r="P153" s="23" t="n">
        <v>7676</v>
      </c>
      <c r="Q153" s="23" t="n">
        <v>6488</v>
      </c>
      <c r="R153" s="23" t="n">
        <v>6503.00693872729</v>
      </c>
      <c r="S153" s="23" t="n">
        <v>6540.28620174173</v>
      </c>
    </row>
    <row r="154" customFormat="false" ht="15" hidden="false" customHeight="false" outlineLevel="0" collapsed="false">
      <c r="A154" s="3" t="n">
        <v>30000176</v>
      </c>
      <c r="B154" s="3" t="s">
        <v>366</v>
      </c>
      <c r="C154" s="3" t="s">
        <v>144</v>
      </c>
      <c r="D154" s="3" t="s">
        <v>213</v>
      </c>
      <c r="E154" s="3" t="s">
        <v>214</v>
      </c>
      <c r="F154" s="23" t="n">
        <v>5510.4</v>
      </c>
      <c r="G154" s="23" t="n">
        <v>8246.4</v>
      </c>
      <c r="H154" s="23" t="n">
        <v>4996.8</v>
      </c>
      <c r="I154" s="23" t="n">
        <v>4310.4</v>
      </c>
      <c r="J154" s="23" t="n">
        <v>4483.2</v>
      </c>
      <c r="K154" s="23" t="n">
        <v>4473.6</v>
      </c>
      <c r="L154" s="23" t="n">
        <v>5553.6</v>
      </c>
      <c r="M154" s="23" t="n">
        <v>5750</v>
      </c>
      <c r="N154" s="23" t="n">
        <v>5836.8</v>
      </c>
      <c r="O154" s="23" t="n">
        <v>3614</v>
      </c>
      <c r="P154" s="23" t="n">
        <v>5150</v>
      </c>
      <c r="Q154" s="23" t="n">
        <v>6160</v>
      </c>
      <c r="R154" s="23" t="n">
        <v>4915.58691681886</v>
      </c>
      <c r="S154" s="23" t="n">
        <v>5315.58691681886</v>
      </c>
    </row>
    <row r="155" customFormat="false" ht="15" hidden="false" customHeight="false" outlineLevel="0" collapsed="false">
      <c r="A155" s="3" t="n">
        <v>30000328</v>
      </c>
      <c r="B155" s="3" t="s">
        <v>367</v>
      </c>
      <c r="C155" s="3" t="s">
        <v>139</v>
      </c>
      <c r="D155" s="3" t="s">
        <v>213</v>
      </c>
      <c r="E155" s="3" t="s">
        <v>231</v>
      </c>
      <c r="F155" s="23" t="n">
        <v>3720</v>
      </c>
      <c r="G155" s="23" t="n">
        <v>6240</v>
      </c>
      <c r="H155" s="23" t="n">
        <v>4752</v>
      </c>
      <c r="I155" s="23" t="n">
        <v>5220</v>
      </c>
      <c r="J155" s="23" t="n">
        <v>4908</v>
      </c>
      <c r="K155" s="23" t="n">
        <v>6960</v>
      </c>
      <c r="L155" s="23" t="n">
        <v>4320</v>
      </c>
      <c r="M155" s="23" t="n">
        <v>7495.01095724344</v>
      </c>
      <c r="N155" s="23" t="n">
        <v>6250</v>
      </c>
      <c r="O155" s="23" t="n">
        <v>3994.63</v>
      </c>
      <c r="P155" s="23" t="n">
        <v>7661.705</v>
      </c>
      <c r="Q155" s="23" t="n">
        <v>7099.27</v>
      </c>
      <c r="R155" s="23" t="n">
        <v>7469.76614333178</v>
      </c>
      <c r="S155" s="23" t="n">
        <v>6701.91656998054</v>
      </c>
    </row>
    <row r="156" customFormat="false" ht="15" hidden="false" customHeight="false" outlineLevel="0" collapsed="false">
      <c r="A156" s="3" t="n">
        <v>30002272</v>
      </c>
      <c r="B156" s="3" t="s">
        <v>368</v>
      </c>
      <c r="C156" s="3" t="s">
        <v>212</v>
      </c>
      <c r="D156" s="3" t="s">
        <v>213</v>
      </c>
      <c r="E156" s="3" t="s">
        <v>212</v>
      </c>
      <c r="F156" s="23" t="n">
        <v>2958</v>
      </c>
      <c r="G156" s="23" t="n">
        <v>4824</v>
      </c>
      <c r="H156" s="23" t="n">
        <v>3330</v>
      </c>
      <c r="I156" s="23" t="n">
        <v>3504</v>
      </c>
      <c r="J156" s="23" t="n">
        <v>6978</v>
      </c>
      <c r="K156" s="23" t="n">
        <v>9252</v>
      </c>
      <c r="L156" s="23" t="n">
        <v>5844</v>
      </c>
      <c r="M156" s="23" t="n">
        <v>4600</v>
      </c>
      <c r="N156" s="23" t="n">
        <v>3310</v>
      </c>
      <c r="O156" s="23" t="n">
        <v>2492</v>
      </c>
      <c r="P156" s="23" t="n">
        <v>5292</v>
      </c>
      <c r="Q156" s="23" t="n">
        <v>5819.6</v>
      </c>
      <c r="R156" s="23" t="n">
        <v>6373.61097191976</v>
      </c>
      <c r="S156" s="23" t="n">
        <v>8607.62292091779</v>
      </c>
    </row>
    <row r="157" customFormat="false" ht="15" hidden="false" customHeight="false" outlineLevel="0" collapsed="false">
      <c r="A157" s="3" t="n">
        <v>30002183</v>
      </c>
      <c r="B157" s="3" t="s">
        <v>369</v>
      </c>
      <c r="C157" s="3" t="s">
        <v>135</v>
      </c>
      <c r="D157" s="3" t="s">
        <v>224</v>
      </c>
      <c r="E157" s="3" t="s">
        <v>231</v>
      </c>
      <c r="F157" s="23" t="n">
        <v>6019.2</v>
      </c>
      <c r="G157" s="23" t="n">
        <v>4406.4</v>
      </c>
      <c r="H157" s="23" t="n">
        <v>3024</v>
      </c>
      <c r="I157" s="23" t="n">
        <v>8467.2</v>
      </c>
      <c r="J157" s="23" t="n">
        <v>4588.8</v>
      </c>
      <c r="K157" s="23" t="n">
        <v>4089.6</v>
      </c>
      <c r="L157" s="23" t="n">
        <v>604.8</v>
      </c>
      <c r="M157" s="23" t="n">
        <v>2895.44046423217</v>
      </c>
      <c r="N157" s="23" t="n">
        <v>3109.28951049197</v>
      </c>
      <c r="O157" s="23" t="n">
        <v>1834.62243790748</v>
      </c>
      <c r="P157" s="23" t="n">
        <v>2193.27725613932</v>
      </c>
      <c r="Q157" s="23" t="n">
        <v>2534.21402199302</v>
      </c>
      <c r="R157" s="23" t="n">
        <v>3238.37531655593</v>
      </c>
      <c r="S157" s="23" t="n">
        <v>3238.37531655593</v>
      </c>
    </row>
    <row r="158" customFormat="false" ht="15" hidden="false" customHeight="false" outlineLevel="0" collapsed="false">
      <c r="A158" s="3" t="n">
        <v>30002268</v>
      </c>
      <c r="B158" s="3" t="s">
        <v>370</v>
      </c>
      <c r="C158" s="3" t="s">
        <v>129</v>
      </c>
      <c r="D158" s="3" t="s">
        <v>213</v>
      </c>
      <c r="E158" s="3" t="s">
        <v>231</v>
      </c>
      <c r="F158" s="23" t="n">
        <v>9207.24</v>
      </c>
      <c r="G158" s="23" t="n">
        <v>4542.6</v>
      </c>
      <c r="H158" s="23" t="n">
        <v>3037.44</v>
      </c>
      <c r="I158" s="23" t="n">
        <v>4339.2</v>
      </c>
      <c r="J158" s="23" t="n">
        <v>4027.32</v>
      </c>
      <c r="K158" s="23" t="n">
        <v>5288.4</v>
      </c>
      <c r="L158" s="23" t="n">
        <v>2413.68</v>
      </c>
      <c r="M158" s="23" t="n">
        <v>6600</v>
      </c>
      <c r="N158" s="23" t="n">
        <v>7530</v>
      </c>
      <c r="O158" s="23" t="n">
        <v>1810</v>
      </c>
      <c r="P158" s="23" t="n">
        <v>5167.8</v>
      </c>
      <c r="Q158" s="23" t="n">
        <v>2960</v>
      </c>
      <c r="R158" s="23" t="n">
        <v>4049.16</v>
      </c>
      <c r="S158" s="23" t="n">
        <v>3199.16</v>
      </c>
    </row>
    <row r="159" customFormat="false" ht="15" hidden="false" customHeight="false" outlineLevel="0" collapsed="false">
      <c r="A159" s="3" t="n">
        <v>30001756</v>
      </c>
      <c r="B159" s="3" t="s">
        <v>371</v>
      </c>
      <c r="C159" s="3" t="s">
        <v>144</v>
      </c>
      <c r="D159" s="3" t="s">
        <v>213</v>
      </c>
      <c r="E159" s="3" t="s">
        <v>214</v>
      </c>
      <c r="F159" s="23" t="n">
        <v>4039.2</v>
      </c>
      <c r="G159" s="23" t="n">
        <v>6901.2</v>
      </c>
      <c r="H159" s="23" t="n">
        <v>4533.3</v>
      </c>
      <c r="I159" s="23" t="n">
        <v>5121.9</v>
      </c>
      <c r="J159" s="23" t="n">
        <v>5327.1</v>
      </c>
      <c r="K159" s="23" t="n">
        <v>4441.5</v>
      </c>
      <c r="L159" s="23" t="n">
        <v>3410.1</v>
      </c>
      <c r="M159" s="23" t="n">
        <v>5000</v>
      </c>
      <c r="N159" s="23" t="n">
        <v>5000</v>
      </c>
      <c r="O159" s="23" t="n">
        <v>3000</v>
      </c>
      <c r="P159" s="23" t="n">
        <v>4500</v>
      </c>
      <c r="Q159" s="23" t="n">
        <v>5000</v>
      </c>
      <c r="R159" s="23" t="n">
        <v>5000</v>
      </c>
      <c r="S159" s="23" t="n">
        <v>6000</v>
      </c>
    </row>
    <row r="160" customFormat="false" ht="15" hidden="false" customHeight="false" outlineLevel="0" collapsed="false">
      <c r="A160" s="3" t="n">
        <v>30000616</v>
      </c>
      <c r="B160" s="3" t="s">
        <v>372</v>
      </c>
      <c r="C160" s="3" t="s">
        <v>129</v>
      </c>
      <c r="D160" s="3" t="s">
        <v>213</v>
      </c>
      <c r="E160" s="3" t="s">
        <v>231</v>
      </c>
      <c r="F160" s="23" t="n">
        <v>6595.2</v>
      </c>
      <c r="G160" s="23" t="n">
        <v>5241.6</v>
      </c>
      <c r="H160" s="23" t="n">
        <v>3436.8</v>
      </c>
      <c r="I160" s="23" t="n">
        <v>6950.4</v>
      </c>
      <c r="J160" s="23" t="n">
        <v>4819.2</v>
      </c>
      <c r="K160" s="23" t="n">
        <v>3302.4</v>
      </c>
      <c r="L160" s="23" t="n">
        <v>3004.8</v>
      </c>
      <c r="M160" s="23" t="n">
        <v>4500</v>
      </c>
      <c r="N160" s="23" t="n">
        <v>6700</v>
      </c>
      <c r="O160" s="23" t="n">
        <v>2506.4</v>
      </c>
      <c r="P160" s="23" t="n">
        <v>4168</v>
      </c>
      <c r="Q160" s="23" t="n">
        <v>4500</v>
      </c>
      <c r="R160" s="23" t="n">
        <v>4420</v>
      </c>
      <c r="S160" s="23" t="n">
        <v>4720</v>
      </c>
    </row>
    <row r="161" customFormat="false" ht="15" hidden="false" customHeight="false" outlineLevel="0" collapsed="false">
      <c r="A161" s="3" t="n">
        <v>30001876</v>
      </c>
      <c r="B161" s="3" t="s">
        <v>373</v>
      </c>
      <c r="C161" s="3" t="s">
        <v>149</v>
      </c>
      <c r="D161" s="3" t="s">
        <v>224</v>
      </c>
      <c r="E161" s="3" t="s">
        <v>214</v>
      </c>
      <c r="F161" s="23" t="n">
        <v>5751</v>
      </c>
      <c r="G161" s="23" t="n">
        <v>5783.4</v>
      </c>
      <c r="H161" s="23" t="n">
        <v>6804</v>
      </c>
      <c r="I161" s="23" t="n">
        <v>5329.8</v>
      </c>
      <c r="J161" s="23" t="n">
        <v>2813.4</v>
      </c>
      <c r="K161" s="23" t="n">
        <v>3434.4</v>
      </c>
      <c r="L161" s="23" t="n">
        <v>2100.6</v>
      </c>
      <c r="M161" s="23" t="n">
        <v>4400.00001619481</v>
      </c>
      <c r="N161" s="23" t="n">
        <v>4581.60372876702</v>
      </c>
      <c r="O161" s="23" t="n">
        <v>3555.80527170104</v>
      </c>
      <c r="P161" s="23" t="n">
        <v>5381.60372876702</v>
      </c>
      <c r="Q161" s="23" t="n">
        <v>5381.60372876702</v>
      </c>
      <c r="R161" s="23" t="n">
        <v>5200</v>
      </c>
      <c r="S161" s="23" t="n">
        <v>6200</v>
      </c>
    </row>
    <row r="162" customFormat="false" ht="15" hidden="false" customHeight="false" outlineLevel="0" collapsed="false">
      <c r="A162" s="3" t="n">
        <v>30001047</v>
      </c>
      <c r="B162" s="3" t="s">
        <v>374</v>
      </c>
      <c r="C162" s="3" t="s">
        <v>155</v>
      </c>
      <c r="D162" s="3" t="s">
        <v>224</v>
      </c>
      <c r="E162" s="3" t="s">
        <v>214</v>
      </c>
      <c r="F162" s="23" t="n">
        <v>5482.08</v>
      </c>
      <c r="G162" s="23" t="n">
        <v>7067.52</v>
      </c>
      <c r="H162" s="23" t="n">
        <v>3412.8</v>
      </c>
      <c r="I162" s="23" t="n">
        <v>3214.08</v>
      </c>
      <c r="J162" s="23" t="n">
        <v>5447.52</v>
      </c>
      <c r="K162" s="23" t="n">
        <v>5175.36</v>
      </c>
      <c r="L162" s="23" t="n">
        <v>2462.4</v>
      </c>
      <c r="M162" s="23" t="n">
        <v>4244.32969431109</v>
      </c>
      <c r="N162" s="23" t="n">
        <v>4666.69917056264</v>
      </c>
      <c r="O162" s="23" t="n">
        <v>2942.11096868785</v>
      </c>
      <c r="P162" s="23" t="n">
        <v>4666.69917056264</v>
      </c>
      <c r="Q162" s="23" t="n">
        <v>3640.64413480037</v>
      </c>
      <c r="R162" s="23" t="n">
        <v>3234.01964239206</v>
      </c>
      <c r="S162" s="23" t="n">
        <v>3234.01964239206</v>
      </c>
    </row>
    <row r="163" customFormat="false" ht="15" hidden="false" customHeight="false" outlineLevel="0" collapsed="false">
      <c r="A163" s="3" t="n">
        <v>30001746</v>
      </c>
      <c r="B163" s="3" t="s">
        <v>375</v>
      </c>
      <c r="C163" s="3" t="s">
        <v>127</v>
      </c>
      <c r="D163" s="3" t="s">
        <v>213</v>
      </c>
      <c r="E163" s="3" t="s">
        <v>214</v>
      </c>
      <c r="F163" s="23" t="n">
        <v>0</v>
      </c>
      <c r="G163" s="23" t="n">
        <v>1341.36</v>
      </c>
      <c r="H163" s="23" t="n">
        <v>4105.08</v>
      </c>
      <c r="I163" s="23" t="n">
        <v>8077.32</v>
      </c>
      <c r="J163" s="23" t="n">
        <v>8595.72</v>
      </c>
      <c r="K163" s="23" t="n">
        <v>7484.4</v>
      </c>
      <c r="L163" s="23" t="n">
        <v>5767.2</v>
      </c>
      <c r="M163" s="23" t="n">
        <v>0</v>
      </c>
      <c r="N163" s="23" t="n">
        <v>6071.12</v>
      </c>
      <c r="O163" s="23" t="n">
        <v>3450</v>
      </c>
      <c r="P163" s="23" t="n">
        <v>4025.56</v>
      </c>
      <c r="Q163" s="23" t="n">
        <v>5956.68</v>
      </c>
      <c r="R163" s="23" t="n">
        <v>6513.36</v>
      </c>
      <c r="S163" s="23" t="n">
        <v>5942.24</v>
      </c>
    </row>
    <row r="164" customFormat="false" ht="15" hidden="false" customHeight="false" outlineLevel="0" collapsed="false">
      <c r="A164" s="3" t="n">
        <v>30001882</v>
      </c>
      <c r="B164" s="3" t="s">
        <v>376</v>
      </c>
      <c r="C164" s="3" t="s">
        <v>130</v>
      </c>
      <c r="D164" s="3" t="s">
        <v>213</v>
      </c>
      <c r="E164" s="3" t="s">
        <v>214</v>
      </c>
      <c r="F164" s="23" t="n">
        <v>6192</v>
      </c>
      <c r="G164" s="23" t="n">
        <v>4104</v>
      </c>
      <c r="H164" s="23" t="n">
        <v>3894</v>
      </c>
      <c r="I164" s="23" t="n">
        <v>5634</v>
      </c>
      <c r="J164" s="23" t="n">
        <v>6048</v>
      </c>
      <c r="K164" s="23" t="n">
        <v>3684</v>
      </c>
      <c r="L164" s="23" t="n">
        <v>5130</v>
      </c>
      <c r="M164" s="23" t="n">
        <v>6370</v>
      </c>
      <c r="N164" s="23" t="n">
        <v>5870</v>
      </c>
      <c r="O164" s="23" t="n">
        <v>2600.68</v>
      </c>
      <c r="P164" s="23" t="n">
        <v>6322.64</v>
      </c>
      <c r="Q164" s="23" t="n">
        <v>5258</v>
      </c>
      <c r="R164" s="23" t="n">
        <v>5186.98135031467</v>
      </c>
      <c r="S164" s="23" t="n">
        <v>5074.58720629894</v>
      </c>
    </row>
    <row r="165" customFormat="false" ht="15" hidden="false" customHeight="false" outlineLevel="0" collapsed="false">
      <c r="A165" s="3" t="n">
        <v>30002169</v>
      </c>
      <c r="B165" s="3" t="s">
        <v>377</v>
      </c>
      <c r="C165" s="3" t="s">
        <v>143</v>
      </c>
      <c r="D165" s="3" t="s">
        <v>224</v>
      </c>
      <c r="E165" s="3" t="n">
        <v>0</v>
      </c>
      <c r="F165" s="23" t="n">
        <v>4033.8</v>
      </c>
      <c r="G165" s="23" t="n">
        <v>3623.4</v>
      </c>
      <c r="H165" s="23" t="n">
        <v>4028.4</v>
      </c>
      <c r="I165" s="23" t="n">
        <v>8186.4</v>
      </c>
      <c r="J165" s="23" t="n">
        <v>4838.4</v>
      </c>
      <c r="K165" s="23" t="n">
        <v>4779</v>
      </c>
      <c r="L165" s="23" t="n">
        <v>1409.4</v>
      </c>
      <c r="M165" s="23" t="n">
        <v>5094.86044846553</v>
      </c>
      <c r="N165" s="23" t="n">
        <v>4486.13199992155</v>
      </c>
      <c r="O165" s="23" t="n">
        <v>1413.33340518263</v>
      </c>
      <c r="P165" s="23" t="n">
        <v>4086.13199992155</v>
      </c>
      <c r="Q165" s="23" t="n">
        <v>2786.13199992155</v>
      </c>
      <c r="R165" s="23" t="n">
        <v>3180</v>
      </c>
      <c r="S165" s="23" t="n">
        <v>2280</v>
      </c>
    </row>
    <row r="166" customFormat="false" ht="15" hidden="false" customHeight="false" outlineLevel="0" collapsed="false">
      <c r="A166" s="3" t="n">
        <v>30000354</v>
      </c>
      <c r="B166" s="3" t="s">
        <v>378</v>
      </c>
      <c r="C166" s="3" t="s">
        <v>212</v>
      </c>
      <c r="D166" s="3" t="s">
        <v>213</v>
      </c>
      <c r="E166" s="3" t="s">
        <v>231</v>
      </c>
      <c r="F166" s="23" t="n">
        <v>2664</v>
      </c>
      <c r="G166" s="23" t="n">
        <v>5706</v>
      </c>
      <c r="H166" s="23" t="n">
        <v>4362</v>
      </c>
      <c r="I166" s="23" t="n">
        <v>7062</v>
      </c>
      <c r="J166" s="23" t="n">
        <v>3828</v>
      </c>
      <c r="K166" s="23" t="n">
        <v>5670</v>
      </c>
      <c r="L166" s="23" t="n">
        <v>2376</v>
      </c>
      <c r="M166" s="23" t="n">
        <v>4220</v>
      </c>
      <c r="N166" s="23" t="n">
        <v>4686</v>
      </c>
      <c r="O166" s="23" t="n">
        <v>4190.7</v>
      </c>
      <c r="P166" s="23" t="n">
        <v>7671.5146</v>
      </c>
      <c r="Q166" s="23" t="n">
        <v>6279.5146</v>
      </c>
      <c r="R166" s="23" t="n">
        <v>4699.61066889681</v>
      </c>
      <c r="S166" s="23" t="n">
        <v>4663.15667769439</v>
      </c>
    </row>
    <row r="167" customFormat="false" ht="15" hidden="false" customHeight="false" outlineLevel="0" collapsed="false">
      <c r="A167" s="3" t="n">
        <v>30002184</v>
      </c>
      <c r="B167" s="3" t="s">
        <v>379</v>
      </c>
      <c r="C167" s="3" t="s">
        <v>135</v>
      </c>
      <c r="D167" s="3" t="s">
        <v>224</v>
      </c>
      <c r="E167" s="3" t="s">
        <v>231</v>
      </c>
      <c r="F167" s="23" t="n">
        <v>5798.4</v>
      </c>
      <c r="G167" s="23" t="n">
        <v>4809.6</v>
      </c>
      <c r="H167" s="23" t="n">
        <v>2716.8</v>
      </c>
      <c r="I167" s="23" t="n">
        <v>7430.4</v>
      </c>
      <c r="J167" s="23" t="n">
        <v>4128</v>
      </c>
      <c r="K167" s="23" t="n">
        <v>3619.2</v>
      </c>
      <c r="L167" s="23" t="n">
        <v>950.4</v>
      </c>
      <c r="M167" s="23" t="n">
        <v>2603.59179382903</v>
      </c>
      <c r="N167" s="23" t="n">
        <v>3485.34655578156</v>
      </c>
      <c r="O167" s="23" t="n">
        <v>2000.19281401064</v>
      </c>
      <c r="P167" s="23" t="n">
        <v>2491.89168553722</v>
      </c>
      <c r="Q167" s="23" t="n">
        <v>3773.67524416965</v>
      </c>
      <c r="R167" s="23" t="n">
        <v>3426.04027244976</v>
      </c>
      <c r="S167" s="23" t="n">
        <v>3426.04027244976</v>
      </c>
    </row>
    <row r="168" customFormat="false" ht="15" hidden="false" customHeight="false" outlineLevel="0" collapsed="false">
      <c r="A168" s="3" t="n">
        <v>30000075</v>
      </c>
      <c r="B168" s="3" t="s">
        <v>380</v>
      </c>
      <c r="C168" s="3" t="s">
        <v>143</v>
      </c>
      <c r="D168" s="3" t="s">
        <v>224</v>
      </c>
      <c r="E168" s="3" t="s">
        <v>231</v>
      </c>
      <c r="F168" s="23" t="n">
        <v>8811</v>
      </c>
      <c r="G168" s="23" t="n">
        <v>2619</v>
      </c>
      <c r="H168" s="23" t="n">
        <v>1575</v>
      </c>
      <c r="I168" s="23" t="n">
        <v>5679</v>
      </c>
      <c r="J168" s="23" t="n">
        <v>5931</v>
      </c>
      <c r="K168" s="23" t="n">
        <v>3627</v>
      </c>
      <c r="L168" s="23" t="n">
        <v>3672</v>
      </c>
      <c r="M168" s="23" t="n">
        <v>7000.00002313545</v>
      </c>
      <c r="N168" s="23" t="n">
        <v>8816.03728767022</v>
      </c>
      <c r="O168" s="23" t="n">
        <v>5558.05271701035</v>
      </c>
      <c r="P168" s="23" t="n">
        <v>8816.03728767022</v>
      </c>
      <c r="Q168" s="23" t="n">
        <v>5259.4338982386</v>
      </c>
      <c r="R168" s="23" t="n">
        <v>5000</v>
      </c>
      <c r="S168" s="23" t="n">
        <v>5000</v>
      </c>
    </row>
    <row r="169" customFormat="false" ht="15" hidden="false" customHeight="false" outlineLevel="0" collapsed="false">
      <c r="A169" s="3" t="n">
        <v>30001747</v>
      </c>
      <c r="B169" s="3" t="s">
        <v>381</v>
      </c>
      <c r="C169" s="3" t="s">
        <v>127</v>
      </c>
      <c r="D169" s="3" t="s">
        <v>213</v>
      </c>
      <c r="E169" s="3" t="s">
        <v>214</v>
      </c>
      <c r="F169" s="23" t="n">
        <v>3.24</v>
      </c>
      <c r="G169" s="23" t="n">
        <v>1318.68</v>
      </c>
      <c r="H169" s="23" t="n">
        <v>4386.96</v>
      </c>
      <c r="I169" s="23" t="n">
        <v>7720.92</v>
      </c>
      <c r="J169" s="23" t="n">
        <v>8508.24</v>
      </c>
      <c r="K169" s="23" t="n">
        <v>6143.04</v>
      </c>
      <c r="L169" s="23" t="n">
        <v>5316.84</v>
      </c>
      <c r="M169" s="23" t="n">
        <v>0</v>
      </c>
      <c r="N169" s="23" t="n">
        <v>5771.12</v>
      </c>
      <c r="O169" s="23" t="n">
        <v>3300</v>
      </c>
      <c r="P169" s="23" t="n">
        <v>3925.56</v>
      </c>
      <c r="Q169" s="23" t="n">
        <v>5656.68</v>
      </c>
      <c r="R169" s="23" t="n">
        <v>5742.24</v>
      </c>
      <c r="S169" s="23" t="n">
        <v>6842.24</v>
      </c>
    </row>
    <row r="170" customFormat="false" ht="15" hidden="false" customHeight="false" outlineLevel="0" collapsed="false">
      <c r="A170" s="3" t="n">
        <v>30000360</v>
      </c>
      <c r="B170" s="3" t="s">
        <v>382</v>
      </c>
      <c r="C170" s="3" t="s">
        <v>139</v>
      </c>
      <c r="D170" s="3" t="s">
        <v>213</v>
      </c>
      <c r="E170" s="3" t="s">
        <v>214</v>
      </c>
      <c r="F170" s="23" t="n">
        <v>4092</v>
      </c>
      <c r="G170" s="23" t="n">
        <v>5052</v>
      </c>
      <c r="H170" s="23" t="n">
        <v>1212</v>
      </c>
      <c r="I170" s="23" t="n">
        <v>9996</v>
      </c>
      <c r="J170" s="23" t="n">
        <v>2460</v>
      </c>
      <c r="K170" s="23" t="n">
        <v>5136</v>
      </c>
      <c r="L170" s="23" t="n">
        <v>1908</v>
      </c>
      <c r="M170" s="23" t="n">
        <v>4316</v>
      </c>
      <c r="N170" s="23" t="n">
        <v>4216</v>
      </c>
      <c r="O170" s="23" t="n">
        <v>3707.12</v>
      </c>
      <c r="P170" s="23" t="n">
        <v>4725.1816</v>
      </c>
      <c r="Q170" s="23" t="n">
        <v>5150.6</v>
      </c>
      <c r="R170" s="23" t="n">
        <v>4188.39146925322</v>
      </c>
      <c r="S170" s="23" t="n">
        <v>3770.51991485712</v>
      </c>
    </row>
    <row r="171" customFormat="false" ht="15" hidden="false" customHeight="false" outlineLevel="0" collapsed="false">
      <c r="A171" s="3" t="n">
        <v>30001598</v>
      </c>
      <c r="B171" s="3" t="s">
        <v>383</v>
      </c>
      <c r="C171" s="3" t="s">
        <v>129</v>
      </c>
      <c r="D171" s="3" t="s">
        <v>213</v>
      </c>
      <c r="E171" s="3" t="s">
        <v>214</v>
      </c>
      <c r="F171" s="23" t="n">
        <v>7392</v>
      </c>
      <c r="G171" s="23" t="n">
        <v>7696</v>
      </c>
      <c r="H171" s="23" t="n">
        <v>2792</v>
      </c>
      <c r="I171" s="23" t="n">
        <v>3200</v>
      </c>
      <c r="J171" s="23" t="n">
        <v>5760</v>
      </c>
      <c r="K171" s="23" t="n">
        <v>1064</v>
      </c>
      <c r="L171" s="23" t="n">
        <v>2168</v>
      </c>
      <c r="M171" s="23" t="n">
        <v>7998</v>
      </c>
      <c r="N171" s="23" t="n">
        <v>10100</v>
      </c>
      <c r="O171" s="23" t="n">
        <v>6590</v>
      </c>
      <c r="P171" s="23" t="n">
        <v>9446</v>
      </c>
      <c r="Q171" s="23" t="n">
        <v>6200</v>
      </c>
      <c r="R171" s="23" t="n">
        <v>5310.8</v>
      </c>
      <c r="S171" s="23" t="n">
        <v>6610.8</v>
      </c>
    </row>
    <row r="172" customFormat="false" ht="15" hidden="false" customHeight="false" outlineLevel="0" collapsed="false">
      <c r="A172" s="3" t="n">
        <v>30000560</v>
      </c>
      <c r="B172" s="3" t="s">
        <v>384</v>
      </c>
      <c r="C172" s="3" t="s">
        <v>149</v>
      </c>
      <c r="D172" s="3" t="s">
        <v>224</v>
      </c>
      <c r="E172" s="3" t="s">
        <v>231</v>
      </c>
      <c r="F172" s="23" t="n">
        <v>5000.8</v>
      </c>
      <c r="G172" s="23" t="n">
        <v>4093.6</v>
      </c>
      <c r="H172" s="23" t="n">
        <v>4328.8</v>
      </c>
      <c r="I172" s="23" t="n">
        <v>5258.4</v>
      </c>
      <c r="J172" s="23" t="n">
        <v>5163.2</v>
      </c>
      <c r="K172" s="23" t="n">
        <v>3914.4</v>
      </c>
      <c r="L172" s="23" t="n">
        <v>2783.2</v>
      </c>
      <c r="M172" s="23" t="n">
        <v>4900.0000670928</v>
      </c>
      <c r="N172" s="23" t="n">
        <v>4855.66033894316</v>
      </c>
      <c r="O172" s="23" t="n">
        <v>2914.60677790133</v>
      </c>
      <c r="P172" s="23" t="n">
        <v>4633.49050841474</v>
      </c>
      <c r="Q172" s="23" t="n">
        <v>4633.49050841474</v>
      </c>
      <c r="R172" s="23" t="n">
        <v>4900</v>
      </c>
      <c r="S172" s="23" t="n">
        <v>4900</v>
      </c>
    </row>
    <row r="173" customFormat="false" ht="15" hidden="false" customHeight="false" outlineLevel="0" collapsed="false">
      <c r="A173" s="3" t="n">
        <v>30001018</v>
      </c>
      <c r="B173" s="3" t="s">
        <v>385</v>
      </c>
      <c r="C173" s="3" t="s">
        <v>155</v>
      </c>
      <c r="D173" s="3" t="s">
        <v>224</v>
      </c>
      <c r="E173" s="3" t="s">
        <v>214</v>
      </c>
      <c r="F173" s="23" t="n">
        <v>5133.6</v>
      </c>
      <c r="G173" s="23" t="n">
        <v>4852.08</v>
      </c>
      <c r="H173" s="23" t="n">
        <v>2782.08</v>
      </c>
      <c r="I173" s="23" t="n">
        <v>5293.68</v>
      </c>
      <c r="J173" s="23" t="n">
        <v>3946.8</v>
      </c>
      <c r="K173" s="23" t="n">
        <v>5707.68</v>
      </c>
      <c r="L173" s="23" t="n">
        <v>1981.68</v>
      </c>
      <c r="M173" s="23" t="n">
        <v>4443.87504762933</v>
      </c>
      <c r="N173" s="23" t="n">
        <v>4743.84203204385</v>
      </c>
      <c r="O173" s="23" t="n">
        <v>2838.06352934591</v>
      </c>
      <c r="P173" s="23" t="n">
        <v>4157.02726483264</v>
      </c>
      <c r="Q173" s="23" t="n">
        <v>4976.42722323818</v>
      </c>
      <c r="R173" s="23" t="n">
        <v>4452.75880150978</v>
      </c>
      <c r="S173" s="23" t="n">
        <v>4820.64985266446</v>
      </c>
    </row>
    <row r="174" customFormat="false" ht="15" hidden="false" customHeight="false" outlineLevel="0" collapsed="false">
      <c r="A174" s="3" t="n">
        <v>30001405</v>
      </c>
      <c r="B174" s="3" t="s">
        <v>386</v>
      </c>
      <c r="C174" s="3" t="s">
        <v>139</v>
      </c>
      <c r="D174" s="3" t="s">
        <v>213</v>
      </c>
      <c r="E174" s="3" t="s">
        <v>231</v>
      </c>
      <c r="F174" s="23" t="n">
        <v>3780</v>
      </c>
      <c r="G174" s="23" t="n">
        <v>6052.5</v>
      </c>
      <c r="H174" s="23" t="n">
        <v>4297.5</v>
      </c>
      <c r="I174" s="23" t="n">
        <v>4104</v>
      </c>
      <c r="J174" s="23" t="n">
        <v>4603.5</v>
      </c>
      <c r="K174" s="23" t="n">
        <v>4851</v>
      </c>
      <c r="L174" s="23" t="n">
        <v>1638</v>
      </c>
      <c r="M174" s="23" t="n">
        <v>4790</v>
      </c>
      <c r="N174" s="23" t="n">
        <v>4290</v>
      </c>
      <c r="O174" s="23" t="n">
        <v>3313.44</v>
      </c>
      <c r="P174" s="23" t="n">
        <v>4282.62125</v>
      </c>
      <c r="Q174" s="23" t="n">
        <v>3584.15</v>
      </c>
      <c r="R174" s="23" t="n">
        <v>3619.37869768929</v>
      </c>
      <c r="S174" s="23" t="n">
        <v>3371.30723532994</v>
      </c>
    </row>
    <row r="175" customFormat="false" ht="15" hidden="false" customHeight="false" outlineLevel="0" collapsed="false">
      <c r="A175" s="3" t="n">
        <v>30000610</v>
      </c>
      <c r="B175" s="3" t="s">
        <v>387</v>
      </c>
      <c r="C175" s="3" t="s">
        <v>129</v>
      </c>
      <c r="D175" s="3" t="s">
        <v>213</v>
      </c>
      <c r="E175" s="3" t="s">
        <v>231</v>
      </c>
      <c r="F175" s="23" t="n">
        <v>9676.8</v>
      </c>
      <c r="G175" s="23" t="n">
        <v>3050.88</v>
      </c>
      <c r="H175" s="23" t="n">
        <v>2446.08</v>
      </c>
      <c r="I175" s="23" t="n">
        <v>4609.92</v>
      </c>
      <c r="J175" s="23" t="n">
        <v>2903.04</v>
      </c>
      <c r="K175" s="23" t="n">
        <v>4838.4</v>
      </c>
      <c r="L175" s="23" t="n">
        <v>1626.24</v>
      </c>
      <c r="M175" s="23" t="n">
        <v>7000</v>
      </c>
      <c r="N175" s="23" t="n">
        <v>6820</v>
      </c>
      <c r="O175" s="23" t="n">
        <v>4320</v>
      </c>
      <c r="P175" s="23" t="n">
        <v>4377</v>
      </c>
      <c r="Q175" s="23" t="n">
        <v>4470</v>
      </c>
      <c r="R175" s="23" t="n">
        <v>3807.52</v>
      </c>
      <c r="S175" s="23" t="n">
        <v>5657.52</v>
      </c>
    </row>
    <row r="176" customFormat="false" ht="15" hidden="false" customHeight="false" outlineLevel="0" collapsed="false">
      <c r="A176" s="3" t="n">
        <v>30000660</v>
      </c>
      <c r="B176" s="3" t="s">
        <v>388</v>
      </c>
      <c r="C176" s="3" t="s">
        <v>212</v>
      </c>
      <c r="D176" s="3" t="s">
        <v>224</v>
      </c>
      <c r="E176" s="3" t="s">
        <v>214</v>
      </c>
      <c r="F176" s="23" t="n">
        <v>6393.6</v>
      </c>
      <c r="G176" s="23" t="n">
        <v>4879.2</v>
      </c>
      <c r="H176" s="23" t="n">
        <v>4183.2</v>
      </c>
      <c r="I176" s="23" t="n">
        <v>4584</v>
      </c>
      <c r="J176" s="23" t="n">
        <v>3931.2</v>
      </c>
      <c r="K176" s="23" t="n">
        <v>3511.2</v>
      </c>
      <c r="L176" s="23" t="n">
        <v>2388</v>
      </c>
      <c r="M176" s="23" t="n">
        <v>3621.83037099322</v>
      </c>
      <c r="N176" s="23" t="n">
        <v>4617.96637070017</v>
      </c>
      <c r="O176" s="23" t="n">
        <v>3673.22657864138</v>
      </c>
      <c r="P176" s="23" t="n">
        <v>7278.21577080783</v>
      </c>
      <c r="Q176" s="23" t="n">
        <v>5939.3328072376</v>
      </c>
      <c r="R176" s="23" t="n">
        <v>4286.71602156085</v>
      </c>
      <c r="S176" s="23" t="n">
        <v>4286.71602156085</v>
      </c>
    </row>
    <row r="177" customFormat="false" ht="15" hidden="false" customHeight="false" outlineLevel="0" collapsed="false">
      <c r="A177" s="3" t="n">
        <v>30001980</v>
      </c>
      <c r="B177" s="3" t="s">
        <v>389</v>
      </c>
      <c r="C177" s="3" t="s">
        <v>139</v>
      </c>
      <c r="D177" s="3" t="s">
        <v>213</v>
      </c>
      <c r="E177" s="3" t="s">
        <v>214</v>
      </c>
      <c r="F177" s="23" t="n">
        <v>5620.5</v>
      </c>
      <c r="G177" s="23" t="n">
        <v>3213</v>
      </c>
      <c r="H177" s="23" t="n">
        <v>4077</v>
      </c>
      <c r="I177" s="23" t="n">
        <v>5782.5</v>
      </c>
      <c r="J177" s="23" t="n">
        <v>4077</v>
      </c>
      <c r="K177" s="23" t="n">
        <v>4590</v>
      </c>
      <c r="L177" s="23" t="n">
        <v>2614.5</v>
      </c>
      <c r="M177" s="23" t="n">
        <v>4313</v>
      </c>
      <c r="N177" s="23" t="n">
        <v>4763</v>
      </c>
      <c r="O177" s="23" t="n">
        <v>3854</v>
      </c>
      <c r="P177" s="23" t="n">
        <v>4785.5</v>
      </c>
      <c r="Q177" s="23" t="n">
        <v>4985.5</v>
      </c>
      <c r="R177" s="23" t="n">
        <v>4929.1580623556</v>
      </c>
      <c r="S177" s="23" t="n">
        <v>4157.09834376762</v>
      </c>
    </row>
    <row r="178" customFormat="false" ht="15" hidden="false" customHeight="false" outlineLevel="0" collapsed="false">
      <c r="A178" s="3" t="n">
        <v>30001764</v>
      </c>
      <c r="B178" s="3" t="s">
        <v>390</v>
      </c>
      <c r="C178" s="3" t="s">
        <v>144</v>
      </c>
      <c r="D178" s="3" t="s">
        <v>213</v>
      </c>
      <c r="E178" s="3" t="s">
        <v>231</v>
      </c>
      <c r="F178" s="23" t="n">
        <v>4725</v>
      </c>
      <c r="G178" s="23" t="n">
        <v>4433.4</v>
      </c>
      <c r="H178" s="23" t="n">
        <v>2187</v>
      </c>
      <c r="I178" s="23" t="n">
        <v>4287.6</v>
      </c>
      <c r="J178" s="23" t="n">
        <v>6798.6</v>
      </c>
      <c r="K178" s="23" t="n">
        <v>4374</v>
      </c>
      <c r="L178" s="23" t="n">
        <v>2359.8</v>
      </c>
      <c r="M178" s="23" t="n">
        <v>4567</v>
      </c>
      <c r="N178" s="23" t="n">
        <v>4667</v>
      </c>
      <c r="O178" s="23" t="n">
        <v>3321.6</v>
      </c>
      <c r="P178" s="23" t="n">
        <v>4867</v>
      </c>
      <c r="Q178" s="23" t="n">
        <v>4726.4</v>
      </c>
      <c r="R178" s="23" t="n">
        <v>4100</v>
      </c>
      <c r="S178" s="23" t="n">
        <v>4893.4</v>
      </c>
    </row>
    <row r="179" customFormat="false" ht="15" hidden="false" customHeight="false" outlineLevel="0" collapsed="false">
      <c r="A179" s="3" t="n">
        <v>30002277</v>
      </c>
      <c r="B179" s="3" t="s">
        <v>391</v>
      </c>
      <c r="C179" s="3" t="s">
        <v>212</v>
      </c>
      <c r="D179" s="3" t="s">
        <v>224</v>
      </c>
      <c r="E179" s="3" t="n">
        <v>0</v>
      </c>
      <c r="F179" s="23" t="n">
        <v>7850.192</v>
      </c>
      <c r="G179" s="23" t="n">
        <v>6263.488</v>
      </c>
      <c r="H179" s="23" t="n">
        <v>1413.104</v>
      </c>
      <c r="I179" s="23" t="n">
        <v>2312.352</v>
      </c>
      <c r="J179" s="23" t="n">
        <v>3336.592</v>
      </c>
      <c r="K179" s="23" t="n">
        <v>5537.84</v>
      </c>
      <c r="L179" s="23" t="n">
        <v>1173.536</v>
      </c>
      <c r="M179" s="23" t="n">
        <v>9000</v>
      </c>
      <c r="N179" s="23" t="n">
        <v>6000</v>
      </c>
      <c r="O179" s="23" t="n">
        <v>6000</v>
      </c>
      <c r="P179" s="23" t="n">
        <v>6000</v>
      </c>
      <c r="Q179" s="23" t="n">
        <v>5000</v>
      </c>
      <c r="R179" s="23" t="n">
        <v>5000</v>
      </c>
      <c r="S179" s="23" t="n">
        <v>5000</v>
      </c>
    </row>
    <row r="180" customFormat="false" ht="15" hidden="false" customHeight="false" outlineLevel="0" collapsed="false">
      <c r="A180" s="3" t="n">
        <v>30000478</v>
      </c>
      <c r="B180" s="3" t="s">
        <v>392</v>
      </c>
      <c r="C180" s="3" t="s">
        <v>139</v>
      </c>
      <c r="D180" s="3" t="s">
        <v>213</v>
      </c>
      <c r="E180" s="3" t="s">
        <v>231</v>
      </c>
      <c r="F180" s="23" t="n">
        <v>3336</v>
      </c>
      <c r="G180" s="23" t="n">
        <v>5688</v>
      </c>
      <c r="H180" s="23" t="n">
        <v>4116</v>
      </c>
      <c r="I180" s="23" t="n">
        <v>3732</v>
      </c>
      <c r="J180" s="23" t="n">
        <v>3516</v>
      </c>
      <c r="K180" s="23" t="n">
        <v>6216</v>
      </c>
      <c r="L180" s="23" t="n">
        <v>1692</v>
      </c>
      <c r="M180" s="23" t="n">
        <v>5144</v>
      </c>
      <c r="N180" s="23" t="n">
        <v>5084</v>
      </c>
      <c r="O180" s="23" t="n">
        <v>3692.42</v>
      </c>
      <c r="P180" s="23" t="n">
        <v>4330.82</v>
      </c>
      <c r="Q180" s="23" t="n">
        <v>5079.62</v>
      </c>
      <c r="R180" s="23" t="n">
        <v>4550.18221698551</v>
      </c>
      <c r="S180" s="23" t="n">
        <v>4021.22614561375</v>
      </c>
    </row>
    <row r="181" customFormat="false" ht="15" hidden="false" customHeight="false" outlineLevel="0" collapsed="false">
      <c r="A181" s="3" t="n">
        <v>30000351</v>
      </c>
      <c r="B181" s="3" t="s">
        <v>393</v>
      </c>
      <c r="C181" s="3" t="s">
        <v>212</v>
      </c>
      <c r="D181" s="3" t="s">
        <v>213</v>
      </c>
      <c r="E181" s="3" t="s">
        <v>214</v>
      </c>
      <c r="F181" s="23" t="n">
        <v>4236</v>
      </c>
      <c r="G181" s="23" t="n">
        <v>4524</v>
      </c>
      <c r="H181" s="23" t="n">
        <v>3672</v>
      </c>
      <c r="I181" s="23" t="n">
        <v>4824</v>
      </c>
      <c r="J181" s="23" t="n">
        <v>3558</v>
      </c>
      <c r="K181" s="23" t="n">
        <v>5730</v>
      </c>
      <c r="L181" s="23" t="n">
        <v>2034</v>
      </c>
      <c r="M181" s="23" t="n">
        <v>5325.37585905639</v>
      </c>
      <c r="N181" s="23" t="n">
        <v>4288</v>
      </c>
      <c r="O181" s="23" t="n">
        <v>3632.395</v>
      </c>
      <c r="P181" s="23" t="n">
        <v>4149.5</v>
      </c>
      <c r="Q181" s="23" t="n">
        <v>4131.21</v>
      </c>
      <c r="R181" s="23" t="n">
        <v>4058.07728931195</v>
      </c>
      <c r="S181" s="23" t="n">
        <v>2950.15990393332</v>
      </c>
    </row>
    <row r="182" customFormat="false" ht="15" hidden="false" customHeight="false" outlineLevel="0" collapsed="false">
      <c r="A182" s="3" t="n">
        <v>30001996</v>
      </c>
      <c r="B182" s="3" t="s">
        <v>394</v>
      </c>
      <c r="C182" s="3" t="s">
        <v>135</v>
      </c>
      <c r="D182" s="3" t="s">
        <v>224</v>
      </c>
      <c r="E182" s="3" t="s">
        <v>214</v>
      </c>
      <c r="F182" s="23" t="n">
        <v>5607</v>
      </c>
      <c r="G182" s="23" t="n">
        <v>5058</v>
      </c>
      <c r="H182" s="23" t="n">
        <v>1890</v>
      </c>
      <c r="I182" s="23" t="n">
        <v>5895</v>
      </c>
      <c r="J182" s="23" t="n">
        <v>2835</v>
      </c>
      <c r="K182" s="23" t="n">
        <v>5067</v>
      </c>
      <c r="L182" s="23" t="n">
        <v>1908</v>
      </c>
      <c r="M182" s="23" t="n">
        <v>3368.08518430513</v>
      </c>
      <c r="N182" s="23" t="n">
        <v>4008.39006753845</v>
      </c>
      <c r="O182" s="23" t="n">
        <v>2674.284939522</v>
      </c>
      <c r="P182" s="23" t="n">
        <v>4008.39006753845</v>
      </c>
      <c r="Q182" s="23" t="n">
        <v>4908.39004671655</v>
      </c>
      <c r="R182" s="23" t="n">
        <v>4268.08510638298</v>
      </c>
      <c r="S182" s="23" t="n">
        <v>4268.08510638298</v>
      </c>
    </row>
    <row r="183" customFormat="false" ht="15" hidden="false" customHeight="false" outlineLevel="0" collapsed="false">
      <c r="A183" s="3" t="n">
        <v>30001657</v>
      </c>
      <c r="B183" s="3" t="s">
        <v>395</v>
      </c>
      <c r="C183" s="3" t="s">
        <v>144</v>
      </c>
      <c r="D183" s="3" t="s">
        <v>213</v>
      </c>
      <c r="E183" s="3" t="s">
        <v>231</v>
      </c>
      <c r="F183" s="23" t="n">
        <v>3892.32</v>
      </c>
      <c r="G183" s="23" t="n">
        <v>3736.8</v>
      </c>
      <c r="H183" s="23" t="n">
        <v>3805.92</v>
      </c>
      <c r="I183" s="23" t="n">
        <v>4691.52</v>
      </c>
      <c r="J183" s="23" t="n">
        <v>5806.08</v>
      </c>
      <c r="K183" s="23" t="n">
        <v>4341.6</v>
      </c>
      <c r="L183" s="23" t="n">
        <v>4034.88</v>
      </c>
      <c r="M183" s="23" t="n">
        <v>3677.76</v>
      </c>
      <c r="N183" s="23" t="n">
        <v>4188.8</v>
      </c>
      <c r="O183" s="23" t="n">
        <v>3330</v>
      </c>
      <c r="P183" s="23" t="n">
        <v>4244.32</v>
      </c>
      <c r="Q183" s="23" t="n">
        <v>4909.76</v>
      </c>
      <c r="R183" s="23" t="n">
        <v>4727.6</v>
      </c>
      <c r="S183" s="23" t="n">
        <v>4159.76</v>
      </c>
    </row>
    <row r="184" customFormat="false" ht="15" hidden="false" customHeight="false" outlineLevel="0" collapsed="false">
      <c r="A184" s="3" t="n">
        <v>30000490</v>
      </c>
      <c r="B184" s="3" t="s">
        <v>396</v>
      </c>
      <c r="C184" s="3" t="s">
        <v>155</v>
      </c>
      <c r="D184" s="3" t="s">
        <v>224</v>
      </c>
      <c r="E184" s="3" t="s">
        <v>231</v>
      </c>
      <c r="F184" s="23" t="n">
        <v>4309.2</v>
      </c>
      <c r="G184" s="23" t="n">
        <v>5961.6</v>
      </c>
      <c r="H184" s="23" t="n">
        <v>3466.8</v>
      </c>
      <c r="I184" s="23" t="n">
        <v>5302.8</v>
      </c>
      <c r="J184" s="23" t="n">
        <v>3034.8</v>
      </c>
      <c r="K184" s="23" t="n">
        <v>3909.6</v>
      </c>
      <c r="L184" s="23" t="n">
        <v>1738.8</v>
      </c>
      <c r="M184" s="23" t="n">
        <v>4176.92049376102</v>
      </c>
      <c r="N184" s="23" t="n">
        <v>4845.46101061165</v>
      </c>
      <c r="O184" s="23" t="n">
        <v>3157.70481448792</v>
      </c>
      <c r="P184" s="23" t="n">
        <v>4845.46101061165</v>
      </c>
      <c r="Q184" s="23" t="n">
        <v>2131.51057992037</v>
      </c>
      <c r="R184" s="23" t="n">
        <v>2022.02340326374</v>
      </c>
      <c r="S184" s="23" t="n">
        <v>2022.02340326374</v>
      </c>
    </row>
    <row r="185" customFormat="false" ht="15" hidden="false" customHeight="false" outlineLevel="0" collapsed="false">
      <c r="A185" s="3" t="n">
        <v>30001083</v>
      </c>
      <c r="B185" s="3" t="s">
        <v>397</v>
      </c>
      <c r="C185" s="3" t="s">
        <v>155</v>
      </c>
      <c r="D185" s="3" t="s">
        <v>224</v>
      </c>
      <c r="E185" s="3" t="s">
        <v>214</v>
      </c>
      <c r="F185" s="23" t="n">
        <v>3030.72</v>
      </c>
      <c r="G185" s="23" t="n">
        <v>3759.36</v>
      </c>
      <c r="H185" s="23" t="n">
        <v>2291.52</v>
      </c>
      <c r="I185" s="23" t="n">
        <v>6394.08</v>
      </c>
      <c r="J185" s="23" t="n">
        <v>6151.2</v>
      </c>
      <c r="K185" s="23" t="n">
        <v>4181.76</v>
      </c>
      <c r="L185" s="23" t="n">
        <v>2170.08</v>
      </c>
      <c r="M185" s="23" t="n">
        <v>4804.44262760454</v>
      </c>
      <c r="N185" s="23" t="n">
        <v>3174.21964292043</v>
      </c>
      <c r="O185" s="23" t="n">
        <v>2442.12975667692</v>
      </c>
      <c r="P185" s="23" t="n">
        <v>3303.80747002519</v>
      </c>
      <c r="Q185" s="23" t="n">
        <v>3446.66461288233</v>
      </c>
      <c r="R185" s="23" t="n">
        <v>3272.08294841713</v>
      </c>
      <c r="S185" s="23" t="n">
        <v>3692.96832613481</v>
      </c>
    </row>
    <row r="186" customFormat="false" ht="15" hidden="false" customHeight="false" outlineLevel="0" collapsed="false">
      <c r="A186" s="3" t="n">
        <v>30000245</v>
      </c>
      <c r="B186" s="3" t="s">
        <v>398</v>
      </c>
      <c r="C186" s="3" t="s">
        <v>135</v>
      </c>
      <c r="D186" s="3" t="s">
        <v>213</v>
      </c>
      <c r="E186" s="3" t="s">
        <v>231</v>
      </c>
      <c r="F186" s="23" t="n">
        <v>7464</v>
      </c>
      <c r="G186" s="23" t="n">
        <v>5508</v>
      </c>
      <c r="H186" s="23" t="n">
        <v>2748</v>
      </c>
      <c r="I186" s="23" t="n">
        <v>3444</v>
      </c>
      <c r="J186" s="23" t="n">
        <v>2196</v>
      </c>
      <c r="K186" s="23" t="n">
        <v>4020</v>
      </c>
      <c r="L186" s="23" t="n">
        <v>1464</v>
      </c>
      <c r="M186" s="23" t="n">
        <v>2847.91072027233</v>
      </c>
      <c r="N186" s="23" t="n">
        <v>3636</v>
      </c>
      <c r="O186" s="23" t="n">
        <v>3209.4</v>
      </c>
      <c r="P186" s="23" t="n">
        <v>3628.4</v>
      </c>
      <c r="Q186" s="23" t="n">
        <v>3459.5</v>
      </c>
      <c r="R186" s="23" t="n">
        <v>3310.8168099596</v>
      </c>
      <c r="S186" s="23" t="n">
        <v>3044.62146658087</v>
      </c>
    </row>
    <row r="187" customFormat="false" ht="15" hidden="false" customHeight="false" outlineLevel="0" collapsed="false">
      <c r="A187" s="3" t="n">
        <v>30000559</v>
      </c>
      <c r="B187" s="3" t="s">
        <v>399</v>
      </c>
      <c r="C187" s="3" t="s">
        <v>149</v>
      </c>
      <c r="D187" s="3" t="s">
        <v>224</v>
      </c>
      <c r="E187" s="3" t="s">
        <v>249</v>
      </c>
      <c r="F187" s="23" t="n">
        <v>4816</v>
      </c>
      <c r="G187" s="23" t="n">
        <v>2850.4</v>
      </c>
      <c r="H187" s="23" t="n">
        <v>3214.4</v>
      </c>
      <c r="I187" s="23" t="n">
        <v>5488</v>
      </c>
      <c r="J187" s="23" t="n">
        <v>3841.6</v>
      </c>
      <c r="K187" s="23" t="n">
        <v>5168.8</v>
      </c>
      <c r="L187" s="23" t="n">
        <v>1730.4</v>
      </c>
      <c r="M187" s="23" t="n">
        <v>4087.15103671945</v>
      </c>
      <c r="N187" s="23" t="n">
        <v>4877.83016947158</v>
      </c>
      <c r="O187" s="23" t="n">
        <v>2573.40828410163</v>
      </c>
      <c r="P187" s="23" t="n">
        <v>4585.37728806246</v>
      </c>
      <c r="Q187" s="23" t="n">
        <v>4385.37728806246</v>
      </c>
      <c r="R187" s="23" t="n">
        <v>4400</v>
      </c>
      <c r="S187" s="23" t="n">
        <v>4400</v>
      </c>
    </row>
    <row r="188" customFormat="false" ht="15" hidden="false" customHeight="false" outlineLevel="0" collapsed="false">
      <c r="A188" s="3" t="n">
        <v>30001946</v>
      </c>
      <c r="B188" s="3" t="s">
        <v>400</v>
      </c>
      <c r="C188" s="3" t="s">
        <v>135</v>
      </c>
      <c r="D188" s="3" t="s">
        <v>224</v>
      </c>
      <c r="E188" s="3" t="s">
        <v>214</v>
      </c>
      <c r="F188" s="23" t="n">
        <v>2822.4</v>
      </c>
      <c r="G188" s="23" t="n">
        <v>3926.4</v>
      </c>
      <c r="H188" s="23" t="n">
        <v>3417.6</v>
      </c>
      <c r="I188" s="23" t="n">
        <v>5606.4</v>
      </c>
      <c r="J188" s="23" t="n">
        <v>5116.8</v>
      </c>
      <c r="K188" s="23" t="n">
        <v>4281.6</v>
      </c>
      <c r="L188" s="23" t="n">
        <v>768</v>
      </c>
      <c r="M188" s="23" t="n">
        <v>4247.82173893513</v>
      </c>
      <c r="N188" s="23" t="n">
        <v>4526.07446701566</v>
      </c>
      <c r="O188" s="23" t="n">
        <v>2786.05124795295</v>
      </c>
      <c r="P188" s="23" t="n">
        <v>4526.07446701566</v>
      </c>
      <c r="Q188" s="23" t="n">
        <v>3559.01676694303</v>
      </c>
      <c r="R188" s="23" t="n">
        <v>4860</v>
      </c>
      <c r="S188" s="23" t="n">
        <v>3835.90361445783</v>
      </c>
    </row>
    <row r="189" customFormat="false" ht="15" hidden="false" customHeight="false" outlineLevel="0" collapsed="false">
      <c r="A189" s="3" t="n">
        <v>30002359</v>
      </c>
      <c r="B189" s="3" t="s">
        <v>401</v>
      </c>
      <c r="C189" s="3" t="s">
        <v>212</v>
      </c>
      <c r="D189" s="3" t="s">
        <v>213</v>
      </c>
      <c r="E189" s="3" t="s">
        <v>231</v>
      </c>
      <c r="F189" s="23" t="n">
        <v>3678</v>
      </c>
      <c r="G189" s="23" t="n">
        <v>4446</v>
      </c>
      <c r="H189" s="23" t="n">
        <v>2952</v>
      </c>
      <c r="I189" s="23" t="n">
        <v>2352</v>
      </c>
      <c r="J189" s="23" t="n">
        <v>5490</v>
      </c>
      <c r="K189" s="23" t="n">
        <v>5598</v>
      </c>
      <c r="L189" s="23" t="n">
        <v>2952</v>
      </c>
      <c r="M189" s="23" t="n">
        <v>3122</v>
      </c>
      <c r="N189" s="23" t="n">
        <v>2650</v>
      </c>
      <c r="O189" s="23" t="n">
        <v>2352.045</v>
      </c>
      <c r="P189" s="23" t="n">
        <v>3377.295</v>
      </c>
      <c r="Q189" s="23" t="n">
        <v>4079.045</v>
      </c>
      <c r="R189" s="23" t="n">
        <v>2817.74561362824</v>
      </c>
      <c r="S189" s="23" t="n">
        <v>3776.44771326728</v>
      </c>
    </row>
    <row r="190" customFormat="false" ht="15" hidden="false" customHeight="false" outlineLevel="0" collapsed="false">
      <c r="A190" s="3" t="n">
        <v>30000006</v>
      </c>
      <c r="B190" s="3" t="s">
        <v>402</v>
      </c>
      <c r="C190" s="3" t="s">
        <v>139</v>
      </c>
      <c r="D190" s="3" t="s">
        <v>213</v>
      </c>
      <c r="E190" s="3" t="s">
        <v>231</v>
      </c>
      <c r="F190" s="23" t="n">
        <v>5196</v>
      </c>
      <c r="G190" s="23" t="n">
        <v>3996</v>
      </c>
      <c r="H190" s="23" t="n">
        <v>4908</v>
      </c>
      <c r="I190" s="23" t="n">
        <v>4560</v>
      </c>
      <c r="J190" s="23" t="n">
        <v>3948</v>
      </c>
      <c r="K190" s="23" t="n">
        <v>1680</v>
      </c>
      <c r="L190" s="23" t="n">
        <v>2508</v>
      </c>
      <c r="M190" s="23" t="n">
        <v>3016</v>
      </c>
      <c r="N190" s="23" t="n">
        <v>2860</v>
      </c>
      <c r="O190" s="23" t="n">
        <v>1770.8</v>
      </c>
      <c r="P190" s="23" t="n">
        <v>2487.17457627119</v>
      </c>
      <c r="Q190" s="23" t="n">
        <v>2868.97457627119</v>
      </c>
      <c r="R190" s="23" t="n">
        <v>2932.62378927724</v>
      </c>
      <c r="S190" s="23" t="n">
        <v>1839.94267121932</v>
      </c>
    </row>
    <row r="191" customFormat="false" ht="15" hidden="false" customHeight="false" outlineLevel="0" collapsed="false">
      <c r="A191" s="3" t="n">
        <v>30000244</v>
      </c>
      <c r="B191" s="3" t="s">
        <v>403</v>
      </c>
      <c r="C191" s="3" t="s">
        <v>212</v>
      </c>
      <c r="D191" s="3" t="s">
        <v>213</v>
      </c>
      <c r="E191" s="3" t="s">
        <v>231</v>
      </c>
      <c r="F191" s="23" t="n">
        <v>4044</v>
      </c>
      <c r="G191" s="23" t="n">
        <v>4824</v>
      </c>
      <c r="H191" s="23" t="n">
        <v>2688</v>
      </c>
      <c r="I191" s="23" t="n">
        <v>4656</v>
      </c>
      <c r="J191" s="23" t="n">
        <v>3168</v>
      </c>
      <c r="K191" s="23" t="n">
        <v>4872</v>
      </c>
      <c r="L191" s="23" t="n">
        <v>1812</v>
      </c>
      <c r="M191" s="23" t="n">
        <v>4530.23405627047</v>
      </c>
      <c r="N191" s="23" t="n">
        <v>4528</v>
      </c>
      <c r="O191" s="23" t="n">
        <v>5397</v>
      </c>
      <c r="P191" s="23" t="n">
        <v>6050.6</v>
      </c>
      <c r="Q191" s="23" t="n">
        <v>6176.4</v>
      </c>
      <c r="R191" s="23" t="n">
        <v>5644.93887140984</v>
      </c>
      <c r="S191" s="23" t="n">
        <v>5307.68578969317</v>
      </c>
    </row>
    <row r="192" customFormat="false" ht="15" hidden="false" customHeight="false" outlineLevel="0" collapsed="false">
      <c r="A192" s="3" t="n">
        <v>30001376</v>
      </c>
      <c r="B192" s="3" t="s">
        <v>404</v>
      </c>
      <c r="C192" s="3" t="s">
        <v>139</v>
      </c>
      <c r="D192" s="3" t="s">
        <v>213</v>
      </c>
      <c r="E192" s="3" t="s">
        <v>214</v>
      </c>
      <c r="F192" s="23" t="n">
        <v>3897</v>
      </c>
      <c r="G192" s="23" t="n">
        <v>3622.5</v>
      </c>
      <c r="H192" s="23" t="n">
        <v>4054.5</v>
      </c>
      <c r="I192" s="23" t="n">
        <v>3924</v>
      </c>
      <c r="J192" s="23" t="n">
        <v>4239</v>
      </c>
      <c r="K192" s="23" t="n">
        <v>4513.5</v>
      </c>
      <c r="L192" s="23" t="n">
        <v>2272.5</v>
      </c>
      <c r="M192" s="23" t="n">
        <v>4044</v>
      </c>
      <c r="N192" s="23" t="n">
        <v>3800</v>
      </c>
      <c r="O192" s="23" t="n">
        <v>3040</v>
      </c>
      <c r="P192" s="23" t="n">
        <v>3590</v>
      </c>
      <c r="Q192" s="23" t="n">
        <v>5856</v>
      </c>
      <c r="R192" s="23" t="n">
        <v>4543.61834921206</v>
      </c>
      <c r="S192" s="23" t="n">
        <v>4363.57237702994</v>
      </c>
    </row>
    <row r="193" customFormat="false" ht="15" hidden="false" customHeight="false" outlineLevel="0" collapsed="false">
      <c r="A193" s="3" t="n">
        <v>30000252</v>
      </c>
      <c r="B193" s="3" t="s">
        <v>405</v>
      </c>
      <c r="C193" s="3" t="s">
        <v>135</v>
      </c>
      <c r="D193" s="3" t="s">
        <v>224</v>
      </c>
      <c r="E193" s="3" t="s">
        <v>231</v>
      </c>
      <c r="F193" s="23" t="n">
        <v>3762</v>
      </c>
      <c r="G193" s="23" t="n">
        <v>3702</v>
      </c>
      <c r="H193" s="23" t="n">
        <v>3882</v>
      </c>
      <c r="I193" s="23" t="n">
        <v>5640</v>
      </c>
      <c r="J193" s="23" t="n">
        <v>3402</v>
      </c>
      <c r="K193" s="23" t="n">
        <v>3582</v>
      </c>
      <c r="L193" s="23" t="n">
        <v>1854</v>
      </c>
      <c r="M193" s="23" t="n">
        <v>4082.18090849019</v>
      </c>
      <c r="N193" s="23" t="n">
        <v>3926.14270538853</v>
      </c>
      <c r="O193" s="23" t="n">
        <v>2821.55519214656</v>
      </c>
      <c r="P193" s="23" t="n">
        <v>2620.36402386293</v>
      </c>
      <c r="Q193" s="23" t="n">
        <v>2620.36402386293</v>
      </c>
      <c r="R193" s="23" t="n">
        <v>2386.58123791103</v>
      </c>
      <c r="S193" s="23" t="n">
        <v>2986.58123791103</v>
      </c>
    </row>
    <row r="194" customFormat="false" ht="15" hidden="false" customHeight="false" outlineLevel="0" collapsed="false">
      <c r="A194" s="3" t="n">
        <v>30000039</v>
      </c>
      <c r="B194" s="3" t="s">
        <v>406</v>
      </c>
      <c r="C194" s="3" t="s">
        <v>124</v>
      </c>
      <c r="D194" s="3" t="s">
        <v>213</v>
      </c>
      <c r="E194" s="3" t="s">
        <v>231</v>
      </c>
      <c r="F194" s="23" t="n">
        <v>4457.4</v>
      </c>
      <c r="G194" s="23" t="n">
        <v>3758.2</v>
      </c>
      <c r="H194" s="23" t="n">
        <v>3068.2</v>
      </c>
      <c r="I194" s="23" t="n">
        <v>5195.7</v>
      </c>
      <c r="J194" s="23" t="n">
        <v>4834.6</v>
      </c>
      <c r="K194" s="23" t="n">
        <v>2343.7</v>
      </c>
      <c r="L194" s="23" t="n">
        <v>2663.4</v>
      </c>
      <c r="M194" s="23" t="n">
        <v>3719.2</v>
      </c>
      <c r="N194" s="23" t="n">
        <v>3919.2</v>
      </c>
      <c r="O194" s="23" t="n">
        <v>3189.2</v>
      </c>
      <c r="P194" s="23" t="n">
        <v>4319.2</v>
      </c>
      <c r="Q194" s="23" t="n">
        <v>4320</v>
      </c>
      <c r="R194" s="23" t="n">
        <v>4799.2</v>
      </c>
      <c r="S194" s="23" t="n">
        <v>3869.2</v>
      </c>
    </row>
    <row r="195" customFormat="false" ht="15" hidden="false" customHeight="false" outlineLevel="0" collapsed="false">
      <c r="A195" s="3" t="n">
        <v>30002228</v>
      </c>
      <c r="B195" s="3" t="s">
        <v>407</v>
      </c>
      <c r="C195" s="3" t="s">
        <v>135</v>
      </c>
      <c r="D195" s="3" t="s">
        <v>213</v>
      </c>
      <c r="E195" s="3" t="s">
        <v>214</v>
      </c>
      <c r="F195" s="23" t="n">
        <v>3450</v>
      </c>
      <c r="G195" s="23" t="n">
        <v>0</v>
      </c>
      <c r="H195" s="23" t="n">
        <v>2875</v>
      </c>
      <c r="I195" s="23" t="n">
        <v>6900</v>
      </c>
      <c r="J195" s="23" t="n">
        <v>5175</v>
      </c>
      <c r="K195" s="23" t="n">
        <v>5175</v>
      </c>
      <c r="L195" s="23" t="n">
        <v>649.75</v>
      </c>
      <c r="M195" s="23" t="n">
        <v>2574.75</v>
      </c>
      <c r="N195" s="23" t="n">
        <v>3074.75</v>
      </c>
      <c r="O195" s="23" t="n">
        <v>3074.75</v>
      </c>
      <c r="P195" s="23" t="n">
        <v>5074.75</v>
      </c>
      <c r="Q195" s="23" t="n">
        <v>3000</v>
      </c>
      <c r="R195" s="23" t="n">
        <v>2003.11458333333</v>
      </c>
      <c r="S195" s="23" t="n">
        <v>3453.27794561951</v>
      </c>
    </row>
    <row r="196" customFormat="false" ht="15" hidden="false" customHeight="false" outlineLevel="0" collapsed="false">
      <c r="A196" s="3" t="n">
        <v>30000238</v>
      </c>
      <c r="B196" s="3" t="s">
        <v>408</v>
      </c>
      <c r="C196" s="3" t="s">
        <v>135</v>
      </c>
      <c r="D196" s="3" t="s">
        <v>224</v>
      </c>
      <c r="E196" s="3" t="s">
        <v>231</v>
      </c>
      <c r="F196" s="23" t="n">
        <v>3990</v>
      </c>
      <c r="G196" s="23" t="n">
        <v>3462</v>
      </c>
      <c r="H196" s="23" t="n">
        <v>2310</v>
      </c>
      <c r="I196" s="23" t="n">
        <v>3804</v>
      </c>
      <c r="J196" s="23" t="n">
        <v>4926</v>
      </c>
      <c r="K196" s="23" t="n">
        <v>4104</v>
      </c>
      <c r="L196" s="23" t="n">
        <v>1146</v>
      </c>
      <c r="M196" s="23" t="n">
        <v>3420.00007912323</v>
      </c>
      <c r="N196" s="23" t="n">
        <v>4800.47152524423</v>
      </c>
      <c r="O196" s="23" t="n">
        <v>2863.82035036151</v>
      </c>
      <c r="P196" s="23" t="n">
        <v>4120.47154190175</v>
      </c>
      <c r="Q196" s="23" t="n">
        <v>4200.47152524423</v>
      </c>
      <c r="R196" s="23" t="n">
        <v>4000</v>
      </c>
      <c r="S196" s="23" t="n">
        <v>4000</v>
      </c>
    </row>
    <row r="197" customFormat="false" ht="15" hidden="false" customHeight="false" outlineLevel="0" collapsed="false">
      <c r="A197" s="3" t="n">
        <v>30001897</v>
      </c>
      <c r="B197" s="3" t="s">
        <v>409</v>
      </c>
      <c r="C197" s="3" t="s">
        <v>147</v>
      </c>
      <c r="D197" s="3" t="s">
        <v>224</v>
      </c>
      <c r="E197" s="3" t="s">
        <v>214</v>
      </c>
      <c r="F197" s="23" t="n">
        <v>4411.2</v>
      </c>
      <c r="G197" s="23" t="n">
        <v>3844.8</v>
      </c>
      <c r="H197" s="23" t="n">
        <v>2661.6</v>
      </c>
      <c r="I197" s="23" t="n">
        <v>3986.4</v>
      </c>
      <c r="J197" s="23" t="n">
        <v>3076.8</v>
      </c>
      <c r="K197" s="23" t="n">
        <v>4392</v>
      </c>
      <c r="L197" s="23" t="n">
        <v>2056.8</v>
      </c>
      <c r="M197" s="23" t="n">
        <v>4828.87569695417</v>
      </c>
      <c r="N197" s="23" t="n">
        <v>3030.84476663985</v>
      </c>
      <c r="O197" s="23" t="n">
        <v>3413.82443008793</v>
      </c>
      <c r="P197" s="23" t="n">
        <v>3602.88142235621</v>
      </c>
      <c r="Q197" s="23" t="n">
        <v>3088.3284030644</v>
      </c>
      <c r="R197" s="23" t="n">
        <v>4528.87567906882</v>
      </c>
      <c r="S197" s="23" t="n">
        <v>4528.87567906882</v>
      </c>
    </row>
    <row r="198" customFormat="false" ht="15" hidden="false" customHeight="false" outlineLevel="0" collapsed="false">
      <c r="A198" s="3" t="n">
        <v>30000307</v>
      </c>
      <c r="B198" s="3" t="s">
        <v>410</v>
      </c>
      <c r="C198" s="3" t="s">
        <v>139</v>
      </c>
      <c r="D198" s="3" t="s">
        <v>213</v>
      </c>
      <c r="E198" s="3" t="s">
        <v>214</v>
      </c>
      <c r="F198" s="23" t="n">
        <v>3288</v>
      </c>
      <c r="G198" s="23" t="n">
        <v>4728</v>
      </c>
      <c r="H198" s="23" t="n">
        <v>4020</v>
      </c>
      <c r="I198" s="23" t="n">
        <v>3144</v>
      </c>
      <c r="J198" s="23" t="n">
        <v>3558</v>
      </c>
      <c r="K198" s="23" t="n">
        <v>3504</v>
      </c>
      <c r="L198" s="23" t="n">
        <v>1764</v>
      </c>
      <c r="M198" s="23" t="n">
        <v>4322.05886949727</v>
      </c>
      <c r="N198" s="23" t="n">
        <v>5206</v>
      </c>
      <c r="O198" s="23" t="n">
        <v>2940.407</v>
      </c>
      <c r="P198" s="23" t="n">
        <v>4638.5804</v>
      </c>
      <c r="Q198" s="23" t="n">
        <v>3999</v>
      </c>
      <c r="R198" s="23" t="n">
        <v>5307.73972727261</v>
      </c>
      <c r="S198" s="23" t="n">
        <v>4927.92879980387</v>
      </c>
    </row>
    <row r="199" customFormat="false" ht="15" hidden="false" customHeight="false" outlineLevel="0" collapsed="false">
      <c r="A199" s="3" t="n">
        <v>30001494</v>
      </c>
      <c r="B199" s="3" t="s">
        <v>411</v>
      </c>
      <c r="C199" s="3" t="s">
        <v>155</v>
      </c>
      <c r="D199" s="3" t="s">
        <v>224</v>
      </c>
      <c r="E199" s="3" t="s">
        <v>231</v>
      </c>
      <c r="F199" s="23" t="n">
        <v>4880.7</v>
      </c>
      <c r="G199" s="23" t="n">
        <v>3765.5</v>
      </c>
      <c r="H199" s="23" t="n">
        <v>2422.5</v>
      </c>
      <c r="I199" s="23" t="n">
        <v>3357.5</v>
      </c>
      <c r="J199" s="23" t="n">
        <v>3910</v>
      </c>
      <c r="K199" s="23" t="n">
        <v>3598.9</v>
      </c>
      <c r="L199" s="23" t="n">
        <v>2063.8</v>
      </c>
      <c r="M199" s="23" t="n">
        <v>3700.00005783862</v>
      </c>
      <c r="N199" s="23" t="n">
        <v>3604.70404928292</v>
      </c>
      <c r="O199" s="23" t="n">
        <v>2272.57831170423</v>
      </c>
      <c r="P199" s="23" t="n">
        <v>3604.70404928292</v>
      </c>
      <c r="Q199" s="23" t="n">
        <v>3604.70404928292</v>
      </c>
      <c r="R199" s="23" t="n">
        <v>2862.16216216216</v>
      </c>
      <c r="S199" s="23" t="n">
        <v>2862.16216216216</v>
      </c>
    </row>
    <row r="200" customFormat="false" ht="15" hidden="false" customHeight="false" outlineLevel="0" collapsed="false">
      <c r="A200" s="3" t="n">
        <v>30001935</v>
      </c>
      <c r="B200" s="3" t="s">
        <v>412</v>
      </c>
      <c r="C200" s="3" t="s">
        <v>155</v>
      </c>
      <c r="D200" s="3" t="s">
        <v>224</v>
      </c>
      <c r="E200" s="3" t="s">
        <v>231</v>
      </c>
      <c r="F200" s="23" t="n">
        <v>1891.68</v>
      </c>
      <c r="G200" s="23" t="n">
        <v>2546.88</v>
      </c>
      <c r="H200" s="23" t="n">
        <v>6592.32</v>
      </c>
      <c r="I200" s="23" t="n">
        <v>2943.36</v>
      </c>
      <c r="J200" s="23" t="n">
        <v>4193.28</v>
      </c>
      <c r="K200" s="23" t="n">
        <v>3709.44</v>
      </c>
      <c r="L200" s="23" t="n">
        <v>1720.32</v>
      </c>
      <c r="M200" s="23" t="n">
        <v>4013.08561276572</v>
      </c>
      <c r="N200" s="23" t="n">
        <v>4313.17837158874</v>
      </c>
      <c r="O200" s="23" t="n">
        <v>2630.61489040881</v>
      </c>
      <c r="P200" s="23" t="n">
        <v>4783.46142246944</v>
      </c>
      <c r="Q200" s="23" t="n">
        <v>4783.46142246944</v>
      </c>
      <c r="R200" s="23" t="n">
        <v>3813.08556619208</v>
      </c>
      <c r="S200" s="23" t="n">
        <v>3004.0968626943</v>
      </c>
    </row>
    <row r="201" customFormat="false" ht="15" hidden="false" customHeight="false" outlineLevel="0" collapsed="false">
      <c r="A201" s="3" t="n">
        <v>30000246</v>
      </c>
      <c r="B201" s="3" t="s">
        <v>413</v>
      </c>
      <c r="C201" s="3" t="s">
        <v>212</v>
      </c>
      <c r="D201" s="3" t="s">
        <v>213</v>
      </c>
      <c r="E201" s="3" t="s">
        <v>231</v>
      </c>
      <c r="F201" s="23" t="n">
        <v>4248</v>
      </c>
      <c r="G201" s="23" t="n">
        <v>4788</v>
      </c>
      <c r="H201" s="23" t="n">
        <v>2520</v>
      </c>
      <c r="I201" s="23" t="n">
        <v>3660</v>
      </c>
      <c r="J201" s="23" t="n">
        <v>2688</v>
      </c>
      <c r="K201" s="23" t="n">
        <v>3636</v>
      </c>
      <c r="L201" s="23" t="n">
        <v>1536</v>
      </c>
      <c r="M201" s="23" t="n">
        <v>3560.96727501354</v>
      </c>
      <c r="N201" s="23" t="n">
        <v>3795.7416</v>
      </c>
      <c r="O201" s="23" t="n">
        <v>3782.7416</v>
      </c>
      <c r="P201" s="23" t="n">
        <v>4268.5416</v>
      </c>
      <c r="Q201" s="23" t="n">
        <v>4253.4416</v>
      </c>
      <c r="R201" s="23" t="n">
        <v>4154.66676039496</v>
      </c>
      <c r="S201" s="23" t="n">
        <v>3286.57911666667</v>
      </c>
    </row>
    <row r="202" customFormat="false" ht="15" hidden="false" customHeight="false" outlineLevel="0" collapsed="false">
      <c r="A202" s="3" t="n">
        <v>30001766</v>
      </c>
      <c r="B202" s="3" t="s">
        <v>414</v>
      </c>
      <c r="C202" s="3" t="s">
        <v>144</v>
      </c>
      <c r="D202" s="3" t="s">
        <v>213</v>
      </c>
      <c r="E202" s="3" t="s">
        <v>231</v>
      </c>
      <c r="F202" s="23" t="n">
        <v>3412.8</v>
      </c>
      <c r="G202" s="23" t="n">
        <v>4190.4</v>
      </c>
      <c r="H202" s="23" t="n">
        <v>3337.2</v>
      </c>
      <c r="I202" s="23" t="n">
        <v>2889</v>
      </c>
      <c r="J202" s="23" t="n">
        <v>3769.2</v>
      </c>
      <c r="K202" s="23" t="n">
        <v>3807</v>
      </c>
      <c r="L202" s="23" t="n">
        <v>2554.2</v>
      </c>
      <c r="M202" s="23" t="n">
        <v>3700</v>
      </c>
      <c r="N202" s="23" t="n">
        <v>3667</v>
      </c>
      <c r="O202" s="23" t="n">
        <v>2839.6</v>
      </c>
      <c r="P202" s="23" t="n">
        <v>4200</v>
      </c>
      <c r="Q202" s="23" t="n">
        <v>3800</v>
      </c>
      <c r="R202" s="23" t="n">
        <v>3800</v>
      </c>
      <c r="S202" s="23" t="n">
        <v>4800</v>
      </c>
    </row>
    <row r="203" customFormat="false" ht="15" hidden="false" customHeight="false" outlineLevel="0" collapsed="false">
      <c r="A203" s="3" t="n">
        <v>30000489</v>
      </c>
      <c r="B203" s="3" t="s">
        <v>415</v>
      </c>
      <c r="C203" s="3" t="s">
        <v>155</v>
      </c>
      <c r="D203" s="3" t="s">
        <v>224</v>
      </c>
      <c r="E203" s="3" t="s">
        <v>231</v>
      </c>
      <c r="F203" s="23" t="n">
        <v>4590</v>
      </c>
      <c r="G203" s="23" t="n">
        <v>4870.8</v>
      </c>
      <c r="H203" s="23" t="n">
        <v>2311.2</v>
      </c>
      <c r="I203" s="23" t="n">
        <v>2451.6</v>
      </c>
      <c r="J203" s="23" t="n">
        <v>3304.8</v>
      </c>
      <c r="K203" s="23" t="n">
        <v>3596.4</v>
      </c>
      <c r="L203" s="23" t="n">
        <v>1857.6</v>
      </c>
      <c r="M203" s="23" t="n">
        <v>4273.12520239895</v>
      </c>
      <c r="N203" s="23" t="n">
        <v>5381.71868670006</v>
      </c>
      <c r="O203" s="23" t="n">
        <v>2938.56183539387</v>
      </c>
      <c r="P203" s="23" t="n">
        <v>4661.06962851766</v>
      </c>
      <c r="Q203" s="23" t="n">
        <v>4661.06962851766</v>
      </c>
      <c r="R203" s="23" t="n">
        <v>3700.92438756528</v>
      </c>
      <c r="S203" s="23" t="n">
        <v>3700.92438756528</v>
      </c>
    </row>
    <row r="204" customFormat="false" ht="15" hidden="false" customHeight="false" outlineLevel="0" collapsed="false">
      <c r="A204" s="3" t="n">
        <v>30000608</v>
      </c>
      <c r="B204" s="3" t="s">
        <v>416</v>
      </c>
      <c r="C204" s="3" t="s">
        <v>212</v>
      </c>
      <c r="D204" s="3" t="s">
        <v>213</v>
      </c>
      <c r="E204" s="3" t="s">
        <v>231</v>
      </c>
      <c r="F204" s="23" t="n">
        <v>4206.72</v>
      </c>
      <c r="G204" s="23" t="n">
        <v>5779.2</v>
      </c>
      <c r="H204" s="23" t="n">
        <v>3010.56</v>
      </c>
      <c r="I204" s="23" t="n">
        <v>4206.72</v>
      </c>
      <c r="J204" s="23" t="n">
        <v>1962.24</v>
      </c>
      <c r="K204" s="23" t="n">
        <v>1921.92</v>
      </c>
      <c r="L204" s="23" t="n">
        <v>1868.16</v>
      </c>
      <c r="M204" s="23" t="n">
        <v>2654.4</v>
      </c>
      <c r="N204" s="23" t="n">
        <v>2854.4</v>
      </c>
      <c r="O204" s="23" t="n">
        <v>1126.88</v>
      </c>
      <c r="P204" s="23" t="n">
        <v>2356.88</v>
      </c>
      <c r="Q204" s="23" t="n">
        <v>2306.88</v>
      </c>
      <c r="R204" s="23" t="n">
        <v>4841.92</v>
      </c>
      <c r="S204" s="23" t="n">
        <v>2634.72</v>
      </c>
    </row>
    <row r="205" customFormat="false" ht="15" hidden="false" customHeight="false" outlineLevel="0" collapsed="false">
      <c r="A205" s="3" t="n">
        <v>30000055</v>
      </c>
      <c r="B205" s="3" t="s">
        <v>417</v>
      </c>
      <c r="C205" s="3" t="s">
        <v>212</v>
      </c>
      <c r="D205" s="3" t="s">
        <v>213</v>
      </c>
      <c r="E205" s="3" t="s">
        <v>231</v>
      </c>
      <c r="F205" s="23" t="n">
        <v>2277</v>
      </c>
      <c r="G205" s="23" t="n">
        <v>5230.2</v>
      </c>
      <c r="H205" s="23" t="n">
        <v>4664.4</v>
      </c>
      <c r="I205" s="23" t="n">
        <v>3946.8</v>
      </c>
      <c r="J205" s="23" t="n">
        <v>1476.6</v>
      </c>
      <c r="K205" s="23" t="n">
        <v>3353.4</v>
      </c>
      <c r="L205" s="23" t="n">
        <v>303.6</v>
      </c>
      <c r="M205" s="23" t="n">
        <v>3140</v>
      </c>
      <c r="N205" s="23" t="n">
        <v>3484</v>
      </c>
      <c r="O205" s="23" t="n">
        <v>910</v>
      </c>
      <c r="P205" s="23" t="n">
        <v>2364</v>
      </c>
      <c r="Q205" s="23" t="n">
        <v>3314</v>
      </c>
      <c r="R205" s="23" t="n">
        <v>2107.6</v>
      </c>
      <c r="S205" s="23" t="n">
        <v>2095.6</v>
      </c>
    </row>
    <row r="206" customFormat="false" ht="15" hidden="false" customHeight="false" outlineLevel="0" collapsed="false">
      <c r="A206" s="3" t="n">
        <v>30000188</v>
      </c>
      <c r="B206" s="3" t="s">
        <v>418</v>
      </c>
      <c r="C206" s="3" t="s">
        <v>131</v>
      </c>
      <c r="D206" s="3" t="s">
        <v>213</v>
      </c>
      <c r="E206" s="3" t="s">
        <v>231</v>
      </c>
      <c r="F206" s="23" t="n">
        <v>5868</v>
      </c>
      <c r="G206" s="23" t="n">
        <v>3852</v>
      </c>
      <c r="H206" s="23" t="n">
        <v>2004</v>
      </c>
      <c r="I206" s="23" t="n">
        <v>2364</v>
      </c>
      <c r="J206" s="23" t="n">
        <v>3678</v>
      </c>
      <c r="K206" s="23" t="n">
        <v>3084</v>
      </c>
      <c r="L206" s="23" t="n">
        <v>1482</v>
      </c>
      <c r="M206" s="23" t="n">
        <v>6400</v>
      </c>
      <c r="N206" s="23" t="n">
        <v>6300</v>
      </c>
      <c r="O206" s="23" t="n">
        <v>2774</v>
      </c>
      <c r="P206" s="23" t="n">
        <v>5510</v>
      </c>
      <c r="Q206" s="23" t="n">
        <v>3000</v>
      </c>
      <c r="R206" s="23" t="n">
        <v>3410</v>
      </c>
      <c r="S206" s="23" t="n">
        <v>3310</v>
      </c>
    </row>
    <row r="207" customFormat="false" ht="15" hidden="false" customHeight="false" outlineLevel="0" collapsed="false">
      <c r="A207" s="3" t="n">
        <v>30000041</v>
      </c>
      <c r="B207" s="3" t="s">
        <v>419</v>
      </c>
      <c r="C207" s="3" t="s">
        <v>212</v>
      </c>
      <c r="D207" s="3" t="s">
        <v>213</v>
      </c>
      <c r="E207" s="3" t="s">
        <v>231</v>
      </c>
      <c r="F207" s="23" t="n">
        <v>3477.6</v>
      </c>
      <c r="G207" s="23" t="n">
        <v>6053.6</v>
      </c>
      <c r="H207" s="23" t="n">
        <v>5814.4</v>
      </c>
      <c r="I207" s="23" t="n">
        <v>3864</v>
      </c>
      <c r="J207" s="23" t="n">
        <v>828</v>
      </c>
      <c r="K207" s="23" t="n">
        <v>809.6</v>
      </c>
      <c r="L207" s="23" t="n">
        <v>736</v>
      </c>
      <c r="M207" s="23" t="n">
        <v>3134</v>
      </c>
      <c r="N207" s="23" t="n">
        <v>4606.8</v>
      </c>
      <c r="O207" s="23" t="n">
        <v>1460</v>
      </c>
      <c r="P207" s="23" t="n">
        <v>3206.8</v>
      </c>
      <c r="Q207" s="23" t="n">
        <v>3453.6</v>
      </c>
      <c r="R207" s="23" t="n">
        <v>2110</v>
      </c>
      <c r="S207" s="23" t="n">
        <v>1356.8</v>
      </c>
    </row>
    <row r="208" customFormat="false" ht="15" hidden="false" customHeight="false" outlineLevel="0" collapsed="false">
      <c r="A208" s="3" t="n">
        <v>30001854</v>
      </c>
      <c r="B208" s="3" t="s">
        <v>420</v>
      </c>
      <c r="C208" s="3" t="s">
        <v>155</v>
      </c>
      <c r="D208" s="3" t="s">
        <v>224</v>
      </c>
      <c r="E208" s="3" t="s">
        <v>249</v>
      </c>
      <c r="F208" s="23" t="n">
        <v>3591.84</v>
      </c>
      <c r="G208" s="23" t="n">
        <v>2271.36</v>
      </c>
      <c r="H208" s="23" t="n">
        <v>4018.56</v>
      </c>
      <c r="I208" s="23" t="n">
        <v>4549.44</v>
      </c>
      <c r="J208" s="23" t="n">
        <v>3114.72</v>
      </c>
      <c r="K208" s="23" t="n">
        <v>3212.16</v>
      </c>
      <c r="L208" s="23" t="n">
        <v>1800.96</v>
      </c>
      <c r="M208" s="23" t="n">
        <v>2012.19248144452</v>
      </c>
      <c r="N208" s="23" t="n">
        <v>2534.22336228169</v>
      </c>
      <c r="O208" s="23" t="n">
        <v>1597.69594712809</v>
      </c>
      <c r="P208" s="23" t="n">
        <v>1825.31243058599</v>
      </c>
      <c r="Q208" s="23" t="n">
        <v>2825.312430586</v>
      </c>
      <c r="R208" s="23" t="n">
        <v>2825.312430586</v>
      </c>
      <c r="S208" s="23" t="n">
        <v>1825.31243058599</v>
      </c>
    </row>
    <row r="209" customFormat="false" ht="15" hidden="false" customHeight="false" outlineLevel="0" collapsed="false">
      <c r="A209" s="3" t="n">
        <v>30001816</v>
      </c>
      <c r="B209" s="3" t="s">
        <v>421</v>
      </c>
      <c r="C209" s="3" t="s">
        <v>155</v>
      </c>
      <c r="D209" s="3" t="s">
        <v>224</v>
      </c>
      <c r="E209" s="3" t="s">
        <v>231</v>
      </c>
      <c r="F209" s="23" t="n">
        <v>5922.72</v>
      </c>
      <c r="G209" s="23" t="n">
        <v>3291.84</v>
      </c>
      <c r="H209" s="23" t="n">
        <v>1365.12</v>
      </c>
      <c r="I209" s="23" t="n">
        <v>2652.48</v>
      </c>
      <c r="J209" s="23" t="n">
        <v>3382.56</v>
      </c>
      <c r="K209" s="23" t="n">
        <v>3957.12</v>
      </c>
      <c r="L209" s="23" t="n">
        <v>2000.16</v>
      </c>
      <c r="M209" s="23" t="n">
        <v>5365.21742751635</v>
      </c>
      <c r="N209" s="23" t="n">
        <v>3778.30169471581</v>
      </c>
      <c r="O209" s="23" t="n">
        <v>1582.8675253352</v>
      </c>
      <c r="P209" s="23" t="n">
        <v>2510.70290896837</v>
      </c>
      <c r="Q209" s="23" t="n">
        <v>1102.25981369343</v>
      </c>
      <c r="R209" s="23" t="n">
        <v>875.202593192869</v>
      </c>
      <c r="S209" s="23" t="n">
        <v>875.202593192869</v>
      </c>
    </row>
    <row r="210" customFormat="false" ht="15" hidden="false" customHeight="false" outlineLevel="0" collapsed="false">
      <c r="A210" s="3" t="n">
        <v>30000543</v>
      </c>
      <c r="B210" s="3" t="s">
        <v>422</v>
      </c>
      <c r="C210" s="3" t="s">
        <v>139</v>
      </c>
      <c r="D210" s="3" t="s">
        <v>213</v>
      </c>
      <c r="E210" s="3" t="s">
        <v>231</v>
      </c>
      <c r="F210" s="23" t="n">
        <v>4710</v>
      </c>
      <c r="G210" s="23" t="n">
        <v>3888</v>
      </c>
      <c r="H210" s="23" t="n">
        <v>1986</v>
      </c>
      <c r="I210" s="23" t="n">
        <v>3636</v>
      </c>
      <c r="J210" s="23" t="n">
        <v>1770</v>
      </c>
      <c r="K210" s="23" t="n">
        <v>4470</v>
      </c>
      <c r="L210" s="23" t="n">
        <v>894</v>
      </c>
      <c r="M210" s="23" t="n">
        <v>4130</v>
      </c>
      <c r="N210" s="23" t="n">
        <v>3668</v>
      </c>
      <c r="O210" s="23" t="n">
        <v>1474.35</v>
      </c>
      <c r="P210" s="23" t="n">
        <v>5767.91</v>
      </c>
      <c r="Q210" s="23" t="n">
        <v>6270.7</v>
      </c>
      <c r="R210" s="23" t="n">
        <v>4456.56093158981</v>
      </c>
      <c r="S210" s="23" t="n">
        <v>3664.96924291675</v>
      </c>
    </row>
    <row r="211" customFormat="false" ht="15" hidden="false" customHeight="false" outlineLevel="0" collapsed="false">
      <c r="A211" s="3" t="n">
        <v>30000327</v>
      </c>
      <c r="B211" s="3" t="s">
        <v>423</v>
      </c>
      <c r="C211" s="3" t="s">
        <v>139</v>
      </c>
      <c r="D211" s="3" t="s">
        <v>213</v>
      </c>
      <c r="E211" s="3" t="s">
        <v>231</v>
      </c>
      <c r="F211" s="23" t="n">
        <v>852</v>
      </c>
      <c r="G211" s="23" t="n">
        <v>5160</v>
      </c>
      <c r="H211" s="23" t="n">
        <v>6792</v>
      </c>
      <c r="I211" s="23" t="n">
        <v>5436</v>
      </c>
      <c r="J211" s="23" t="n">
        <v>840</v>
      </c>
      <c r="K211" s="23" t="n">
        <v>1212</v>
      </c>
      <c r="L211" s="23" t="n">
        <v>720</v>
      </c>
      <c r="M211" s="23" t="n">
        <v>4119.01431435632</v>
      </c>
      <c r="N211" s="23" t="n">
        <v>3100</v>
      </c>
      <c r="O211" s="23" t="n">
        <v>1428.56</v>
      </c>
      <c r="P211" s="23" t="n">
        <v>2801.79</v>
      </c>
      <c r="Q211" s="23" t="n">
        <v>3304.15</v>
      </c>
      <c r="R211" s="23" t="n">
        <v>2079.91687320258</v>
      </c>
      <c r="S211" s="23" t="n">
        <v>1814.78596333686</v>
      </c>
    </row>
    <row r="212" customFormat="false" ht="15" hidden="false" customHeight="false" outlineLevel="0" collapsed="false">
      <c r="A212" s="3" t="n">
        <v>30000116</v>
      </c>
      <c r="B212" s="3" t="s">
        <v>424</v>
      </c>
      <c r="C212" s="3" t="s">
        <v>141</v>
      </c>
      <c r="D212" s="3" t="s">
        <v>224</v>
      </c>
      <c r="E212" s="3" t="s">
        <v>231</v>
      </c>
      <c r="F212" s="23" t="n">
        <v>2800.8</v>
      </c>
      <c r="G212" s="23" t="n">
        <v>3628.8</v>
      </c>
      <c r="H212" s="23" t="n">
        <v>1850.4</v>
      </c>
      <c r="I212" s="23" t="n">
        <v>4888.8</v>
      </c>
      <c r="J212" s="23" t="n">
        <v>4082.4</v>
      </c>
      <c r="K212" s="23" t="n">
        <v>3009.6</v>
      </c>
      <c r="L212" s="23" t="n">
        <v>1598.4</v>
      </c>
      <c r="M212" s="23" t="n">
        <v>3100.00000231355</v>
      </c>
      <c r="N212" s="23" t="n">
        <v>6235.20660772098</v>
      </c>
      <c r="O212" s="23" t="n">
        <v>3930.97328157091</v>
      </c>
      <c r="P212" s="23" t="n">
        <v>6235.20660772098</v>
      </c>
      <c r="Q212" s="23" t="n">
        <v>3201.13569702326</v>
      </c>
      <c r="R212" s="23" t="n">
        <v>2159.7032581897</v>
      </c>
      <c r="S212" s="23" t="n">
        <v>2159.7032581897</v>
      </c>
    </row>
    <row r="213" customFormat="false" ht="15" hidden="false" customHeight="false" outlineLevel="0" collapsed="false">
      <c r="A213" s="3" t="n">
        <v>30001901</v>
      </c>
      <c r="B213" s="3" t="s">
        <v>425</v>
      </c>
      <c r="C213" s="3" t="s">
        <v>155</v>
      </c>
      <c r="D213" s="3" t="s">
        <v>224</v>
      </c>
      <c r="E213" s="3" t="s">
        <v>249</v>
      </c>
      <c r="F213" s="23" t="n">
        <v>3699</v>
      </c>
      <c r="G213" s="23" t="n">
        <v>3283.2</v>
      </c>
      <c r="H213" s="23" t="n">
        <v>2608.2</v>
      </c>
      <c r="I213" s="23" t="n">
        <v>3763.8</v>
      </c>
      <c r="J213" s="23" t="n">
        <v>2916</v>
      </c>
      <c r="K213" s="23" t="n">
        <v>3947.4</v>
      </c>
      <c r="L213" s="23" t="n">
        <v>2413.8</v>
      </c>
      <c r="M213" s="23" t="n">
        <v>3519.57251742453</v>
      </c>
      <c r="N213" s="23" t="n">
        <v>2500.78275490253</v>
      </c>
      <c r="O213" s="23" t="n">
        <v>1766.38031289698</v>
      </c>
      <c r="P213" s="23" t="n">
        <v>2500.78275490253</v>
      </c>
      <c r="Q213" s="23" t="n">
        <v>3561.37011399905</v>
      </c>
      <c r="R213" s="23" t="n">
        <v>3411.50341193977</v>
      </c>
      <c r="S213" s="23" t="n">
        <v>3411.50341193977</v>
      </c>
    </row>
    <row r="214" customFormat="false" ht="15" hidden="false" customHeight="false" outlineLevel="0" collapsed="false">
      <c r="A214" s="3" t="n">
        <v>30002180</v>
      </c>
      <c r="B214" s="3" t="s">
        <v>426</v>
      </c>
      <c r="C214" s="3" t="s">
        <v>139</v>
      </c>
      <c r="D214" s="3" t="s">
        <v>213</v>
      </c>
      <c r="E214" s="3" t="s">
        <v>249</v>
      </c>
      <c r="F214" s="23" t="n">
        <v>4924.8</v>
      </c>
      <c r="G214" s="23" t="n">
        <v>5067.3</v>
      </c>
      <c r="H214" s="23" t="n">
        <v>1362.3</v>
      </c>
      <c r="I214" s="23" t="n">
        <v>2456.7</v>
      </c>
      <c r="J214" s="23" t="n">
        <v>3499.8</v>
      </c>
      <c r="K214" s="23" t="n">
        <v>2838.6</v>
      </c>
      <c r="L214" s="23" t="n">
        <v>2257.2</v>
      </c>
      <c r="M214" s="23" t="n">
        <v>4519.2</v>
      </c>
      <c r="N214" s="23" t="n">
        <v>3803.9</v>
      </c>
      <c r="O214" s="23" t="n">
        <v>3020.78711</v>
      </c>
      <c r="P214" s="23" t="n">
        <v>4363.78711</v>
      </c>
      <c r="Q214" s="23" t="n">
        <v>4748.11072056239</v>
      </c>
      <c r="R214" s="23" t="n">
        <v>4644.80111844691</v>
      </c>
      <c r="S214" s="23" t="n">
        <v>4649.28141714401</v>
      </c>
    </row>
    <row r="215" customFormat="false" ht="15" hidden="false" customHeight="false" outlineLevel="0" collapsed="false">
      <c r="A215" s="3" t="n">
        <v>30002098</v>
      </c>
      <c r="B215" s="3" t="s">
        <v>427</v>
      </c>
      <c r="C215" s="3" t="s">
        <v>140</v>
      </c>
      <c r="D215" s="3" t="s">
        <v>213</v>
      </c>
      <c r="E215" s="3" t="s">
        <v>249</v>
      </c>
      <c r="F215" s="23" t="n">
        <v>5832</v>
      </c>
      <c r="G215" s="23" t="n">
        <v>3699</v>
      </c>
      <c r="H215" s="23" t="n">
        <v>1962</v>
      </c>
      <c r="I215" s="23" t="n">
        <v>2367</v>
      </c>
      <c r="J215" s="23" t="n">
        <v>3861</v>
      </c>
      <c r="K215" s="23" t="n">
        <v>2412</v>
      </c>
      <c r="L215" s="23" t="n">
        <v>2358</v>
      </c>
      <c r="M215" s="23" t="n">
        <v>4696</v>
      </c>
      <c r="N215" s="23" t="n">
        <v>4596</v>
      </c>
      <c r="O215" s="23" t="n">
        <v>2400</v>
      </c>
      <c r="P215" s="23" t="n">
        <v>3850</v>
      </c>
      <c r="Q215" s="23" t="n">
        <v>4600</v>
      </c>
      <c r="R215" s="23" t="n">
        <v>4753.69159071127</v>
      </c>
      <c r="S215" s="23" t="n">
        <v>3180.38723117795</v>
      </c>
    </row>
    <row r="216" customFormat="false" ht="15" hidden="false" customHeight="false" outlineLevel="0" collapsed="false">
      <c r="A216" s="3" t="n">
        <v>30000469</v>
      </c>
      <c r="B216" s="3" t="s">
        <v>428</v>
      </c>
      <c r="C216" s="3" t="s">
        <v>142</v>
      </c>
      <c r="D216" s="3" t="s">
        <v>224</v>
      </c>
      <c r="E216" s="3" t="s">
        <v>231</v>
      </c>
      <c r="F216" s="23" t="n">
        <v>4435.2</v>
      </c>
      <c r="G216" s="23" t="n">
        <v>3523.8</v>
      </c>
      <c r="H216" s="23" t="n">
        <v>2730</v>
      </c>
      <c r="I216" s="23" t="n">
        <v>3595.2</v>
      </c>
      <c r="J216" s="23" t="n">
        <v>2179.8</v>
      </c>
      <c r="K216" s="23" t="n">
        <v>3540.6</v>
      </c>
      <c r="L216" s="23" t="n">
        <v>2020.2</v>
      </c>
      <c r="M216" s="23" t="n">
        <v>4150.00006130893</v>
      </c>
      <c r="N216" s="23" t="n">
        <v>5226.6506776902</v>
      </c>
      <c r="O216" s="23" t="n">
        <v>3118.72673505525</v>
      </c>
      <c r="P216" s="23" t="n">
        <v>4870.99033874704</v>
      </c>
      <c r="Q216" s="23" t="n">
        <v>4481.83949138913</v>
      </c>
      <c r="R216" s="23" t="n">
        <v>3650</v>
      </c>
      <c r="S216" s="23" t="n">
        <v>3650</v>
      </c>
    </row>
    <row r="217" customFormat="false" ht="15" hidden="false" customHeight="false" outlineLevel="0" collapsed="false">
      <c r="A217" s="3" t="n">
        <v>30001739</v>
      </c>
      <c r="B217" s="3" t="s">
        <v>429</v>
      </c>
      <c r="C217" s="3" t="s">
        <v>149</v>
      </c>
      <c r="D217" s="3" t="s">
        <v>224</v>
      </c>
      <c r="E217" s="3" t="s">
        <v>249</v>
      </c>
      <c r="F217" s="23" t="n">
        <v>2748</v>
      </c>
      <c r="G217" s="23" t="n">
        <v>3710</v>
      </c>
      <c r="H217" s="23" t="n">
        <v>950</v>
      </c>
      <c r="I217" s="23" t="n">
        <v>4740</v>
      </c>
      <c r="J217" s="23" t="n">
        <v>5472</v>
      </c>
      <c r="K217" s="23" t="n">
        <v>2360</v>
      </c>
      <c r="L217" s="23" t="n">
        <v>1200</v>
      </c>
      <c r="M217" s="23" t="n">
        <v>3200.00003933026</v>
      </c>
      <c r="N217" s="23" t="n">
        <v>3641.03762700562</v>
      </c>
      <c r="O217" s="23" t="n">
        <v>1949.81280270251</v>
      </c>
      <c r="P217" s="23" t="n">
        <v>3141.03762700562</v>
      </c>
      <c r="Q217" s="23" t="n">
        <v>3637.26406771018</v>
      </c>
      <c r="R217" s="23" t="n">
        <v>4533.49050841474</v>
      </c>
      <c r="S217" s="23" t="n">
        <v>4533.49050841474</v>
      </c>
    </row>
    <row r="218" customFormat="false" ht="15" hidden="false" customHeight="false" outlineLevel="0" collapsed="false">
      <c r="A218" s="3" t="n">
        <v>30002125</v>
      </c>
      <c r="B218" s="3" t="s">
        <v>430</v>
      </c>
      <c r="C218" s="3" t="s">
        <v>138</v>
      </c>
      <c r="D218" s="3" t="s">
        <v>213</v>
      </c>
      <c r="E218" s="3" t="s">
        <v>214</v>
      </c>
      <c r="F218" s="23" t="n">
        <v>7721.6</v>
      </c>
      <c r="G218" s="23" t="n">
        <v>3876</v>
      </c>
      <c r="H218" s="23" t="n">
        <v>1580.8</v>
      </c>
      <c r="I218" s="23" t="n">
        <v>2766.4</v>
      </c>
      <c r="J218" s="23" t="n">
        <v>2416.8</v>
      </c>
      <c r="K218" s="23" t="n">
        <v>1520</v>
      </c>
      <c r="L218" s="23" t="n">
        <v>1322.4</v>
      </c>
      <c r="M218" s="23" t="n">
        <v>7540.8</v>
      </c>
      <c r="N218" s="23" t="n">
        <v>4827.6</v>
      </c>
      <c r="O218" s="23" t="n">
        <v>1962.50925</v>
      </c>
      <c r="P218" s="23" t="n">
        <v>3065.3</v>
      </c>
      <c r="Q218" s="23" t="n">
        <v>2092.8</v>
      </c>
      <c r="R218" s="23" t="n">
        <v>2229.51615488613</v>
      </c>
      <c r="S218" s="23" t="n">
        <v>2377.67897527473</v>
      </c>
    </row>
    <row r="219" customFormat="false" ht="15" hidden="false" customHeight="false" outlineLevel="0" collapsed="false">
      <c r="A219" s="3" t="n">
        <v>30001661</v>
      </c>
      <c r="B219" s="3" t="s">
        <v>431</v>
      </c>
      <c r="C219" s="3" t="s">
        <v>212</v>
      </c>
      <c r="D219" s="3" t="s">
        <v>213</v>
      </c>
      <c r="E219" s="3" t="s">
        <v>231</v>
      </c>
      <c r="F219" s="23" t="n">
        <v>2496.96</v>
      </c>
      <c r="G219" s="23" t="n">
        <v>3486.24</v>
      </c>
      <c r="H219" s="23" t="n">
        <v>1723.68</v>
      </c>
      <c r="I219" s="23" t="n">
        <v>4570.56</v>
      </c>
      <c r="J219" s="23" t="n">
        <v>4272.48</v>
      </c>
      <c r="K219" s="23" t="n">
        <v>3265.92</v>
      </c>
      <c r="L219" s="23" t="n">
        <v>2777.76</v>
      </c>
      <c r="M219" s="23" t="n">
        <v>3338.8</v>
      </c>
      <c r="N219" s="23" t="n">
        <v>3285.52</v>
      </c>
      <c r="O219" s="23" t="n">
        <v>2130</v>
      </c>
      <c r="P219" s="23" t="n">
        <v>3500</v>
      </c>
      <c r="Q219" s="23" t="n">
        <v>3725.2</v>
      </c>
      <c r="R219" s="23" t="n">
        <v>3657.6</v>
      </c>
      <c r="S219" s="23" t="n">
        <v>3706</v>
      </c>
    </row>
    <row r="220" customFormat="false" ht="15" hidden="false" customHeight="false" outlineLevel="0" collapsed="false">
      <c r="A220" s="3" t="n">
        <v>30001976</v>
      </c>
      <c r="B220" s="3" t="s">
        <v>432</v>
      </c>
      <c r="C220" s="3" t="s">
        <v>139</v>
      </c>
      <c r="D220" s="3" t="s">
        <v>213</v>
      </c>
      <c r="E220" s="3" t="s">
        <v>249</v>
      </c>
      <c r="F220" s="23" t="n">
        <v>2688</v>
      </c>
      <c r="G220" s="23" t="n">
        <v>3894</v>
      </c>
      <c r="H220" s="23" t="n">
        <v>5274</v>
      </c>
      <c r="I220" s="23" t="n">
        <v>3024</v>
      </c>
      <c r="J220" s="23" t="n">
        <v>1896</v>
      </c>
      <c r="K220" s="23" t="n">
        <v>3018</v>
      </c>
      <c r="L220" s="23" t="n">
        <v>1476</v>
      </c>
      <c r="M220" s="23" t="n">
        <v>3622</v>
      </c>
      <c r="N220" s="23" t="n">
        <v>2622</v>
      </c>
      <c r="O220" s="23" t="n">
        <v>1804</v>
      </c>
      <c r="P220" s="23" t="n">
        <v>3880</v>
      </c>
      <c r="Q220" s="23" t="n">
        <v>3158</v>
      </c>
      <c r="R220" s="23" t="n">
        <v>2658.67787940018</v>
      </c>
      <c r="S220" s="23" t="n">
        <v>2867.96773637743</v>
      </c>
    </row>
    <row r="221" customFormat="false" ht="15" hidden="false" customHeight="false" outlineLevel="0" collapsed="false">
      <c r="A221" s="3" t="n">
        <v>30000069</v>
      </c>
      <c r="B221" s="3" t="s">
        <v>433</v>
      </c>
      <c r="C221" s="3" t="s">
        <v>143</v>
      </c>
      <c r="D221" s="3" t="s">
        <v>224</v>
      </c>
      <c r="E221" s="3" t="s">
        <v>231</v>
      </c>
      <c r="F221" s="23" t="n">
        <v>4041</v>
      </c>
      <c r="G221" s="23" t="n">
        <v>2943</v>
      </c>
      <c r="H221" s="23" t="n">
        <v>1782</v>
      </c>
      <c r="I221" s="23" t="n">
        <v>4527</v>
      </c>
      <c r="J221" s="23" t="n">
        <v>2538</v>
      </c>
      <c r="K221" s="23" t="n">
        <v>3960</v>
      </c>
      <c r="L221" s="23" t="n">
        <v>1908</v>
      </c>
      <c r="M221" s="23" t="n">
        <v>3300.00002313545</v>
      </c>
      <c r="N221" s="23" t="n">
        <v>4156.13186418739</v>
      </c>
      <c r="O221" s="23" t="n">
        <v>2620.22485230488</v>
      </c>
      <c r="P221" s="23" t="n">
        <v>4156.13186418739</v>
      </c>
      <c r="Q221" s="23" t="n">
        <v>4156.13186418739</v>
      </c>
      <c r="R221" s="23" t="n">
        <v>3300</v>
      </c>
      <c r="S221" s="23" t="n">
        <v>3300</v>
      </c>
    </row>
    <row r="222" customFormat="false" ht="15" hidden="false" customHeight="false" outlineLevel="0" collapsed="false">
      <c r="A222" s="3" t="n">
        <v>30000248</v>
      </c>
      <c r="B222" s="3" t="s">
        <v>434</v>
      </c>
      <c r="C222" s="3" t="s">
        <v>212</v>
      </c>
      <c r="D222" s="3" t="s">
        <v>213</v>
      </c>
      <c r="E222" s="3" t="s">
        <v>231</v>
      </c>
      <c r="F222" s="23" t="n">
        <v>3324</v>
      </c>
      <c r="G222" s="23" t="n">
        <v>4368</v>
      </c>
      <c r="H222" s="23" t="n">
        <v>2772</v>
      </c>
      <c r="I222" s="23" t="n">
        <v>4056</v>
      </c>
      <c r="J222" s="23" t="n">
        <v>2880</v>
      </c>
      <c r="K222" s="23" t="n">
        <v>2316</v>
      </c>
      <c r="L222" s="23" t="n">
        <v>2208</v>
      </c>
      <c r="M222" s="23" t="n">
        <v>2938.62954844367</v>
      </c>
      <c r="N222" s="23" t="n">
        <v>2868.62954844367</v>
      </c>
      <c r="O222" s="23" t="n">
        <v>3048.6</v>
      </c>
      <c r="P222" s="23" t="n">
        <v>3490.2</v>
      </c>
      <c r="Q222" s="23" t="n">
        <v>3374.4</v>
      </c>
      <c r="R222" s="23" t="n">
        <v>3323.36315485657</v>
      </c>
      <c r="S222" s="23" t="n">
        <v>2597.45208333333</v>
      </c>
    </row>
    <row r="223" customFormat="false" ht="15" hidden="false" customHeight="false" outlineLevel="0" collapsed="false">
      <c r="A223" s="3" t="n">
        <v>30000079</v>
      </c>
      <c r="B223" s="3" t="s">
        <v>435</v>
      </c>
      <c r="C223" s="3" t="s">
        <v>141</v>
      </c>
      <c r="D223" s="3" t="s">
        <v>224</v>
      </c>
      <c r="E223" s="3" t="s">
        <v>231</v>
      </c>
      <c r="F223" s="23" t="n">
        <v>3056</v>
      </c>
      <c r="G223" s="23" t="n">
        <v>3760</v>
      </c>
      <c r="H223" s="23" t="n">
        <v>2656</v>
      </c>
      <c r="I223" s="23" t="n">
        <v>4832</v>
      </c>
      <c r="J223" s="23" t="n">
        <v>4072</v>
      </c>
      <c r="K223" s="23" t="n">
        <v>1304</v>
      </c>
      <c r="L223" s="23" t="n">
        <v>1344</v>
      </c>
      <c r="M223" s="23" t="n">
        <v>4217.60332930948</v>
      </c>
      <c r="N223" s="23" t="n">
        <v>5933.50306218609</v>
      </c>
      <c r="O223" s="23" t="n">
        <v>2838.68105105736</v>
      </c>
      <c r="P223" s="23" t="n">
        <v>4416.46760683723</v>
      </c>
      <c r="Q223" s="23" t="n">
        <v>2503.9749395814</v>
      </c>
      <c r="R223" s="23" t="n">
        <v>2379.85162909485</v>
      </c>
      <c r="S223" s="23" t="n">
        <v>2379.85162909485</v>
      </c>
    </row>
    <row r="224" customFormat="false" ht="15" hidden="false" customHeight="false" outlineLevel="0" collapsed="false">
      <c r="A224" s="3" t="n">
        <v>30002278</v>
      </c>
      <c r="B224" s="3" t="s">
        <v>436</v>
      </c>
      <c r="C224" s="3" t="s">
        <v>212</v>
      </c>
      <c r="D224" s="3" t="s">
        <v>224</v>
      </c>
      <c r="E224" s="3" t="n">
        <v>0</v>
      </c>
      <c r="F224" s="23" t="n">
        <v>6603.93</v>
      </c>
      <c r="G224" s="23" t="n">
        <v>2301.75</v>
      </c>
      <c r="H224" s="23" t="n">
        <v>2206.89</v>
      </c>
      <c r="I224" s="23" t="n">
        <v>2801.16</v>
      </c>
      <c r="J224" s="23" t="n">
        <v>2926.71</v>
      </c>
      <c r="K224" s="23" t="n">
        <v>2776.05</v>
      </c>
      <c r="L224" s="23" t="n">
        <v>1322.46</v>
      </c>
      <c r="M224" s="23" t="n">
        <v>5000</v>
      </c>
      <c r="N224" s="23" t="n">
        <v>4000</v>
      </c>
      <c r="O224" s="23" t="n">
        <v>2500</v>
      </c>
      <c r="P224" s="23" t="n">
        <v>4000</v>
      </c>
      <c r="Q224" s="23" t="n">
        <v>4000</v>
      </c>
      <c r="R224" s="23" t="n">
        <v>4000</v>
      </c>
      <c r="S224" s="23" t="n">
        <v>4000</v>
      </c>
    </row>
    <row r="225" customFormat="false" ht="15" hidden="false" customHeight="false" outlineLevel="0" collapsed="false">
      <c r="A225" s="3" t="n">
        <v>30001744</v>
      </c>
      <c r="B225" s="3" t="s">
        <v>437</v>
      </c>
      <c r="C225" s="3" t="s">
        <v>127</v>
      </c>
      <c r="D225" s="3" t="s">
        <v>213</v>
      </c>
      <c r="E225" s="3" t="s">
        <v>214</v>
      </c>
      <c r="F225" s="23" t="n">
        <v>0</v>
      </c>
      <c r="G225" s="23" t="n">
        <v>797.04</v>
      </c>
      <c r="H225" s="23" t="n">
        <v>3272.4</v>
      </c>
      <c r="I225" s="23" t="n">
        <v>5313.6</v>
      </c>
      <c r="J225" s="23" t="n">
        <v>6292.08</v>
      </c>
      <c r="K225" s="23" t="n">
        <v>3926.88</v>
      </c>
      <c r="L225" s="23" t="n">
        <v>4746.6</v>
      </c>
      <c r="M225" s="23" t="n">
        <v>0</v>
      </c>
      <c r="N225" s="23" t="n">
        <v>3285.56</v>
      </c>
      <c r="O225" s="23" t="n">
        <v>2050</v>
      </c>
      <c r="P225" s="23" t="n">
        <v>2875.56</v>
      </c>
      <c r="Q225" s="23" t="n">
        <v>4356.68</v>
      </c>
      <c r="R225" s="23" t="n">
        <v>4456.68</v>
      </c>
      <c r="S225" s="23" t="n">
        <v>4856.68</v>
      </c>
    </row>
    <row r="226" customFormat="false" ht="15" hidden="false" customHeight="false" outlineLevel="0" collapsed="false">
      <c r="A226" s="3" t="n">
        <v>30001765</v>
      </c>
      <c r="B226" s="3" t="s">
        <v>438</v>
      </c>
      <c r="C226" s="3" t="s">
        <v>144</v>
      </c>
      <c r="D226" s="3" t="s">
        <v>213</v>
      </c>
      <c r="E226" s="3" t="s">
        <v>231</v>
      </c>
      <c r="F226" s="23" t="n">
        <v>3186</v>
      </c>
      <c r="G226" s="23" t="n">
        <v>3553.2</v>
      </c>
      <c r="H226" s="23" t="n">
        <v>2721.6</v>
      </c>
      <c r="I226" s="23" t="n">
        <v>1954.8</v>
      </c>
      <c r="J226" s="23" t="n">
        <v>4924.8</v>
      </c>
      <c r="K226" s="23" t="n">
        <v>3213</v>
      </c>
      <c r="L226" s="23" t="n">
        <v>1485</v>
      </c>
      <c r="M226" s="23" t="n">
        <v>3300</v>
      </c>
      <c r="N226" s="23" t="n">
        <v>3767</v>
      </c>
      <c r="O226" s="23" t="n">
        <v>3038</v>
      </c>
      <c r="P226" s="23" t="n">
        <v>3700</v>
      </c>
      <c r="Q226" s="23" t="n">
        <v>3134.8</v>
      </c>
      <c r="R226" s="23" t="n">
        <v>3300</v>
      </c>
      <c r="S226" s="23" t="n">
        <v>3037.8</v>
      </c>
    </row>
    <row r="227" customFormat="false" ht="15" hidden="false" customHeight="false" outlineLevel="0" collapsed="false">
      <c r="A227" s="3" t="n">
        <v>30000177</v>
      </c>
      <c r="B227" s="3" t="s">
        <v>439</v>
      </c>
      <c r="C227" s="3" t="s">
        <v>144</v>
      </c>
      <c r="D227" s="3" t="s">
        <v>213</v>
      </c>
      <c r="E227" s="3" t="s">
        <v>214</v>
      </c>
      <c r="F227" s="23" t="n">
        <v>3105.6</v>
      </c>
      <c r="G227" s="23" t="n">
        <v>4377.6</v>
      </c>
      <c r="H227" s="23" t="n">
        <v>3446.4</v>
      </c>
      <c r="I227" s="23" t="n">
        <v>2774.4</v>
      </c>
      <c r="J227" s="23" t="n">
        <v>3024</v>
      </c>
      <c r="K227" s="23" t="n">
        <v>2740.8</v>
      </c>
      <c r="L227" s="23" t="n">
        <v>3249.6</v>
      </c>
      <c r="M227" s="23" t="n">
        <v>4295</v>
      </c>
      <c r="N227" s="23" t="n">
        <v>4624</v>
      </c>
      <c r="O227" s="23" t="n">
        <v>2562.4</v>
      </c>
      <c r="P227" s="23" t="n">
        <v>4195</v>
      </c>
      <c r="Q227" s="23" t="n">
        <v>3650</v>
      </c>
      <c r="R227" s="23" t="n">
        <v>4058.55636725884</v>
      </c>
      <c r="S227" s="23" t="n">
        <v>3862.55636725884</v>
      </c>
    </row>
    <row r="228" customFormat="false" ht="15" hidden="false" customHeight="false" outlineLevel="0" collapsed="false">
      <c r="A228" s="3" t="n">
        <v>30001536</v>
      </c>
      <c r="B228" s="3" t="s">
        <v>440</v>
      </c>
      <c r="C228" s="3" t="s">
        <v>155</v>
      </c>
      <c r="D228" s="3" t="s">
        <v>224</v>
      </c>
      <c r="E228" s="3" t="s">
        <v>249</v>
      </c>
      <c r="F228" s="23" t="n">
        <v>2317.68</v>
      </c>
      <c r="G228" s="23" t="n">
        <v>2596.08</v>
      </c>
      <c r="H228" s="23" t="n">
        <v>3500.88</v>
      </c>
      <c r="I228" s="23" t="n">
        <v>3330.36</v>
      </c>
      <c r="J228" s="23" t="n">
        <v>3528.72</v>
      </c>
      <c r="K228" s="23" t="n">
        <v>4158.6</v>
      </c>
      <c r="L228" s="23" t="n">
        <v>1611.24</v>
      </c>
      <c r="M228" s="23" t="n">
        <v>1843.58884166817</v>
      </c>
      <c r="N228" s="23" t="n">
        <v>2321.87822789364</v>
      </c>
      <c r="O228" s="23" t="n">
        <v>1463.82339048861</v>
      </c>
      <c r="P228" s="23" t="n">
        <v>3588.52382573656</v>
      </c>
      <c r="Q228" s="23" t="n">
        <v>3588.52382573656</v>
      </c>
      <c r="R228" s="23" t="n">
        <v>2061.29988081011</v>
      </c>
      <c r="S228" s="23" t="n">
        <v>2061.29988081011</v>
      </c>
    </row>
    <row r="229" customFormat="false" ht="15" hidden="false" customHeight="false" outlineLevel="0" collapsed="false">
      <c r="A229" s="3" t="n">
        <v>30001755</v>
      </c>
      <c r="B229" s="3" t="s">
        <v>441</v>
      </c>
      <c r="C229" s="3" t="s">
        <v>144</v>
      </c>
      <c r="D229" s="3" t="s">
        <v>213</v>
      </c>
      <c r="E229" s="3" t="s">
        <v>214</v>
      </c>
      <c r="F229" s="23" t="n">
        <v>3952.8</v>
      </c>
      <c r="G229" s="23" t="n">
        <v>1320.3</v>
      </c>
      <c r="H229" s="23" t="n">
        <v>3240</v>
      </c>
      <c r="I229" s="23" t="n">
        <v>3123.9</v>
      </c>
      <c r="J229" s="23" t="n">
        <v>4344.3</v>
      </c>
      <c r="K229" s="23" t="n">
        <v>3348</v>
      </c>
      <c r="L229" s="23" t="n">
        <v>1798.2</v>
      </c>
      <c r="M229" s="23" t="n">
        <v>2500</v>
      </c>
      <c r="N229" s="23" t="n">
        <v>2500</v>
      </c>
      <c r="O229" s="23" t="n">
        <v>1600</v>
      </c>
      <c r="P229" s="23" t="n">
        <v>2000</v>
      </c>
      <c r="Q229" s="23" t="n">
        <v>3000</v>
      </c>
      <c r="R229" s="23" t="n">
        <v>3000</v>
      </c>
      <c r="S229" s="23" t="n">
        <v>3500</v>
      </c>
    </row>
    <row r="230" customFormat="false" ht="15" hidden="false" customHeight="false" outlineLevel="0" collapsed="false">
      <c r="A230" s="3" t="n">
        <v>30000066</v>
      </c>
      <c r="B230" s="3" t="s">
        <v>442</v>
      </c>
      <c r="C230" s="3" t="s">
        <v>143</v>
      </c>
      <c r="D230" s="3" t="s">
        <v>224</v>
      </c>
      <c r="E230" s="3" t="s">
        <v>249</v>
      </c>
      <c r="F230" s="23" t="n">
        <v>2318.4</v>
      </c>
      <c r="G230" s="23" t="n">
        <v>2685.6</v>
      </c>
      <c r="H230" s="23" t="n">
        <v>2160</v>
      </c>
      <c r="I230" s="23" t="n">
        <v>4240.8</v>
      </c>
      <c r="J230" s="23" t="n">
        <v>4435.2</v>
      </c>
      <c r="K230" s="23" t="n">
        <v>3448.8</v>
      </c>
      <c r="L230" s="23" t="n">
        <v>1483.2</v>
      </c>
      <c r="M230" s="23" t="n">
        <v>1290.00002984473</v>
      </c>
      <c r="N230" s="23" t="n">
        <v>1624.6697287278</v>
      </c>
      <c r="O230" s="23" t="n">
        <v>1024.26971499191</v>
      </c>
      <c r="P230" s="23" t="n">
        <v>1624.6697287278</v>
      </c>
      <c r="Q230" s="23" t="n">
        <v>2324.6697287278</v>
      </c>
      <c r="R230" s="23" t="n">
        <v>2290</v>
      </c>
      <c r="S230" s="23" t="n">
        <v>1390</v>
      </c>
    </row>
    <row r="231" customFormat="false" ht="15" hidden="false" customHeight="false" outlineLevel="0" collapsed="false">
      <c r="A231" s="3" t="n">
        <v>30002292</v>
      </c>
      <c r="B231" s="3" t="s">
        <v>443</v>
      </c>
      <c r="C231" s="3" t="s">
        <v>212</v>
      </c>
      <c r="D231" s="3" t="s">
        <v>213</v>
      </c>
      <c r="E231" s="3" t="s">
        <v>249</v>
      </c>
      <c r="F231" s="23" t="n">
        <v>2256</v>
      </c>
      <c r="G231" s="23" t="n">
        <v>2988</v>
      </c>
      <c r="H231" s="23" t="n">
        <v>2130</v>
      </c>
      <c r="I231" s="23" t="n">
        <v>4710</v>
      </c>
      <c r="J231" s="23" t="n">
        <v>2538</v>
      </c>
      <c r="K231" s="23" t="n">
        <v>4626</v>
      </c>
      <c r="L231" s="23" t="n">
        <v>1236</v>
      </c>
      <c r="M231" s="23" t="n">
        <v>2582</v>
      </c>
      <c r="N231" s="23" t="n">
        <v>2432</v>
      </c>
      <c r="O231" s="23" t="n">
        <v>1770</v>
      </c>
      <c r="P231" s="23" t="n">
        <v>2870</v>
      </c>
      <c r="Q231" s="23" t="n">
        <v>3425.6</v>
      </c>
      <c r="R231" s="23" t="n">
        <v>2839.73888411089</v>
      </c>
      <c r="S231" s="23" t="n">
        <v>4771.90902538878</v>
      </c>
    </row>
    <row r="232" customFormat="false" ht="15" hidden="false" customHeight="false" outlineLevel="0" collapsed="false">
      <c r="A232" s="3" t="n">
        <v>30002134</v>
      </c>
      <c r="B232" s="3" t="s">
        <v>444</v>
      </c>
      <c r="C232" s="3" t="s">
        <v>135</v>
      </c>
      <c r="D232" s="3" t="s">
        <v>224</v>
      </c>
      <c r="E232" s="3" t="s">
        <v>214</v>
      </c>
      <c r="F232" s="23" t="n">
        <v>3254.4</v>
      </c>
      <c r="G232" s="23" t="n">
        <v>3283.2</v>
      </c>
      <c r="H232" s="23" t="n">
        <v>1641.6</v>
      </c>
      <c r="I232" s="23" t="n">
        <v>3120</v>
      </c>
      <c r="J232" s="23" t="n">
        <v>4617.6</v>
      </c>
      <c r="K232" s="23" t="n">
        <v>3244.8</v>
      </c>
      <c r="L232" s="23" t="n">
        <v>940.8</v>
      </c>
      <c r="M232" s="23" t="n">
        <v>2400.00003933026</v>
      </c>
      <c r="N232" s="23" t="n">
        <v>2741.03764088689</v>
      </c>
      <c r="O232" s="23" t="n">
        <v>1649.81280270251</v>
      </c>
      <c r="P232" s="23" t="n">
        <v>2741.03764088689</v>
      </c>
      <c r="Q232" s="23" t="n">
        <v>2741.03762700562</v>
      </c>
      <c r="R232" s="23" t="n">
        <v>2400</v>
      </c>
      <c r="S232" s="23" t="n">
        <v>2400</v>
      </c>
    </row>
    <row r="233" customFormat="false" ht="15" hidden="false" customHeight="false" outlineLevel="0" collapsed="false">
      <c r="A233" s="3" t="n">
        <v>30001745</v>
      </c>
      <c r="B233" s="3" t="s">
        <v>445</v>
      </c>
      <c r="C233" s="3" t="s">
        <v>127</v>
      </c>
      <c r="D233" s="3" t="s">
        <v>213</v>
      </c>
      <c r="E233" s="3" t="s">
        <v>214</v>
      </c>
      <c r="F233" s="23" t="n">
        <v>0</v>
      </c>
      <c r="G233" s="23" t="n">
        <v>1202.04</v>
      </c>
      <c r="H233" s="23" t="n">
        <v>2634.12</v>
      </c>
      <c r="I233" s="23" t="n">
        <v>4665.6</v>
      </c>
      <c r="J233" s="23" t="n">
        <v>6049.08</v>
      </c>
      <c r="K233" s="23" t="n">
        <v>4516.56</v>
      </c>
      <c r="L233" s="23" t="n">
        <v>1344.6</v>
      </c>
      <c r="M233" s="23" t="n">
        <v>0</v>
      </c>
      <c r="N233" s="23" t="n">
        <v>4071.12</v>
      </c>
      <c r="O233" s="23" t="n">
        <v>2050</v>
      </c>
      <c r="P233" s="23" t="n">
        <v>2425.56</v>
      </c>
      <c r="Q233" s="23" t="n">
        <v>4256.68</v>
      </c>
      <c r="R233" s="23" t="n">
        <v>4356.68</v>
      </c>
      <c r="S233" s="23" t="n">
        <v>5842.24</v>
      </c>
    </row>
    <row r="234" customFormat="false" ht="15" hidden="false" customHeight="false" outlineLevel="0" collapsed="false">
      <c r="A234" s="3" t="n">
        <v>30002135</v>
      </c>
      <c r="B234" s="3" t="s">
        <v>446</v>
      </c>
      <c r="C234" s="3" t="s">
        <v>135</v>
      </c>
      <c r="D234" s="3" t="s">
        <v>224</v>
      </c>
      <c r="E234" s="3" t="s">
        <v>214</v>
      </c>
      <c r="F234" s="23" t="n">
        <v>2649.6</v>
      </c>
      <c r="G234" s="23" t="n">
        <v>3657.6</v>
      </c>
      <c r="H234" s="23" t="n">
        <v>1689.6</v>
      </c>
      <c r="I234" s="23" t="n">
        <v>3561.6</v>
      </c>
      <c r="J234" s="23" t="n">
        <v>4320</v>
      </c>
      <c r="K234" s="23" t="n">
        <v>3072</v>
      </c>
      <c r="L234" s="23" t="n">
        <v>844.8</v>
      </c>
      <c r="M234" s="23" t="n">
        <v>2702.7027027027</v>
      </c>
      <c r="N234" s="23" t="n">
        <v>3122.27167187785</v>
      </c>
      <c r="O234" s="23" t="n">
        <v>2066.56554690385</v>
      </c>
      <c r="P234" s="23" t="n">
        <v>3122.27167187785</v>
      </c>
      <c r="Q234" s="23" t="n">
        <v>3122.27167187785</v>
      </c>
      <c r="R234" s="23" t="n">
        <v>3002.7027027027</v>
      </c>
      <c r="S234" s="23" t="n">
        <v>2702.7027027027</v>
      </c>
    </row>
    <row r="235" customFormat="false" ht="15" hidden="false" customHeight="false" outlineLevel="0" collapsed="false">
      <c r="A235" s="3" t="n">
        <v>30000334</v>
      </c>
      <c r="B235" s="3" t="s">
        <v>447</v>
      </c>
      <c r="C235" s="3" t="s">
        <v>212</v>
      </c>
      <c r="D235" s="3" t="s">
        <v>213</v>
      </c>
      <c r="E235" s="3" t="s">
        <v>214</v>
      </c>
      <c r="F235" s="23" t="n">
        <v>2040</v>
      </c>
      <c r="G235" s="23" t="n">
        <v>4056</v>
      </c>
      <c r="H235" s="23" t="n">
        <v>4392</v>
      </c>
      <c r="I235" s="23" t="n">
        <v>3252</v>
      </c>
      <c r="J235" s="23" t="n">
        <v>2160</v>
      </c>
      <c r="K235" s="23" t="n">
        <v>2976</v>
      </c>
      <c r="L235" s="23" t="n">
        <v>1632</v>
      </c>
      <c r="M235" s="23" t="n">
        <v>2992</v>
      </c>
      <c r="N235" s="23" t="n">
        <v>1648</v>
      </c>
      <c r="O235" s="23" t="n">
        <v>1989.32</v>
      </c>
      <c r="P235" s="23" t="n">
        <v>2167.36</v>
      </c>
      <c r="Q235" s="23" t="n">
        <v>3616</v>
      </c>
      <c r="R235" s="23" t="n">
        <v>3036.76382068518</v>
      </c>
      <c r="S235" s="23" t="n">
        <v>2744.72916666667</v>
      </c>
    </row>
    <row r="236" customFormat="false" ht="15" hidden="false" customHeight="false" outlineLevel="0" collapsed="false">
      <c r="A236" s="3" t="n">
        <v>30000488</v>
      </c>
      <c r="B236" s="3" t="s">
        <v>448</v>
      </c>
      <c r="C236" s="3" t="s">
        <v>155</v>
      </c>
      <c r="D236" s="3" t="s">
        <v>224</v>
      </c>
      <c r="E236" s="3" t="s">
        <v>231</v>
      </c>
      <c r="F236" s="23" t="n">
        <v>2970</v>
      </c>
      <c r="G236" s="23" t="n">
        <v>4168.8</v>
      </c>
      <c r="H236" s="23" t="n">
        <v>3002.4</v>
      </c>
      <c r="I236" s="23" t="n">
        <v>3326.4</v>
      </c>
      <c r="J236" s="23" t="n">
        <v>2678.4</v>
      </c>
      <c r="K236" s="23" t="n">
        <v>2527.2</v>
      </c>
      <c r="L236" s="23" t="n">
        <v>1825.2</v>
      </c>
      <c r="M236" s="23" t="n">
        <v>3626.77396074994</v>
      </c>
      <c r="N236" s="23" t="n">
        <v>4567.68199228718</v>
      </c>
      <c r="O236" s="23" t="n">
        <v>2292.94762442994</v>
      </c>
      <c r="P236" s="23" t="n">
        <v>3637.01331831242</v>
      </c>
      <c r="Q236" s="23" t="n">
        <v>3637.01331831242</v>
      </c>
      <c r="R236" s="23" t="n">
        <v>2887.81596509274</v>
      </c>
      <c r="S236" s="23" t="n">
        <v>2887.81596509274</v>
      </c>
    </row>
    <row r="237" customFormat="false" ht="15" hidden="false" customHeight="false" outlineLevel="0" collapsed="false">
      <c r="A237" s="3" t="n">
        <v>30000179</v>
      </c>
      <c r="B237" s="3" t="s">
        <v>449</v>
      </c>
      <c r="C237" s="3" t="s">
        <v>144</v>
      </c>
      <c r="D237" s="3" t="s">
        <v>213</v>
      </c>
      <c r="E237" s="3" t="s">
        <v>214</v>
      </c>
      <c r="F237" s="23" t="n">
        <v>2995.2</v>
      </c>
      <c r="G237" s="23" t="n">
        <v>4886.4</v>
      </c>
      <c r="H237" s="23" t="n">
        <v>1281.6</v>
      </c>
      <c r="I237" s="23" t="n">
        <v>3456</v>
      </c>
      <c r="J237" s="23" t="n">
        <v>3432</v>
      </c>
      <c r="K237" s="23" t="n">
        <v>2577.6</v>
      </c>
      <c r="L237" s="23" t="n">
        <v>3398.4</v>
      </c>
      <c r="M237" s="23" t="n">
        <v>2804.4</v>
      </c>
      <c r="N237" s="23" t="n">
        <v>5010</v>
      </c>
      <c r="O237" s="23" t="n">
        <v>2157.6</v>
      </c>
      <c r="P237" s="23" t="n">
        <v>3388.4</v>
      </c>
      <c r="Q237" s="23" t="n">
        <v>3600</v>
      </c>
      <c r="R237" s="23" t="n">
        <v>3701.72392495434</v>
      </c>
      <c r="S237" s="23" t="n">
        <v>3505.72392495434</v>
      </c>
    </row>
    <row r="238" customFormat="false" ht="15" hidden="false" customHeight="false" outlineLevel="0" collapsed="false">
      <c r="A238" s="3" t="n">
        <v>30000498</v>
      </c>
      <c r="B238" s="3" t="s">
        <v>450</v>
      </c>
      <c r="C238" s="3" t="s">
        <v>139</v>
      </c>
      <c r="D238" s="3" t="s">
        <v>224</v>
      </c>
      <c r="E238" s="3" t="s">
        <v>249</v>
      </c>
      <c r="F238" s="23" t="n">
        <v>3942</v>
      </c>
      <c r="G238" s="23" t="n">
        <v>2203.2</v>
      </c>
      <c r="H238" s="23" t="n">
        <v>2673</v>
      </c>
      <c r="I238" s="23" t="n">
        <v>3369.6</v>
      </c>
      <c r="J238" s="23" t="n">
        <v>3742.2</v>
      </c>
      <c r="K238" s="23" t="n">
        <v>2170.8</v>
      </c>
      <c r="L238" s="23" t="n">
        <v>1819.8</v>
      </c>
      <c r="M238" s="23" t="n">
        <v>2764.56582379164</v>
      </c>
      <c r="N238" s="23" t="n">
        <v>2137.9170092069</v>
      </c>
      <c r="O238" s="23" t="n">
        <v>1347.84541557959</v>
      </c>
      <c r="P238" s="23" t="n">
        <v>2137.9170092069</v>
      </c>
      <c r="Q238" s="23" t="n">
        <v>2634.14344991146</v>
      </c>
      <c r="R238" s="23" t="n">
        <v>2634.14344991146</v>
      </c>
      <c r="S238" s="23" t="n">
        <v>2137.9170092069</v>
      </c>
    </row>
    <row r="239" customFormat="false" ht="15" hidden="false" customHeight="false" outlineLevel="0" collapsed="false">
      <c r="A239" s="3" t="n">
        <v>30000642</v>
      </c>
      <c r="B239" s="3" t="s">
        <v>451</v>
      </c>
      <c r="C239" s="3" t="s">
        <v>129</v>
      </c>
      <c r="D239" s="3" t="s">
        <v>213</v>
      </c>
      <c r="E239" s="3" t="n">
        <v>0</v>
      </c>
      <c r="F239" s="23" t="n">
        <v>3137.28</v>
      </c>
      <c r="G239" s="23" t="n">
        <v>3824.32</v>
      </c>
      <c r="H239" s="23" t="n">
        <v>2073.28</v>
      </c>
      <c r="I239" s="23" t="n">
        <v>2942.72</v>
      </c>
      <c r="J239" s="23" t="n">
        <v>3660.16</v>
      </c>
      <c r="K239" s="23" t="n">
        <v>2407.68</v>
      </c>
      <c r="L239" s="23" t="n">
        <v>2936.64</v>
      </c>
      <c r="M239" s="23" t="n">
        <v>3470</v>
      </c>
      <c r="N239" s="23" t="n">
        <v>3520</v>
      </c>
      <c r="O239" s="23" t="n">
        <v>2421.6</v>
      </c>
      <c r="P239" s="23" t="n">
        <v>3000</v>
      </c>
      <c r="Q239" s="23" t="n">
        <v>3121.6</v>
      </c>
      <c r="R239" s="23" t="n">
        <v>3296.32</v>
      </c>
      <c r="S239" s="23" t="n">
        <v>3321.6</v>
      </c>
    </row>
    <row r="240" customFormat="false" ht="15" hidden="false" customHeight="false" outlineLevel="0" collapsed="false">
      <c r="A240" s="3" t="n">
        <v>30002094</v>
      </c>
      <c r="B240" s="3" t="s">
        <v>452</v>
      </c>
      <c r="C240" s="3" t="s">
        <v>147</v>
      </c>
      <c r="D240" s="3" t="s">
        <v>224</v>
      </c>
      <c r="E240" s="3" t="n">
        <v>0</v>
      </c>
      <c r="F240" s="23" t="n">
        <v>4386.096</v>
      </c>
      <c r="G240" s="23" t="n">
        <v>2499.552</v>
      </c>
      <c r="H240" s="23" t="n">
        <v>2982.672</v>
      </c>
      <c r="I240" s="23" t="n">
        <v>3506.976</v>
      </c>
      <c r="J240" s="23" t="n">
        <v>2195.424</v>
      </c>
      <c r="K240" s="23" t="n">
        <v>2360.16</v>
      </c>
      <c r="L240" s="23" t="n">
        <v>1696.464</v>
      </c>
      <c r="M240" s="23" t="n">
        <v>3709.86115181597</v>
      </c>
      <c r="N240" s="23" t="n">
        <v>3928.40667919106</v>
      </c>
      <c r="O240" s="23" t="n">
        <v>2162.9353298207</v>
      </c>
      <c r="P240" s="23" t="n">
        <v>3173.8294035513</v>
      </c>
      <c r="Q240" s="23" t="n">
        <v>3173.8294035513</v>
      </c>
      <c r="R240" s="23" t="n">
        <v>2674.07407407408</v>
      </c>
      <c r="S240" s="23" t="n">
        <v>2674.07407407408</v>
      </c>
    </row>
    <row r="241" customFormat="false" ht="15" hidden="false" customHeight="false" outlineLevel="0" collapsed="false">
      <c r="A241" s="3" t="n">
        <v>30001522</v>
      </c>
      <c r="B241" s="3" t="s">
        <v>453</v>
      </c>
      <c r="C241" s="3" t="s">
        <v>129</v>
      </c>
      <c r="D241" s="3" t="s">
        <v>213</v>
      </c>
      <c r="E241" s="3" t="s">
        <v>214</v>
      </c>
      <c r="F241" s="23" t="n">
        <v>2261.76</v>
      </c>
      <c r="G241" s="23" t="n">
        <v>2352.96</v>
      </c>
      <c r="H241" s="23" t="n">
        <v>3337.92</v>
      </c>
      <c r="I241" s="23" t="n">
        <v>3830.4</v>
      </c>
      <c r="J241" s="23" t="n">
        <v>4584.32</v>
      </c>
      <c r="K241" s="23" t="n">
        <v>1526.08</v>
      </c>
      <c r="L241" s="23" t="n">
        <v>2626.56</v>
      </c>
      <c r="M241" s="23" t="n">
        <v>3092.08</v>
      </c>
      <c r="N241" s="23" t="n">
        <v>5022.88</v>
      </c>
      <c r="O241" s="23" t="n">
        <v>2113.04</v>
      </c>
      <c r="P241" s="23" t="n">
        <v>3373.6</v>
      </c>
      <c r="Q241" s="23" t="n">
        <v>3169.28</v>
      </c>
      <c r="R241" s="23" t="n">
        <v>2420.8</v>
      </c>
      <c r="S241" s="23" t="n">
        <v>3470.54487005198</v>
      </c>
    </row>
    <row r="242" customFormat="false" ht="15" hidden="false" customHeight="false" outlineLevel="0" collapsed="false">
      <c r="A242" s="3" t="n">
        <v>30002293</v>
      </c>
      <c r="B242" s="3" t="s">
        <v>454</v>
      </c>
      <c r="C242" s="3" t="s">
        <v>212</v>
      </c>
      <c r="D242" s="3" t="s">
        <v>213</v>
      </c>
      <c r="E242" s="3" t="s">
        <v>212</v>
      </c>
      <c r="F242" s="23" t="n">
        <v>1215</v>
      </c>
      <c r="G242" s="23" t="n">
        <v>3315.6</v>
      </c>
      <c r="H242" s="23" t="n">
        <v>3223.8</v>
      </c>
      <c r="I242" s="23" t="n">
        <v>2500.2</v>
      </c>
      <c r="J242" s="23" t="n">
        <v>5400</v>
      </c>
      <c r="K242" s="23" t="n">
        <v>2219.4</v>
      </c>
      <c r="L242" s="23" t="n">
        <v>594</v>
      </c>
      <c r="M242" s="23" t="n">
        <v>3630</v>
      </c>
      <c r="N242" s="23" t="n">
        <v>1630</v>
      </c>
      <c r="O242" s="23" t="n">
        <v>900</v>
      </c>
      <c r="P242" s="23" t="n">
        <v>2430</v>
      </c>
      <c r="Q242" s="23" t="n">
        <v>2330</v>
      </c>
      <c r="R242" s="23" t="n">
        <v>3821.875</v>
      </c>
      <c r="S242" s="23" t="n">
        <v>2400</v>
      </c>
    </row>
    <row r="243" customFormat="false" ht="15" hidden="false" customHeight="false" outlineLevel="0" collapsed="false">
      <c r="A243" s="3" t="n">
        <v>30002288</v>
      </c>
      <c r="B243" s="3" t="s">
        <v>455</v>
      </c>
      <c r="C243" s="3" t="s">
        <v>155</v>
      </c>
      <c r="D243" s="3" t="s">
        <v>224</v>
      </c>
      <c r="E243" s="3" t="s">
        <v>212</v>
      </c>
      <c r="F243" s="23" t="n">
        <v>4925.76</v>
      </c>
      <c r="G243" s="23" t="n">
        <v>2016</v>
      </c>
      <c r="H243" s="23" t="n">
        <v>2207.52</v>
      </c>
      <c r="I243" s="23" t="n">
        <v>3074.4</v>
      </c>
      <c r="J243" s="23" t="n">
        <v>2708.16</v>
      </c>
      <c r="K243" s="23" t="n">
        <v>2859.36</v>
      </c>
      <c r="L243" s="23" t="n">
        <v>991.2</v>
      </c>
      <c r="M243" s="23" t="n">
        <v>1505.9804191794</v>
      </c>
      <c r="N243" s="23" t="n">
        <v>2383.73845204625</v>
      </c>
      <c r="O243" s="23" t="n">
        <v>929.7685043893</v>
      </c>
      <c r="P243" s="23" t="n">
        <v>4258.01779631057</v>
      </c>
      <c r="Q243" s="23" t="n">
        <v>3303.29683628918</v>
      </c>
      <c r="R243" s="23" t="n">
        <v>2855.60664298069</v>
      </c>
      <c r="S243" s="23" t="n">
        <v>2855.60664298069</v>
      </c>
    </row>
    <row r="244" customFormat="false" ht="15" hidden="false" customHeight="false" outlineLevel="0" collapsed="false">
      <c r="A244" s="3" t="n">
        <v>30001048</v>
      </c>
      <c r="B244" s="3" t="s">
        <v>456</v>
      </c>
      <c r="C244" s="3" t="s">
        <v>155</v>
      </c>
      <c r="D244" s="3" t="s">
        <v>224</v>
      </c>
      <c r="E244" s="3" t="s">
        <v>214</v>
      </c>
      <c r="F244" s="23" t="n">
        <v>3633.12</v>
      </c>
      <c r="G244" s="23" t="n">
        <v>3205.44</v>
      </c>
      <c r="H244" s="23" t="n">
        <v>2712.96</v>
      </c>
      <c r="I244" s="23" t="n">
        <v>2233.44</v>
      </c>
      <c r="J244" s="23" t="n">
        <v>2397.6</v>
      </c>
      <c r="K244" s="23" t="n">
        <v>3602.88</v>
      </c>
      <c r="L244" s="23" t="n">
        <v>1952.64</v>
      </c>
      <c r="M244" s="23" t="n">
        <v>3624.95449380565</v>
      </c>
      <c r="N244" s="23" t="n">
        <v>4009.343961957</v>
      </c>
      <c r="O244" s="23" t="n">
        <v>2527.68271889571</v>
      </c>
      <c r="P244" s="23" t="n">
        <v>4009.343961957</v>
      </c>
      <c r="Q244" s="23" t="n">
        <v>3352.2826562353</v>
      </c>
      <c r="R244" s="23" t="n">
        <v>3005.05845676067</v>
      </c>
      <c r="S244" s="23" t="n">
        <v>3005.05845676067</v>
      </c>
    </row>
    <row r="245" customFormat="false" ht="15" hidden="false" customHeight="false" outlineLevel="0" collapsed="false">
      <c r="A245" s="3" t="n">
        <v>30001076</v>
      </c>
      <c r="B245" s="3" t="s">
        <v>457</v>
      </c>
      <c r="C245" s="3" t="s">
        <v>155</v>
      </c>
      <c r="D245" s="3" t="s">
        <v>224</v>
      </c>
      <c r="E245" s="3" t="s">
        <v>231</v>
      </c>
      <c r="F245" s="23" t="n">
        <v>2761.44</v>
      </c>
      <c r="G245" s="23" t="n">
        <v>4044.48</v>
      </c>
      <c r="H245" s="23" t="n">
        <v>2407.68</v>
      </c>
      <c r="I245" s="23" t="n">
        <v>3553.44</v>
      </c>
      <c r="J245" s="23" t="n">
        <v>1589.28</v>
      </c>
      <c r="K245" s="23" t="n">
        <v>3104.64</v>
      </c>
      <c r="L245" s="23" t="n">
        <v>1224.96</v>
      </c>
      <c r="M245" s="23" t="n">
        <v>1889.18854261284</v>
      </c>
      <c r="N245" s="23" t="n">
        <v>1427.46754077613</v>
      </c>
      <c r="O245" s="23" t="n">
        <v>899.943998030835</v>
      </c>
      <c r="P245" s="23" t="n">
        <v>2566.50536720617</v>
      </c>
      <c r="Q245" s="23" t="n">
        <v>2566.50536720617</v>
      </c>
      <c r="R245" s="23" t="n">
        <v>2186.14368810554</v>
      </c>
      <c r="S245" s="23" t="n">
        <v>1021.28603972365</v>
      </c>
    </row>
    <row r="246" customFormat="false" ht="15" hidden="false" customHeight="false" outlineLevel="0" collapsed="false">
      <c r="A246" s="3" t="n">
        <v>30001983</v>
      </c>
      <c r="B246" s="3" t="s">
        <v>458</v>
      </c>
      <c r="C246" s="3" t="s">
        <v>155</v>
      </c>
      <c r="D246" s="3" t="s">
        <v>224</v>
      </c>
      <c r="E246" s="3" t="s">
        <v>231</v>
      </c>
      <c r="F246" s="23" t="n">
        <v>3574.992</v>
      </c>
      <c r="G246" s="23" t="n">
        <v>2758.776</v>
      </c>
      <c r="H246" s="23" t="n">
        <v>2107.848</v>
      </c>
      <c r="I246" s="23" t="n">
        <v>3275.088</v>
      </c>
      <c r="J246" s="23" t="n">
        <v>2912.136</v>
      </c>
      <c r="K246" s="23" t="n">
        <v>2538.96</v>
      </c>
      <c r="L246" s="23" t="n">
        <v>1622.208</v>
      </c>
      <c r="M246" s="23" t="n">
        <v>2418.67735178967</v>
      </c>
      <c r="N246" s="23" t="n">
        <v>2214.85861615304</v>
      </c>
      <c r="O246" s="23" t="n">
        <v>1396.35309466305</v>
      </c>
      <c r="P246" s="23" t="n">
        <v>2214.85861615304</v>
      </c>
      <c r="Q246" s="23" t="n">
        <v>2214.85861615304</v>
      </c>
      <c r="R246" s="23" t="n">
        <v>1758.61442132902</v>
      </c>
      <c r="S246" s="23" t="n">
        <v>1758.61442132902</v>
      </c>
    </row>
    <row r="247" customFormat="false" ht="15" hidden="false" customHeight="false" outlineLevel="0" collapsed="false">
      <c r="A247" s="3" t="n">
        <v>30000435</v>
      </c>
      <c r="B247" s="3" t="s">
        <v>459</v>
      </c>
      <c r="C247" s="3" t="s">
        <v>155</v>
      </c>
      <c r="D247" s="3" t="s">
        <v>224</v>
      </c>
      <c r="E247" s="3" t="s">
        <v>249</v>
      </c>
      <c r="F247" s="23" t="n">
        <v>2790.4</v>
      </c>
      <c r="G247" s="23" t="n">
        <v>1792</v>
      </c>
      <c r="H247" s="23" t="n">
        <v>2636.8</v>
      </c>
      <c r="I247" s="23" t="n">
        <v>3793.92</v>
      </c>
      <c r="J247" s="23" t="n">
        <v>2872.32</v>
      </c>
      <c r="K247" s="23" t="n">
        <v>3020.8</v>
      </c>
      <c r="L247" s="23" t="n">
        <v>2109.44</v>
      </c>
      <c r="M247" s="23" t="n">
        <v>2293.11873536281</v>
      </c>
      <c r="N247" s="23" t="n">
        <v>2512.46652917913</v>
      </c>
      <c r="O247" s="23" t="n">
        <v>1191.01129650222</v>
      </c>
      <c r="P247" s="23" t="n">
        <v>1889.1508473579</v>
      </c>
      <c r="Q247" s="23" t="n">
        <v>1889.1508473579</v>
      </c>
      <c r="R247" s="23" t="n">
        <v>1942.1083083556</v>
      </c>
      <c r="S247" s="23" t="n">
        <v>1942.1083083556</v>
      </c>
    </row>
    <row r="248" customFormat="false" ht="15" hidden="false" customHeight="false" outlineLevel="0" collapsed="false">
      <c r="A248" s="3" t="n">
        <v>30001402</v>
      </c>
      <c r="B248" s="3" t="s">
        <v>460</v>
      </c>
      <c r="C248" s="3" t="s">
        <v>212</v>
      </c>
      <c r="D248" s="3" t="s">
        <v>224</v>
      </c>
      <c r="E248" s="3" t="s">
        <v>231</v>
      </c>
      <c r="F248" s="23" t="n">
        <v>2570.4</v>
      </c>
      <c r="G248" s="23" t="n">
        <v>1809</v>
      </c>
      <c r="H248" s="23" t="n">
        <v>2273.4</v>
      </c>
      <c r="I248" s="23" t="n">
        <v>4023</v>
      </c>
      <c r="J248" s="23" t="n">
        <v>1771.2</v>
      </c>
      <c r="K248" s="23" t="n">
        <v>4422.6</v>
      </c>
      <c r="L248" s="23" t="n">
        <v>1474.2</v>
      </c>
      <c r="M248" s="23" t="n">
        <v>4560.96261452621</v>
      </c>
      <c r="N248" s="23" t="n">
        <v>4095.64611968533</v>
      </c>
      <c r="O248" s="23" t="n">
        <v>2186.41979918701</v>
      </c>
      <c r="P248" s="23" t="n">
        <v>4595.64611968533</v>
      </c>
      <c r="Q248" s="23" t="n">
        <v>4395.64611968533</v>
      </c>
      <c r="R248" s="23" t="n">
        <v>3760.96256684492</v>
      </c>
      <c r="S248" s="23" t="n">
        <v>3760.96256684492</v>
      </c>
    </row>
    <row r="249" customFormat="false" ht="15" hidden="false" customHeight="false" outlineLevel="0" collapsed="false">
      <c r="A249" s="3" t="n">
        <v>30001020</v>
      </c>
      <c r="B249" s="3" t="s">
        <v>461</v>
      </c>
      <c r="C249" s="3" t="s">
        <v>155</v>
      </c>
      <c r="D249" s="3" t="s">
        <v>224</v>
      </c>
      <c r="E249" s="3" t="s">
        <v>214</v>
      </c>
      <c r="F249" s="23" t="n">
        <v>3223.68</v>
      </c>
      <c r="G249" s="23" t="n">
        <v>1727.76</v>
      </c>
      <c r="H249" s="23" t="n">
        <v>2114.16</v>
      </c>
      <c r="I249" s="23" t="n">
        <v>4498.8</v>
      </c>
      <c r="J249" s="23" t="n">
        <v>2163.84</v>
      </c>
      <c r="K249" s="23" t="n">
        <v>3002.88</v>
      </c>
      <c r="L249" s="23" t="n">
        <v>1297.2</v>
      </c>
      <c r="M249" s="23" t="n">
        <v>3809.81252029733</v>
      </c>
      <c r="N249" s="23" t="n">
        <v>3870.2005097935</v>
      </c>
      <c r="O249" s="23" t="n">
        <v>2405.39458894432</v>
      </c>
      <c r="P249" s="23" t="n">
        <v>3457.79732684198</v>
      </c>
      <c r="Q249" s="23" t="n">
        <v>4100.3640491819</v>
      </c>
      <c r="R249" s="23" t="n">
        <v>3646.76346867032</v>
      </c>
      <c r="S249" s="23" t="n">
        <v>3905.31088252735</v>
      </c>
    </row>
    <row r="250" customFormat="false" ht="15" hidden="false" customHeight="false" outlineLevel="0" collapsed="false">
      <c r="A250" s="3" t="n">
        <v>30000180</v>
      </c>
      <c r="B250" s="3" t="s">
        <v>462</v>
      </c>
      <c r="C250" s="3" t="s">
        <v>144</v>
      </c>
      <c r="D250" s="3" t="s">
        <v>213</v>
      </c>
      <c r="E250" s="3" t="s">
        <v>214</v>
      </c>
      <c r="F250" s="23" t="n">
        <v>2452.8</v>
      </c>
      <c r="G250" s="23" t="n">
        <v>2236.8</v>
      </c>
      <c r="H250" s="23" t="n">
        <v>1612.8</v>
      </c>
      <c r="I250" s="23" t="n">
        <v>3772.8</v>
      </c>
      <c r="J250" s="23" t="n">
        <v>4080</v>
      </c>
      <c r="K250" s="23" t="n">
        <v>2275.2</v>
      </c>
      <c r="L250" s="23" t="n">
        <v>2164.8</v>
      </c>
      <c r="M250" s="23" t="n">
        <v>2352</v>
      </c>
      <c r="N250" s="23" t="n">
        <v>2252</v>
      </c>
      <c r="O250" s="23" t="n">
        <v>1170</v>
      </c>
      <c r="P250" s="23" t="n">
        <v>2120</v>
      </c>
      <c r="Q250" s="23" t="n">
        <v>2820</v>
      </c>
      <c r="R250" s="23" t="n">
        <v>2420</v>
      </c>
      <c r="S250" s="23" t="n">
        <v>2320</v>
      </c>
    </row>
    <row r="251" customFormat="false" ht="15" hidden="false" customHeight="false" outlineLevel="0" collapsed="false">
      <c r="A251" s="3" t="n">
        <v>30002354</v>
      </c>
      <c r="B251" s="3" t="s">
        <v>463</v>
      </c>
      <c r="C251" s="3" t="s">
        <v>129</v>
      </c>
      <c r="D251" s="3" t="s">
        <v>213</v>
      </c>
      <c r="E251" s="3" t="s">
        <v>214</v>
      </c>
      <c r="F251" s="23" t="n">
        <v>0</v>
      </c>
      <c r="G251" s="23" t="n">
        <v>0</v>
      </c>
      <c r="H251" s="23" t="n">
        <v>0</v>
      </c>
      <c r="I251" s="23" t="n">
        <v>0</v>
      </c>
      <c r="J251" s="23" t="n">
        <v>5952</v>
      </c>
      <c r="K251" s="23" t="n">
        <v>10416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3" t="n">
        <v>7400</v>
      </c>
      <c r="R251" s="23" t="n">
        <v>1000</v>
      </c>
      <c r="S251" s="23" t="n">
        <v>1000</v>
      </c>
    </row>
    <row r="252" customFormat="false" ht="15" hidden="false" customHeight="false" outlineLevel="0" collapsed="false">
      <c r="A252" s="3" t="n">
        <v>30000421</v>
      </c>
      <c r="B252" s="3" t="s">
        <v>464</v>
      </c>
      <c r="C252" s="3" t="s">
        <v>139</v>
      </c>
      <c r="D252" s="3" t="s">
        <v>213</v>
      </c>
      <c r="E252" s="3" t="s">
        <v>231</v>
      </c>
      <c r="F252" s="23" t="n">
        <v>3480</v>
      </c>
      <c r="G252" s="23" t="n">
        <v>2040</v>
      </c>
      <c r="H252" s="23" t="n">
        <v>2160</v>
      </c>
      <c r="I252" s="23" t="n">
        <v>3660</v>
      </c>
      <c r="J252" s="23" t="n">
        <v>2904</v>
      </c>
      <c r="K252" s="23" t="n">
        <v>2040</v>
      </c>
      <c r="L252" s="23" t="n">
        <v>1488</v>
      </c>
      <c r="M252" s="23" t="n">
        <v>3355.97472840024</v>
      </c>
      <c r="N252" s="23" t="n">
        <v>2621.51349839138</v>
      </c>
      <c r="O252" s="23" t="n">
        <v>1440.34</v>
      </c>
      <c r="P252" s="23" t="n">
        <v>3075.985</v>
      </c>
      <c r="Q252" s="23" t="n">
        <v>2821.38</v>
      </c>
      <c r="R252" s="23" t="n">
        <v>2645.39388268619</v>
      </c>
      <c r="S252" s="23" t="n">
        <v>2497.36945808371</v>
      </c>
    </row>
    <row r="253" customFormat="false" ht="15" hidden="false" customHeight="false" outlineLevel="0" collapsed="false">
      <c r="A253" s="3" t="n">
        <v>30001403</v>
      </c>
      <c r="B253" s="3" t="s">
        <v>465</v>
      </c>
      <c r="C253" s="3" t="s">
        <v>143</v>
      </c>
      <c r="D253" s="3" t="s">
        <v>224</v>
      </c>
      <c r="E253" s="3" t="s">
        <v>249</v>
      </c>
      <c r="F253" s="23" t="n">
        <v>2678.4</v>
      </c>
      <c r="G253" s="23" t="n">
        <v>3801.6</v>
      </c>
      <c r="H253" s="23" t="n">
        <v>2521.8</v>
      </c>
      <c r="I253" s="23" t="n">
        <v>2354.4</v>
      </c>
      <c r="J253" s="23" t="n">
        <v>1803.6</v>
      </c>
      <c r="K253" s="23" t="n">
        <v>2986.2</v>
      </c>
      <c r="L253" s="23" t="n">
        <v>1749.6</v>
      </c>
      <c r="M253" s="23" t="n">
        <v>2819.07911849315</v>
      </c>
      <c r="N253" s="23" t="n">
        <v>3352.12961803911</v>
      </c>
      <c r="O253" s="23" t="n">
        <v>2035.0188275037</v>
      </c>
      <c r="P253" s="23" t="n">
        <v>3198.58474559651</v>
      </c>
      <c r="Q253" s="23" t="n">
        <v>3198.58474559651</v>
      </c>
      <c r="R253" s="23" t="n">
        <v>2550</v>
      </c>
      <c r="S253" s="23" t="n">
        <v>1350</v>
      </c>
    </row>
    <row r="254" customFormat="false" ht="15" hidden="false" customHeight="false" outlineLevel="0" collapsed="false">
      <c r="A254" s="3" t="n">
        <v>30001683</v>
      </c>
      <c r="B254" s="3" t="s">
        <v>466</v>
      </c>
      <c r="C254" s="3" t="s">
        <v>129</v>
      </c>
      <c r="D254" s="3" t="s">
        <v>213</v>
      </c>
      <c r="E254" s="3" t="s">
        <v>231</v>
      </c>
      <c r="F254" s="23" t="n">
        <v>4712</v>
      </c>
      <c r="G254" s="23" t="n">
        <v>1832</v>
      </c>
      <c r="H254" s="23" t="n">
        <v>1880</v>
      </c>
      <c r="I254" s="23" t="n">
        <v>1816</v>
      </c>
      <c r="J254" s="23" t="n">
        <v>2792</v>
      </c>
      <c r="K254" s="23" t="n">
        <v>2792</v>
      </c>
      <c r="L254" s="23" t="n">
        <v>560</v>
      </c>
      <c r="M254" s="23" t="n">
        <v>3640</v>
      </c>
      <c r="N254" s="23" t="n">
        <v>4600</v>
      </c>
      <c r="O254" s="23" t="n">
        <v>2200</v>
      </c>
      <c r="P254" s="23" t="n">
        <v>2870</v>
      </c>
      <c r="Q254" s="23" t="n">
        <v>2800</v>
      </c>
      <c r="R254" s="23" t="n">
        <v>3750</v>
      </c>
      <c r="S254" s="23" t="n">
        <v>2550</v>
      </c>
    </row>
    <row r="255" customFormat="false" ht="15" hidden="false" customHeight="false" outlineLevel="0" collapsed="false">
      <c r="A255" s="3" t="n">
        <v>30000089</v>
      </c>
      <c r="B255" s="3" t="s">
        <v>467</v>
      </c>
      <c r="C255" s="3" t="s">
        <v>141</v>
      </c>
      <c r="D255" s="3" t="s">
        <v>224</v>
      </c>
      <c r="E255" s="3" t="s">
        <v>249</v>
      </c>
      <c r="F255" s="23" t="n">
        <v>3224</v>
      </c>
      <c r="G255" s="23" t="n">
        <v>4768</v>
      </c>
      <c r="H255" s="23" t="n">
        <v>2496</v>
      </c>
      <c r="I255" s="23" t="n">
        <v>2872</v>
      </c>
      <c r="J255" s="23" t="n">
        <v>1232</v>
      </c>
      <c r="K255" s="23" t="n">
        <v>1136</v>
      </c>
      <c r="L255" s="23" t="n">
        <v>832</v>
      </c>
      <c r="M255" s="23" t="n">
        <v>4687.15103903299</v>
      </c>
      <c r="N255" s="23" t="n">
        <v>5413.62836427909</v>
      </c>
      <c r="O255" s="23" t="n">
        <v>2521.66707673713</v>
      </c>
      <c r="P255" s="23" t="n">
        <v>3413.62836427909</v>
      </c>
      <c r="Q255" s="23" t="n">
        <v>1100</v>
      </c>
      <c r="R255" s="23" t="n">
        <v>800</v>
      </c>
      <c r="S255" s="23" t="n">
        <v>800</v>
      </c>
    </row>
    <row r="256" customFormat="false" ht="15" hidden="false" customHeight="false" outlineLevel="0" collapsed="false">
      <c r="A256" s="3" t="n">
        <v>30001995</v>
      </c>
      <c r="B256" s="3" t="s">
        <v>468</v>
      </c>
      <c r="C256" s="3" t="s">
        <v>143</v>
      </c>
      <c r="D256" s="3" t="s">
        <v>224</v>
      </c>
      <c r="E256" s="3" t="s">
        <v>231</v>
      </c>
      <c r="F256" s="23" t="n">
        <v>3396</v>
      </c>
      <c r="G256" s="23" t="n">
        <v>2682</v>
      </c>
      <c r="H256" s="23" t="n">
        <v>1620</v>
      </c>
      <c r="I256" s="23" t="n">
        <v>3402</v>
      </c>
      <c r="J256" s="23" t="n">
        <v>1938</v>
      </c>
      <c r="K256" s="23" t="n">
        <v>2646</v>
      </c>
      <c r="L256" s="23" t="n">
        <v>1458</v>
      </c>
      <c r="M256" s="23" t="n">
        <v>3000.00004627089</v>
      </c>
      <c r="N256" s="23" t="n">
        <v>3670.75457612493</v>
      </c>
      <c r="O256" s="23" t="n">
        <v>2011.61054340207</v>
      </c>
      <c r="P256" s="23" t="n">
        <v>3463.20745753404</v>
      </c>
      <c r="Q256" s="23" t="n">
        <v>3163.20745753404</v>
      </c>
      <c r="R256" s="23" t="n">
        <v>2800</v>
      </c>
      <c r="S256" s="23" t="n">
        <v>2800</v>
      </c>
    </row>
    <row r="257" customFormat="false" ht="15" hidden="false" customHeight="false" outlineLevel="0" collapsed="false">
      <c r="A257" s="3" t="n">
        <v>30001767</v>
      </c>
      <c r="B257" s="3" t="s">
        <v>469</v>
      </c>
      <c r="C257" s="3" t="s">
        <v>144</v>
      </c>
      <c r="D257" s="3" t="s">
        <v>213</v>
      </c>
      <c r="E257" s="3" t="s">
        <v>231</v>
      </c>
      <c r="F257" s="23" t="n">
        <v>1733.4</v>
      </c>
      <c r="G257" s="23" t="n">
        <v>3558.6</v>
      </c>
      <c r="H257" s="23" t="n">
        <v>1949.4</v>
      </c>
      <c r="I257" s="23" t="n">
        <v>1274.4</v>
      </c>
      <c r="J257" s="23" t="n">
        <v>5189.4</v>
      </c>
      <c r="K257" s="23" t="n">
        <v>1900.8</v>
      </c>
      <c r="L257" s="23" t="n">
        <v>1161</v>
      </c>
      <c r="M257" s="23" t="n">
        <v>1650</v>
      </c>
      <c r="N257" s="23" t="n">
        <v>2117</v>
      </c>
      <c r="O257" s="23" t="n">
        <v>1723</v>
      </c>
      <c r="P257" s="23" t="n">
        <v>2450</v>
      </c>
      <c r="Q257" s="23" t="n">
        <v>3000</v>
      </c>
      <c r="R257" s="23" t="n">
        <v>2400</v>
      </c>
      <c r="S257" s="23" t="n">
        <v>2500</v>
      </c>
    </row>
    <row r="258" customFormat="false" ht="15" hidden="false" customHeight="false" outlineLevel="0" collapsed="false">
      <c r="A258" s="3" t="n">
        <v>30001954</v>
      </c>
      <c r="B258" s="3" t="s">
        <v>470</v>
      </c>
      <c r="C258" s="3" t="s">
        <v>129</v>
      </c>
      <c r="D258" s="3" t="s">
        <v>213</v>
      </c>
      <c r="E258" s="3" t="s">
        <v>231</v>
      </c>
      <c r="F258" s="23" t="n">
        <v>3512</v>
      </c>
      <c r="G258" s="23" t="n">
        <v>2848</v>
      </c>
      <c r="H258" s="23" t="n">
        <v>1400</v>
      </c>
      <c r="I258" s="23" t="n">
        <v>3688</v>
      </c>
      <c r="J258" s="23" t="n">
        <v>2960</v>
      </c>
      <c r="K258" s="23" t="n">
        <v>1192</v>
      </c>
      <c r="L258" s="23" t="n">
        <v>1464</v>
      </c>
      <c r="M258" s="23" t="n">
        <v>3850</v>
      </c>
      <c r="N258" s="23" t="n">
        <v>4250</v>
      </c>
      <c r="O258" s="23" t="n">
        <v>2125</v>
      </c>
      <c r="P258" s="23" t="n">
        <v>3100</v>
      </c>
      <c r="Q258" s="23" t="n">
        <v>2975</v>
      </c>
      <c r="R258" s="23" t="n">
        <v>2725</v>
      </c>
      <c r="S258" s="23" t="n">
        <v>2275</v>
      </c>
    </row>
    <row r="259" customFormat="false" ht="15" hidden="false" customHeight="false" outlineLevel="0" collapsed="false">
      <c r="A259" s="3" t="n">
        <v>30000634</v>
      </c>
      <c r="B259" s="3" t="s">
        <v>471</v>
      </c>
      <c r="C259" s="3" t="s">
        <v>212</v>
      </c>
      <c r="D259" s="3" t="s">
        <v>213</v>
      </c>
      <c r="E259" s="3" t="s">
        <v>214</v>
      </c>
      <c r="F259" s="23" t="n">
        <v>2409.6</v>
      </c>
      <c r="G259" s="23" t="n">
        <v>3062.4</v>
      </c>
      <c r="H259" s="23" t="n">
        <v>2337.6</v>
      </c>
      <c r="I259" s="23" t="n">
        <v>3172.8</v>
      </c>
      <c r="J259" s="23" t="n">
        <v>2827.2</v>
      </c>
      <c r="K259" s="23" t="n">
        <v>1771.2</v>
      </c>
      <c r="L259" s="23" t="n">
        <v>2323.2</v>
      </c>
      <c r="M259" s="23" t="n">
        <v>2730</v>
      </c>
      <c r="N259" s="23" t="n">
        <v>2350</v>
      </c>
      <c r="O259" s="23" t="n">
        <v>1712.8</v>
      </c>
      <c r="P259" s="23" t="n">
        <v>3320</v>
      </c>
      <c r="Q259" s="23" t="n">
        <v>3050</v>
      </c>
      <c r="R259" s="23" t="n">
        <v>2350</v>
      </c>
      <c r="S259" s="23" t="n">
        <v>2543.85933595145</v>
      </c>
    </row>
    <row r="260" customFormat="false" ht="15" hidden="false" customHeight="false" outlineLevel="0" collapsed="false">
      <c r="A260" s="3" t="n">
        <v>30001856</v>
      </c>
      <c r="B260" s="3" t="s">
        <v>472</v>
      </c>
      <c r="C260" s="3" t="s">
        <v>155</v>
      </c>
      <c r="D260" s="3" t="s">
        <v>224</v>
      </c>
      <c r="E260" s="3" t="s">
        <v>249</v>
      </c>
      <c r="F260" s="23" t="n">
        <v>3185.28</v>
      </c>
      <c r="G260" s="23" t="n">
        <v>3396.96</v>
      </c>
      <c r="H260" s="23" t="n">
        <v>1905.12</v>
      </c>
      <c r="I260" s="23" t="n">
        <v>2694.72</v>
      </c>
      <c r="J260" s="23" t="n">
        <v>1948.8</v>
      </c>
      <c r="K260" s="23" t="n">
        <v>2382.24</v>
      </c>
      <c r="L260" s="23" t="n">
        <v>1854.72</v>
      </c>
      <c r="M260" s="23" t="n">
        <v>3996.4458094974</v>
      </c>
      <c r="N260" s="23" t="n">
        <v>3315.83485294326</v>
      </c>
      <c r="O260" s="23" t="n">
        <v>1915.89358492207</v>
      </c>
      <c r="P260" s="23" t="n">
        <v>3315.83485294326</v>
      </c>
      <c r="Q260" s="23" t="n">
        <v>3015.83485294326</v>
      </c>
      <c r="R260" s="23" t="n">
        <v>2641.78654829191</v>
      </c>
      <c r="S260" s="23" t="n">
        <v>2641.78654829191</v>
      </c>
    </row>
    <row r="261" customFormat="false" ht="15" hidden="false" customHeight="false" outlineLevel="0" collapsed="false">
      <c r="A261" s="3" t="n">
        <v>30001092</v>
      </c>
      <c r="B261" s="3" t="s">
        <v>473</v>
      </c>
      <c r="C261" s="3" t="s">
        <v>212</v>
      </c>
      <c r="D261" s="3" t="s">
        <v>224</v>
      </c>
      <c r="E261" s="3" t="s">
        <v>214</v>
      </c>
      <c r="F261" s="23" t="n">
        <v>2505.6</v>
      </c>
      <c r="G261" s="23" t="n">
        <v>3607.2</v>
      </c>
      <c r="H261" s="23" t="n">
        <v>1965.6</v>
      </c>
      <c r="I261" s="23" t="n">
        <v>1800</v>
      </c>
      <c r="J261" s="23" t="n">
        <v>2822.4</v>
      </c>
      <c r="K261" s="23" t="n">
        <v>2671.2</v>
      </c>
      <c r="L261" s="23" t="n">
        <v>1108.8</v>
      </c>
      <c r="M261" s="23" t="n">
        <v>5680.05531740914</v>
      </c>
      <c r="N261" s="23" t="n">
        <v>4014.47827775507</v>
      </c>
      <c r="O261" s="23" t="n">
        <v>2530.91963781293</v>
      </c>
      <c r="P261" s="23" t="n">
        <v>4014.47827775507</v>
      </c>
      <c r="Q261" s="23" t="n">
        <v>4014.47827775507</v>
      </c>
      <c r="R261" s="23" t="n">
        <v>3347.46838832619</v>
      </c>
      <c r="S261" s="23" t="n">
        <v>3187.52598557937</v>
      </c>
    </row>
    <row r="262" customFormat="false" ht="15" hidden="false" customHeight="false" outlineLevel="0" collapsed="false">
      <c r="A262" s="3" t="n">
        <v>30001060</v>
      </c>
      <c r="B262" s="3" t="s">
        <v>474</v>
      </c>
      <c r="C262" s="3" t="s">
        <v>155</v>
      </c>
      <c r="D262" s="3" t="s">
        <v>224</v>
      </c>
      <c r="E262" s="3" t="s">
        <v>231</v>
      </c>
      <c r="F262" s="23" t="n">
        <v>2066.4</v>
      </c>
      <c r="G262" s="23" t="n">
        <v>2436</v>
      </c>
      <c r="H262" s="23" t="n">
        <v>2758.56</v>
      </c>
      <c r="I262" s="23" t="n">
        <v>2607.36</v>
      </c>
      <c r="J262" s="23" t="n">
        <v>2688</v>
      </c>
      <c r="K262" s="23" t="n">
        <v>2738.4</v>
      </c>
      <c r="L262" s="23" t="n">
        <v>591.36</v>
      </c>
      <c r="M262" s="23" t="n">
        <v>3686.07189487671</v>
      </c>
      <c r="N262" s="23" t="n">
        <v>3360.33385783438</v>
      </c>
      <c r="O262" s="23" t="n">
        <v>2053.36052559676</v>
      </c>
      <c r="P262" s="23" t="n">
        <v>3497.55265449572</v>
      </c>
      <c r="Q262" s="23" t="n">
        <v>3497.55265449572</v>
      </c>
      <c r="R262" s="23" t="n">
        <v>2786.0718512416</v>
      </c>
      <c r="S262" s="23" t="n">
        <v>2380.07938224307</v>
      </c>
    </row>
    <row r="263" customFormat="false" ht="15" hidden="false" customHeight="false" outlineLevel="0" collapsed="false">
      <c r="A263" s="3" t="n">
        <v>30001752</v>
      </c>
      <c r="B263" s="3" t="s">
        <v>475</v>
      </c>
      <c r="C263" s="3" t="s">
        <v>144</v>
      </c>
      <c r="D263" s="3" t="s">
        <v>213</v>
      </c>
      <c r="E263" s="3" t="s">
        <v>214</v>
      </c>
      <c r="F263" s="23" t="n">
        <v>2149.2</v>
      </c>
      <c r="G263" s="23" t="n">
        <v>3250.8</v>
      </c>
      <c r="H263" s="23" t="n">
        <v>2095.2</v>
      </c>
      <c r="I263" s="23" t="n">
        <v>3272.4</v>
      </c>
      <c r="J263" s="23" t="n">
        <v>1269</v>
      </c>
      <c r="K263" s="23" t="n">
        <v>3256.2</v>
      </c>
      <c r="L263" s="23" t="n">
        <v>2181.6</v>
      </c>
      <c r="M263" s="23" t="n">
        <v>2373</v>
      </c>
      <c r="N263" s="23" t="n">
        <v>2030</v>
      </c>
      <c r="O263" s="23" t="n">
        <v>1576.6</v>
      </c>
      <c r="P263" s="23" t="n">
        <v>2330</v>
      </c>
      <c r="Q263" s="23" t="n">
        <v>3099.8</v>
      </c>
      <c r="R263" s="23" t="n">
        <v>2399.8</v>
      </c>
      <c r="S263" s="23" t="n">
        <v>3299.8</v>
      </c>
    </row>
    <row r="264" customFormat="false" ht="15" hidden="false" customHeight="false" outlineLevel="0" collapsed="false">
      <c r="A264" s="3" t="n">
        <v>30001883</v>
      </c>
      <c r="B264" s="3" t="s">
        <v>476</v>
      </c>
      <c r="C264" s="3" t="s">
        <v>144</v>
      </c>
      <c r="D264" s="3" t="s">
        <v>213</v>
      </c>
      <c r="E264" s="3" t="s">
        <v>214</v>
      </c>
      <c r="F264" s="23" t="n">
        <v>1414.8</v>
      </c>
      <c r="G264" s="23" t="n">
        <v>1668.6</v>
      </c>
      <c r="H264" s="23" t="n">
        <v>1825.2</v>
      </c>
      <c r="I264" s="23" t="n">
        <v>3569.4</v>
      </c>
      <c r="J264" s="23" t="n">
        <v>4422.6</v>
      </c>
      <c r="K264" s="23" t="n">
        <v>2214</v>
      </c>
      <c r="L264" s="23" t="n">
        <v>2543.4</v>
      </c>
      <c r="M264" s="23" t="n">
        <v>3043</v>
      </c>
      <c r="N264" s="23" t="n">
        <v>1700</v>
      </c>
      <c r="O264" s="23" t="n">
        <v>2070</v>
      </c>
      <c r="P264" s="23" t="n">
        <v>2600</v>
      </c>
      <c r="Q264" s="23" t="n">
        <v>3150</v>
      </c>
      <c r="R264" s="23" t="n">
        <v>4712.63586956522</v>
      </c>
      <c r="S264" s="23" t="n">
        <v>4600</v>
      </c>
    </row>
    <row r="265" customFormat="false" ht="15" hidden="false" customHeight="false" outlineLevel="0" collapsed="false">
      <c r="A265" s="3" t="n">
        <v>30001033</v>
      </c>
      <c r="B265" s="3" t="s">
        <v>477</v>
      </c>
      <c r="C265" s="3" t="s">
        <v>155</v>
      </c>
      <c r="D265" s="3" t="s">
        <v>224</v>
      </c>
      <c r="E265" s="3" t="s">
        <v>231</v>
      </c>
      <c r="F265" s="23" t="n">
        <v>3013.2</v>
      </c>
      <c r="G265" s="23" t="n">
        <v>2505.6</v>
      </c>
      <c r="H265" s="23" t="n">
        <v>2062.8</v>
      </c>
      <c r="I265" s="23" t="n">
        <v>2624.4</v>
      </c>
      <c r="J265" s="23" t="n">
        <v>1922.4</v>
      </c>
      <c r="K265" s="23" t="n">
        <v>2808</v>
      </c>
      <c r="L265" s="23" t="n">
        <v>1317.6</v>
      </c>
      <c r="M265" s="23" t="n">
        <v>2929.49594301344</v>
      </c>
      <c r="N265" s="23" t="n">
        <v>3689.50646911545</v>
      </c>
      <c r="O265" s="23" t="n">
        <v>1777.71236829623</v>
      </c>
      <c r="P265" s="23" t="n">
        <v>3932.92824186002</v>
      </c>
      <c r="Q265" s="23" t="n">
        <v>1809.16201458178</v>
      </c>
      <c r="R265" s="23" t="n">
        <v>1522.26326028455</v>
      </c>
      <c r="S265" s="23" t="n">
        <v>3022.26326028455</v>
      </c>
    </row>
    <row r="266" customFormat="false" ht="15" hidden="false" customHeight="false" outlineLevel="0" collapsed="false">
      <c r="A266" s="3" t="n">
        <v>30001945</v>
      </c>
      <c r="B266" s="3" t="s">
        <v>478</v>
      </c>
      <c r="C266" s="3" t="s">
        <v>135</v>
      </c>
      <c r="D266" s="3" t="s">
        <v>224</v>
      </c>
      <c r="E266" s="3" t="s">
        <v>214</v>
      </c>
      <c r="F266" s="23" t="n">
        <v>1689.6</v>
      </c>
      <c r="G266" s="23" t="n">
        <v>2323.2</v>
      </c>
      <c r="H266" s="23" t="n">
        <v>1651.2</v>
      </c>
      <c r="I266" s="23" t="n">
        <v>3772.8</v>
      </c>
      <c r="J266" s="23" t="n">
        <v>2745.6</v>
      </c>
      <c r="K266" s="23" t="n">
        <v>2649.6</v>
      </c>
      <c r="L266" s="23" t="n">
        <v>547.2</v>
      </c>
      <c r="M266" s="23" t="n">
        <v>2600.00001850836</v>
      </c>
      <c r="N266" s="23" t="n">
        <v>2625.94340601867</v>
      </c>
      <c r="O266" s="23" t="n">
        <v>1704.0092056623</v>
      </c>
      <c r="P266" s="23" t="n">
        <v>2521.25094903898</v>
      </c>
      <c r="Q266" s="23" t="n">
        <v>1776.54579946241</v>
      </c>
      <c r="R266" s="23" t="n">
        <v>2050.60240963855</v>
      </c>
      <c r="S266" s="23" t="n">
        <v>2050.60240963855</v>
      </c>
    </row>
    <row r="267" customFormat="false" ht="15" hidden="false" customHeight="false" outlineLevel="0" collapsed="false">
      <c r="A267" s="3" t="n">
        <v>30000636</v>
      </c>
      <c r="B267" s="3" t="s">
        <v>479</v>
      </c>
      <c r="C267" s="3" t="s">
        <v>212</v>
      </c>
      <c r="D267" s="3" t="s">
        <v>213</v>
      </c>
      <c r="E267" s="3" t="n">
        <v>0</v>
      </c>
      <c r="F267" s="23" t="n">
        <v>2256</v>
      </c>
      <c r="G267" s="23" t="n">
        <v>2212.8</v>
      </c>
      <c r="H267" s="23" t="n">
        <v>2337.6</v>
      </c>
      <c r="I267" s="23" t="n">
        <v>2841.6</v>
      </c>
      <c r="J267" s="23" t="n">
        <v>2529.6</v>
      </c>
      <c r="K267" s="23" t="n">
        <v>2544</v>
      </c>
      <c r="L267" s="23" t="n">
        <v>1617.6</v>
      </c>
      <c r="M267" s="23" t="n">
        <v>2440</v>
      </c>
      <c r="N267" s="23" t="n">
        <v>3160</v>
      </c>
      <c r="O267" s="23" t="n">
        <v>1617.2</v>
      </c>
      <c r="P267" s="23" t="n">
        <v>3360</v>
      </c>
      <c r="Q267" s="23" t="n">
        <v>3292.4</v>
      </c>
      <c r="R267" s="23" t="n">
        <v>2170</v>
      </c>
      <c r="S267" s="23" t="n">
        <v>2448.98693323813</v>
      </c>
    </row>
    <row r="268" customFormat="false" ht="15" hidden="false" customHeight="false" outlineLevel="0" collapsed="false">
      <c r="A268" s="3" t="n">
        <v>30000674</v>
      </c>
      <c r="B268" s="3" t="s">
        <v>480</v>
      </c>
      <c r="C268" s="3" t="s">
        <v>129</v>
      </c>
      <c r="D268" s="3" t="s">
        <v>213</v>
      </c>
      <c r="E268" s="3" t="s">
        <v>214</v>
      </c>
      <c r="F268" s="23" t="n">
        <v>1972.8</v>
      </c>
      <c r="G268" s="23" t="n">
        <v>2088</v>
      </c>
      <c r="H268" s="23" t="n">
        <v>1238.4</v>
      </c>
      <c r="I268" s="23" t="n">
        <v>4564.8</v>
      </c>
      <c r="J268" s="23" t="n">
        <v>3254.4</v>
      </c>
      <c r="K268" s="23" t="n">
        <v>1540.8</v>
      </c>
      <c r="L268" s="23" t="n">
        <v>2203.2</v>
      </c>
      <c r="M268" s="23" t="n">
        <v>2198</v>
      </c>
      <c r="N268" s="23" t="n">
        <v>2198</v>
      </c>
      <c r="O268" s="23" t="n">
        <v>2150</v>
      </c>
      <c r="P268" s="23" t="n">
        <v>2098</v>
      </c>
      <c r="Q268" s="23" t="n">
        <v>2900</v>
      </c>
      <c r="R268" s="23" t="n">
        <v>2200</v>
      </c>
      <c r="S268" s="23" t="n">
        <v>2248</v>
      </c>
    </row>
    <row r="269" customFormat="false" ht="15" hidden="false" customHeight="false" outlineLevel="0" collapsed="false">
      <c r="A269" s="3" t="n">
        <v>30002353</v>
      </c>
      <c r="B269" s="3" t="s">
        <v>481</v>
      </c>
      <c r="C269" s="3" t="s">
        <v>129</v>
      </c>
      <c r="D269" s="3" t="s">
        <v>213</v>
      </c>
      <c r="E269" s="3" t="s">
        <v>214</v>
      </c>
      <c r="F269" s="23" t="n">
        <v>0</v>
      </c>
      <c r="G269" s="23" t="n">
        <v>0</v>
      </c>
      <c r="H269" s="23" t="n">
        <v>0</v>
      </c>
      <c r="I269" s="23" t="n">
        <v>0</v>
      </c>
      <c r="J269" s="23" t="n">
        <v>5280</v>
      </c>
      <c r="K269" s="23" t="n">
        <v>9240</v>
      </c>
      <c r="L269" s="23" t="n">
        <v>0</v>
      </c>
      <c r="M269" s="23" t="n">
        <v>0</v>
      </c>
      <c r="N269" s="23" t="n">
        <v>0</v>
      </c>
      <c r="O269" s="23" t="n">
        <v>0</v>
      </c>
      <c r="P269" s="23" t="n">
        <v>0</v>
      </c>
      <c r="Q269" s="23" t="n">
        <v>6600</v>
      </c>
      <c r="R269" s="23" t="n">
        <v>1000</v>
      </c>
      <c r="S269" s="23" t="n">
        <v>1000</v>
      </c>
    </row>
    <row r="270" customFormat="false" ht="15" hidden="false" customHeight="false" outlineLevel="0" collapsed="false">
      <c r="A270" s="3" t="n">
        <v>30001852</v>
      </c>
      <c r="B270" s="3" t="s">
        <v>482</v>
      </c>
      <c r="C270" s="3" t="s">
        <v>155</v>
      </c>
      <c r="D270" s="3" t="s">
        <v>224</v>
      </c>
      <c r="E270" s="3" t="s">
        <v>249</v>
      </c>
      <c r="F270" s="23" t="n">
        <v>3108</v>
      </c>
      <c r="G270" s="23" t="n">
        <v>2194.08</v>
      </c>
      <c r="H270" s="23" t="n">
        <v>2274.72</v>
      </c>
      <c r="I270" s="23" t="n">
        <v>2503.2</v>
      </c>
      <c r="J270" s="23" t="n">
        <v>1878.24</v>
      </c>
      <c r="K270" s="23" t="n">
        <v>2543.52</v>
      </c>
      <c r="L270" s="23" t="n">
        <v>1243.2</v>
      </c>
      <c r="M270" s="23" t="n">
        <v>2875.13087423753</v>
      </c>
      <c r="N270" s="23" t="n">
        <v>3621.03724576527</v>
      </c>
      <c r="O270" s="23" t="n">
        <v>2282.87554209517</v>
      </c>
      <c r="P270" s="23" t="n">
        <v>3621.03724576527</v>
      </c>
      <c r="Q270" s="23" t="n">
        <v>3621.03724576527</v>
      </c>
      <c r="R270" s="23" t="n">
        <v>2875.13084317448</v>
      </c>
      <c r="S270" s="23" t="n">
        <v>2875.13084317448</v>
      </c>
    </row>
    <row r="271" customFormat="false" ht="15" hidden="false" customHeight="false" outlineLevel="0" collapsed="false">
      <c r="A271" s="3" t="n">
        <v>30002291</v>
      </c>
      <c r="B271" s="3" t="s">
        <v>483</v>
      </c>
      <c r="C271" s="3" t="s">
        <v>212</v>
      </c>
      <c r="D271" s="3" t="s">
        <v>213</v>
      </c>
      <c r="E271" s="3" t="s">
        <v>212</v>
      </c>
      <c r="F271" s="23" t="n">
        <v>2254.5</v>
      </c>
      <c r="G271" s="23" t="n">
        <v>2799</v>
      </c>
      <c r="H271" s="23" t="n">
        <v>3127.5</v>
      </c>
      <c r="I271" s="23" t="n">
        <v>3456</v>
      </c>
      <c r="J271" s="23" t="n">
        <v>900</v>
      </c>
      <c r="K271" s="23" t="n">
        <v>1840.5</v>
      </c>
      <c r="L271" s="23" t="n">
        <v>679.5</v>
      </c>
      <c r="M271" s="23" t="n">
        <v>1016.75</v>
      </c>
      <c r="N271" s="23" t="n">
        <v>1016.75</v>
      </c>
      <c r="O271" s="23" t="n">
        <v>1280.63</v>
      </c>
      <c r="P271" s="23" t="n">
        <v>993.03</v>
      </c>
      <c r="Q271" s="23" t="n">
        <v>1916.75</v>
      </c>
      <c r="R271" s="23" t="n">
        <v>2349.13021452411</v>
      </c>
      <c r="S271" s="23" t="n">
        <v>1360.77865511949</v>
      </c>
    </row>
    <row r="272" customFormat="false" ht="15" hidden="false" customHeight="false" outlineLevel="0" collapsed="false">
      <c r="A272" s="3" t="n">
        <v>30000173</v>
      </c>
      <c r="B272" s="3" t="s">
        <v>484</v>
      </c>
      <c r="C272" s="3" t="s">
        <v>144</v>
      </c>
      <c r="D272" s="3" t="s">
        <v>213</v>
      </c>
      <c r="E272" s="3" t="n">
        <v>0</v>
      </c>
      <c r="F272" s="23" t="n">
        <v>2310</v>
      </c>
      <c r="G272" s="23" t="n">
        <v>1449</v>
      </c>
      <c r="H272" s="23" t="n">
        <v>1717.8</v>
      </c>
      <c r="I272" s="23" t="n">
        <v>2566.2</v>
      </c>
      <c r="J272" s="23" t="n">
        <v>2541</v>
      </c>
      <c r="K272" s="23" t="n">
        <v>3780</v>
      </c>
      <c r="L272" s="23" t="n">
        <v>1171.8</v>
      </c>
      <c r="M272" s="23" t="n">
        <v>1350</v>
      </c>
      <c r="N272" s="23" t="n">
        <v>1650</v>
      </c>
      <c r="O272" s="23" t="n">
        <v>730</v>
      </c>
      <c r="P272" s="23" t="n">
        <v>1000</v>
      </c>
      <c r="Q272" s="23" t="n">
        <v>2571.8</v>
      </c>
      <c r="R272" s="23" t="n">
        <v>1690.6</v>
      </c>
      <c r="S272" s="23" t="n">
        <v>1965.4</v>
      </c>
    </row>
    <row r="273" customFormat="false" ht="15" hidden="false" customHeight="false" outlineLevel="0" collapsed="false">
      <c r="A273" s="3" t="n">
        <v>30000088</v>
      </c>
      <c r="B273" s="3" t="s">
        <v>485</v>
      </c>
      <c r="C273" s="3" t="s">
        <v>143</v>
      </c>
      <c r="D273" s="3" t="s">
        <v>224</v>
      </c>
      <c r="E273" s="3" t="s">
        <v>231</v>
      </c>
      <c r="F273" s="23" t="n">
        <v>2820</v>
      </c>
      <c r="G273" s="23" t="n">
        <v>2442</v>
      </c>
      <c r="H273" s="23" t="n">
        <v>2916</v>
      </c>
      <c r="I273" s="23" t="n">
        <v>3294</v>
      </c>
      <c r="J273" s="23" t="n">
        <v>1332</v>
      </c>
      <c r="K273" s="23" t="n">
        <v>1530</v>
      </c>
      <c r="L273" s="23" t="n">
        <v>594</v>
      </c>
      <c r="M273" s="23" t="n">
        <v>4639.60980733944</v>
      </c>
      <c r="N273" s="23" t="n">
        <v>2066.74525420737</v>
      </c>
      <c r="O273" s="23" t="n">
        <v>954.307154451405</v>
      </c>
      <c r="P273" s="23" t="n">
        <v>2466.74525420737</v>
      </c>
      <c r="Q273" s="23" t="n">
        <v>2466.74525420737</v>
      </c>
      <c r="R273" s="23" t="n">
        <v>1150</v>
      </c>
      <c r="S273" s="23" t="n">
        <v>1150</v>
      </c>
    </row>
    <row r="274" customFormat="false" ht="15" hidden="false" customHeight="false" outlineLevel="0" collapsed="false">
      <c r="A274" s="3" t="n">
        <v>30001898</v>
      </c>
      <c r="B274" s="3" t="s">
        <v>486</v>
      </c>
      <c r="C274" s="3" t="s">
        <v>147</v>
      </c>
      <c r="D274" s="3" t="s">
        <v>224</v>
      </c>
      <c r="E274" s="3" t="s">
        <v>214</v>
      </c>
      <c r="F274" s="23" t="n">
        <v>2618.4</v>
      </c>
      <c r="G274" s="23" t="n">
        <v>2788.8</v>
      </c>
      <c r="H274" s="23" t="n">
        <v>1603.2</v>
      </c>
      <c r="I274" s="23" t="n">
        <v>2445.6</v>
      </c>
      <c r="J274" s="23" t="n">
        <v>2152.8</v>
      </c>
      <c r="K274" s="23" t="n">
        <v>2709.6</v>
      </c>
      <c r="L274" s="23" t="n">
        <v>1272</v>
      </c>
      <c r="M274" s="23" t="n">
        <v>3176.49960476477</v>
      </c>
      <c r="N274" s="23" t="n">
        <v>2444.4789676196</v>
      </c>
      <c r="O274" s="23" t="n">
        <v>1819.27926414813</v>
      </c>
      <c r="P274" s="23" t="n">
        <v>2590.33280990262</v>
      </c>
      <c r="Q274" s="23" t="n">
        <v>2212.69527234922</v>
      </c>
      <c r="R274" s="23" t="n">
        <v>3176.49953127503</v>
      </c>
      <c r="S274" s="23" t="n">
        <v>3176.49953127503</v>
      </c>
    </row>
    <row r="275" customFormat="false" ht="15" hidden="false" customHeight="false" outlineLevel="0" collapsed="false">
      <c r="A275" s="3" t="n">
        <v>30000648</v>
      </c>
      <c r="B275" s="3" t="s">
        <v>487</v>
      </c>
      <c r="C275" s="3" t="s">
        <v>129</v>
      </c>
      <c r="D275" s="3" t="s">
        <v>213</v>
      </c>
      <c r="E275" s="3" t="s">
        <v>231</v>
      </c>
      <c r="F275" s="23" t="n">
        <v>3368.32</v>
      </c>
      <c r="G275" s="23" t="n">
        <v>1836.16</v>
      </c>
      <c r="H275" s="23" t="n">
        <v>1483.52</v>
      </c>
      <c r="I275" s="23" t="n">
        <v>2018.56</v>
      </c>
      <c r="J275" s="23" t="n">
        <v>2821.12</v>
      </c>
      <c r="K275" s="23" t="n">
        <v>2766.4</v>
      </c>
      <c r="L275" s="23" t="n">
        <v>1088.32</v>
      </c>
      <c r="M275" s="23" t="n">
        <v>3651.6</v>
      </c>
      <c r="N275" s="23" t="n">
        <v>3125.2</v>
      </c>
      <c r="O275" s="23" t="n">
        <v>1531.6</v>
      </c>
      <c r="P275" s="23" t="n">
        <v>3521.6</v>
      </c>
      <c r="Q275" s="23" t="n">
        <v>3221.6</v>
      </c>
      <c r="R275" s="23" t="n">
        <v>2806.48</v>
      </c>
      <c r="S275" s="23" t="n">
        <v>2921.6</v>
      </c>
    </row>
    <row r="276" customFormat="false" ht="15" hidden="false" customHeight="false" outlineLevel="0" collapsed="false">
      <c r="A276" s="3" t="n">
        <v>30002093</v>
      </c>
      <c r="B276" s="3" t="s">
        <v>488</v>
      </c>
      <c r="C276" s="3" t="s">
        <v>147</v>
      </c>
      <c r="D276" s="3" t="s">
        <v>224</v>
      </c>
      <c r="E276" s="3" t="n">
        <v>0</v>
      </c>
      <c r="F276" s="23" t="n">
        <v>3217.104</v>
      </c>
      <c r="G276" s="23" t="n">
        <v>2735.568</v>
      </c>
      <c r="H276" s="23" t="n">
        <v>2387.088</v>
      </c>
      <c r="I276" s="23" t="n">
        <v>2482.128</v>
      </c>
      <c r="J276" s="23" t="n">
        <v>1552.32</v>
      </c>
      <c r="K276" s="23" t="n">
        <v>1848.528</v>
      </c>
      <c r="L276" s="23" t="n">
        <v>1265.616</v>
      </c>
      <c r="M276" s="23" t="n">
        <v>2735.78707602816</v>
      </c>
      <c r="N276" s="23" t="n">
        <v>3435.11527932154</v>
      </c>
      <c r="O276" s="23" t="n">
        <v>1345.23517232219</v>
      </c>
      <c r="P276" s="23" t="n">
        <v>2381.44647827775</v>
      </c>
      <c r="Q276" s="23" t="n">
        <v>2381.44647827775</v>
      </c>
      <c r="R276" s="23" t="n">
        <v>1727.77777777778</v>
      </c>
      <c r="S276" s="23" t="n">
        <v>1727.77777777778</v>
      </c>
    </row>
    <row r="277" customFormat="false" ht="15" hidden="false" customHeight="false" outlineLevel="0" collapsed="false">
      <c r="A277" s="3" t="n">
        <v>30002076</v>
      </c>
      <c r="B277" s="3" t="s">
        <v>489</v>
      </c>
      <c r="C277" s="3" t="s">
        <v>139</v>
      </c>
      <c r="D277" s="3" t="s">
        <v>213</v>
      </c>
      <c r="E277" s="3" t="s">
        <v>214</v>
      </c>
      <c r="F277" s="23" t="n">
        <v>7296</v>
      </c>
      <c r="G277" s="23" t="n">
        <v>312</v>
      </c>
      <c r="H277" s="23" t="n">
        <v>1728</v>
      </c>
      <c r="I277" s="23" t="n">
        <v>2040</v>
      </c>
      <c r="J277" s="23" t="n">
        <v>972</v>
      </c>
      <c r="K277" s="23" t="n">
        <v>1812</v>
      </c>
      <c r="L277" s="23" t="n">
        <v>1320</v>
      </c>
      <c r="M277" s="23" t="n">
        <v>1796</v>
      </c>
      <c r="N277" s="23" t="n">
        <v>1410</v>
      </c>
      <c r="O277" s="23" t="n">
        <v>761.015</v>
      </c>
      <c r="P277" s="23" t="n">
        <v>759.3718</v>
      </c>
      <c r="Q277" s="23" t="n">
        <v>1494.55</v>
      </c>
      <c r="R277" s="23" t="n">
        <v>2360.95051644978</v>
      </c>
      <c r="S277" s="23" t="n">
        <v>1987.85535967285</v>
      </c>
    </row>
    <row r="278" customFormat="false" ht="15" hidden="false" customHeight="false" outlineLevel="0" collapsed="false">
      <c r="A278" s="3" t="n">
        <v>30001992</v>
      </c>
      <c r="B278" s="3" t="s">
        <v>490</v>
      </c>
      <c r="C278" s="3" t="s">
        <v>139</v>
      </c>
      <c r="D278" s="3" t="s">
        <v>213</v>
      </c>
      <c r="E278" s="3" t="s">
        <v>231</v>
      </c>
      <c r="F278" s="23" t="n">
        <v>1872</v>
      </c>
      <c r="G278" s="23" t="n">
        <v>3408</v>
      </c>
      <c r="H278" s="23" t="n">
        <v>1428</v>
      </c>
      <c r="I278" s="23" t="n">
        <v>1956</v>
      </c>
      <c r="J278" s="23" t="n">
        <v>2952</v>
      </c>
      <c r="K278" s="23" t="n">
        <v>2544</v>
      </c>
      <c r="L278" s="23" t="n">
        <v>2724</v>
      </c>
      <c r="M278" s="23" t="n">
        <v>3384</v>
      </c>
      <c r="N278" s="23" t="n">
        <v>2928</v>
      </c>
      <c r="O278" s="23" t="n">
        <v>1585.505</v>
      </c>
      <c r="P278" s="23" t="n">
        <v>3762.105</v>
      </c>
      <c r="Q278" s="23" t="n">
        <v>4168.305</v>
      </c>
      <c r="R278" s="23" t="n">
        <v>2977.64044482107</v>
      </c>
      <c r="S278" s="23" t="n">
        <v>3260.56924102864</v>
      </c>
    </row>
    <row r="279" customFormat="false" ht="15" hidden="false" customHeight="false" outlineLevel="0" collapsed="false">
      <c r="A279" s="3" t="n">
        <v>30002172</v>
      </c>
      <c r="B279" s="3" t="s">
        <v>491</v>
      </c>
      <c r="C279" s="3" t="s">
        <v>135</v>
      </c>
      <c r="D279" s="3" t="s">
        <v>224</v>
      </c>
      <c r="E279" s="3" t="s">
        <v>231</v>
      </c>
      <c r="F279" s="23" t="n">
        <v>3859.2</v>
      </c>
      <c r="G279" s="23" t="n">
        <v>2160</v>
      </c>
      <c r="H279" s="23" t="n">
        <v>883.2</v>
      </c>
      <c r="I279" s="23" t="n">
        <v>4992</v>
      </c>
      <c r="J279" s="23" t="n">
        <v>364.8</v>
      </c>
      <c r="K279" s="23" t="n">
        <v>1872</v>
      </c>
      <c r="L279" s="23" t="n">
        <v>547.2</v>
      </c>
      <c r="M279" s="23" t="n">
        <v>1895.35279533877</v>
      </c>
      <c r="N279" s="23" t="n">
        <v>960.081805610858</v>
      </c>
      <c r="O279" s="23" t="n">
        <v>939.35558611636</v>
      </c>
      <c r="P279" s="23" t="n">
        <v>1644.71067032155</v>
      </c>
      <c r="Q279" s="23" t="n">
        <v>926.734480891162</v>
      </c>
      <c r="R279" s="23" t="n">
        <v>1491.96445573828</v>
      </c>
      <c r="S279" s="23" t="n">
        <v>1491.96445573828</v>
      </c>
    </row>
    <row r="280" customFormat="false" ht="15" hidden="false" customHeight="false" outlineLevel="0" collapsed="false">
      <c r="A280" s="3" t="n">
        <v>30000633</v>
      </c>
      <c r="B280" s="3" t="s">
        <v>492</v>
      </c>
      <c r="C280" s="3" t="s">
        <v>212</v>
      </c>
      <c r="D280" s="3" t="s">
        <v>213</v>
      </c>
      <c r="E280" s="3" t="s">
        <v>214</v>
      </c>
      <c r="F280" s="23" t="n">
        <v>3091.2</v>
      </c>
      <c r="G280" s="23" t="n">
        <v>1622.4</v>
      </c>
      <c r="H280" s="23" t="n">
        <v>1944</v>
      </c>
      <c r="I280" s="23" t="n">
        <v>2740.8</v>
      </c>
      <c r="J280" s="23" t="n">
        <v>2256</v>
      </c>
      <c r="K280" s="23" t="n">
        <v>2270.4</v>
      </c>
      <c r="L280" s="23" t="n">
        <v>1728</v>
      </c>
      <c r="M280" s="23" t="n">
        <v>2466</v>
      </c>
      <c r="N280" s="23" t="n">
        <v>2666</v>
      </c>
      <c r="O280" s="23" t="n">
        <v>1790</v>
      </c>
      <c r="P280" s="23" t="n">
        <v>2866</v>
      </c>
      <c r="Q280" s="23" t="n">
        <v>2396</v>
      </c>
      <c r="R280" s="23" t="n">
        <v>2068</v>
      </c>
      <c r="S280" s="23" t="n">
        <v>1744.23277400928</v>
      </c>
    </row>
    <row r="281" customFormat="false" ht="15" hidden="false" customHeight="false" outlineLevel="0" collapsed="false">
      <c r="A281" s="3" t="n">
        <v>30002358</v>
      </c>
      <c r="B281" s="3" t="s">
        <v>493</v>
      </c>
      <c r="C281" s="3" t="s">
        <v>212</v>
      </c>
      <c r="D281" s="3" t="s">
        <v>213</v>
      </c>
      <c r="E281" s="3" t="s">
        <v>231</v>
      </c>
      <c r="F281" s="23" t="n">
        <v>3054</v>
      </c>
      <c r="G281" s="23" t="n">
        <v>3042</v>
      </c>
      <c r="H281" s="23" t="n">
        <v>1596</v>
      </c>
      <c r="I281" s="23" t="n">
        <v>1800</v>
      </c>
      <c r="J281" s="23" t="n">
        <v>1512</v>
      </c>
      <c r="K281" s="23" t="n">
        <v>2844</v>
      </c>
      <c r="L281" s="23" t="n">
        <v>552</v>
      </c>
      <c r="M281" s="23" t="n">
        <v>2500</v>
      </c>
      <c r="N281" s="23" t="n">
        <v>2362</v>
      </c>
      <c r="O281" s="23" t="n">
        <v>1999.705</v>
      </c>
      <c r="P281" s="23" t="n">
        <v>2294.705</v>
      </c>
      <c r="Q281" s="23" t="n">
        <v>2182.955</v>
      </c>
      <c r="R281" s="23" t="n">
        <v>2096.49464798045</v>
      </c>
      <c r="S281" s="23" t="n">
        <v>2290.81521302997</v>
      </c>
    </row>
    <row r="282" customFormat="false" ht="15" hidden="false" customHeight="false" outlineLevel="0" collapsed="false">
      <c r="A282" s="3" t="n">
        <v>30002138</v>
      </c>
      <c r="B282" s="3" t="s">
        <v>494</v>
      </c>
      <c r="C282" s="3" t="s">
        <v>129</v>
      </c>
      <c r="D282" s="3" t="s">
        <v>213</v>
      </c>
      <c r="E282" s="3" t="s">
        <v>231</v>
      </c>
      <c r="F282" s="23" t="n">
        <v>4504</v>
      </c>
      <c r="G282" s="23" t="n">
        <v>3152</v>
      </c>
      <c r="H282" s="23" t="n">
        <v>2152</v>
      </c>
      <c r="I282" s="23" t="n">
        <v>1760</v>
      </c>
      <c r="J282" s="23" t="n">
        <v>1496</v>
      </c>
      <c r="K282" s="23" t="n">
        <v>664</v>
      </c>
      <c r="L282" s="23" t="n">
        <v>896</v>
      </c>
      <c r="M282" s="23" t="n">
        <v>3600</v>
      </c>
      <c r="N282" s="23" t="n">
        <v>3000</v>
      </c>
      <c r="O282" s="23" t="n">
        <v>1600</v>
      </c>
      <c r="P282" s="23" t="n">
        <v>1400</v>
      </c>
      <c r="Q282" s="23" t="n">
        <v>1500</v>
      </c>
      <c r="R282" s="23" t="n">
        <v>1400</v>
      </c>
      <c r="S282" s="23" t="n">
        <v>1100</v>
      </c>
    </row>
    <row r="283" customFormat="false" ht="15" hidden="false" customHeight="false" outlineLevel="0" collapsed="false">
      <c r="A283" s="3" t="n">
        <v>30000172</v>
      </c>
      <c r="B283" s="3" t="s">
        <v>495</v>
      </c>
      <c r="C283" s="3" t="s">
        <v>144</v>
      </c>
      <c r="D283" s="3" t="s">
        <v>213</v>
      </c>
      <c r="E283" s="3" t="n">
        <v>0</v>
      </c>
      <c r="F283" s="23" t="n">
        <v>2276.4</v>
      </c>
      <c r="G283" s="23" t="n">
        <v>1995</v>
      </c>
      <c r="H283" s="23" t="n">
        <v>2142</v>
      </c>
      <c r="I283" s="23" t="n">
        <v>2011.8</v>
      </c>
      <c r="J283" s="23" t="n">
        <v>3574.2</v>
      </c>
      <c r="K283" s="23" t="n">
        <v>1726.2</v>
      </c>
      <c r="L283" s="23" t="n">
        <v>940.8</v>
      </c>
      <c r="M283" s="23" t="n">
        <v>1300</v>
      </c>
      <c r="N283" s="23" t="n">
        <v>1500</v>
      </c>
      <c r="O283" s="23" t="n">
        <v>710</v>
      </c>
      <c r="P283" s="23" t="n">
        <v>1050</v>
      </c>
      <c r="Q283" s="23" t="n">
        <v>2650.8</v>
      </c>
      <c r="R283" s="23" t="n">
        <v>1900.8</v>
      </c>
      <c r="S283" s="23" t="n">
        <v>2050.8</v>
      </c>
    </row>
    <row r="284" customFormat="false" ht="15" hidden="false" customHeight="false" outlineLevel="0" collapsed="false">
      <c r="A284" s="3" t="n">
        <v>30000073</v>
      </c>
      <c r="B284" s="3" t="s">
        <v>496</v>
      </c>
      <c r="C284" s="3" t="s">
        <v>143</v>
      </c>
      <c r="D284" s="3" t="s">
        <v>224</v>
      </c>
      <c r="E284" s="3" t="s">
        <v>231</v>
      </c>
      <c r="F284" s="23" t="n">
        <v>2680</v>
      </c>
      <c r="G284" s="23" t="n">
        <v>2690</v>
      </c>
      <c r="H284" s="23" t="n">
        <v>1520</v>
      </c>
      <c r="I284" s="23" t="n">
        <v>2710</v>
      </c>
      <c r="J284" s="23" t="n">
        <v>1810</v>
      </c>
      <c r="K284" s="23" t="n">
        <v>2290</v>
      </c>
      <c r="L284" s="23" t="n">
        <v>1330</v>
      </c>
      <c r="M284" s="23" t="n">
        <v>2400.0000208219</v>
      </c>
      <c r="N284" s="23" t="n">
        <v>3022.64135577265</v>
      </c>
      <c r="O284" s="23" t="n">
        <v>1588.01506200296</v>
      </c>
      <c r="P284" s="23" t="n">
        <v>2618.8677964772</v>
      </c>
      <c r="Q284" s="23" t="n">
        <v>2618.8677964772</v>
      </c>
      <c r="R284" s="23" t="n">
        <v>2100</v>
      </c>
      <c r="S284" s="23" t="n">
        <v>2100</v>
      </c>
    </row>
    <row r="285" customFormat="false" ht="15" hidden="false" customHeight="false" outlineLevel="0" collapsed="false">
      <c r="A285" s="3" t="n">
        <v>30001888</v>
      </c>
      <c r="B285" s="3" t="s">
        <v>497</v>
      </c>
      <c r="C285" s="3" t="s">
        <v>142</v>
      </c>
      <c r="D285" s="3" t="s">
        <v>224</v>
      </c>
      <c r="E285" s="3" t="s">
        <v>214</v>
      </c>
      <c r="F285" s="23" t="n">
        <v>2624</v>
      </c>
      <c r="G285" s="23" t="n">
        <v>2756</v>
      </c>
      <c r="H285" s="23" t="n">
        <v>2092</v>
      </c>
      <c r="I285" s="23" t="n">
        <v>2788</v>
      </c>
      <c r="J285" s="23" t="n">
        <v>1960</v>
      </c>
      <c r="K285" s="23" t="n">
        <v>1220</v>
      </c>
      <c r="L285" s="23" t="n">
        <v>548</v>
      </c>
      <c r="M285" s="23" t="n">
        <v>5000</v>
      </c>
      <c r="N285" s="23" t="n">
        <v>3000</v>
      </c>
      <c r="O285" s="23" t="n">
        <v>800</v>
      </c>
      <c r="P285" s="23" t="n">
        <v>2200</v>
      </c>
      <c r="Q285" s="23" t="n">
        <v>1000</v>
      </c>
      <c r="R285" s="23" t="n">
        <v>1500</v>
      </c>
      <c r="S285" s="23" t="n">
        <v>1500</v>
      </c>
    </row>
    <row r="286" customFormat="false" ht="15" hidden="false" customHeight="false" outlineLevel="0" collapsed="false">
      <c r="A286" s="3" t="n">
        <v>30002113</v>
      </c>
      <c r="B286" s="3" t="s">
        <v>498</v>
      </c>
      <c r="C286" s="3" t="s">
        <v>144</v>
      </c>
      <c r="D286" s="3" t="s">
        <v>213</v>
      </c>
      <c r="E286" s="3" t="s">
        <v>249</v>
      </c>
      <c r="F286" s="23" t="n">
        <v>2550</v>
      </c>
      <c r="G286" s="23" t="n">
        <v>2730</v>
      </c>
      <c r="H286" s="23" t="n">
        <v>1655</v>
      </c>
      <c r="I286" s="23" t="n">
        <v>1230</v>
      </c>
      <c r="J286" s="23" t="n">
        <v>2500</v>
      </c>
      <c r="K286" s="23" t="n">
        <v>2680</v>
      </c>
      <c r="L286" s="23" t="n">
        <v>2270</v>
      </c>
      <c r="M286" s="23" t="n">
        <v>2500</v>
      </c>
      <c r="N286" s="23" t="n">
        <v>2800</v>
      </c>
      <c r="O286" s="23" t="n">
        <v>1940</v>
      </c>
      <c r="P286" s="23" t="n">
        <v>1750</v>
      </c>
      <c r="Q286" s="23" t="n">
        <v>2660</v>
      </c>
      <c r="R286" s="23" t="n">
        <v>2270</v>
      </c>
      <c r="S286" s="23" t="n">
        <v>2960</v>
      </c>
    </row>
    <row r="287" customFormat="false" ht="15" hidden="false" customHeight="false" outlineLevel="0" collapsed="false">
      <c r="A287" s="3" t="n">
        <v>30001851</v>
      </c>
      <c r="B287" s="3" t="s">
        <v>499</v>
      </c>
      <c r="C287" s="3" t="s">
        <v>139</v>
      </c>
      <c r="D287" s="3" t="s">
        <v>224</v>
      </c>
      <c r="E287" s="3" t="s">
        <v>249</v>
      </c>
      <c r="F287" s="23" t="n">
        <v>2003.4</v>
      </c>
      <c r="G287" s="23" t="n">
        <v>1296</v>
      </c>
      <c r="H287" s="23" t="n">
        <v>2435.4</v>
      </c>
      <c r="I287" s="23" t="n">
        <v>3132</v>
      </c>
      <c r="J287" s="23" t="n">
        <v>2548.8</v>
      </c>
      <c r="K287" s="23" t="n">
        <v>1927.8</v>
      </c>
      <c r="L287" s="23" t="n">
        <v>1220.4</v>
      </c>
      <c r="M287" s="23" t="n">
        <v>1982.73793113749</v>
      </c>
      <c r="N287" s="23" t="n">
        <v>2497.12730402587</v>
      </c>
      <c r="O287" s="23" t="n">
        <v>1574.30881290312</v>
      </c>
      <c r="P287" s="23" t="n">
        <v>2497.12730402587</v>
      </c>
      <c r="Q287" s="23" t="n">
        <v>2497.12730402587</v>
      </c>
      <c r="R287" s="23" t="n">
        <v>1982.73788526596</v>
      </c>
      <c r="S287" s="23" t="n">
        <v>1982.73788526596</v>
      </c>
    </row>
    <row r="288" customFormat="false" ht="15" hidden="false" customHeight="false" outlineLevel="0" collapsed="false">
      <c r="A288" s="3" t="n">
        <v>30001886</v>
      </c>
      <c r="B288" s="3" t="s">
        <v>500</v>
      </c>
      <c r="C288" s="3" t="s">
        <v>129</v>
      </c>
      <c r="D288" s="3" t="s">
        <v>213</v>
      </c>
      <c r="E288" s="3" t="s">
        <v>231</v>
      </c>
      <c r="F288" s="23" t="n">
        <v>4140.48</v>
      </c>
      <c r="G288" s="23" t="n">
        <v>3693.6</v>
      </c>
      <c r="H288" s="23" t="n">
        <v>1741.92</v>
      </c>
      <c r="I288" s="23" t="n">
        <v>1413.6</v>
      </c>
      <c r="J288" s="23" t="n">
        <v>1212.96</v>
      </c>
      <c r="K288" s="23" t="n">
        <v>1030.56</v>
      </c>
      <c r="L288" s="23" t="n">
        <v>902.88</v>
      </c>
      <c r="M288" s="23" t="n">
        <v>2900</v>
      </c>
      <c r="N288" s="23" t="n">
        <v>2747.2</v>
      </c>
      <c r="O288" s="23" t="n">
        <v>1500</v>
      </c>
      <c r="P288" s="23" t="n">
        <v>1850</v>
      </c>
      <c r="Q288" s="23" t="n">
        <v>1945.92</v>
      </c>
      <c r="R288" s="23" t="n">
        <v>1700</v>
      </c>
      <c r="S288" s="23" t="n">
        <v>1645.92</v>
      </c>
    </row>
    <row r="289" customFormat="false" ht="15" hidden="false" customHeight="false" outlineLevel="0" collapsed="false">
      <c r="A289" s="3" t="n">
        <v>30001540</v>
      </c>
      <c r="B289" s="3" t="s">
        <v>501</v>
      </c>
      <c r="C289" s="3" t="s">
        <v>129</v>
      </c>
      <c r="D289" s="3" t="s">
        <v>213</v>
      </c>
      <c r="E289" s="3" t="s">
        <v>231</v>
      </c>
      <c r="F289" s="23" t="n">
        <v>2504.96</v>
      </c>
      <c r="G289" s="23" t="n">
        <v>1501.76</v>
      </c>
      <c r="H289" s="23" t="n">
        <v>1592.96</v>
      </c>
      <c r="I289" s="23" t="n">
        <v>3447.36</v>
      </c>
      <c r="J289" s="23" t="n">
        <v>1757.12</v>
      </c>
      <c r="K289" s="23" t="n">
        <v>2413.76</v>
      </c>
      <c r="L289" s="23" t="n">
        <v>1209.92</v>
      </c>
      <c r="M289" s="23" t="n">
        <v>2655.6</v>
      </c>
      <c r="N289" s="23" t="n">
        <v>2814.4</v>
      </c>
      <c r="O289" s="23" t="n">
        <v>2411.2</v>
      </c>
      <c r="P289" s="23" t="n">
        <v>2602</v>
      </c>
      <c r="Q289" s="23" t="n">
        <v>2612</v>
      </c>
      <c r="R289" s="23" t="n">
        <v>2450.4</v>
      </c>
      <c r="S289" s="23" t="n">
        <v>2853.2</v>
      </c>
    </row>
    <row r="290" customFormat="false" ht="15" hidden="false" customHeight="false" outlineLevel="0" collapsed="false">
      <c r="A290" s="3" t="n">
        <v>30000171</v>
      </c>
      <c r="B290" s="3" t="s">
        <v>502</v>
      </c>
      <c r="C290" s="3" t="s">
        <v>144</v>
      </c>
      <c r="D290" s="3" t="s">
        <v>213</v>
      </c>
      <c r="E290" s="3" t="n">
        <v>0</v>
      </c>
      <c r="F290" s="23" t="n">
        <v>2037</v>
      </c>
      <c r="G290" s="23" t="n">
        <v>2591.4</v>
      </c>
      <c r="H290" s="23" t="n">
        <v>1520.4</v>
      </c>
      <c r="I290" s="23" t="n">
        <v>2234.4</v>
      </c>
      <c r="J290" s="23" t="n">
        <v>2868.6</v>
      </c>
      <c r="K290" s="23" t="n">
        <v>1957.2</v>
      </c>
      <c r="L290" s="23" t="n">
        <v>1730.4</v>
      </c>
      <c r="M290" s="23" t="n">
        <v>1350</v>
      </c>
      <c r="N290" s="23" t="n">
        <v>1850</v>
      </c>
      <c r="O290" s="23" t="n">
        <v>800</v>
      </c>
      <c r="P290" s="23" t="n">
        <v>1250</v>
      </c>
      <c r="Q290" s="23" t="n">
        <v>2910</v>
      </c>
      <c r="R290" s="23" t="n">
        <v>1720.6</v>
      </c>
      <c r="S290" s="23" t="n">
        <v>1810</v>
      </c>
    </row>
    <row r="291" customFormat="false" ht="15" hidden="false" customHeight="false" outlineLevel="0" collapsed="false">
      <c r="A291" s="3" t="n">
        <v>30001143</v>
      </c>
      <c r="B291" s="3" t="s">
        <v>503</v>
      </c>
      <c r="C291" s="3" t="s">
        <v>144</v>
      </c>
      <c r="D291" s="3" t="s">
        <v>213</v>
      </c>
      <c r="E291" s="3" t="s">
        <v>249</v>
      </c>
      <c r="F291" s="23" t="n">
        <v>3350</v>
      </c>
      <c r="G291" s="23" t="n">
        <v>2600</v>
      </c>
      <c r="H291" s="23" t="n">
        <v>1775</v>
      </c>
      <c r="I291" s="23" t="n">
        <v>1635</v>
      </c>
      <c r="J291" s="23" t="n">
        <v>2255</v>
      </c>
      <c r="K291" s="23" t="n">
        <v>1475</v>
      </c>
      <c r="L291" s="23" t="n">
        <v>1890</v>
      </c>
      <c r="M291" s="23" t="n">
        <v>3200</v>
      </c>
      <c r="N291" s="23" t="n">
        <v>3250</v>
      </c>
      <c r="O291" s="23" t="n">
        <v>2040</v>
      </c>
      <c r="P291" s="23" t="n">
        <v>2350</v>
      </c>
      <c r="Q291" s="23" t="n">
        <v>2435</v>
      </c>
      <c r="R291" s="23" t="n">
        <v>1985</v>
      </c>
      <c r="S291" s="23" t="n">
        <v>2785</v>
      </c>
    </row>
    <row r="292" customFormat="false" ht="15" hidden="false" customHeight="false" outlineLevel="0" collapsed="false">
      <c r="A292" s="3" t="n">
        <v>30001829</v>
      </c>
      <c r="B292" s="3" t="s">
        <v>504</v>
      </c>
      <c r="C292" s="3" t="s">
        <v>155</v>
      </c>
      <c r="D292" s="3" t="s">
        <v>224</v>
      </c>
      <c r="E292" s="3" t="s">
        <v>249</v>
      </c>
      <c r="F292" s="23" t="n">
        <v>2759.64</v>
      </c>
      <c r="G292" s="23" t="n">
        <v>1784.64</v>
      </c>
      <c r="H292" s="23" t="n">
        <v>1787.76</v>
      </c>
      <c r="I292" s="23" t="n">
        <v>2659.8</v>
      </c>
      <c r="J292" s="23" t="n">
        <v>2060.76</v>
      </c>
      <c r="K292" s="23" t="n">
        <v>1708.2</v>
      </c>
      <c r="L292" s="23" t="n">
        <v>1151.28</v>
      </c>
      <c r="M292" s="23" t="n">
        <v>1153.84615384615</v>
      </c>
      <c r="N292" s="23" t="n">
        <v>1888.91508473579</v>
      </c>
      <c r="O292" s="23" t="n">
        <v>1319.10112965022</v>
      </c>
      <c r="P292" s="23" t="n">
        <v>2312.67628547692</v>
      </c>
      <c r="Q292" s="23" t="n">
        <v>1299.5177124835</v>
      </c>
      <c r="R292" s="23" t="n">
        <v>2100.49379983373</v>
      </c>
      <c r="S292" s="23" t="n">
        <v>1600.49379983373</v>
      </c>
    </row>
    <row r="293" customFormat="false" ht="15" hidden="false" customHeight="false" outlineLevel="0" collapsed="false">
      <c r="A293" s="3" t="n">
        <v>30002325</v>
      </c>
      <c r="B293" s="3" t="s">
        <v>505</v>
      </c>
      <c r="C293" s="3" t="s">
        <v>212</v>
      </c>
      <c r="D293" s="3" t="s">
        <v>213</v>
      </c>
      <c r="E293" s="3" t="s">
        <v>212</v>
      </c>
      <c r="F293" s="23" t="n">
        <v>2137.5</v>
      </c>
      <c r="G293" s="23" t="n">
        <v>2493</v>
      </c>
      <c r="H293" s="23" t="n">
        <v>3118.5</v>
      </c>
      <c r="I293" s="23" t="n">
        <v>2925</v>
      </c>
      <c r="J293" s="23" t="n">
        <v>859.5</v>
      </c>
      <c r="K293" s="23" t="n">
        <v>1197</v>
      </c>
      <c r="L293" s="23" t="n">
        <v>517.5</v>
      </c>
      <c r="M293" s="23" t="n">
        <v>846</v>
      </c>
      <c r="N293" s="23" t="n">
        <v>846</v>
      </c>
      <c r="O293" s="23" t="n">
        <v>1283.37</v>
      </c>
      <c r="P293" s="23" t="n">
        <v>970.97</v>
      </c>
      <c r="Q293" s="23" t="n">
        <v>1446</v>
      </c>
      <c r="R293" s="23" t="n">
        <v>1777.53533222102</v>
      </c>
      <c r="S293" s="23" t="n">
        <v>911.393310831534</v>
      </c>
    </row>
    <row r="294" customFormat="false" ht="15" hidden="false" customHeight="false" outlineLevel="0" collapsed="false">
      <c r="A294" s="3" t="n">
        <v>30001757</v>
      </c>
      <c r="B294" s="3" t="s">
        <v>506</v>
      </c>
      <c r="C294" s="3" t="s">
        <v>144</v>
      </c>
      <c r="D294" s="3" t="s">
        <v>213</v>
      </c>
      <c r="E294" s="3" t="s">
        <v>214</v>
      </c>
      <c r="F294" s="23" t="n">
        <v>926.1</v>
      </c>
      <c r="G294" s="23" t="n">
        <v>1760.4</v>
      </c>
      <c r="H294" s="23" t="n">
        <v>2160</v>
      </c>
      <c r="I294" s="23" t="n">
        <v>2114.1</v>
      </c>
      <c r="J294" s="23" t="n">
        <v>3264.3</v>
      </c>
      <c r="K294" s="23" t="n">
        <v>2394.9</v>
      </c>
      <c r="L294" s="23" t="n">
        <v>2022.3</v>
      </c>
      <c r="M294" s="23" t="n">
        <v>2500</v>
      </c>
      <c r="N294" s="23" t="n">
        <v>2500</v>
      </c>
      <c r="O294" s="23" t="n">
        <v>2000</v>
      </c>
      <c r="P294" s="23" t="n">
        <v>2500</v>
      </c>
      <c r="Q294" s="23" t="n">
        <v>2000</v>
      </c>
      <c r="R294" s="23" t="n">
        <v>2000</v>
      </c>
      <c r="S294" s="23" t="n">
        <v>3000</v>
      </c>
    </row>
    <row r="295" customFormat="false" ht="15" hidden="false" customHeight="false" outlineLevel="0" collapsed="false">
      <c r="A295" s="3" t="n">
        <v>30001889</v>
      </c>
      <c r="B295" s="3" t="s">
        <v>507</v>
      </c>
      <c r="C295" s="3" t="s">
        <v>212</v>
      </c>
      <c r="D295" s="3" t="s">
        <v>224</v>
      </c>
      <c r="E295" s="3" t="s">
        <v>214</v>
      </c>
      <c r="F295" s="23" t="n">
        <v>2479.2</v>
      </c>
      <c r="G295" s="23" t="n">
        <v>1917.6</v>
      </c>
      <c r="H295" s="23" t="n">
        <v>2517.6</v>
      </c>
      <c r="I295" s="23" t="n">
        <v>2198.4</v>
      </c>
      <c r="J295" s="23" t="n">
        <v>1684.8</v>
      </c>
      <c r="K295" s="23" t="n">
        <v>1754.4</v>
      </c>
      <c r="L295" s="23" t="n">
        <v>1178.4</v>
      </c>
      <c r="M295" s="23" t="n">
        <v>2046.41874417626</v>
      </c>
      <c r="N295" s="23" t="n">
        <v>2358.77439505171</v>
      </c>
      <c r="O295" s="23" t="n">
        <v>2076.81011779007</v>
      </c>
      <c r="P295" s="23" t="n">
        <v>4074.6831910019</v>
      </c>
      <c r="Q295" s="23" t="n">
        <v>3262.58246534945</v>
      </c>
      <c r="R295" s="23" t="n">
        <v>2467.35920870379</v>
      </c>
      <c r="S295" s="23" t="n">
        <v>2467.35920870379</v>
      </c>
    </row>
    <row r="296" customFormat="false" ht="15" hidden="false" customHeight="false" outlineLevel="0" collapsed="false">
      <c r="A296" s="3" t="n">
        <v>30000086</v>
      </c>
      <c r="B296" s="3" t="s">
        <v>508</v>
      </c>
      <c r="C296" s="3" t="s">
        <v>142</v>
      </c>
      <c r="D296" s="3" t="s">
        <v>224</v>
      </c>
      <c r="E296" s="3" t="s">
        <v>231</v>
      </c>
      <c r="F296" s="23" t="n">
        <v>1404</v>
      </c>
      <c r="G296" s="23" t="n">
        <v>1398</v>
      </c>
      <c r="H296" s="23" t="n">
        <v>1122</v>
      </c>
      <c r="I296" s="23" t="n">
        <v>2568</v>
      </c>
      <c r="J296" s="23" t="n">
        <v>2034</v>
      </c>
      <c r="K296" s="23" t="n">
        <v>3990</v>
      </c>
      <c r="L296" s="23" t="n">
        <v>2304</v>
      </c>
      <c r="M296" s="23" t="n">
        <v>1850.0000127245</v>
      </c>
      <c r="N296" s="23" t="n">
        <v>2329.95271174141</v>
      </c>
      <c r="O296" s="23" t="n">
        <v>1468.91393235274</v>
      </c>
      <c r="P296" s="23" t="n">
        <v>2329.95271174141</v>
      </c>
      <c r="Q296" s="23" t="n">
        <v>2329.95271174141</v>
      </c>
      <c r="R296" s="23" t="n">
        <v>2650</v>
      </c>
      <c r="S296" s="23" t="n">
        <v>2850</v>
      </c>
    </row>
    <row r="297" customFormat="false" ht="15" hidden="false" customHeight="false" outlineLevel="0" collapsed="false">
      <c r="A297" s="3" t="n">
        <v>30002064</v>
      </c>
      <c r="B297" s="3" t="s">
        <v>509</v>
      </c>
      <c r="C297" s="3" t="s">
        <v>142</v>
      </c>
      <c r="D297" s="3" t="s">
        <v>224</v>
      </c>
      <c r="E297" s="3" t="s">
        <v>231</v>
      </c>
      <c r="F297" s="23" t="n">
        <v>2928</v>
      </c>
      <c r="G297" s="23" t="n">
        <v>2337.6</v>
      </c>
      <c r="H297" s="23" t="n">
        <v>1771.2</v>
      </c>
      <c r="I297" s="23" t="n">
        <v>1929.6</v>
      </c>
      <c r="J297" s="23" t="n">
        <v>1286.4</v>
      </c>
      <c r="K297" s="23" t="n">
        <v>2083.2</v>
      </c>
      <c r="L297" s="23" t="n">
        <v>662.4</v>
      </c>
      <c r="M297" s="23" t="n">
        <v>4125.00004916282</v>
      </c>
      <c r="N297" s="23" t="n">
        <v>3676.29703375703</v>
      </c>
      <c r="O297" s="23" t="n">
        <v>1993.25847237666</v>
      </c>
      <c r="P297" s="23" t="n">
        <v>3216.86313551843</v>
      </c>
      <c r="Q297" s="23" t="n">
        <v>2072.28771183948</v>
      </c>
      <c r="R297" s="23" t="n">
        <v>1675</v>
      </c>
      <c r="S297" s="23" t="n">
        <v>2217.4095293192</v>
      </c>
    </row>
    <row r="298" customFormat="false" ht="15" hidden="false" customHeight="false" outlineLevel="0" collapsed="false">
      <c r="A298" s="3" t="n">
        <v>30001828</v>
      </c>
      <c r="B298" s="3" t="s">
        <v>510</v>
      </c>
      <c r="C298" s="3" t="s">
        <v>155</v>
      </c>
      <c r="D298" s="3" t="s">
        <v>224</v>
      </c>
      <c r="E298" s="3" t="s">
        <v>249</v>
      </c>
      <c r="F298" s="23" t="n">
        <v>2619.24</v>
      </c>
      <c r="G298" s="23" t="n">
        <v>1268.28</v>
      </c>
      <c r="H298" s="23" t="n">
        <v>2037.36</v>
      </c>
      <c r="I298" s="23" t="n">
        <v>2648.88</v>
      </c>
      <c r="J298" s="23" t="n">
        <v>1725.36</v>
      </c>
      <c r="K298" s="23" t="n">
        <v>1744.08</v>
      </c>
      <c r="L298" s="23" t="n">
        <v>797.16</v>
      </c>
      <c r="M298" s="23" t="n">
        <v>1346.15384615385</v>
      </c>
      <c r="N298" s="23" t="n">
        <v>1983.37262710369</v>
      </c>
      <c r="O298" s="23" t="n">
        <v>1178.65169447533</v>
      </c>
      <c r="P298" s="23" t="n">
        <v>2137.19226301826</v>
      </c>
      <c r="Q298" s="23" t="n">
        <v>1200.4822875165</v>
      </c>
      <c r="R298" s="23" t="n">
        <v>1973.51374600676</v>
      </c>
      <c r="S298" s="23" t="n">
        <v>1473.51374600676</v>
      </c>
    </row>
    <row r="299" customFormat="false" ht="15" hidden="false" customHeight="false" outlineLevel="0" collapsed="false">
      <c r="A299" s="3" t="n">
        <v>30001853</v>
      </c>
      <c r="B299" s="3" t="s">
        <v>511</v>
      </c>
      <c r="C299" s="3" t="s">
        <v>155</v>
      </c>
      <c r="D299" s="3" t="s">
        <v>224</v>
      </c>
      <c r="E299" s="3" t="s">
        <v>249</v>
      </c>
      <c r="F299" s="23" t="n">
        <v>1528.8</v>
      </c>
      <c r="G299" s="23" t="n">
        <v>2382.24</v>
      </c>
      <c r="H299" s="23" t="n">
        <v>1337.28</v>
      </c>
      <c r="I299" s="23" t="n">
        <v>1626.24</v>
      </c>
      <c r="J299" s="23" t="n">
        <v>2231.04</v>
      </c>
      <c r="K299" s="23" t="n">
        <v>2903.04</v>
      </c>
      <c r="L299" s="23" t="n">
        <v>1884.96</v>
      </c>
      <c r="M299" s="23" t="n">
        <v>1395.65162838771</v>
      </c>
      <c r="N299" s="23" t="n">
        <v>1757.7309302575</v>
      </c>
      <c r="O299" s="23" t="n">
        <v>1108.15787795659</v>
      </c>
      <c r="P299" s="23" t="n">
        <v>2088.65871658893</v>
      </c>
      <c r="Q299" s="23" t="n">
        <v>2088.65871658893</v>
      </c>
      <c r="R299" s="23" t="n">
        <v>2088.65871658893</v>
      </c>
      <c r="S299" s="23" t="n">
        <v>2088.65871658893</v>
      </c>
    </row>
    <row r="300" customFormat="false" ht="15" hidden="false" customHeight="false" outlineLevel="0" collapsed="false">
      <c r="A300" s="3" t="n">
        <v>30002273</v>
      </c>
      <c r="B300" s="3" t="s">
        <v>512</v>
      </c>
      <c r="C300" s="3" t="s">
        <v>212</v>
      </c>
      <c r="D300" s="3" t="s">
        <v>213</v>
      </c>
      <c r="E300" s="3" t="s">
        <v>212</v>
      </c>
      <c r="F300" s="23" t="n">
        <v>1958.4</v>
      </c>
      <c r="G300" s="23" t="n">
        <v>3981.6</v>
      </c>
      <c r="H300" s="23" t="n">
        <v>1548</v>
      </c>
      <c r="I300" s="23" t="n">
        <v>2008.8</v>
      </c>
      <c r="J300" s="23" t="n">
        <v>288</v>
      </c>
      <c r="K300" s="23" t="n">
        <v>2095.2</v>
      </c>
      <c r="L300" s="23" t="n">
        <v>1303.2</v>
      </c>
      <c r="M300" s="23" t="n">
        <v>1530.96</v>
      </c>
      <c r="N300" s="23" t="n">
        <v>1711.24</v>
      </c>
      <c r="O300" s="23" t="n">
        <v>1598.0978</v>
      </c>
      <c r="P300" s="23" t="n">
        <v>2298.0978</v>
      </c>
      <c r="Q300" s="23" t="n">
        <v>2170.057</v>
      </c>
      <c r="R300" s="23" t="n">
        <v>2024.68583496106</v>
      </c>
      <c r="S300" s="23" t="n">
        <v>1936.0925</v>
      </c>
    </row>
    <row r="301" customFormat="false" ht="15" hidden="false" customHeight="false" outlineLevel="0" collapsed="false">
      <c r="A301" s="3" t="n">
        <v>30000308</v>
      </c>
      <c r="B301" s="3" t="s">
        <v>513</v>
      </c>
      <c r="C301" s="3" t="s">
        <v>139</v>
      </c>
      <c r="D301" s="3" t="s">
        <v>213</v>
      </c>
      <c r="E301" s="3" t="s">
        <v>214</v>
      </c>
      <c r="F301" s="23" t="n">
        <v>2310</v>
      </c>
      <c r="G301" s="23" t="n">
        <v>1290</v>
      </c>
      <c r="H301" s="23" t="n">
        <v>1062</v>
      </c>
      <c r="I301" s="23" t="n">
        <v>1944</v>
      </c>
      <c r="J301" s="23" t="n">
        <v>3150</v>
      </c>
      <c r="K301" s="23" t="n">
        <v>2022</v>
      </c>
      <c r="L301" s="23" t="n">
        <v>882</v>
      </c>
      <c r="M301" s="23" t="n">
        <v>2284</v>
      </c>
      <c r="N301" s="23" t="n">
        <v>2360</v>
      </c>
      <c r="O301" s="23" t="n">
        <v>1692.25</v>
      </c>
      <c r="P301" s="23" t="n">
        <v>2097.457</v>
      </c>
      <c r="Q301" s="23" t="n">
        <v>1635</v>
      </c>
      <c r="R301" s="23" t="n">
        <v>2218.57941141156</v>
      </c>
      <c r="S301" s="23" t="n">
        <v>2121.64411711733</v>
      </c>
    </row>
    <row r="302" customFormat="false" ht="15" hidden="false" customHeight="false" outlineLevel="0" collapsed="false">
      <c r="A302" s="3" t="n">
        <v>30001474</v>
      </c>
      <c r="B302" s="3" t="s">
        <v>514</v>
      </c>
      <c r="C302" s="3" t="s">
        <v>139</v>
      </c>
      <c r="D302" s="3" t="s">
        <v>224</v>
      </c>
      <c r="E302" s="3" t="s">
        <v>249</v>
      </c>
      <c r="F302" s="23" t="n">
        <v>1679.4</v>
      </c>
      <c r="G302" s="23" t="n">
        <v>1647</v>
      </c>
      <c r="H302" s="23" t="n">
        <v>1992.6</v>
      </c>
      <c r="I302" s="23" t="n">
        <v>2926.8</v>
      </c>
      <c r="J302" s="23" t="n">
        <v>2154.6</v>
      </c>
      <c r="K302" s="23" t="n">
        <v>1371.6</v>
      </c>
      <c r="L302" s="23" t="n">
        <v>437.4</v>
      </c>
      <c r="M302" s="23" t="n">
        <v>2818.81189100701</v>
      </c>
      <c r="N302" s="23" t="n">
        <v>3550.10719529654</v>
      </c>
      <c r="O302" s="23" t="n">
        <v>2238.15783652502</v>
      </c>
      <c r="P302" s="23" t="n">
        <v>3550.10719529654</v>
      </c>
      <c r="Q302" s="23" t="n">
        <v>3550.10719529654</v>
      </c>
      <c r="R302" s="23" t="n">
        <v>1818.81184892799</v>
      </c>
      <c r="S302" s="23" t="n">
        <v>1818.81184892799</v>
      </c>
    </row>
    <row r="303" customFormat="false" ht="15" hidden="false" customHeight="false" outlineLevel="0" collapsed="false">
      <c r="A303" s="3" t="n">
        <v>30000631</v>
      </c>
      <c r="B303" s="3" t="s">
        <v>515</v>
      </c>
      <c r="C303" s="3" t="s">
        <v>212</v>
      </c>
      <c r="D303" s="3" t="s">
        <v>213</v>
      </c>
      <c r="E303" s="3" t="s">
        <v>214</v>
      </c>
      <c r="F303" s="23" t="n">
        <v>1948.8</v>
      </c>
      <c r="G303" s="23" t="n">
        <v>1128</v>
      </c>
      <c r="H303" s="23" t="n">
        <v>1627.2</v>
      </c>
      <c r="I303" s="23" t="n">
        <v>2673.6</v>
      </c>
      <c r="J303" s="23" t="n">
        <v>2587.2</v>
      </c>
      <c r="K303" s="23" t="n">
        <v>1670.4</v>
      </c>
      <c r="L303" s="23" t="n">
        <v>1291.2</v>
      </c>
      <c r="M303" s="23" t="n">
        <v>1720</v>
      </c>
      <c r="N303" s="23" t="n">
        <v>1766</v>
      </c>
      <c r="O303" s="23" t="n">
        <v>1234</v>
      </c>
      <c r="P303" s="23" t="n">
        <v>2466</v>
      </c>
      <c r="Q303" s="23" t="n">
        <v>2916</v>
      </c>
      <c r="R303" s="23" t="n">
        <v>2194.4</v>
      </c>
      <c r="S303" s="23" t="n">
        <v>2138.19493038201</v>
      </c>
    </row>
    <row r="304" customFormat="false" ht="15" hidden="false" customHeight="false" outlineLevel="0" collapsed="false">
      <c r="A304" s="3" t="n">
        <v>30002061</v>
      </c>
      <c r="B304" s="3" t="s">
        <v>516</v>
      </c>
      <c r="C304" s="3" t="s">
        <v>155</v>
      </c>
      <c r="D304" s="3" t="s">
        <v>224</v>
      </c>
      <c r="E304" s="3" t="n">
        <v>0</v>
      </c>
      <c r="F304" s="23" t="n">
        <v>2395.3</v>
      </c>
      <c r="G304" s="23" t="n">
        <v>1677.9</v>
      </c>
      <c r="H304" s="23" t="n">
        <v>1810.5</v>
      </c>
      <c r="I304" s="23" t="n">
        <v>1324.3</v>
      </c>
      <c r="J304" s="23" t="n">
        <v>2006</v>
      </c>
      <c r="K304" s="23" t="n">
        <v>2397</v>
      </c>
      <c r="L304" s="23" t="n">
        <v>963.9</v>
      </c>
      <c r="M304" s="23" t="n">
        <v>1865.36329315601</v>
      </c>
      <c r="N304" s="23" t="n">
        <v>1889.1508473579</v>
      </c>
      <c r="O304" s="23" t="n">
        <v>1191.01129650222</v>
      </c>
      <c r="P304" s="23" t="n">
        <v>1889.1508473579</v>
      </c>
      <c r="Q304" s="23" t="n">
        <v>1889.1508473579</v>
      </c>
      <c r="R304" s="23" t="n">
        <v>1500</v>
      </c>
      <c r="S304" s="23" t="n">
        <v>1500</v>
      </c>
    </row>
    <row r="305" customFormat="false" ht="15" hidden="false" customHeight="false" outlineLevel="0" collapsed="false">
      <c r="A305" s="3" t="n">
        <v>30002105</v>
      </c>
      <c r="B305" s="3" t="s">
        <v>517</v>
      </c>
      <c r="C305" s="3" t="s">
        <v>155</v>
      </c>
      <c r="D305" s="3" t="s">
        <v>224</v>
      </c>
      <c r="E305" s="3" t="s">
        <v>231</v>
      </c>
      <c r="F305" s="23" t="n">
        <v>1854.576</v>
      </c>
      <c r="G305" s="23" t="n">
        <v>2025.648</v>
      </c>
      <c r="H305" s="23" t="n">
        <v>1014.768</v>
      </c>
      <c r="I305" s="23" t="n">
        <v>1609.632</v>
      </c>
      <c r="J305" s="23" t="n">
        <v>2239.488</v>
      </c>
      <c r="K305" s="23" t="n">
        <v>2799.36</v>
      </c>
      <c r="L305" s="23" t="n">
        <v>987.552</v>
      </c>
      <c r="M305" s="23" t="n">
        <v>3723.66152485984</v>
      </c>
      <c r="N305" s="23" t="n">
        <v>2375.37389997928</v>
      </c>
      <c r="O305" s="23" t="n">
        <v>921.637033672795</v>
      </c>
      <c r="P305" s="23" t="n">
        <v>1428.25767607908</v>
      </c>
      <c r="Q305" s="23" t="n">
        <v>1100.97646636792</v>
      </c>
      <c r="R305" s="23" t="n">
        <v>927.196373508499</v>
      </c>
      <c r="S305" s="23" t="n">
        <v>927.196373508499</v>
      </c>
    </row>
    <row r="306" customFormat="false" ht="15" hidden="false" customHeight="false" outlineLevel="0" collapsed="false">
      <c r="A306" s="3" t="n">
        <v>30000090</v>
      </c>
      <c r="B306" s="3" t="s">
        <v>518</v>
      </c>
      <c r="C306" s="3" t="s">
        <v>141</v>
      </c>
      <c r="D306" s="3" t="s">
        <v>224</v>
      </c>
      <c r="E306" s="3" t="s">
        <v>249</v>
      </c>
      <c r="F306" s="23" t="n">
        <v>2167.2</v>
      </c>
      <c r="G306" s="23" t="n">
        <v>2304</v>
      </c>
      <c r="H306" s="23" t="n">
        <v>1382.4</v>
      </c>
      <c r="I306" s="23" t="n">
        <v>1922.4</v>
      </c>
      <c r="J306" s="23" t="n">
        <v>2412</v>
      </c>
      <c r="K306" s="23" t="n">
        <v>1231.2</v>
      </c>
      <c r="L306" s="23" t="n">
        <v>446.4</v>
      </c>
      <c r="M306" s="23" t="n">
        <v>1500.00003470317</v>
      </c>
      <c r="N306" s="23" t="n">
        <v>3017.03545534886</v>
      </c>
      <c r="O306" s="23" t="n">
        <v>1902.08384592141</v>
      </c>
      <c r="P306" s="23" t="n">
        <v>3017.03545534886</v>
      </c>
      <c r="Q306" s="23" t="n">
        <v>1400</v>
      </c>
      <c r="R306" s="23" t="n">
        <v>1200</v>
      </c>
      <c r="S306" s="23" t="n">
        <v>1200</v>
      </c>
    </row>
    <row r="307" customFormat="false" ht="15" hidden="false" customHeight="false" outlineLevel="0" collapsed="false">
      <c r="A307" s="3" t="n">
        <v>30000169</v>
      </c>
      <c r="B307" s="3" t="s">
        <v>519</v>
      </c>
      <c r="C307" s="3" t="s">
        <v>144</v>
      </c>
      <c r="D307" s="3" t="s">
        <v>213</v>
      </c>
      <c r="E307" s="3" t="s">
        <v>214</v>
      </c>
      <c r="F307" s="23" t="n">
        <v>2448</v>
      </c>
      <c r="G307" s="23" t="n">
        <v>2040</v>
      </c>
      <c r="H307" s="23" t="n">
        <v>1108.8</v>
      </c>
      <c r="I307" s="23" t="n">
        <v>1804.8</v>
      </c>
      <c r="J307" s="23" t="n">
        <v>2553.6</v>
      </c>
      <c r="K307" s="23" t="n">
        <v>1377.6</v>
      </c>
      <c r="L307" s="23" t="n">
        <v>1555.2</v>
      </c>
      <c r="M307" s="23" t="n">
        <v>1700</v>
      </c>
      <c r="N307" s="23" t="n">
        <v>1800</v>
      </c>
      <c r="O307" s="23" t="n">
        <v>1392</v>
      </c>
      <c r="P307" s="23" t="n">
        <v>1700</v>
      </c>
      <c r="Q307" s="23" t="n">
        <v>1875</v>
      </c>
      <c r="R307" s="23" t="n">
        <v>1837.14095965466</v>
      </c>
      <c r="S307" s="23" t="n">
        <v>1662.14095965466</v>
      </c>
    </row>
    <row r="308" customFormat="false" ht="15" hidden="false" customHeight="false" outlineLevel="0" collapsed="false">
      <c r="A308" s="3" t="n">
        <v>30001943</v>
      </c>
      <c r="B308" s="3" t="s">
        <v>520</v>
      </c>
      <c r="C308" s="3" t="s">
        <v>135</v>
      </c>
      <c r="D308" s="3" t="s">
        <v>224</v>
      </c>
      <c r="E308" s="3" t="s">
        <v>214</v>
      </c>
      <c r="F308" s="23" t="n">
        <v>1536</v>
      </c>
      <c r="G308" s="23" t="n">
        <v>2342.4</v>
      </c>
      <c r="H308" s="23" t="n">
        <v>1622.4</v>
      </c>
      <c r="I308" s="23" t="n">
        <v>2428.8</v>
      </c>
      <c r="J308" s="23" t="n">
        <v>1958.4</v>
      </c>
      <c r="K308" s="23" t="n">
        <v>1420.8</v>
      </c>
      <c r="L308" s="23" t="n">
        <v>585.6</v>
      </c>
      <c r="M308" s="23" t="n">
        <v>1424.38878569731</v>
      </c>
      <c r="N308" s="23" t="n">
        <v>1476.27556071794</v>
      </c>
      <c r="O308" s="23" t="n">
        <v>930.714914599994</v>
      </c>
      <c r="P308" s="23" t="n">
        <v>1476.27556071794</v>
      </c>
      <c r="Q308" s="23" t="n">
        <v>721.76629772001</v>
      </c>
      <c r="R308" s="23" t="n">
        <v>669.879518072289</v>
      </c>
      <c r="S308" s="23" t="n">
        <v>669.879518072289</v>
      </c>
    </row>
    <row r="309" customFormat="false" ht="15" hidden="false" customHeight="false" outlineLevel="0" collapsed="false">
      <c r="A309" s="3" t="n">
        <v>30001142</v>
      </c>
      <c r="B309" s="3" t="s">
        <v>521</v>
      </c>
      <c r="C309" s="3" t="s">
        <v>144</v>
      </c>
      <c r="D309" s="3" t="s">
        <v>213</v>
      </c>
      <c r="E309" s="3" t="s">
        <v>249</v>
      </c>
      <c r="F309" s="23" t="n">
        <v>2020</v>
      </c>
      <c r="G309" s="23" t="n">
        <v>2540</v>
      </c>
      <c r="H309" s="23" t="n">
        <v>1945</v>
      </c>
      <c r="I309" s="23" t="n">
        <v>1830</v>
      </c>
      <c r="J309" s="23" t="n">
        <v>1615</v>
      </c>
      <c r="K309" s="23" t="n">
        <v>1245</v>
      </c>
      <c r="L309" s="23" t="n">
        <v>1930</v>
      </c>
      <c r="M309" s="23" t="n">
        <v>2450</v>
      </c>
      <c r="N309" s="23" t="n">
        <v>2400</v>
      </c>
      <c r="O309" s="23" t="n">
        <v>1870</v>
      </c>
      <c r="P309" s="23" t="n">
        <v>1650</v>
      </c>
      <c r="Q309" s="23" t="n">
        <v>1880</v>
      </c>
      <c r="R309" s="23" t="n">
        <v>1665</v>
      </c>
      <c r="S309" s="23" t="n">
        <v>1880</v>
      </c>
    </row>
    <row r="310" customFormat="false" ht="15" hidden="false" customHeight="false" outlineLevel="0" collapsed="false">
      <c r="A310" s="3" t="n">
        <v>30002262</v>
      </c>
      <c r="B310" s="3" t="s">
        <v>522</v>
      </c>
      <c r="C310" s="3" t="s">
        <v>212</v>
      </c>
      <c r="D310" s="3" t="s">
        <v>213</v>
      </c>
      <c r="E310" s="3" t="s">
        <v>212</v>
      </c>
      <c r="F310" s="23" t="n">
        <v>648.6</v>
      </c>
      <c r="G310" s="23" t="n">
        <v>1697.4</v>
      </c>
      <c r="H310" s="23" t="n">
        <v>2290.8</v>
      </c>
      <c r="I310" s="23" t="n">
        <v>1017.75</v>
      </c>
      <c r="J310" s="23" t="n">
        <v>427.8</v>
      </c>
      <c r="K310" s="23" t="n">
        <v>5088.75</v>
      </c>
      <c r="L310" s="23" t="n">
        <v>1248.9</v>
      </c>
      <c r="M310" s="23" t="n">
        <v>1629.35</v>
      </c>
      <c r="N310" s="23" t="n">
        <v>1800</v>
      </c>
      <c r="O310" s="23" t="n">
        <v>792.72456</v>
      </c>
      <c r="P310" s="23" t="n">
        <v>786.713</v>
      </c>
      <c r="Q310" s="23" t="n">
        <v>3158.873</v>
      </c>
      <c r="R310" s="23" t="n">
        <v>1374.29989519058</v>
      </c>
      <c r="S310" s="23" t="n">
        <v>1292.36167678403</v>
      </c>
    </row>
    <row r="311" customFormat="false" ht="15" hidden="false" customHeight="false" outlineLevel="0" collapsed="false">
      <c r="A311" s="3" t="n">
        <v>30002276</v>
      </c>
      <c r="B311" s="3" t="s">
        <v>523</v>
      </c>
      <c r="C311" s="3" t="s">
        <v>212</v>
      </c>
      <c r="D311" s="3" t="s">
        <v>213</v>
      </c>
      <c r="E311" s="3" t="s">
        <v>212</v>
      </c>
      <c r="F311" s="23" t="n">
        <v>885.6</v>
      </c>
      <c r="G311" s="23" t="n">
        <v>3556.8</v>
      </c>
      <c r="H311" s="23" t="n">
        <v>3348</v>
      </c>
      <c r="I311" s="23" t="n">
        <v>1612.8</v>
      </c>
      <c r="J311" s="23" t="n">
        <v>540</v>
      </c>
      <c r="K311" s="23" t="n">
        <v>1008</v>
      </c>
      <c r="L311" s="23" t="n">
        <v>907.2</v>
      </c>
      <c r="M311" s="23" t="n">
        <v>2471.84</v>
      </c>
      <c r="N311" s="23" t="n">
        <v>1964.24</v>
      </c>
      <c r="O311" s="23" t="n">
        <v>1785.6</v>
      </c>
      <c r="P311" s="23" t="n">
        <v>2115.6</v>
      </c>
      <c r="Q311" s="23" t="n">
        <v>1890.377</v>
      </c>
      <c r="R311" s="23" t="n">
        <v>1690.54454810618</v>
      </c>
      <c r="S311" s="23" t="n">
        <v>1613.8625</v>
      </c>
    </row>
    <row r="312" customFormat="false" ht="15" hidden="false" customHeight="false" outlineLevel="0" collapsed="false">
      <c r="A312" s="3" t="n">
        <v>30000641</v>
      </c>
      <c r="B312" s="3" t="s">
        <v>524</v>
      </c>
      <c r="C312" s="3" t="s">
        <v>129</v>
      </c>
      <c r="D312" s="3" t="s">
        <v>213</v>
      </c>
      <c r="E312" s="3" t="s">
        <v>231</v>
      </c>
      <c r="F312" s="23" t="n">
        <v>1513.92</v>
      </c>
      <c r="G312" s="23" t="n">
        <v>1726.72</v>
      </c>
      <c r="H312" s="23" t="n">
        <v>948.48</v>
      </c>
      <c r="I312" s="23" t="n">
        <v>3787.84</v>
      </c>
      <c r="J312" s="23" t="n">
        <v>1805.76</v>
      </c>
      <c r="K312" s="23" t="n">
        <v>1009.28</v>
      </c>
      <c r="L312" s="23" t="n">
        <v>1021.44</v>
      </c>
      <c r="M312" s="23" t="n">
        <v>2414.8</v>
      </c>
      <c r="N312" s="23" t="n">
        <v>2830</v>
      </c>
      <c r="O312" s="23" t="n">
        <v>1090</v>
      </c>
      <c r="P312" s="23" t="n">
        <v>2174.8</v>
      </c>
      <c r="Q312" s="23" t="n">
        <v>2590</v>
      </c>
      <c r="R312" s="23" t="n">
        <v>1810</v>
      </c>
      <c r="S312" s="23" t="n">
        <v>1381.2</v>
      </c>
    </row>
    <row r="313" customFormat="false" ht="15" hidden="false" customHeight="false" outlineLevel="0" collapsed="false">
      <c r="A313" s="3" t="n">
        <v>30000053</v>
      </c>
      <c r="B313" s="3" t="s">
        <v>525</v>
      </c>
      <c r="C313" s="3" t="s">
        <v>212</v>
      </c>
      <c r="D313" s="3" t="s">
        <v>213</v>
      </c>
      <c r="E313" s="3" t="s">
        <v>231</v>
      </c>
      <c r="F313" s="23" t="n">
        <v>543.9</v>
      </c>
      <c r="G313" s="23" t="n">
        <v>976.8</v>
      </c>
      <c r="H313" s="23" t="n">
        <v>643.8</v>
      </c>
      <c r="I313" s="23" t="n">
        <v>2253.3</v>
      </c>
      <c r="J313" s="23" t="n">
        <v>3496.5</v>
      </c>
      <c r="K313" s="23" t="n">
        <v>2874.9</v>
      </c>
      <c r="L313" s="23" t="n">
        <v>1098.9</v>
      </c>
      <c r="M313" s="23" t="n">
        <v>1344.4</v>
      </c>
      <c r="N313" s="23" t="n">
        <v>1235.5</v>
      </c>
      <c r="O313" s="23" t="n">
        <v>1034.4</v>
      </c>
      <c r="P313" s="23" t="n">
        <v>1284.4</v>
      </c>
      <c r="Q313" s="23" t="n">
        <v>1244.4</v>
      </c>
      <c r="R313" s="23" t="n">
        <v>1522.1</v>
      </c>
      <c r="S313" s="23" t="n">
        <v>1514.4</v>
      </c>
    </row>
    <row r="314" customFormat="false" ht="15" hidden="false" customHeight="false" outlineLevel="0" collapsed="false">
      <c r="A314" s="3" t="n">
        <v>30000500</v>
      </c>
      <c r="B314" s="3" t="s">
        <v>526</v>
      </c>
      <c r="C314" s="3" t="s">
        <v>139</v>
      </c>
      <c r="D314" s="3" t="s">
        <v>224</v>
      </c>
      <c r="E314" s="3" t="s">
        <v>249</v>
      </c>
      <c r="F314" s="23" t="n">
        <v>1706.4</v>
      </c>
      <c r="G314" s="23" t="n">
        <v>1711.8</v>
      </c>
      <c r="H314" s="23" t="n">
        <v>2149.2</v>
      </c>
      <c r="I314" s="23" t="n">
        <v>1587.6</v>
      </c>
      <c r="J314" s="23" t="n">
        <v>1809</v>
      </c>
      <c r="K314" s="23" t="n">
        <v>1744.2</v>
      </c>
      <c r="L314" s="23" t="n">
        <v>534.6</v>
      </c>
      <c r="M314" s="23" t="n">
        <v>2014.9750073003</v>
      </c>
      <c r="N314" s="23" t="n">
        <v>1375.22087357118</v>
      </c>
      <c r="O314" s="23" t="n">
        <v>867.005193311926</v>
      </c>
      <c r="P314" s="23" t="n">
        <v>1375.22087357118</v>
      </c>
      <c r="Q314" s="23" t="n">
        <v>1997.3907040996</v>
      </c>
      <c r="R314" s="23" t="n">
        <v>1997.3907040996</v>
      </c>
      <c r="S314" s="23" t="n">
        <v>1375.22087357118</v>
      </c>
    </row>
    <row r="315" customFormat="false" ht="15" hidden="false" customHeight="false" outlineLevel="0" collapsed="false">
      <c r="A315" s="3" t="n">
        <v>30002178</v>
      </c>
      <c r="B315" s="3" t="s">
        <v>527</v>
      </c>
      <c r="C315" s="3" t="s">
        <v>139</v>
      </c>
      <c r="D315" s="3" t="s">
        <v>213</v>
      </c>
      <c r="E315" s="3" t="s">
        <v>249</v>
      </c>
      <c r="F315" s="23" t="n">
        <v>1892.4</v>
      </c>
      <c r="G315" s="23" t="n">
        <v>1795.5</v>
      </c>
      <c r="H315" s="23" t="n">
        <v>991.8</v>
      </c>
      <c r="I315" s="23" t="n">
        <v>1197</v>
      </c>
      <c r="J315" s="23" t="n">
        <v>2587.8</v>
      </c>
      <c r="K315" s="23" t="n">
        <v>2211.6</v>
      </c>
      <c r="L315" s="23" t="n">
        <v>1624.5</v>
      </c>
      <c r="M315" s="23" t="n">
        <v>2265.3</v>
      </c>
      <c r="N315" s="23" t="n">
        <v>2080</v>
      </c>
      <c r="O315" s="23" t="n">
        <v>1763.11289</v>
      </c>
      <c r="P315" s="23" t="n">
        <v>1970.11289</v>
      </c>
      <c r="Q315" s="23" t="n">
        <v>1665.5</v>
      </c>
      <c r="R315" s="23" t="n">
        <v>1700.52273972842</v>
      </c>
      <c r="S315" s="23" t="n">
        <v>1775.15420959057</v>
      </c>
    </row>
    <row r="316" customFormat="false" ht="15" hidden="false" customHeight="false" outlineLevel="0" collapsed="false">
      <c r="A316" s="3" t="n">
        <v>30000119</v>
      </c>
      <c r="B316" s="3" t="s">
        <v>528</v>
      </c>
      <c r="C316" s="3" t="s">
        <v>141</v>
      </c>
      <c r="D316" s="3" t="s">
        <v>224</v>
      </c>
      <c r="E316" s="3" t="s">
        <v>231</v>
      </c>
      <c r="F316" s="23" t="n">
        <v>1980</v>
      </c>
      <c r="G316" s="23" t="n">
        <v>2138.4</v>
      </c>
      <c r="H316" s="23" t="n">
        <v>2160</v>
      </c>
      <c r="I316" s="23" t="n">
        <v>943.2</v>
      </c>
      <c r="J316" s="23" t="n">
        <v>1915.2</v>
      </c>
      <c r="K316" s="23" t="n">
        <v>1468.8</v>
      </c>
      <c r="L316" s="23" t="n">
        <v>453.6</v>
      </c>
      <c r="M316" s="23" t="n">
        <v>2500.00005783862</v>
      </c>
      <c r="N316" s="23" t="n">
        <v>5028.39242558143</v>
      </c>
      <c r="O316" s="23" t="n">
        <v>3170.13974320235</v>
      </c>
      <c r="P316" s="23" t="n">
        <v>4022.71394046515</v>
      </c>
      <c r="Q316" s="23" t="n">
        <v>1400</v>
      </c>
      <c r="R316" s="23" t="n">
        <v>1500</v>
      </c>
      <c r="S316" s="23" t="n">
        <v>1300</v>
      </c>
    </row>
    <row r="317" customFormat="false" ht="15" hidden="false" customHeight="false" outlineLevel="0" collapsed="false">
      <c r="A317" s="3" t="n">
        <v>30000613</v>
      </c>
      <c r="B317" s="3" t="s">
        <v>529</v>
      </c>
      <c r="C317" s="3" t="s">
        <v>129</v>
      </c>
      <c r="D317" s="3" t="s">
        <v>213</v>
      </c>
      <c r="E317" s="3" t="s">
        <v>249</v>
      </c>
      <c r="F317" s="23" t="n">
        <v>2697.6</v>
      </c>
      <c r="G317" s="23" t="n">
        <v>2438.4</v>
      </c>
      <c r="H317" s="23" t="n">
        <v>806.4</v>
      </c>
      <c r="I317" s="23" t="n">
        <v>1612.8</v>
      </c>
      <c r="J317" s="23" t="n">
        <v>1401.6</v>
      </c>
      <c r="K317" s="23" t="n">
        <v>1593.6</v>
      </c>
      <c r="L317" s="23" t="n">
        <v>1171.2</v>
      </c>
      <c r="M317" s="23" t="n">
        <v>1550</v>
      </c>
      <c r="N317" s="23" t="n">
        <v>1950</v>
      </c>
      <c r="O317" s="23" t="n">
        <v>1094.8</v>
      </c>
      <c r="P317" s="23" t="n">
        <v>1650</v>
      </c>
      <c r="Q317" s="23" t="n">
        <v>1850</v>
      </c>
      <c r="R317" s="23" t="n">
        <v>1700</v>
      </c>
      <c r="S317" s="23" t="n">
        <v>1700</v>
      </c>
    </row>
    <row r="318" customFormat="false" ht="15" hidden="false" customHeight="false" outlineLevel="0" collapsed="false">
      <c r="A318" s="3" t="n">
        <v>30001708</v>
      </c>
      <c r="B318" s="3" t="s">
        <v>530</v>
      </c>
      <c r="C318" s="3" t="s">
        <v>155</v>
      </c>
      <c r="D318" s="3" t="s">
        <v>224</v>
      </c>
      <c r="E318" s="3" t="s">
        <v>231</v>
      </c>
      <c r="F318" s="23" t="n">
        <v>1965.6</v>
      </c>
      <c r="G318" s="23" t="n">
        <v>2180.64</v>
      </c>
      <c r="H318" s="23" t="n">
        <v>1908.48</v>
      </c>
      <c r="I318" s="23" t="n">
        <v>1579.2</v>
      </c>
      <c r="J318" s="23" t="n">
        <v>1407.84</v>
      </c>
      <c r="K318" s="23" t="n">
        <v>1448.16</v>
      </c>
      <c r="L318" s="23" t="n">
        <v>876.96</v>
      </c>
      <c r="M318" s="23" t="n">
        <v>1192.47743356251</v>
      </c>
      <c r="N318" s="23" t="n">
        <v>1501.8464679673</v>
      </c>
      <c r="O318" s="23" t="n">
        <v>946.836040892469</v>
      </c>
      <c r="P318" s="23" t="n">
        <v>1757.81719379106</v>
      </c>
      <c r="Q318" s="23" t="n">
        <v>1379.98702431948</v>
      </c>
      <c r="R318" s="23" t="n">
        <v>1239.91481829295</v>
      </c>
      <c r="S318" s="23" t="n">
        <v>1239.91481829295</v>
      </c>
    </row>
    <row r="319" customFormat="false" ht="15" hidden="false" customHeight="false" outlineLevel="0" collapsed="false">
      <c r="A319" s="3" t="n">
        <v>30000673</v>
      </c>
      <c r="B319" s="3" t="s">
        <v>531</v>
      </c>
      <c r="C319" s="3" t="s">
        <v>129</v>
      </c>
      <c r="D319" s="3" t="s">
        <v>213</v>
      </c>
      <c r="E319" s="3" t="s">
        <v>231</v>
      </c>
      <c r="F319" s="23" t="n">
        <v>1558</v>
      </c>
      <c r="G319" s="23" t="n">
        <v>3526</v>
      </c>
      <c r="H319" s="23" t="n">
        <v>2279.6</v>
      </c>
      <c r="I319" s="23" t="n">
        <v>1722</v>
      </c>
      <c r="J319" s="23" t="n">
        <v>639.6</v>
      </c>
      <c r="K319" s="23" t="n">
        <v>656</v>
      </c>
      <c r="L319" s="23" t="n">
        <v>459.2</v>
      </c>
      <c r="M319" s="23" t="n">
        <v>1050</v>
      </c>
      <c r="N319" s="23" t="n">
        <v>1250</v>
      </c>
      <c r="O319" s="23" t="n">
        <v>749.2</v>
      </c>
      <c r="P319" s="23" t="n">
        <v>510</v>
      </c>
      <c r="Q319" s="23" t="n">
        <v>1449.2</v>
      </c>
      <c r="R319" s="23" t="n">
        <v>2100</v>
      </c>
      <c r="S319" s="23" t="n">
        <v>713.2</v>
      </c>
    </row>
    <row r="320" customFormat="false" ht="15" hidden="false" customHeight="false" outlineLevel="0" collapsed="false">
      <c r="A320" s="3" t="n">
        <v>30001918</v>
      </c>
      <c r="B320" s="3" t="s">
        <v>532</v>
      </c>
      <c r="C320" s="3" t="s">
        <v>149</v>
      </c>
      <c r="D320" s="3" t="s">
        <v>224</v>
      </c>
      <c r="E320" s="3" t="s">
        <v>214</v>
      </c>
      <c r="F320" s="23" t="n">
        <v>281.4</v>
      </c>
      <c r="G320" s="23" t="n">
        <v>1360.8</v>
      </c>
      <c r="H320" s="23" t="n">
        <v>1890</v>
      </c>
      <c r="I320" s="23" t="n">
        <v>2150.4</v>
      </c>
      <c r="J320" s="23" t="n">
        <v>3502.8</v>
      </c>
      <c r="K320" s="23" t="n">
        <v>1192.8</v>
      </c>
      <c r="L320" s="23" t="n">
        <v>957.6</v>
      </c>
      <c r="M320" s="23" t="n">
        <v>4394.86040913527</v>
      </c>
      <c r="N320" s="23" t="n">
        <v>5251.88677964772</v>
      </c>
      <c r="O320" s="23" t="n">
        <v>1349.81280270251</v>
      </c>
      <c r="P320" s="23" t="n">
        <v>5251.88677964772</v>
      </c>
      <c r="Q320" s="23" t="n">
        <v>4251.88677964772</v>
      </c>
      <c r="R320" s="23" t="n">
        <v>2725</v>
      </c>
      <c r="S320" s="23" t="n">
        <v>2725</v>
      </c>
    </row>
    <row r="321" customFormat="false" ht="15" hidden="false" customHeight="false" outlineLevel="0" collapsed="false">
      <c r="A321" s="3" t="n">
        <v>30002326</v>
      </c>
      <c r="B321" s="3" t="s">
        <v>533</v>
      </c>
      <c r="C321" s="3" t="s">
        <v>212</v>
      </c>
      <c r="D321" s="3" t="s">
        <v>213</v>
      </c>
      <c r="E321" s="3" t="s">
        <v>214</v>
      </c>
      <c r="F321" s="23" t="n">
        <v>0</v>
      </c>
      <c r="G321" s="23" t="n">
        <v>0</v>
      </c>
      <c r="H321" s="23" t="n">
        <v>0</v>
      </c>
      <c r="I321" s="23" t="n">
        <v>0</v>
      </c>
      <c r="J321" s="23" t="n">
        <v>1485</v>
      </c>
      <c r="K321" s="23" t="n">
        <v>8838</v>
      </c>
      <c r="L321" s="23" t="n">
        <v>2025</v>
      </c>
      <c r="M321" s="23" t="n">
        <v>0</v>
      </c>
      <c r="N321" s="23" t="n">
        <v>0</v>
      </c>
      <c r="O321" s="23" t="n">
        <v>0</v>
      </c>
      <c r="P321" s="23" t="n">
        <v>0</v>
      </c>
      <c r="Q321" s="23" t="n">
        <v>4000</v>
      </c>
      <c r="R321" s="23" t="n">
        <v>2000</v>
      </c>
      <c r="S321" s="23" t="n">
        <v>5500</v>
      </c>
    </row>
    <row r="322" customFormat="false" ht="15" hidden="false" customHeight="false" outlineLevel="0" collapsed="false">
      <c r="A322" s="3" t="n">
        <v>30002256</v>
      </c>
      <c r="B322" s="3" t="s">
        <v>534</v>
      </c>
      <c r="C322" s="3" t="s">
        <v>212</v>
      </c>
      <c r="D322" s="3" t="s">
        <v>213</v>
      </c>
      <c r="E322" s="3" t="s">
        <v>231</v>
      </c>
      <c r="F322" s="23" t="n">
        <v>1538.24</v>
      </c>
      <c r="G322" s="23" t="n">
        <v>1422.72</v>
      </c>
      <c r="H322" s="23" t="n">
        <v>1155.2</v>
      </c>
      <c r="I322" s="23" t="n">
        <v>2474.56</v>
      </c>
      <c r="J322" s="23" t="n">
        <v>2200.96</v>
      </c>
      <c r="K322" s="23" t="n">
        <v>1489.6</v>
      </c>
      <c r="L322" s="23" t="n">
        <v>978.88</v>
      </c>
      <c r="M322" s="23" t="n">
        <v>2200</v>
      </c>
      <c r="N322" s="23" t="n">
        <v>1800</v>
      </c>
      <c r="O322" s="23" t="n">
        <v>1400</v>
      </c>
      <c r="P322" s="23" t="n">
        <v>2500</v>
      </c>
      <c r="Q322" s="23" t="n">
        <v>2130</v>
      </c>
      <c r="R322" s="23" t="n">
        <v>2084.16</v>
      </c>
      <c r="S322" s="23" t="n">
        <v>2330</v>
      </c>
    </row>
    <row r="323" customFormat="false" ht="15" hidden="false" customHeight="false" outlineLevel="0" collapsed="false">
      <c r="A323" s="3" t="n">
        <v>30001046</v>
      </c>
      <c r="B323" s="3" t="s">
        <v>535</v>
      </c>
      <c r="C323" s="3" t="s">
        <v>155</v>
      </c>
      <c r="D323" s="3" t="s">
        <v>224</v>
      </c>
      <c r="E323" s="3" t="s">
        <v>214</v>
      </c>
      <c r="F323" s="23" t="n">
        <v>1620</v>
      </c>
      <c r="G323" s="23" t="n">
        <v>1866.24</v>
      </c>
      <c r="H323" s="23" t="n">
        <v>1213.92</v>
      </c>
      <c r="I323" s="23" t="n">
        <v>1706.4</v>
      </c>
      <c r="J323" s="23" t="n">
        <v>1546.56</v>
      </c>
      <c r="K323" s="23" t="n">
        <v>2315.52</v>
      </c>
      <c r="L323" s="23" t="n">
        <v>1317.6</v>
      </c>
      <c r="M323" s="23" t="n">
        <v>849.261632556184</v>
      </c>
      <c r="N323" s="23" t="n">
        <v>1069.5888637693</v>
      </c>
      <c r="O323" s="23" t="n">
        <v>674.320116439523</v>
      </c>
      <c r="P323" s="23" t="n">
        <v>1069.5888637693</v>
      </c>
      <c r="Q323" s="23" t="n">
        <v>1069.5888637693</v>
      </c>
      <c r="R323" s="23" t="n">
        <v>849.261612908137</v>
      </c>
      <c r="S323" s="23" t="n">
        <v>849.261612908137</v>
      </c>
    </row>
    <row r="324" customFormat="false" ht="15" hidden="false" customHeight="false" outlineLevel="0" collapsed="false">
      <c r="A324" s="3" t="n">
        <v>30001149</v>
      </c>
      <c r="B324" s="3" t="s">
        <v>536</v>
      </c>
      <c r="C324" s="3" t="s">
        <v>137</v>
      </c>
      <c r="D324" s="3" t="s">
        <v>213</v>
      </c>
      <c r="E324" s="3" t="s">
        <v>249</v>
      </c>
      <c r="F324" s="23" t="n">
        <v>1656</v>
      </c>
      <c r="G324" s="23" t="n">
        <v>2280</v>
      </c>
      <c r="H324" s="23" t="n">
        <v>900</v>
      </c>
      <c r="I324" s="23" t="n">
        <v>1326</v>
      </c>
      <c r="J324" s="23" t="n">
        <v>2184</v>
      </c>
      <c r="K324" s="23" t="n">
        <v>1890</v>
      </c>
      <c r="L324" s="23" t="n">
        <v>1152</v>
      </c>
      <c r="M324" s="23" t="n">
        <v>2535</v>
      </c>
      <c r="N324" s="23" t="n">
        <v>1950</v>
      </c>
      <c r="O324" s="23" t="n">
        <v>1712.8</v>
      </c>
      <c r="P324" s="23" t="n">
        <v>1512.8</v>
      </c>
      <c r="Q324" s="23" t="n">
        <v>1850</v>
      </c>
      <c r="R324" s="23" t="n">
        <v>1709.92604682713</v>
      </c>
      <c r="S324" s="23" t="n">
        <v>1509.92976197472</v>
      </c>
    </row>
    <row r="325" customFormat="false" ht="15" hidden="false" customHeight="false" outlineLevel="0" collapsed="false">
      <c r="A325" s="3" t="n">
        <v>30001407</v>
      </c>
      <c r="B325" s="3" t="s">
        <v>537</v>
      </c>
      <c r="C325" s="3" t="s">
        <v>139</v>
      </c>
      <c r="D325" s="3" t="s">
        <v>213</v>
      </c>
      <c r="E325" s="3" t="s">
        <v>231</v>
      </c>
      <c r="F325" s="23" t="n">
        <v>2187</v>
      </c>
      <c r="G325" s="23" t="n">
        <v>1741.5</v>
      </c>
      <c r="H325" s="23" t="n">
        <v>1219.5</v>
      </c>
      <c r="I325" s="23" t="n">
        <v>1332</v>
      </c>
      <c r="J325" s="23" t="n">
        <v>1737</v>
      </c>
      <c r="K325" s="23" t="n">
        <v>2016</v>
      </c>
      <c r="L325" s="23" t="n">
        <v>1084.5</v>
      </c>
      <c r="M325" s="23" t="n">
        <v>1610</v>
      </c>
      <c r="N325" s="23" t="n">
        <v>1472.5</v>
      </c>
      <c r="O325" s="23" t="n">
        <v>1408.8</v>
      </c>
      <c r="P325" s="23" t="n">
        <v>1621.533</v>
      </c>
      <c r="Q325" s="23" t="n">
        <v>1770.04</v>
      </c>
      <c r="R325" s="23" t="n">
        <v>1525.53890052674</v>
      </c>
      <c r="S325" s="23" t="n">
        <v>1253.78942311821</v>
      </c>
    </row>
    <row r="326" customFormat="false" ht="15" hidden="false" customHeight="false" outlineLevel="0" collapsed="false">
      <c r="A326" s="3" t="n">
        <v>30002255</v>
      </c>
      <c r="B326" s="3" t="s">
        <v>538</v>
      </c>
      <c r="C326" s="3" t="s">
        <v>155</v>
      </c>
      <c r="D326" s="3" t="s">
        <v>224</v>
      </c>
      <c r="E326" s="3" t="s">
        <v>231</v>
      </c>
      <c r="F326" s="23" t="n">
        <v>2221.8</v>
      </c>
      <c r="G326" s="23" t="n">
        <v>1690.5</v>
      </c>
      <c r="H326" s="23" t="n">
        <v>1390.35</v>
      </c>
      <c r="I326" s="23" t="n">
        <v>1590.45</v>
      </c>
      <c r="J326" s="23" t="n">
        <v>1866.45</v>
      </c>
      <c r="K326" s="23" t="n">
        <v>1390.35</v>
      </c>
      <c r="L326" s="23" t="n">
        <v>593.4</v>
      </c>
      <c r="M326" s="23" t="n">
        <v>2530.95949263337</v>
      </c>
      <c r="N326" s="23" t="n">
        <v>1397.84527094507</v>
      </c>
      <c r="O326" s="23" t="n">
        <v>1152.87510980492</v>
      </c>
      <c r="P326" s="23" t="n">
        <v>2080.28817750081</v>
      </c>
      <c r="Q326" s="23" t="n">
        <v>1361.49116876054</v>
      </c>
      <c r="R326" s="23" t="n">
        <v>1234.56805496683</v>
      </c>
      <c r="S326" s="23" t="n">
        <v>1234.56805496683</v>
      </c>
    </row>
    <row r="327" customFormat="false" ht="15" hidden="false" customHeight="false" outlineLevel="0" collapsed="false">
      <c r="A327" s="3" t="n">
        <v>30001698</v>
      </c>
      <c r="B327" s="3" t="s">
        <v>539</v>
      </c>
      <c r="C327" s="3" t="s">
        <v>212</v>
      </c>
      <c r="D327" s="3" t="s">
        <v>213</v>
      </c>
      <c r="E327" s="3" t="s">
        <v>214</v>
      </c>
      <c r="F327" s="23" t="n">
        <v>3144.96</v>
      </c>
      <c r="G327" s="23" t="n">
        <v>2229.12</v>
      </c>
      <c r="H327" s="23" t="n">
        <v>578.88</v>
      </c>
      <c r="I327" s="23" t="n">
        <v>1343.52</v>
      </c>
      <c r="J327" s="23" t="n">
        <v>2211.84</v>
      </c>
      <c r="K327" s="23" t="n">
        <v>505.44</v>
      </c>
      <c r="L327" s="23" t="n">
        <v>773.28</v>
      </c>
      <c r="M327" s="23" t="n">
        <v>2240</v>
      </c>
      <c r="N327" s="23" t="n">
        <v>2440</v>
      </c>
      <c r="O327" s="23" t="n">
        <v>1508.64</v>
      </c>
      <c r="P327" s="23" t="n">
        <v>2258.64</v>
      </c>
      <c r="Q327" s="23" t="n">
        <v>2008.64</v>
      </c>
      <c r="R327" s="23" t="n">
        <v>1823.36</v>
      </c>
      <c r="S327" s="23" t="n">
        <v>2358.64</v>
      </c>
    </row>
    <row r="328" customFormat="false" ht="15" hidden="false" customHeight="false" outlineLevel="0" collapsed="false">
      <c r="A328" s="3" t="n">
        <v>30001341</v>
      </c>
      <c r="B328" s="3" t="s">
        <v>540</v>
      </c>
      <c r="C328" s="3" t="s">
        <v>141</v>
      </c>
      <c r="D328" s="3" t="s">
        <v>224</v>
      </c>
      <c r="E328" s="3" t="s">
        <v>249</v>
      </c>
      <c r="F328" s="23" t="n">
        <v>2192.4</v>
      </c>
      <c r="G328" s="23" t="n">
        <v>3153.6</v>
      </c>
      <c r="H328" s="23" t="n">
        <v>734.4</v>
      </c>
      <c r="I328" s="23" t="n">
        <v>2322</v>
      </c>
      <c r="J328" s="23" t="n">
        <v>259.2</v>
      </c>
      <c r="K328" s="23" t="n">
        <v>1339.2</v>
      </c>
      <c r="L328" s="23" t="n">
        <v>183.6</v>
      </c>
      <c r="M328" s="23" t="n">
        <v>900.000020821902</v>
      </c>
      <c r="N328" s="23" t="n">
        <v>2804.54278809303</v>
      </c>
      <c r="O328" s="23" t="n">
        <v>1507.22235891238</v>
      </c>
      <c r="P328" s="23" t="n">
        <v>2804.54278809303</v>
      </c>
      <c r="Q328" s="23" t="n">
        <v>904.542788093029</v>
      </c>
      <c r="R328" s="23" t="n">
        <v>300</v>
      </c>
      <c r="S328" s="23" t="n">
        <v>600</v>
      </c>
    </row>
    <row r="329" customFormat="false" ht="15" hidden="false" customHeight="false" outlineLevel="0" collapsed="false">
      <c r="A329" s="3" t="n">
        <v>30002269</v>
      </c>
      <c r="B329" s="3" t="s">
        <v>541</v>
      </c>
      <c r="C329" s="3" t="s">
        <v>130</v>
      </c>
      <c r="D329" s="3" t="s">
        <v>213</v>
      </c>
      <c r="E329" s="3" t="s">
        <v>214</v>
      </c>
      <c r="F329" s="23" t="n">
        <v>1734</v>
      </c>
      <c r="G329" s="23" t="n">
        <v>378</v>
      </c>
      <c r="H329" s="23" t="n">
        <v>846</v>
      </c>
      <c r="I329" s="23" t="n">
        <v>1398</v>
      </c>
      <c r="J329" s="23" t="n">
        <v>1116</v>
      </c>
      <c r="K329" s="23" t="n">
        <v>4392</v>
      </c>
      <c r="L329" s="23" t="n">
        <v>1356</v>
      </c>
      <c r="M329" s="23" t="n">
        <v>3621.5</v>
      </c>
      <c r="N329" s="23" t="n">
        <v>2671.5</v>
      </c>
      <c r="O329" s="23" t="n">
        <v>1698.485</v>
      </c>
      <c r="P329" s="23" t="n">
        <v>2008.305</v>
      </c>
      <c r="Q329" s="23" t="n">
        <v>839.005</v>
      </c>
      <c r="R329" s="23" t="n">
        <v>1010.96430061848</v>
      </c>
      <c r="S329" s="23" t="n">
        <v>1143.93583865999</v>
      </c>
    </row>
    <row r="330" customFormat="false" ht="15" hidden="false" customHeight="false" outlineLevel="0" collapsed="false">
      <c r="A330" s="3" t="n">
        <v>30000253</v>
      </c>
      <c r="B330" s="3" t="s">
        <v>542</v>
      </c>
      <c r="C330" s="3" t="s">
        <v>135</v>
      </c>
      <c r="D330" s="3" t="s">
        <v>224</v>
      </c>
      <c r="E330" s="3" t="s">
        <v>231</v>
      </c>
      <c r="F330" s="23" t="n">
        <v>1890</v>
      </c>
      <c r="G330" s="23" t="n">
        <v>1968</v>
      </c>
      <c r="H330" s="23" t="n">
        <v>1176</v>
      </c>
      <c r="I330" s="23" t="n">
        <v>2556</v>
      </c>
      <c r="J330" s="23" t="n">
        <v>750</v>
      </c>
      <c r="K330" s="23" t="n">
        <v>1464</v>
      </c>
      <c r="L330" s="23" t="n">
        <v>474</v>
      </c>
      <c r="M330" s="23" t="n">
        <v>2335.38960499869</v>
      </c>
      <c r="N330" s="23" t="n">
        <v>1881.29783965833</v>
      </c>
      <c r="O330" s="23" t="n">
        <v>2044.74681232281</v>
      </c>
      <c r="P330" s="23" t="n">
        <v>1881.29783965833</v>
      </c>
      <c r="Q330" s="23" t="n">
        <v>1881.29783965833</v>
      </c>
      <c r="R330" s="23" t="n">
        <v>1337.95938104449</v>
      </c>
      <c r="S330" s="23" t="n">
        <v>1337.95938104449</v>
      </c>
    </row>
    <row r="331" customFormat="false" ht="15" hidden="false" customHeight="false" outlineLevel="0" collapsed="false">
      <c r="A331" s="3" t="n">
        <v>30002331</v>
      </c>
      <c r="B331" s="3" t="s">
        <v>543</v>
      </c>
      <c r="C331" s="3" t="s">
        <v>129</v>
      </c>
      <c r="D331" s="3" t="s">
        <v>213</v>
      </c>
      <c r="E331" s="3" t="s">
        <v>214</v>
      </c>
      <c r="F331" s="23" t="n">
        <v>0</v>
      </c>
      <c r="G331" s="23" t="n">
        <v>0</v>
      </c>
      <c r="H331" s="23" t="n">
        <v>0</v>
      </c>
      <c r="I331" s="23" t="n">
        <v>0</v>
      </c>
      <c r="J331" s="23" t="n">
        <v>6556.8</v>
      </c>
      <c r="K331" s="23" t="n">
        <v>3225.6</v>
      </c>
      <c r="L331" s="23" t="n">
        <v>9.6</v>
      </c>
      <c r="M331" s="23" t="n">
        <v>0</v>
      </c>
      <c r="N331" s="23" t="n">
        <v>0</v>
      </c>
      <c r="O331" s="23" t="n">
        <v>0</v>
      </c>
      <c r="P331" s="23" t="n">
        <v>0</v>
      </c>
      <c r="Q331" s="23" t="n">
        <v>4440</v>
      </c>
      <c r="R331" s="23" t="n">
        <v>1000</v>
      </c>
      <c r="S331" s="23" t="n">
        <v>1000</v>
      </c>
    </row>
    <row r="332" customFormat="false" ht="15" hidden="false" customHeight="false" outlineLevel="0" collapsed="false">
      <c r="A332" s="3" t="n">
        <v>30000250</v>
      </c>
      <c r="B332" s="3" t="s">
        <v>544</v>
      </c>
      <c r="C332" s="3" t="s">
        <v>135</v>
      </c>
      <c r="D332" s="3" t="s">
        <v>224</v>
      </c>
      <c r="E332" s="3" t="s">
        <v>214</v>
      </c>
      <c r="F332" s="23" t="n">
        <v>2118</v>
      </c>
      <c r="G332" s="23" t="n">
        <v>1878</v>
      </c>
      <c r="H332" s="23" t="n">
        <v>1038</v>
      </c>
      <c r="I332" s="23" t="n">
        <v>2232</v>
      </c>
      <c r="J332" s="23" t="n">
        <v>1296</v>
      </c>
      <c r="K332" s="23" t="n">
        <v>1188</v>
      </c>
      <c r="L332" s="23" t="n">
        <v>426</v>
      </c>
      <c r="M332" s="23" t="n">
        <v>1480.00003424046</v>
      </c>
      <c r="N332" s="23" t="n">
        <v>1765.37729685393</v>
      </c>
      <c r="O332" s="23" t="n">
        <v>1175.13114588219</v>
      </c>
      <c r="P332" s="23" t="n">
        <v>1765.37729685393</v>
      </c>
      <c r="Q332" s="23" t="n">
        <v>1765.37729685393</v>
      </c>
      <c r="R332" s="23" t="n">
        <v>1600</v>
      </c>
      <c r="S332" s="23" t="n">
        <v>1600</v>
      </c>
    </row>
    <row r="333" customFormat="false" ht="15" hidden="false" customHeight="false" outlineLevel="0" collapsed="false">
      <c r="A333" s="3" t="n">
        <v>30002261</v>
      </c>
      <c r="B333" s="3" t="s">
        <v>545</v>
      </c>
      <c r="C333" s="3" t="s">
        <v>212</v>
      </c>
      <c r="D333" s="3" t="s">
        <v>213</v>
      </c>
      <c r="E333" s="3" t="s">
        <v>212</v>
      </c>
      <c r="F333" s="23" t="n">
        <v>1449</v>
      </c>
      <c r="G333" s="23" t="n">
        <v>1048.8</v>
      </c>
      <c r="H333" s="23" t="n">
        <v>817.65</v>
      </c>
      <c r="I333" s="23" t="n">
        <v>783.15</v>
      </c>
      <c r="J333" s="23" t="n">
        <v>472.65</v>
      </c>
      <c r="K333" s="23" t="n">
        <v>5133.6</v>
      </c>
      <c r="L333" s="23" t="n">
        <v>1473.15</v>
      </c>
      <c r="M333" s="23" t="n">
        <v>1686.25</v>
      </c>
      <c r="N333" s="23" t="n">
        <v>1786.25</v>
      </c>
      <c r="O333" s="23" t="n">
        <v>743.47544</v>
      </c>
      <c r="P333" s="23" t="n">
        <v>735.787</v>
      </c>
      <c r="Q333" s="23" t="n">
        <v>3263.627</v>
      </c>
      <c r="R333" s="23" t="n">
        <v>1410.1185176138</v>
      </c>
      <c r="S333" s="23" t="n">
        <v>1285.2181000022</v>
      </c>
    </row>
    <row r="334" customFormat="false" ht="15" hidden="false" customHeight="false" outlineLevel="0" collapsed="false">
      <c r="A334" s="3" t="n">
        <v>30000043</v>
      </c>
      <c r="B334" s="3" t="s">
        <v>546</v>
      </c>
      <c r="C334" s="3" t="s">
        <v>124</v>
      </c>
      <c r="D334" s="3" t="s">
        <v>213</v>
      </c>
      <c r="E334" s="3" t="s">
        <v>249</v>
      </c>
      <c r="F334" s="23" t="n">
        <v>927.36</v>
      </c>
      <c r="G334" s="23" t="n">
        <v>2241.12</v>
      </c>
      <c r="H334" s="23" t="n">
        <v>518.88</v>
      </c>
      <c r="I334" s="23" t="n">
        <v>1821.6</v>
      </c>
      <c r="J334" s="23" t="n">
        <v>2285.28</v>
      </c>
      <c r="K334" s="23" t="n">
        <v>1777.44</v>
      </c>
      <c r="L334" s="23" t="n">
        <v>1015.68</v>
      </c>
      <c r="M334" s="23" t="n">
        <v>932.48</v>
      </c>
      <c r="N334" s="23" t="n">
        <v>2912.48</v>
      </c>
      <c r="O334" s="23" t="n">
        <v>1180</v>
      </c>
      <c r="P334" s="23" t="n">
        <v>1959.84</v>
      </c>
      <c r="Q334" s="23" t="n">
        <v>1859.84</v>
      </c>
      <c r="R334" s="23" t="n">
        <v>1948.16</v>
      </c>
      <c r="S334" s="23" t="n">
        <v>1909.84</v>
      </c>
    </row>
    <row r="335" customFormat="false" ht="15" hidden="false" customHeight="false" outlineLevel="0" collapsed="false">
      <c r="A335" s="3" t="n">
        <v>30001902</v>
      </c>
      <c r="B335" s="3" t="s">
        <v>547</v>
      </c>
      <c r="C335" s="3" t="s">
        <v>155</v>
      </c>
      <c r="D335" s="3" t="s">
        <v>224</v>
      </c>
      <c r="E335" s="3" t="s">
        <v>249</v>
      </c>
      <c r="F335" s="23" t="n">
        <v>1533.6</v>
      </c>
      <c r="G335" s="23" t="n">
        <v>2057.4</v>
      </c>
      <c r="H335" s="23" t="n">
        <v>1236.6</v>
      </c>
      <c r="I335" s="23" t="n">
        <v>1360.8</v>
      </c>
      <c r="J335" s="23" t="n">
        <v>1306.8</v>
      </c>
      <c r="K335" s="23" t="n">
        <v>2008.8</v>
      </c>
      <c r="L335" s="23" t="n">
        <v>750.6</v>
      </c>
      <c r="M335" s="23" t="n">
        <v>3059.46311847089</v>
      </c>
      <c r="N335" s="23" t="n">
        <v>1650.64068866957</v>
      </c>
      <c r="O335" s="23" t="n">
        <v>762.374278115684</v>
      </c>
      <c r="P335" s="23" t="n">
        <v>1150.64068866957</v>
      </c>
      <c r="Q335" s="23" t="n">
        <v>1638.62988600095</v>
      </c>
      <c r="R335" s="23" t="n">
        <v>1330.41990193959</v>
      </c>
      <c r="S335" s="23" t="n">
        <v>1330.41990193959</v>
      </c>
    </row>
    <row r="336" customFormat="false" ht="15" hidden="false" customHeight="false" outlineLevel="0" collapsed="false">
      <c r="A336" s="3" t="n">
        <v>30002176</v>
      </c>
      <c r="B336" s="3" t="s">
        <v>548</v>
      </c>
      <c r="C336" s="3" t="s">
        <v>129</v>
      </c>
      <c r="D336" s="3" t="s">
        <v>213</v>
      </c>
      <c r="E336" s="3" t="s">
        <v>231</v>
      </c>
      <c r="F336" s="23" t="n">
        <v>1216</v>
      </c>
      <c r="G336" s="23" t="n">
        <v>1033.6</v>
      </c>
      <c r="H336" s="23" t="n">
        <v>626.24</v>
      </c>
      <c r="I336" s="23" t="n">
        <v>3416.96</v>
      </c>
      <c r="J336" s="23" t="n">
        <v>1738.88</v>
      </c>
      <c r="K336" s="23" t="n">
        <v>1459.2</v>
      </c>
      <c r="L336" s="23" t="n">
        <v>687.04</v>
      </c>
      <c r="M336" s="23" t="n">
        <v>1121.2</v>
      </c>
      <c r="N336" s="23" t="n">
        <v>1521.2</v>
      </c>
      <c r="O336" s="23" t="n">
        <v>821.2</v>
      </c>
      <c r="P336" s="23" t="n">
        <v>1121.2</v>
      </c>
      <c r="Q336" s="23" t="n">
        <v>1250</v>
      </c>
      <c r="R336" s="23" t="n">
        <v>1430</v>
      </c>
      <c r="S336" s="23" t="n">
        <v>1519.12172730908</v>
      </c>
    </row>
    <row r="337" customFormat="false" ht="15" hidden="false" customHeight="false" outlineLevel="0" collapsed="false">
      <c r="A337" s="3" t="n">
        <v>30001707</v>
      </c>
      <c r="B337" s="3" t="s">
        <v>549</v>
      </c>
      <c r="C337" s="3" t="s">
        <v>155</v>
      </c>
      <c r="D337" s="3" t="s">
        <v>224</v>
      </c>
      <c r="E337" s="3" t="s">
        <v>231</v>
      </c>
      <c r="F337" s="23" t="n">
        <v>1774.08</v>
      </c>
      <c r="G337" s="23" t="n">
        <v>2126.88</v>
      </c>
      <c r="H337" s="23" t="n">
        <v>1542.24</v>
      </c>
      <c r="I337" s="23" t="n">
        <v>1589.28</v>
      </c>
      <c r="J337" s="23" t="n">
        <v>1219.68</v>
      </c>
      <c r="K337" s="23" t="n">
        <v>1236.48</v>
      </c>
      <c r="L337" s="23" t="n">
        <v>729.12</v>
      </c>
      <c r="M337" s="23" t="n">
        <v>1124.06568161291</v>
      </c>
      <c r="N337" s="23" t="n">
        <v>1415.68639051744</v>
      </c>
      <c r="O337" s="23" t="n">
        <v>892.516595892187</v>
      </c>
      <c r="P337" s="23" t="n">
        <v>1604.37224189957</v>
      </c>
      <c r="Q337" s="23" t="n">
        <v>1226.54207242798</v>
      </c>
      <c r="R337" s="23" t="n">
        <v>1097.47912399709</v>
      </c>
      <c r="S337" s="23" t="n">
        <v>1097.47912399709</v>
      </c>
    </row>
    <row r="338" customFormat="false" ht="15" hidden="false" customHeight="false" outlineLevel="0" collapsed="false">
      <c r="A338" s="3" t="n">
        <v>30001885</v>
      </c>
      <c r="B338" s="3" t="s">
        <v>550</v>
      </c>
      <c r="C338" s="3" t="s">
        <v>144</v>
      </c>
      <c r="D338" s="3" t="s">
        <v>213</v>
      </c>
      <c r="E338" s="3" t="s">
        <v>214</v>
      </c>
      <c r="F338" s="23" t="n">
        <v>2184</v>
      </c>
      <c r="G338" s="23" t="n">
        <v>2270.4</v>
      </c>
      <c r="H338" s="23" t="n">
        <v>1267.2</v>
      </c>
      <c r="I338" s="23" t="n">
        <v>1204.8</v>
      </c>
      <c r="J338" s="23" t="n">
        <v>1627.2</v>
      </c>
      <c r="K338" s="23" t="n">
        <v>883.2</v>
      </c>
      <c r="L338" s="23" t="n">
        <v>960</v>
      </c>
      <c r="M338" s="23" t="n">
        <v>2256</v>
      </c>
      <c r="N338" s="23" t="n">
        <v>2498</v>
      </c>
      <c r="O338" s="23" t="n">
        <v>1000</v>
      </c>
      <c r="P338" s="23" t="n">
        <v>1780</v>
      </c>
      <c r="Q338" s="23" t="n">
        <v>1670</v>
      </c>
      <c r="R338" s="23" t="n">
        <v>1713.89672920472</v>
      </c>
      <c r="S338" s="23" t="n">
        <v>1513.89672920472</v>
      </c>
    </row>
    <row r="339" customFormat="false" ht="15" hidden="false" customHeight="false" outlineLevel="0" collapsed="false">
      <c r="A339" s="3" t="n">
        <v>30001925</v>
      </c>
      <c r="B339" s="3" t="s">
        <v>551</v>
      </c>
      <c r="C339" s="3" t="s">
        <v>139</v>
      </c>
      <c r="D339" s="3" t="s">
        <v>213</v>
      </c>
      <c r="E339" s="3" t="s">
        <v>214</v>
      </c>
      <c r="F339" s="23" t="n">
        <v>234.6</v>
      </c>
      <c r="G339" s="23" t="n">
        <v>4333.2</v>
      </c>
      <c r="H339" s="23" t="n">
        <v>89.7</v>
      </c>
      <c r="I339" s="23" t="n">
        <v>862.5</v>
      </c>
      <c r="J339" s="23" t="n">
        <v>2956.65</v>
      </c>
      <c r="K339" s="23" t="n">
        <v>886.65</v>
      </c>
      <c r="L339" s="23" t="n">
        <v>327.75</v>
      </c>
      <c r="M339" s="23" t="n">
        <v>6207</v>
      </c>
      <c r="N339" s="23" t="n">
        <v>2707</v>
      </c>
      <c r="O339" s="23" t="n">
        <v>1346.5</v>
      </c>
      <c r="P339" s="23" t="n">
        <v>4936</v>
      </c>
      <c r="Q339" s="23" t="n">
        <v>3500.2</v>
      </c>
      <c r="R339" s="23" t="n">
        <v>3165.74184298779</v>
      </c>
      <c r="S339" s="23" t="n">
        <v>2988.15041006868</v>
      </c>
    </row>
    <row r="340" customFormat="false" ht="15" hidden="false" customHeight="false" outlineLevel="0" collapsed="false">
      <c r="A340" s="3" t="n">
        <v>30000671</v>
      </c>
      <c r="B340" s="3" t="s">
        <v>552</v>
      </c>
      <c r="C340" s="3" t="s">
        <v>129</v>
      </c>
      <c r="D340" s="3" t="s">
        <v>213</v>
      </c>
      <c r="E340" s="3" t="s">
        <v>231</v>
      </c>
      <c r="F340" s="23" t="n">
        <v>1550.4</v>
      </c>
      <c r="G340" s="23" t="n">
        <v>1416.64</v>
      </c>
      <c r="H340" s="23" t="n">
        <v>1064</v>
      </c>
      <c r="I340" s="23" t="n">
        <v>1757.12</v>
      </c>
      <c r="J340" s="23" t="n">
        <v>1708.48</v>
      </c>
      <c r="K340" s="23" t="n">
        <v>1678.08</v>
      </c>
      <c r="L340" s="23" t="n">
        <v>1520</v>
      </c>
      <c r="M340" s="23" t="n">
        <v>2132.4</v>
      </c>
      <c r="N340" s="23" t="n">
        <v>1841.2</v>
      </c>
      <c r="O340" s="23" t="n">
        <v>1250</v>
      </c>
      <c r="P340" s="23" t="n">
        <v>2300</v>
      </c>
      <c r="Q340" s="23" t="n">
        <v>2062.4</v>
      </c>
      <c r="R340" s="23" t="n">
        <v>1860.8</v>
      </c>
      <c r="S340" s="23" t="n">
        <v>1844.8</v>
      </c>
    </row>
    <row r="341" customFormat="false" ht="15" hidden="false" customHeight="false" outlineLevel="0" collapsed="false">
      <c r="A341" s="3" t="n">
        <v>30000117</v>
      </c>
      <c r="B341" s="3" t="s">
        <v>553</v>
      </c>
      <c r="C341" s="3" t="s">
        <v>141</v>
      </c>
      <c r="D341" s="3" t="s">
        <v>224</v>
      </c>
      <c r="E341" s="3" t="s">
        <v>249</v>
      </c>
      <c r="F341" s="23" t="n">
        <v>1496</v>
      </c>
      <c r="G341" s="23" t="n">
        <v>1040</v>
      </c>
      <c r="H341" s="23" t="n">
        <v>1352</v>
      </c>
      <c r="I341" s="23" t="n">
        <v>1728</v>
      </c>
      <c r="J341" s="23" t="n">
        <v>1808</v>
      </c>
      <c r="K341" s="23" t="n">
        <v>1744</v>
      </c>
      <c r="L341" s="23" t="n">
        <v>696</v>
      </c>
      <c r="M341" s="23" t="n">
        <v>2000.00003933026</v>
      </c>
      <c r="N341" s="23" t="n">
        <v>4022.71394046515</v>
      </c>
      <c r="O341" s="23" t="n">
        <v>2536.11179456188</v>
      </c>
      <c r="P341" s="23" t="n">
        <v>4022.71394046515</v>
      </c>
      <c r="Q341" s="23" t="n">
        <v>1100</v>
      </c>
      <c r="R341" s="23" t="n">
        <v>900</v>
      </c>
      <c r="S341" s="23" t="n">
        <v>900</v>
      </c>
    </row>
    <row r="342" customFormat="false" ht="15" hidden="false" customHeight="false" outlineLevel="0" collapsed="false">
      <c r="A342" s="3" t="n">
        <v>30000057</v>
      </c>
      <c r="B342" s="3" t="s">
        <v>554</v>
      </c>
      <c r="C342" s="3" t="s">
        <v>212</v>
      </c>
      <c r="D342" s="3" t="s">
        <v>213</v>
      </c>
      <c r="E342" s="3" t="s">
        <v>231</v>
      </c>
      <c r="F342" s="23" t="n">
        <v>3533.5</v>
      </c>
      <c r="G342" s="23" t="n">
        <v>2775</v>
      </c>
      <c r="H342" s="23" t="n">
        <v>481</v>
      </c>
      <c r="I342" s="23" t="n">
        <v>795.5</v>
      </c>
      <c r="J342" s="23" t="n">
        <v>869.5</v>
      </c>
      <c r="K342" s="23" t="n">
        <v>573.5</v>
      </c>
      <c r="L342" s="23" t="n">
        <v>592</v>
      </c>
      <c r="M342" s="23" t="n">
        <v>774</v>
      </c>
      <c r="N342" s="23" t="n">
        <v>1173.5</v>
      </c>
      <c r="O342" s="23" t="n">
        <v>1550</v>
      </c>
      <c r="P342" s="23" t="n">
        <v>1149.5</v>
      </c>
      <c r="Q342" s="23" t="n">
        <v>1550</v>
      </c>
      <c r="R342" s="23" t="n">
        <v>1050</v>
      </c>
      <c r="S342" s="23" t="n">
        <v>850</v>
      </c>
    </row>
    <row r="343" customFormat="false" ht="15" hidden="false" customHeight="false" outlineLevel="0" collapsed="false">
      <c r="A343" s="3" t="n">
        <v>30002253</v>
      </c>
      <c r="B343" s="3" t="s">
        <v>555</v>
      </c>
      <c r="C343" s="3" t="s">
        <v>212</v>
      </c>
      <c r="D343" s="3" t="s">
        <v>224</v>
      </c>
      <c r="E343" s="3" t="s">
        <v>212</v>
      </c>
      <c r="F343" s="23" t="n">
        <v>1652.4</v>
      </c>
      <c r="G343" s="23" t="n">
        <v>1906.2</v>
      </c>
      <c r="H343" s="23" t="n">
        <v>1042.2</v>
      </c>
      <c r="I343" s="23" t="n">
        <v>1868.4</v>
      </c>
      <c r="J343" s="23" t="n">
        <v>858.6</v>
      </c>
      <c r="K343" s="23" t="n">
        <v>1522.8</v>
      </c>
      <c r="L343" s="23" t="n">
        <v>880.2</v>
      </c>
      <c r="M343" s="23" t="n">
        <v>2100</v>
      </c>
      <c r="N343" s="23" t="n">
        <v>2133.49050841474</v>
      </c>
      <c r="O343" s="23" t="n">
        <v>1276.40451860089</v>
      </c>
      <c r="P343" s="23" t="n">
        <v>1755.66033894316</v>
      </c>
      <c r="Q343" s="23" t="n">
        <v>1955.66033894316</v>
      </c>
      <c r="R343" s="23" t="n">
        <v>1800</v>
      </c>
      <c r="S343" s="23" t="n">
        <v>1800</v>
      </c>
    </row>
    <row r="344" customFormat="false" ht="15" hidden="false" customHeight="false" outlineLevel="0" collapsed="false">
      <c r="A344" s="3" t="n">
        <v>30002357</v>
      </c>
      <c r="B344" s="3" t="s">
        <v>556</v>
      </c>
      <c r="C344" s="3" t="s">
        <v>155</v>
      </c>
      <c r="D344" s="3" t="s">
        <v>224</v>
      </c>
      <c r="E344" s="3" t="s">
        <v>212</v>
      </c>
      <c r="F344" s="23" t="n">
        <v>0</v>
      </c>
      <c r="G344" s="23" t="n">
        <v>10</v>
      </c>
      <c r="H344" s="23" t="n">
        <v>3150</v>
      </c>
      <c r="I344" s="23" t="n">
        <v>3000</v>
      </c>
      <c r="J344" s="23" t="n">
        <v>1350</v>
      </c>
      <c r="K344" s="23" t="n">
        <v>1240</v>
      </c>
      <c r="L344" s="23" t="n">
        <v>790</v>
      </c>
      <c r="M344" s="23" t="n">
        <v>0</v>
      </c>
      <c r="N344" s="23" t="n">
        <v>5000</v>
      </c>
      <c r="O344" s="23" t="n">
        <v>0</v>
      </c>
      <c r="P344" s="23" t="n">
        <v>5000</v>
      </c>
      <c r="Q344" s="23" t="n">
        <v>5000</v>
      </c>
      <c r="R344" s="23" t="n">
        <v>0</v>
      </c>
      <c r="S344" s="23" t="n">
        <v>0</v>
      </c>
    </row>
    <row r="345" customFormat="false" ht="15" hidden="false" customHeight="false" outlineLevel="0" collapsed="false">
      <c r="A345" s="3" t="n">
        <v>30000493</v>
      </c>
      <c r="B345" s="3" t="s">
        <v>557</v>
      </c>
      <c r="C345" s="3" t="s">
        <v>155</v>
      </c>
      <c r="D345" s="3" t="s">
        <v>224</v>
      </c>
      <c r="E345" s="3" t="s">
        <v>249</v>
      </c>
      <c r="F345" s="23" t="n">
        <v>1549.8</v>
      </c>
      <c r="G345" s="23" t="n">
        <v>1425.6</v>
      </c>
      <c r="H345" s="23" t="n">
        <v>1215</v>
      </c>
      <c r="I345" s="23" t="n">
        <v>1344.6</v>
      </c>
      <c r="J345" s="23" t="n">
        <v>1603.8</v>
      </c>
      <c r="K345" s="23" t="n">
        <v>1479.6</v>
      </c>
      <c r="L345" s="23" t="n">
        <v>237.6</v>
      </c>
      <c r="M345" s="23" t="n">
        <v>1486.42931561419</v>
      </c>
      <c r="N345" s="23" t="n">
        <v>1872.05942410918</v>
      </c>
      <c r="O345" s="23" t="n">
        <v>1180.23604359375</v>
      </c>
      <c r="P345" s="23" t="n">
        <v>1872.05942410918</v>
      </c>
      <c r="Q345" s="23" t="n">
        <v>1214.28577647243</v>
      </c>
      <c r="R345" s="23" t="n">
        <v>964.152051307085</v>
      </c>
      <c r="S345" s="23" t="n">
        <v>964.152051307085</v>
      </c>
    </row>
    <row r="346" customFormat="false" ht="15" hidden="false" customHeight="false" outlineLevel="0" collapsed="false">
      <c r="A346" s="3" t="n">
        <v>30000635</v>
      </c>
      <c r="B346" s="3" t="s">
        <v>558</v>
      </c>
      <c r="C346" s="3" t="s">
        <v>212</v>
      </c>
      <c r="D346" s="3" t="s">
        <v>213</v>
      </c>
      <c r="E346" s="3" t="s">
        <v>214</v>
      </c>
      <c r="F346" s="23" t="n">
        <v>1939.2</v>
      </c>
      <c r="G346" s="23" t="n">
        <v>1334.4</v>
      </c>
      <c r="H346" s="23" t="n">
        <v>777.6</v>
      </c>
      <c r="I346" s="23" t="n">
        <v>1579.2</v>
      </c>
      <c r="J346" s="23" t="n">
        <v>1579.2</v>
      </c>
      <c r="K346" s="23" t="n">
        <v>1142.4</v>
      </c>
      <c r="L346" s="23" t="n">
        <v>734.4</v>
      </c>
      <c r="M346" s="23" t="n">
        <v>1900</v>
      </c>
      <c r="N346" s="23" t="n">
        <v>1840</v>
      </c>
      <c r="O346" s="23" t="n">
        <v>1102.8</v>
      </c>
      <c r="P346" s="23" t="n">
        <v>1790</v>
      </c>
      <c r="Q346" s="23" t="n">
        <v>1226.8</v>
      </c>
      <c r="R346" s="23" t="n">
        <v>1230</v>
      </c>
      <c r="S346" s="23" t="n">
        <v>944.726026419136</v>
      </c>
    </row>
    <row r="347" customFormat="false" ht="15" hidden="false" customHeight="false" outlineLevel="0" collapsed="false">
      <c r="A347" s="3" t="n">
        <v>30000436</v>
      </c>
      <c r="B347" s="3" t="s">
        <v>559</v>
      </c>
      <c r="C347" s="3" t="s">
        <v>155</v>
      </c>
      <c r="D347" s="3" t="s">
        <v>224</v>
      </c>
      <c r="E347" s="3" t="s">
        <v>249</v>
      </c>
      <c r="F347" s="23" t="n">
        <v>1807.36</v>
      </c>
      <c r="G347" s="23" t="n">
        <v>1377.28</v>
      </c>
      <c r="H347" s="23" t="n">
        <v>1054.72</v>
      </c>
      <c r="I347" s="23" t="n">
        <v>2355.2</v>
      </c>
      <c r="J347" s="23" t="n">
        <v>901.12</v>
      </c>
      <c r="K347" s="23" t="n">
        <v>747.52</v>
      </c>
      <c r="L347" s="23" t="n">
        <v>455.68</v>
      </c>
      <c r="M347" s="23" t="n">
        <v>1841.06071444161</v>
      </c>
      <c r="N347" s="23" t="n">
        <v>1637.26406771018</v>
      </c>
      <c r="O347" s="23" t="n">
        <v>1032.20979030192</v>
      </c>
      <c r="P347" s="23" t="n">
        <v>1637.26406771018</v>
      </c>
      <c r="Q347" s="23" t="n">
        <v>1637.26406771018</v>
      </c>
      <c r="R347" s="23" t="n">
        <v>1300</v>
      </c>
      <c r="S347" s="23" t="n">
        <v>1300</v>
      </c>
    </row>
    <row r="348" customFormat="false" ht="15" hidden="false" customHeight="false" outlineLevel="0" collapsed="false">
      <c r="A348" s="3" t="n">
        <v>30001480</v>
      </c>
      <c r="B348" s="3" t="s">
        <v>560</v>
      </c>
      <c r="C348" s="3" t="s">
        <v>127</v>
      </c>
      <c r="D348" s="3" t="s">
        <v>213</v>
      </c>
      <c r="E348" s="3" t="s">
        <v>214</v>
      </c>
      <c r="F348" s="23" t="n">
        <v>4918.32</v>
      </c>
      <c r="G348" s="23" t="n">
        <v>3152.52</v>
      </c>
      <c r="H348" s="23" t="n">
        <v>45.36</v>
      </c>
      <c r="I348" s="23" t="n">
        <v>77.76</v>
      </c>
      <c r="J348" s="23" t="n">
        <v>45.36</v>
      </c>
      <c r="K348" s="23" t="n">
        <v>0</v>
      </c>
      <c r="L348" s="23" t="n">
        <v>3.24</v>
      </c>
      <c r="M348" s="23" t="n">
        <v>4100</v>
      </c>
      <c r="N348" s="23" t="n">
        <v>0</v>
      </c>
      <c r="O348" s="23" t="n">
        <v>0</v>
      </c>
      <c r="P348" s="23" t="n">
        <v>1800</v>
      </c>
      <c r="Q348" s="23" t="n">
        <v>0</v>
      </c>
      <c r="R348" s="23" t="n">
        <v>0</v>
      </c>
      <c r="S348" s="23" t="n">
        <v>0</v>
      </c>
    </row>
    <row r="349" customFormat="false" ht="15" hidden="false" customHeight="false" outlineLevel="0" collapsed="false">
      <c r="A349" s="3" t="n">
        <v>30002170</v>
      </c>
      <c r="B349" s="3" t="s">
        <v>561</v>
      </c>
      <c r="C349" s="3" t="s">
        <v>135</v>
      </c>
      <c r="D349" s="3" t="s">
        <v>224</v>
      </c>
      <c r="E349" s="3" t="s">
        <v>231</v>
      </c>
      <c r="F349" s="23" t="n">
        <v>1900.8</v>
      </c>
      <c r="G349" s="23" t="n">
        <v>2486.4</v>
      </c>
      <c r="H349" s="23" t="n">
        <v>220.8</v>
      </c>
      <c r="I349" s="23" t="n">
        <v>1430.4</v>
      </c>
      <c r="J349" s="23" t="n">
        <v>1123.2</v>
      </c>
      <c r="K349" s="23" t="n">
        <v>1075.2</v>
      </c>
      <c r="L349" s="23" t="n">
        <v>307.2</v>
      </c>
      <c r="M349" s="23" t="n">
        <v>596.90186355918</v>
      </c>
      <c r="N349" s="23" t="n">
        <v>532.029845715881</v>
      </c>
      <c r="O349" s="23" t="n">
        <v>444.214559085838</v>
      </c>
      <c r="P349" s="23" t="n">
        <v>866.680994342476</v>
      </c>
      <c r="Q349" s="23" t="n">
        <v>737.585401271436</v>
      </c>
      <c r="R349" s="23" t="n">
        <v>868.045350965677</v>
      </c>
      <c r="S349" s="23" t="n">
        <v>868.045350965677</v>
      </c>
    </row>
    <row r="350" customFormat="false" ht="15" hidden="false" customHeight="false" outlineLevel="0" collapsed="false">
      <c r="A350" s="3" t="n">
        <v>30000499</v>
      </c>
      <c r="B350" s="3" t="s">
        <v>562</v>
      </c>
      <c r="C350" s="3" t="s">
        <v>139</v>
      </c>
      <c r="D350" s="3" t="s">
        <v>224</v>
      </c>
      <c r="E350" s="3" t="s">
        <v>249</v>
      </c>
      <c r="F350" s="23" t="n">
        <v>1544.4</v>
      </c>
      <c r="G350" s="23" t="n">
        <v>1566</v>
      </c>
      <c r="H350" s="23" t="n">
        <v>658.8</v>
      </c>
      <c r="I350" s="23" t="n">
        <v>1900.8</v>
      </c>
      <c r="J350" s="23" t="n">
        <v>977.4</v>
      </c>
      <c r="K350" s="23" t="n">
        <v>1576.8</v>
      </c>
      <c r="L350" s="23" t="n">
        <v>545.4</v>
      </c>
      <c r="M350" s="23" t="n">
        <v>1613.87849045326</v>
      </c>
      <c r="N350" s="23" t="n">
        <v>1117.65523508813</v>
      </c>
      <c r="O350" s="23" t="n">
        <v>704.623462147813</v>
      </c>
      <c r="P350" s="23" t="n">
        <v>1117.65523508813</v>
      </c>
      <c r="Q350" s="23" t="n">
        <v>1117.65523508813</v>
      </c>
      <c r="R350" s="23" t="n">
        <v>1117.65523508813</v>
      </c>
      <c r="S350" s="23" t="n">
        <v>1117.65523508813</v>
      </c>
    </row>
    <row r="351" customFormat="false" ht="15" hidden="false" customHeight="false" outlineLevel="0" collapsed="false">
      <c r="A351" s="3" t="n">
        <v>30001924</v>
      </c>
      <c r="B351" s="3" t="s">
        <v>563</v>
      </c>
      <c r="C351" s="3" t="s">
        <v>135</v>
      </c>
      <c r="D351" s="3" t="s">
        <v>213</v>
      </c>
      <c r="E351" s="3" t="s">
        <v>249</v>
      </c>
      <c r="F351" s="23" t="n">
        <v>1008</v>
      </c>
      <c r="G351" s="23" t="n">
        <v>1656</v>
      </c>
      <c r="H351" s="23" t="n">
        <v>768</v>
      </c>
      <c r="I351" s="23" t="n">
        <v>732</v>
      </c>
      <c r="J351" s="23" t="n">
        <v>2784</v>
      </c>
      <c r="K351" s="23" t="n">
        <v>1272</v>
      </c>
      <c r="L351" s="23" t="n">
        <v>1248</v>
      </c>
      <c r="M351" s="23" t="n">
        <v>885.423368740516</v>
      </c>
      <c r="N351" s="23" t="n">
        <v>897.423368740516</v>
      </c>
      <c r="O351" s="23" t="n">
        <v>1265.038</v>
      </c>
      <c r="P351" s="23" t="n">
        <v>1365.038</v>
      </c>
      <c r="Q351" s="23" t="n">
        <v>1351.46136874052</v>
      </c>
      <c r="R351" s="23" t="n">
        <v>973.947249474253</v>
      </c>
      <c r="S351" s="23" t="n">
        <v>988.305434370258</v>
      </c>
    </row>
    <row r="352" customFormat="false" ht="15" hidden="false" customHeight="false" outlineLevel="0" collapsed="false">
      <c r="A352" s="3" t="n">
        <v>30002171</v>
      </c>
      <c r="B352" s="3" t="s">
        <v>564</v>
      </c>
      <c r="C352" s="3" t="s">
        <v>135</v>
      </c>
      <c r="D352" s="3" t="s">
        <v>224</v>
      </c>
      <c r="E352" s="3" t="s">
        <v>231</v>
      </c>
      <c r="F352" s="23" t="n">
        <v>758.4</v>
      </c>
      <c r="G352" s="23" t="n">
        <v>1449.6</v>
      </c>
      <c r="H352" s="23" t="n">
        <v>1353.6</v>
      </c>
      <c r="I352" s="23" t="n">
        <v>2217.6</v>
      </c>
      <c r="J352" s="23" t="n">
        <v>1468.8</v>
      </c>
      <c r="K352" s="23" t="n">
        <v>816</v>
      </c>
      <c r="L352" s="23" t="n">
        <v>316.8</v>
      </c>
      <c r="M352" s="23" t="n">
        <v>1092.25465889795</v>
      </c>
      <c r="N352" s="23" t="n">
        <v>1297.6672068823</v>
      </c>
      <c r="O352" s="23" t="n">
        <v>1133.67485089151</v>
      </c>
      <c r="P352" s="23" t="n">
        <v>1939.9684241473</v>
      </c>
      <c r="Q352" s="23" t="n">
        <v>607.941780255444</v>
      </c>
      <c r="R352" s="23" t="n">
        <v>807.941780255444</v>
      </c>
      <c r="S352" s="23" t="n">
        <v>907.941780255444</v>
      </c>
    </row>
    <row r="353" customFormat="false" ht="15" hidden="false" customHeight="false" outlineLevel="0" collapsed="false">
      <c r="A353" s="3" t="n">
        <v>30001982</v>
      </c>
      <c r="B353" s="3" t="s">
        <v>565</v>
      </c>
      <c r="C353" s="3" t="s">
        <v>155</v>
      </c>
      <c r="D353" s="3" t="s">
        <v>224</v>
      </c>
      <c r="E353" s="3" t="s">
        <v>231</v>
      </c>
      <c r="F353" s="23" t="n">
        <v>914.4</v>
      </c>
      <c r="G353" s="23" t="n">
        <v>1828.8</v>
      </c>
      <c r="H353" s="23" t="n">
        <v>878.4</v>
      </c>
      <c r="I353" s="23" t="n">
        <v>1627.2</v>
      </c>
      <c r="J353" s="23" t="n">
        <v>1569.6</v>
      </c>
      <c r="K353" s="23" t="n">
        <v>1195.2</v>
      </c>
      <c r="L353" s="23" t="n">
        <v>518.4</v>
      </c>
      <c r="M353" s="23" t="n">
        <v>1956.00938193391</v>
      </c>
      <c r="N353" s="23" t="n">
        <v>1680.33244678843</v>
      </c>
      <c r="O353" s="23" t="n">
        <v>1059.3621620016</v>
      </c>
      <c r="P353" s="23" t="n">
        <v>1680.33244678843</v>
      </c>
      <c r="Q353" s="23" t="n">
        <v>876.544691966486</v>
      </c>
      <c r="R353" s="23" t="n">
        <v>695.983086680761</v>
      </c>
      <c r="S353" s="23" t="n">
        <v>695.983086680761</v>
      </c>
    </row>
    <row r="354" customFormat="false" ht="15" hidden="false" customHeight="false" outlineLevel="0" collapsed="false">
      <c r="A354" s="3" t="n">
        <v>30001482</v>
      </c>
      <c r="B354" s="3" t="s">
        <v>566</v>
      </c>
      <c r="C354" s="3" t="s">
        <v>127</v>
      </c>
      <c r="D354" s="3" t="s">
        <v>213</v>
      </c>
      <c r="E354" s="3" t="s">
        <v>214</v>
      </c>
      <c r="F354" s="23" t="n">
        <v>5141.88</v>
      </c>
      <c r="G354" s="23" t="n">
        <v>2692.44</v>
      </c>
      <c r="H354" s="23" t="n">
        <v>84.24</v>
      </c>
      <c r="I354" s="23" t="n">
        <v>35.64</v>
      </c>
      <c r="J354" s="23" t="n">
        <v>45.36</v>
      </c>
      <c r="K354" s="23" t="n">
        <v>0</v>
      </c>
      <c r="L354" s="23" t="n">
        <v>3.24</v>
      </c>
      <c r="M354" s="23" t="n">
        <v>4250</v>
      </c>
      <c r="N354" s="23" t="n">
        <v>0</v>
      </c>
      <c r="O354" s="23" t="n">
        <v>0</v>
      </c>
      <c r="P354" s="23" t="n">
        <v>1750</v>
      </c>
      <c r="Q354" s="23" t="n">
        <v>0</v>
      </c>
      <c r="R354" s="23" t="n">
        <v>0</v>
      </c>
      <c r="S354" s="23" t="n">
        <v>0</v>
      </c>
    </row>
    <row r="355" customFormat="false" ht="15" hidden="false" customHeight="false" outlineLevel="0" collapsed="false">
      <c r="A355" s="3" t="n">
        <v>30002297</v>
      </c>
      <c r="B355" s="3" t="s">
        <v>567</v>
      </c>
      <c r="C355" s="3" t="s">
        <v>212</v>
      </c>
      <c r="D355" s="3" t="s">
        <v>213</v>
      </c>
      <c r="E355" s="3" t="s">
        <v>212</v>
      </c>
      <c r="F355" s="23" t="n">
        <v>628.8</v>
      </c>
      <c r="G355" s="23" t="n">
        <v>1334.4</v>
      </c>
      <c r="H355" s="23" t="n">
        <v>1891.2</v>
      </c>
      <c r="I355" s="23" t="n">
        <v>859.2</v>
      </c>
      <c r="J355" s="23" t="n">
        <v>1867.2</v>
      </c>
      <c r="K355" s="23" t="n">
        <v>1161.6</v>
      </c>
      <c r="L355" s="23" t="n">
        <v>336</v>
      </c>
      <c r="M355" s="23" t="n">
        <v>2300</v>
      </c>
      <c r="N355" s="23" t="n">
        <v>1200</v>
      </c>
      <c r="O355" s="23" t="n">
        <v>1350</v>
      </c>
      <c r="P355" s="23" t="n">
        <v>600</v>
      </c>
      <c r="Q355" s="23" t="n">
        <v>1550</v>
      </c>
      <c r="R355" s="23" t="n">
        <v>1650</v>
      </c>
      <c r="S355" s="23" t="n">
        <v>1500</v>
      </c>
    </row>
    <row r="356" customFormat="false" ht="15" hidden="false" customHeight="false" outlineLevel="0" collapsed="false">
      <c r="A356" s="3" t="n">
        <v>30002106</v>
      </c>
      <c r="B356" s="3" t="s">
        <v>568</v>
      </c>
      <c r="C356" s="3" t="s">
        <v>155</v>
      </c>
      <c r="D356" s="3" t="s">
        <v>224</v>
      </c>
      <c r="E356" s="3" t="s">
        <v>231</v>
      </c>
      <c r="F356" s="23" t="n">
        <v>1236.384</v>
      </c>
      <c r="G356" s="23" t="n">
        <v>1259.712</v>
      </c>
      <c r="H356" s="23" t="n">
        <v>711.504</v>
      </c>
      <c r="I356" s="23" t="n">
        <v>1041.984</v>
      </c>
      <c r="J356" s="23" t="n">
        <v>1290.816</v>
      </c>
      <c r="K356" s="23" t="n">
        <v>2138.4</v>
      </c>
      <c r="L356" s="23" t="n">
        <v>863.136</v>
      </c>
      <c r="M356" s="23" t="n">
        <v>2199.24461216924</v>
      </c>
      <c r="N356" s="23" t="n">
        <v>1402.92779473653</v>
      </c>
      <c r="O356" s="23" t="n">
        <v>567.027856916945</v>
      </c>
      <c r="P356" s="23" t="n">
        <v>874.406112634104</v>
      </c>
      <c r="Q356" s="23" t="n">
        <v>637.849577309919</v>
      </c>
      <c r="R356" s="23" t="n">
        <v>547.65586182989</v>
      </c>
      <c r="S356" s="23" t="n">
        <v>547.65586182989</v>
      </c>
    </row>
    <row r="357" customFormat="false" ht="15" hidden="false" customHeight="false" outlineLevel="0" collapsed="false">
      <c r="A357" s="3" t="n">
        <v>30001526</v>
      </c>
      <c r="B357" s="3" t="s">
        <v>569</v>
      </c>
      <c r="C357" s="3" t="s">
        <v>152</v>
      </c>
      <c r="D357" s="3" t="s">
        <v>213</v>
      </c>
      <c r="E357" s="3" t="s">
        <v>231</v>
      </c>
      <c r="F357" s="23" t="n">
        <v>1425.28</v>
      </c>
      <c r="G357" s="23" t="n">
        <v>864.96</v>
      </c>
      <c r="H357" s="23" t="n">
        <v>973.76</v>
      </c>
      <c r="I357" s="23" t="n">
        <v>658.24</v>
      </c>
      <c r="J357" s="23" t="n">
        <v>1496</v>
      </c>
      <c r="K357" s="23" t="n">
        <v>2143.36</v>
      </c>
      <c r="L357" s="23" t="n">
        <v>1349.12</v>
      </c>
      <c r="M357" s="23" t="n">
        <v>825</v>
      </c>
      <c r="N357" s="23" t="n">
        <v>1031.6</v>
      </c>
      <c r="O357" s="23" t="n">
        <v>875</v>
      </c>
      <c r="P357" s="23" t="n">
        <v>1350</v>
      </c>
      <c r="Q357" s="23" t="n">
        <v>0</v>
      </c>
      <c r="R357" s="23" t="n">
        <v>0</v>
      </c>
      <c r="S357" s="23" t="n">
        <v>0</v>
      </c>
    </row>
    <row r="358" customFormat="false" ht="15" hidden="false" customHeight="false" outlineLevel="0" collapsed="false">
      <c r="A358" s="3" t="n">
        <v>30000555</v>
      </c>
      <c r="B358" s="3" t="s">
        <v>570</v>
      </c>
      <c r="C358" s="3" t="s">
        <v>149</v>
      </c>
      <c r="D358" s="3" t="s">
        <v>224</v>
      </c>
      <c r="E358" s="3" t="s">
        <v>249</v>
      </c>
      <c r="F358" s="23" t="n">
        <v>1200</v>
      </c>
      <c r="G358" s="23" t="n">
        <v>2424</v>
      </c>
      <c r="H358" s="23" t="n">
        <v>1176</v>
      </c>
      <c r="I358" s="23" t="n">
        <v>1296</v>
      </c>
      <c r="J358" s="23" t="n">
        <v>864</v>
      </c>
      <c r="K358" s="23" t="n">
        <v>576</v>
      </c>
      <c r="L358" s="23" t="n">
        <v>240</v>
      </c>
      <c r="M358" s="23" t="n">
        <v>1000.00001619481</v>
      </c>
      <c r="N358" s="23" t="n">
        <v>981.603731080566</v>
      </c>
      <c r="O358" s="23" t="n">
        <v>635.206024801183</v>
      </c>
      <c r="P358" s="23" t="n">
        <v>1281.60372876702</v>
      </c>
      <c r="Q358" s="23" t="n">
        <v>1881.60372876702</v>
      </c>
      <c r="R358" s="23" t="n">
        <v>800</v>
      </c>
      <c r="S358" s="23" t="n">
        <v>800</v>
      </c>
    </row>
    <row r="359" customFormat="false" ht="15" hidden="false" customHeight="false" outlineLevel="0" collapsed="false">
      <c r="A359" s="3" t="n">
        <v>30001537</v>
      </c>
      <c r="B359" s="3" t="s">
        <v>571</v>
      </c>
      <c r="C359" s="3" t="s">
        <v>155</v>
      </c>
      <c r="D359" s="3" t="s">
        <v>224</v>
      </c>
      <c r="E359" s="3" t="s">
        <v>249</v>
      </c>
      <c r="F359" s="23" t="n">
        <v>640.32</v>
      </c>
      <c r="G359" s="23" t="n">
        <v>1235.4</v>
      </c>
      <c r="H359" s="23" t="n">
        <v>476.76</v>
      </c>
      <c r="I359" s="23" t="n">
        <v>1802.64</v>
      </c>
      <c r="J359" s="23" t="n">
        <v>1228.44</v>
      </c>
      <c r="K359" s="23" t="n">
        <v>2101.92</v>
      </c>
      <c r="L359" s="23" t="n">
        <v>1465.08</v>
      </c>
      <c r="M359" s="23" t="n">
        <v>1506.41123583558</v>
      </c>
      <c r="N359" s="23" t="n">
        <v>1897.22533120568</v>
      </c>
      <c r="O359" s="23" t="n">
        <v>1196.10183836635</v>
      </c>
      <c r="P359" s="23" t="n">
        <v>1845.2024453003</v>
      </c>
      <c r="Q359" s="23" t="n">
        <v>1845.2024453003</v>
      </c>
      <c r="R359" s="23" t="n">
        <v>1588.70011918989</v>
      </c>
      <c r="S359" s="23" t="n">
        <v>1588.70011918989</v>
      </c>
    </row>
    <row r="360" customFormat="false" ht="15" hidden="false" customHeight="false" outlineLevel="0" collapsed="false">
      <c r="A360" s="3" t="n">
        <v>30001665</v>
      </c>
      <c r="B360" s="3" t="s">
        <v>572</v>
      </c>
      <c r="C360" s="3" t="s">
        <v>138</v>
      </c>
      <c r="D360" s="3" t="s">
        <v>213</v>
      </c>
      <c r="E360" s="3" t="s">
        <v>249</v>
      </c>
      <c r="F360" s="23" t="n">
        <v>2168</v>
      </c>
      <c r="G360" s="23" t="n">
        <v>1264</v>
      </c>
      <c r="H360" s="23" t="n">
        <v>992</v>
      </c>
      <c r="I360" s="23" t="n">
        <v>936</v>
      </c>
      <c r="J360" s="23" t="n">
        <v>952</v>
      </c>
      <c r="K360" s="23" t="n">
        <v>944</v>
      </c>
      <c r="L360" s="23" t="n">
        <v>752</v>
      </c>
      <c r="M360" s="23" t="n">
        <v>1930</v>
      </c>
      <c r="N360" s="23" t="n">
        <v>1468</v>
      </c>
      <c r="O360" s="23" t="n">
        <v>1073.895</v>
      </c>
      <c r="P360" s="23" t="n">
        <v>1323.895</v>
      </c>
      <c r="Q360" s="23" t="n">
        <v>1401.92846</v>
      </c>
      <c r="R360" s="23" t="n">
        <v>1114.43677754267</v>
      </c>
      <c r="S360" s="23" t="n">
        <v>1014.87656831345</v>
      </c>
    </row>
    <row r="361" customFormat="false" ht="15" hidden="false" customHeight="false" outlineLevel="0" collapsed="false">
      <c r="A361" s="3" t="n">
        <v>30001748</v>
      </c>
      <c r="B361" s="3" t="s">
        <v>573</v>
      </c>
      <c r="C361" s="3" t="s">
        <v>144</v>
      </c>
      <c r="D361" s="3" t="s">
        <v>213</v>
      </c>
      <c r="E361" s="3" t="s">
        <v>214</v>
      </c>
      <c r="F361" s="23" t="n">
        <v>1512</v>
      </c>
      <c r="G361" s="23" t="n">
        <v>1344.6</v>
      </c>
      <c r="H361" s="23" t="n">
        <v>810</v>
      </c>
      <c r="I361" s="23" t="n">
        <v>853.2</v>
      </c>
      <c r="J361" s="23" t="n">
        <v>1090.8</v>
      </c>
      <c r="K361" s="23" t="n">
        <v>1539</v>
      </c>
      <c r="L361" s="23" t="n">
        <v>1409.405</v>
      </c>
      <c r="M361" s="23" t="n">
        <v>1360</v>
      </c>
      <c r="N361" s="23" t="n">
        <v>1250</v>
      </c>
      <c r="O361" s="23" t="n">
        <v>1379.2</v>
      </c>
      <c r="P361" s="23" t="n">
        <v>1260</v>
      </c>
      <c r="Q361" s="23" t="n">
        <v>988.2</v>
      </c>
      <c r="R361" s="23" t="n">
        <v>850</v>
      </c>
      <c r="S361" s="23" t="n">
        <v>988.2</v>
      </c>
    </row>
    <row r="362" customFormat="false" ht="15" hidden="false" customHeight="false" outlineLevel="0" collapsed="false">
      <c r="A362" s="3" t="n">
        <v>30000628</v>
      </c>
      <c r="B362" s="3" t="s">
        <v>574</v>
      </c>
      <c r="C362" s="3" t="s">
        <v>129</v>
      </c>
      <c r="D362" s="3" t="s">
        <v>213</v>
      </c>
      <c r="E362" s="3" t="s">
        <v>214</v>
      </c>
      <c r="F362" s="23" t="n">
        <v>1202.24</v>
      </c>
      <c r="G362" s="23" t="n">
        <v>892.16</v>
      </c>
      <c r="H362" s="23" t="n">
        <v>533.12</v>
      </c>
      <c r="I362" s="23" t="n">
        <v>1088</v>
      </c>
      <c r="J362" s="23" t="n">
        <v>1229.44</v>
      </c>
      <c r="K362" s="23" t="n">
        <v>2034.56</v>
      </c>
      <c r="L362" s="23" t="n">
        <v>1060.8</v>
      </c>
      <c r="M362" s="23" t="n">
        <v>1710</v>
      </c>
      <c r="N362" s="23" t="n">
        <v>1390</v>
      </c>
      <c r="O362" s="23" t="n">
        <v>950</v>
      </c>
      <c r="P362" s="23" t="n">
        <v>1940</v>
      </c>
      <c r="Q362" s="23" t="n">
        <v>1650</v>
      </c>
      <c r="R362" s="23" t="n">
        <v>980</v>
      </c>
      <c r="S362" s="23" t="n">
        <v>1250</v>
      </c>
    </row>
    <row r="363" customFormat="false" ht="15" hidden="false" customHeight="false" outlineLevel="0" collapsed="false">
      <c r="A363" s="3" t="n">
        <v>30002285</v>
      </c>
      <c r="B363" s="3" t="s">
        <v>575</v>
      </c>
      <c r="C363" s="3" t="s">
        <v>212</v>
      </c>
      <c r="D363" s="3" t="s">
        <v>213</v>
      </c>
      <c r="E363" s="3" t="s">
        <v>212</v>
      </c>
      <c r="F363" s="23" t="n">
        <v>2502</v>
      </c>
      <c r="G363" s="23" t="n">
        <v>816</v>
      </c>
      <c r="H363" s="23" t="n">
        <v>864</v>
      </c>
      <c r="I363" s="23" t="n">
        <v>1380</v>
      </c>
      <c r="J363" s="23" t="n">
        <v>540</v>
      </c>
      <c r="K363" s="23" t="n">
        <v>876</v>
      </c>
      <c r="L363" s="23" t="n">
        <v>1098</v>
      </c>
      <c r="M363" s="23" t="n">
        <v>2044</v>
      </c>
      <c r="N363" s="23" t="n">
        <v>1450</v>
      </c>
      <c r="O363" s="23" t="n">
        <v>1179.7276</v>
      </c>
      <c r="P363" s="23" t="n">
        <v>1694.1276</v>
      </c>
      <c r="Q363" s="23" t="n">
        <v>894.1276</v>
      </c>
      <c r="R363" s="23" t="n">
        <v>1050.81554636501</v>
      </c>
      <c r="S363" s="23" t="n">
        <v>1265.64786039367</v>
      </c>
    </row>
    <row r="364" customFormat="false" ht="15" hidden="false" customHeight="false" outlineLevel="0" collapsed="false">
      <c r="A364" s="3" t="n">
        <v>30002274</v>
      </c>
      <c r="B364" s="3" t="s">
        <v>576</v>
      </c>
      <c r="C364" s="3" t="s">
        <v>212</v>
      </c>
      <c r="D364" s="3" t="s">
        <v>213</v>
      </c>
      <c r="E364" s="3" t="s">
        <v>212</v>
      </c>
      <c r="F364" s="23" t="n">
        <v>761.4</v>
      </c>
      <c r="G364" s="23" t="n">
        <v>1790.1</v>
      </c>
      <c r="H364" s="23" t="n">
        <v>664.2</v>
      </c>
      <c r="I364" s="23" t="n">
        <v>1012.5</v>
      </c>
      <c r="J364" s="23" t="n">
        <v>1279.8</v>
      </c>
      <c r="K364" s="23" t="n">
        <v>1328.4</v>
      </c>
      <c r="L364" s="23" t="n">
        <v>599.4</v>
      </c>
      <c r="M364" s="23" t="n">
        <v>1631.5</v>
      </c>
      <c r="N364" s="23" t="n">
        <v>1738.2</v>
      </c>
      <c r="O364" s="23" t="n">
        <v>1535.4</v>
      </c>
      <c r="P364" s="23" t="n">
        <v>1585.4</v>
      </c>
      <c r="Q364" s="23" t="n">
        <v>1637.946</v>
      </c>
      <c r="R364" s="23" t="n">
        <v>1210.97761992699</v>
      </c>
      <c r="S364" s="23" t="n">
        <v>1295.59375</v>
      </c>
    </row>
    <row r="365" customFormat="false" ht="15" hidden="false" customHeight="false" outlineLevel="0" collapsed="false">
      <c r="A365" s="3" t="n">
        <v>30001152</v>
      </c>
      <c r="B365" s="3" t="s">
        <v>577</v>
      </c>
      <c r="C365" s="3" t="s">
        <v>129</v>
      </c>
      <c r="D365" s="3" t="s">
        <v>213</v>
      </c>
      <c r="E365" s="3" t="s">
        <v>214</v>
      </c>
      <c r="F365" s="23" t="n">
        <v>1380.16</v>
      </c>
      <c r="G365" s="23" t="n">
        <v>656.64</v>
      </c>
      <c r="H365" s="23" t="n">
        <v>516.8</v>
      </c>
      <c r="I365" s="23" t="n">
        <v>1228.16</v>
      </c>
      <c r="J365" s="23" t="n">
        <v>1799.68</v>
      </c>
      <c r="K365" s="23" t="n">
        <v>1246.4</v>
      </c>
      <c r="L365" s="23" t="n">
        <v>334.4</v>
      </c>
      <c r="M365" s="23" t="n">
        <v>1040</v>
      </c>
      <c r="N365" s="23" t="n">
        <v>1390</v>
      </c>
      <c r="O365" s="23" t="n">
        <v>730</v>
      </c>
      <c r="P365" s="23" t="n">
        <v>1140</v>
      </c>
      <c r="Q365" s="23" t="n">
        <v>880</v>
      </c>
      <c r="R365" s="23" t="n">
        <v>1260</v>
      </c>
      <c r="S365" s="23" t="n">
        <v>830</v>
      </c>
    </row>
    <row r="366" customFormat="false" ht="15" hidden="false" customHeight="false" outlineLevel="0" collapsed="false">
      <c r="A366" s="3" t="n">
        <v>30000383</v>
      </c>
      <c r="B366" s="3" t="s">
        <v>578</v>
      </c>
      <c r="C366" s="3" t="s">
        <v>212</v>
      </c>
      <c r="D366" s="3" t="s">
        <v>213</v>
      </c>
      <c r="E366" s="3" t="s">
        <v>231</v>
      </c>
      <c r="F366" s="23" t="n">
        <v>984</v>
      </c>
      <c r="G366" s="23" t="n">
        <v>564</v>
      </c>
      <c r="H366" s="23" t="n">
        <v>1344</v>
      </c>
      <c r="I366" s="23" t="n">
        <v>672</v>
      </c>
      <c r="J366" s="23" t="n">
        <v>1728</v>
      </c>
      <c r="K366" s="23" t="n">
        <v>1512</v>
      </c>
      <c r="L366" s="23" t="n">
        <v>168</v>
      </c>
      <c r="M366" s="23" t="n">
        <v>1732</v>
      </c>
      <c r="N366" s="23" t="n">
        <v>1794</v>
      </c>
      <c r="O366" s="23" t="n">
        <v>1070.02</v>
      </c>
      <c r="P366" s="23" t="n">
        <v>1997.87</v>
      </c>
      <c r="Q366" s="23" t="n">
        <v>1770.97</v>
      </c>
      <c r="R366" s="23" t="n">
        <v>1539.36511683974</v>
      </c>
      <c r="S366" s="23" t="n">
        <v>1752.74906276413</v>
      </c>
    </row>
    <row r="367" customFormat="false" ht="15" hidden="false" customHeight="false" outlineLevel="0" collapsed="false">
      <c r="A367" s="3" t="n">
        <v>30002081</v>
      </c>
      <c r="B367" s="3" t="s">
        <v>579</v>
      </c>
      <c r="C367" s="3" t="s">
        <v>129</v>
      </c>
      <c r="D367" s="3" t="s">
        <v>213</v>
      </c>
      <c r="E367" s="3" t="s">
        <v>231</v>
      </c>
      <c r="F367" s="23" t="n">
        <v>1398.4</v>
      </c>
      <c r="G367" s="23" t="n">
        <v>1368</v>
      </c>
      <c r="H367" s="23" t="n">
        <v>376.96</v>
      </c>
      <c r="I367" s="23" t="n">
        <v>1027.52</v>
      </c>
      <c r="J367" s="23" t="n">
        <v>1246.4</v>
      </c>
      <c r="K367" s="23" t="n">
        <v>1161.28</v>
      </c>
      <c r="L367" s="23" t="n">
        <v>620.16</v>
      </c>
      <c r="M367" s="23" t="n">
        <v>1180</v>
      </c>
      <c r="N367" s="23" t="n">
        <v>1142.4</v>
      </c>
      <c r="O367" s="23" t="n">
        <v>930</v>
      </c>
      <c r="P367" s="23" t="n">
        <v>1750</v>
      </c>
      <c r="Q367" s="23" t="n">
        <v>1520</v>
      </c>
      <c r="R367" s="23" t="n">
        <v>1141.2</v>
      </c>
      <c r="S367" s="23" t="n">
        <v>1231.2</v>
      </c>
    </row>
    <row r="368" customFormat="false" ht="15" hidden="false" customHeight="false" outlineLevel="0" collapsed="false">
      <c r="A368" s="3" t="n">
        <v>30000612</v>
      </c>
      <c r="B368" s="3" t="s">
        <v>580</v>
      </c>
      <c r="C368" s="3" t="s">
        <v>129</v>
      </c>
      <c r="D368" s="3" t="s">
        <v>213</v>
      </c>
      <c r="E368" s="3" t="s">
        <v>249</v>
      </c>
      <c r="F368" s="23" t="n">
        <v>1900.8</v>
      </c>
      <c r="G368" s="23" t="n">
        <v>604.8</v>
      </c>
      <c r="H368" s="23" t="n">
        <v>172.8</v>
      </c>
      <c r="I368" s="23" t="n">
        <v>355.2</v>
      </c>
      <c r="J368" s="23" t="n">
        <v>1382.4</v>
      </c>
      <c r="K368" s="23" t="n">
        <v>2073.6</v>
      </c>
      <c r="L368" s="23" t="n">
        <v>595.2</v>
      </c>
      <c r="M368" s="23" t="n">
        <v>650</v>
      </c>
      <c r="N368" s="23" t="n">
        <v>1400</v>
      </c>
      <c r="O368" s="23" t="n">
        <v>426.4</v>
      </c>
      <c r="P368" s="23" t="n">
        <v>1000</v>
      </c>
      <c r="Q368" s="23" t="n">
        <v>550</v>
      </c>
      <c r="R368" s="23" t="n">
        <v>509.6</v>
      </c>
      <c r="S368" s="23" t="n">
        <v>1470</v>
      </c>
    </row>
    <row r="369" customFormat="false" ht="15" hidden="false" customHeight="false" outlineLevel="0" collapsed="false">
      <c r="A369" s="3" t="n">
        <v>30000479</v>
      </c>
      <c r="B369" s="3" t="s">
        <v>581</v>
      </c>
      <c r="C369" s="3" t="s">
        <v>139</v>
      </c>
      <c r="D369" s="3" t="s">
        <v>213</v>
      </c>
      <c r="E369" s="3" t="s">
        <v>231</v>
      </c>
      <c r="F369" s="23" t="n">
        <v>456</v>
      </c>
      <c r="G369" s="23" t="n">
        <v>1536</v>
      </c>
      <c r="H369" s="23" t="n">
        <v>1224</v>
      </c>
      <c r="I369" s="23" t="n">
        <v>1656</v>
      </c>
      <c r="J369" s="23" t="n">
        <v>144</v>
      </c>
      <c r="K369" s="23" t="n">
        <v>1452</v>
      </c>
      <c r="L369" s="23" t="n">
        <v>216</v>
      </c>
      <c r="M369" s="23" t="n">
        <v>478</v>
      </c>
      <c r="N369" s="23" t="n">
        <v>370</v>
      </c>
      <c r="O369" s="23" t="n">
        <v>421.13</v>
      </c>
      <c r="P369" s="23" t="n">
        <v>634.13</v>
      </c>
      <c r="Q369" s="23" t="n">
        <v>1533.13</v>
      </c>
      <c r="R369" s="23" t="n">
        <v>445.129715195072</v>
      </c>
      <c r="S369" s="23" t="n">
        <v>265.916791270201</v>
      </c>
    </row>
    <row r="370" customFormat="false" ht="15" hidden="false" customHeight="false" outlineLevel="0" collapsed="false">
      <c r="A370" s="3" t="n">
        <v>30001899</v>
      </c>
      <c r="B370" s="3" t="s">
        <v>582</v>
      </c>
      <c r="C370" s="3" t="s">
        <v>155</v>
      </c>
      <c r="D370" s="3" t="s">
        <v>224</v>
      </c>
      <c r="E370" s="3" t="s">
        <v>249</v>
      </c>
      <c r="F370" s="23" t="n">
        <v>1025.28</v>
      </c>
      <c r="G370" s="23" t="n">
        <v>455.04</v>
      </c>
      <c r="H370" s="23" t="n">
        <v>1837.44</v>
      </c>
      <c r="I370" s="23" t="n">
        <v>1146.24</v>
      </c>
      <c r="J370" s="23" t="n">
        <v>1186.56</v>
      </c>
      <c r="K370" s="23" t="n">
        <v>535.68</v>
      </c>
      <c r="L370" s="23" t="n">
        <v>881.28</v>
      </c>
      <c r="M370" s="23" t="n">
        <v>1100.00002544899</v>
      </c>
      <c r="N370" s="23" t="n">
        <v>1421.31214171847</v>
      </c>
      <c r="O370" s="23" t="n">
        <v>555.805271701035</v>
      </c>
      <c r="P370" s="23" t="n">
        <v>1421.31214171847</v>
      </c>
      <c r="Q370" s="23" t="n">
        <v>1261.02055466992</v>
      </c>
      <c r="R370" s="23" t="n">
        <v>1145.45454545455</v>
      </c>
      <c r="S370" s="23" t="n">
        <v>572.727272727273</v>
      </c>
    </row>
    <row r="371" customFormat="false" ht="15" hidden="false" customHeight="false" outlineLevel="0" collapsed="false">
      <c r="A371" s="3" t="n">
        <v>30000355</v>
      </c>
      <c r="B371" s="3" t="s">
        <v>583</v>
      </c>
      <c r="C371" s="3" t="s">
        <v>139</v>
      </c>
      <c r="D371" s="3" t="s">
        <v>213</v>
      </c>
      <c r="E371" s="3" t="s">
        <v>214</v>
      </c>
      <c r="F371" s="23" t="n">
        <v>990</v>
      </c>
      <c r="G371" s="23" t="n">
        <v>1284</v>
      </c>
      <c r="H371" s="23" t="n">
        <v>672</v>
      </c>
      <c r="I371" s="23" t="n">
        <v>1206</v>
      </c>
      <c r="J371" s="23" t="n">
        <v>990</v>
      </c>
      <c r="K371" s="23" t="n">
        <v>852</v>
      </c>
      <c r="L371" s="23" t="n">
        <v>630</v>
      </c>
      <c r="M371" s="23" t="n">
        <v>1586.70657675742</v>
      </c>
      <c r="N371" s="23" t="n">
        <v>1133.88172043011</v>
      </c>
      <c r="O371" s="23" t="n">
        <v>1843.0102</v>
      </c>
      <c r="P371" s="23" t="n">
        <v>2352.43172043011</v>
      </c>
      <c r="Q371" s="23" t="n">
        <v>2285.09172043011</v>
      </c>
      <c r="R371" s="23" t="n">
        <v>1742.57331737408</v>
      </c>
      <c r="S371" s="23" t="n">
        <v>1230.81875632418</v>
      </c>
    </row>
    <row r="372" customFormat="false" ht="15" hidden="false" customHeight="false" outlineLevel="0" collapsed="false">
      <c r="A372" s="3" t="n">
        <v>30002217</v>
      </c>
      <c r="B372" s="3" t="s">
        <v>584</v>
      </c>
      <c r="C372" s="3" t="s">
        <v>139</v>
      </c>
      <c r="D372" s="3" t="s">
        <v>213</v>
      </c>
      <c r="E372" s="3" t="s">
        <v>214</v>
      </c>
      <c r="F372" s="23" t="n">
        <v>65.55</v>
      </c>
      <c r="G372" s="23" t="n">
        <v>2387.4</v>
      </c>
      <c r="H372" s="23" t="n">
        <v>210.45</v>
      </c>
      <c r="I372" s="23" t="n">
        <v>258.75</v>
      </c>
      <c r="J372" s="23" t="n">
        <v>2149.35</v>
      </c>
      <c r="K372" s="23" t="n">
        <v>800.4</v>
      </c>
      <c r="L372" s="23" t="n">
        <v>172.5</v>
      </c>
      <c r="M372" s="23" t="n">
        <v>3544.85</v>
      </c>
      <c r="N372" s="23" t="n">
        <v>2051.75</v>
      </c>
      <c r="O372" s="23" t="n">
        <v>1051.75</v>
      </c>
      <c r="P372" s="23" t="n">
        <v>2429.75</v>
      </c>
      <c r="Q372" s="23" t="n">
        <v>1716.35</v>
      </c>
      <c r="R372" s="23" t="n">
        <v>1770.28798089256</v>
      </c>
      <c r="S372" s="23" t="n">
        <v>1765.751353857</v>
      </c>
    </row>
    <row r="373" customFormat="false" ht="15" hidden="false" customHeight="false" outlineLevel="0" collapsed="false">
      <c r="A373" s="3" t="n">
        <v>30002289</v>
      </c>
      <c r="B373" s="3" t="s">
        <v>585</v>
      </c>
      <c r="C373" s="3" t="s">
        <v>212</v>
      </c>
      <c r="D373" s="3" t="s">
        <v>224</v>
      </c>
      <c r="E373" s="3" t="s">
        <v>212</v>
      </c>
      <c r="F373" s="23" t="n">
        <v>825.6</v>
      </c>
      <c r="G373" s="23" t="n">
        <v>926.4</v>
      </c>
      <c r="H373" s="23" t="n">
        <v>736.8</v>
      </c>
      <c r="I373" s="23" t="n">
        <v>813.6</v>
      </c>
      <c r="J373" s="23" t="n">
        <v>1041.6</v>
      </c>
      <c r="K373" s="23" t="n">
        <v>1372.8</v>
      </c>
      <c r="L373" s="23" t="n">
        <v>508.8</v>
      </c>
      <c r="M373" s="23" t="n">
        <v>1600</v>
      </c>
      <c r="N373" s="23" t="n">
        <v>1300</v>
      </c>
      <c r="O373" s="23" t="n">
        <v>579.400753100148</v>
      </c>
      <c r="P373" s="23" t="n">
        <v>948.567798827769</v>
      </c>
      <c r="Q373" s="23" t="n">
        <v>819.125253243872</v>
      </c>
      <c r="R373" s="23" t="n">
        <v>1250</v>
      </c>
      <c r="S373" s="23" t="n">
        <v>1250</v>
      </c>
    </row>
    <row r="374" customFormat="false" ht="15" hidden="false" customHeight="false" outlineLevel="0" collapsed="false">
      <c r="A374" s="3" t="n">
        <v>30002132</v>
      </c>
      <c r="B374" s="3" t="s">
        <v>586</v>
      </c>
      <c r="C374" s="3" t="s">
        <v>130</v>
      </c>
      <c r="D374" s="3" t="s">
        <v>224</v>
      </c>
      <c r="E374" s="3" t="s">
        <v>249</v>
      </c>
      <c r="F374" s="23" t="n">
        <v>1417.5</v>
      </c>
      <c r="G374" s="23" t="n">
        <v>247.5</v>
      </c>
      <c r="H374" s="23" t="n">
        <v>877.5</v>
      </c>
      <c r="I374" s="23" t="n">
        <v>1470</v>
      </c>
      <c r="J374" s="23" t="n">
        <v>937.5</v>
      </c>
      <c r="K374" s="23" t="n">
        <v>435</v>
      </c>
      <c r="L374" s="23" t="n">
        <v>772.5</v>
      </c>
      <c r="M374" s="23" t="n">
        <v>475.000010989337</v>
      </c>
      <c r="N374" s="23" t="n">
        <v>598.231101663336</v>
      </c>
      <c r="O374" s="23" t="n">
        <v>377.153577225703</v>
      </c>
      <c r="P374" s="23" t="n">
        <v>598.231101663336</v>
      </c>
      <c r="Q374" s="23" t="n">
        <v>598.231101663336</v>
      </c>
      <c r="R374" s="23" t="n">
        <v>475</v>
      </c>
      <c r="S374" s="23" t="n">
        <v>475</v>
      </c>
    </row>
    <row r="375" customFormat="false" ht="15" hidden="false" customHeight="false" outlineLevel="0" collapsed="false">
      <c r="A375" s="3" t="n">
        <v>30000552</v>
      </c>
      <c r="B375" s="3" t="s">
        <v>587</v>
      </c>
      <c r="C375" s="3" t="s">
        <v>149</v>
      </c>
      <c r="D375" s="3" t="s">
        <v>224</v>
      </c>
      <c r="E375" s="3" t="s">
        <v>249</v>
      </c>
      <c r="F375" s="23" t="n">
        <v>1726.08</v>
      </c>
      <c r="G375" s="23" t="n">
        <v>1848.84</v>
      </c>
      <c r="H375" s="23" t="n">
        <v>379.44</v>
      </c>
      <c r="I375" s="23" t="n">
        <v>491.04</v>
      </c>
      <c r="J375" s="23" t="n">
        <v>383.16</v>
      </c>
      <c r="K375" s="23" t="n">
        <v>543.12</v>
      </c>
      <c r="L375" s="23" t="n">
        <v>438.96</v>
      </c>
      <c r="M375" s="23" t="n">
        <v>1594.86043689781</v>
      </c>
      <c r="N375" s="23" t="n">
        <v>1503.77358243089</v>
      </c>
      <c r="O375" s="23" t="n">
        <v>635.206024801183</v>
      </c>
      <c r="P375" s="23" t="n">
        <v>1007.54711859088</v>
      </c>
      <c r="Q375" s="23" t="n">
        <v>803.773559295441</v>
      </c>
      <c r="R375" s="23" t="n">
        <v>700</v>
      </c>
      <c r="S375" s="23" t="n">
        <v>700</v>
      </c>
    </row>
    <row r="376" customFormat="false" ht="15" hidden="false" customHeight="false" outlineLevel="0" collapsed="false">
      <c r="A376" s="3" t="n">
        <v>30001481</v>
      </c>
      <c r="B376" s="3" t="s">
        <v>588</v>
      </c>
      <c r="C376" s="3" t="s">
        <v>212</v>
      </c>
      <c r="D376" s="3" t="s">
        <v>213</v>
      </c>
      <c r="E376" s="3" t="s">
        <v>214</v>
      </c>
      <c r="F376" s="23" t="n">
        <v>3207.6</v>
      </c>
      <c r="G376" s="23" t="n">
        <v>1963.44</v>
      </c>
      <c r="H376" s="23" t="n">
        <v>100.44</v>
      </c>
      <c r="I376" s="23" t="n">
        <v>42.12</v>
      </c>
      <c r="J376" s="23" t="n">
        <v>42.12</v>
      </c>
      <c r="K376" s="23" t="n">
        <v>0</v>
      </c>
      <c r="L376" s="23" t="n">
        <v>3113.64</v>
      </c>
      <c r="M376" s="23" t="n">
        <v>2550</v>
      </c>
      <c r="N376" s="23" t="n">
        <v>0</v>
      </c>
      <c r="O376" s="23" t="n">
        <v>0</v>
      </c>
      <c r="P376" s="23" t="n">
        <v>1250</v>
      </c>
      <c r="Q376" s="23" t="n">
        <v>0</v>
      </c>
      <c r="R376" s="23" t="n">
        <v>0</v>
      </c>
      <c r="S376" s="23" t="n">
        <v>0</v>
      </c>
    </row>
    <row r="377" customFormat="false" ht="15" hidden="false" customHeight="false" outlineLevel="0" collapsed="false">
      <c r="A377" s="3" t="n">
        <v>30001479</v>
      </c>
      <c r="B377" s="3" t="s">
        <v>589</v>
      </c>
      <c r="C377" s="3" t="s">
        <v>127</v>
      </c>
      <c r="D377" s="3" t="s">
        <v>213</v>
      </c>
      <c r="E377" s="3" t="s">
        <v>214</v>
      </c>
      <c r="F377" s="23" t="n">
        <v>2870.64</v>
      </c>
      <c r="G377" s="23" t="n">
        <v>2080.08</v>
      </c>
      <c r="H377" s="23" t="n">
        <v>90.72</v>
      </c>
      <c r="I377" s="23" t="n">
        <v>71.28</v>
      </c>
      <c r="J377" s="23" t="n">
        <v>51.84</v>
      </c>
      <c r="K377" s="23" t="n">
        <v>64.8</v>
      </c>
      <c r="L377" s="23" t="n">
        <v>3.24</v>
      </c>
      <c r="M377" s="23" t="n">
        <v>3050</v>
      </c>
      <c r="N377" s="23" t="n">
        <v>0</v>
      </c>
      <c r="O377" s="23" t="n">
        <v>0</v>
      </c>
      <c r="P377" s="23" t="n">
        <v>1550</v>
      </c>
      <c r="Q377" s="23" t="n">
        <v>0</v>
      </c>
      <c r="R377" s="23" t="n">
        <v>0</v>
      </c>
      <c r="S377" s="23" t="n">
        <v>0</v>
      </c>
    </row>
    <row r="378" customFormat="false" ht="15" hidden="false" customHeight="false" outlineLevel="0" collapsed="false">
      <c r="A378" s="3" t="n">
        <v>30000447</v>
      </c>
      <c r="B378" s="3" t="s">
        <v>590</v>
      </c>
      <c r="C378" s="3" t="s">
        <v>149</v>
      </c>
      <c r="D378" s="3" t="s">
        <v>224</v>
      </c>
      <c r="E378" s="3" t="s">
        <v>249</v>
      </c>
      <c r="F378" s="23" t="n">
        <v>0</v>
      </c>
      <c r="G378" s="23" t="n">
        <v>0</v>
      </c>
      <c r="H378" s="23" t="n">
        <v>5000</v>
      </c>
      <c r="I378" s="23" t="n">
        <v>0</v>
      </c>
      <c r="J378" s="23" t="n">
        <v>0</v>
      </c>
      <c r="K378" s="23" t="n">
        <v>0</v>
      </c>
      <c r="L378" s="23" t="n">
        <v>0</v>
      </c>
      <c r="M378" s="23" t="n">
        <v>0</v>
      </c>
      <c r="N378" s="23" t="n">
        <v>0</v>
      </c>
      <c r="O378" s="23" t="n">
        <v>0</v>
      </c>
      <c r="P378" s="23" t="n">
        <v>3500</v>
      </c>
      <c r="Q378" s="23" t="n">
        <v>3500</v>
      </c>
      <c r="R378" s="23" t="n">
        <v>3500</v>
      </c>
      <c r="S378" s="23" t="n">
        <v>3500</v>
      </c>
    </row>
    <row r="379" customFormat="false" ht="15" hidden="false" customHeight="false" outlineLevel="0" collapsed="false">
      <c r="A379" s="3" t="n">
        <v>30001541</v>
      </c>
      <c r="B379" s="3" t="s">
        <v>591</v>
      </c>
      <c r="C379" s="3" t="s">
        <v>149</v>
      </c>
      <c r="D379" s="3" t="s">
        <v>224</v>
      </c>
      <c r="E379" s="3" t="s">
        <v>249</v>
      </c>
      <c r="F379" s="23" t="n">
        <v>1072</v>
      </c>
      <c r="G379" s="23" t="n">
        <v>828</v>
      </c>
      <c r="H379" s="23" t="n">
        <v>476</v>
      </c>
      <c r="I379" s="23" t="n">
        <v>800</v>
      </c>
      <c r="J379" s="23" t="n">
        <v>812</v>
      </c>
      <c r="K379" s="23" t="n">
        <v>892</v>
      </c>
      <c r="L379" s="23" t="n">
        <v>604</v>
      </c>
      <c r="M379" s="23" t="n">
        <v>1500.00003470317</v>
      </c>
      <c r="N379" s="23" t="n">
        <v>1889.1508473579</v>
      </c>
      <c r="O379" s="23" t="n">
        <v>1191.01129650222</v>
      </c>
      <c r="P379" s="23" t="n">
        <v>1889.1508473579</v>
      </c>
      <c r="Q379" s="23" t="n">
        <v>1889.1508473579</v>
      </c>
      <c r="R379" s="23" t="n">
        <v>1500</v>
      </c>
      <c r="S379" s="23" t="n">
        <v>1500</v>
      </c>
    </row>
    <row r="380" customFormat="false" ht="15" hidden="false" customHeight="false" outlineLevel="0" collapsed="false">
      <c r="A380" s="3" t="n">
        <v>30000666</v>
      </c>
      <c r="B380" s="3" t="s">
        <v>592</v>
      </c>
      <c r="C380" s="3" t="s">
        <v>129</v>
      </c>
      <c r="D380" s="3" t="s">
        <v>213</v>
      </c>
      <c r="E380" s="3" t="s">
        <v>249</v>
      </c>
      <c r="F380" s="23" t="n">
        <v>863.36</v>
      </c>
      <c r="G380" s="23" t="n">
        <v>1033.6</v>
      </c>
      <c r="H380" s="23" t="n">
        <v>644.48</v>
      </c>
      <c r="I380" s="23" t="n">
        <v>1112.64</v>
      </c>
      <c r="J380" s="23" t="n">
        <v>741.76</v>
      </c>
      <c r="K380" s="23" t="n">
        <v>462.08</v>
      </c>
      <c r="L380" s="23" t="n">
        <v>978.88</v>
      </c>
      <c r="M380" s="23" t="n">
        <v>1010</v>
      </c>
      <c r="N380" s="23" t="n">
        <v>1420</v>
      </c>
      <c r="O380" s="23" t="n">
        <v>609.44</v>
      </c>
      <c r="P380" s="23" t="n">
        <v>1020</v>
      </c>
      <c r="Q380" s="23" t="n">
        <v>1090</v>
      </c>
      <c r="R380" s="23" t="n">
        <v>762.16</v>
      </c>
      <c r="S380" s="23" t="n">
        <v>648.24</v>
      </c>
    </row>
    <row r="381" customFormat="false" ht="15" hidden="false" customHeight="false" outlineLevel="0" collapsed="false">
      <c r="A381" s="3" t="n">
        <v>30002282</v>
      </c>
      <c r="B381" s="3" t="s">
        <v>593</v>
      </c>
      <c r="C381" s="3" t="s">
        <v>212</v>
      </c>
      <c r="D381" s="3" t="s">
        <v>213</v>
      </c>
      <c r="E381" s="3" t="s">
        <v>212</v>
      </c>
      <c r="F381" s="23" t="n">
        <v>1146</v>
      </c>
      <c r="G381" s="23" t="n">
        <v>750</v>
      </c>
      <c r="H381" s="23" t="n">
        <v>1194</v>
      </c>
      <c r="I381" s="23" t="n">
        <v>912</v>
      </c>
      <c r="J381" s="23" t="n">
        <v>222</v>
      </c>
      <c r="K381" s="23" t="n">
        <v>492</v>
      </c>
      <c r="L381" s="23" t="n">
        <v>774</v>
      </c>
      <c r="M381" s="23" t="n">
        <v>1082.4</v>
      </c>
      <c r="N381" s="23" t="n">
        <v>1448</v>
      </c>
      <c r="O381" s="23" t="n">
        <v>568.2724</v>
      </c>
      <c r="P381" s="23" t="n">
        <v>953.8724</v>
      </c>
      <c r="Q381" s="23" t="n">
        <v>953.8724</v>
      </c>
      <c r="R381" s="23" t="n">
        <v>852.910883735851</v>
      </c>
      <c r="S381" s="23" t="n">
        <v>865.315066028557</v>
      </c>
    </row>
    <row r="382" customFormat="false" ht="15" hidden="false" customHeight="false" outlineLevel="0" collapsed="false">
      <c r="A382" s="3" t="n">
        <v>30000087</v>
      </c>
      <c r="B382" s="3" t="s">
        <v>594</v>
      </c>
      <c r="C382" s="3" t="s">
        <v>142</v>
      </c>
      <c r="D382" s="3" t="s">
        <v>224</v>
      </c>
      <c r="E382" s="3" t="s">
        <v>249</v>
      </c>
      <c r="F382" s="23" t="n">
        <v>1005</v>
      </c>
      <c r="G382" s="23" t="n">
        <v>495</v>
      </c>
      <c r="H382" s="23" t="n">
        <v>940</v>
      </c>
      <c r="I382" s="23" t="n">
        <v>1090</v>
      </c>
      <c r="J382" s="23" t="n">
        <v>345</v>
      </c>
      <c r="K382" s="23" t="n">
        <v>805</v>
      </c>
      <c r="L382" s="23" t="n">
        <v>165</v>
      </c>
      <c r="M382" s="23" t="n">
        <v>650.000015038041</v>
      </c>
      <c r="N382" s="23" t="n">
        <v>818.632033855091</v>
      </c>
      <c r="O382" s="23" t="n">
        <v>516.104895150961</v>
      </c>
      <c r="P382" s="23" t="n">
        <v>818.632033855091</v>
      </c>
      <c r="Q382" s="23" t="n">
        <v>818.632033855091</v>
      </c>
      <c r="R382" s="23" t="n">
        <v>650</v>
      </c>
      <c r="S382" s="23" t="n">
        <v>650</v>
      </c>
    </row>
    <row r="383" customFormat="false" ht="15" hidden="false" customHeight="false" outlineLevel="0" collapsed="false">
      <c r="A383" s="3" t="n">
        <v>30002087</v>
      </c>
      <c r="B383" s="3" t="s">
        <v>595</v>
      </c>
      <c r="C383" s="3" t="s">
        <v>155</v>
      </c>
      <c r="D383" s="3" t="s">
        <v>224</v>
      </c>
      <c r="E383" s="3" t="s">
        <v>249</v>
      </c>
      <c r="F383" s="23" t="n">
        <v>1088.64</v>
      </c>
      <c r="G383" s="23" t="n">
        <v>809.76</v>
      </c>
      <c r="H383" s="23" t="n">
        <v>829.92</v>
      </c>
      <c r="I383" s="23" t="n">
        <v>749.28</v>
      </c>
      <c r="J383" s="23" t="n">
        <v>635.04</v>
      </c>
      <c r="K383" s="23" t="n">
        <v>564.48</v>
      </c>
      <c r="L383" s="23" t="n">
        <v>379.68</v>
      </c>
      <c r="M383" s="23" t="n">
        <v>644.486622997221</v>
      </c>
      <c r="N383" s="23" t="n">
        <v>811.688281185251</v>
      </c>
      <c r="O383" s="23" t="n">
        <v>511.727220450467</v>
      </c>
      <c r="P383" s="23" t="n">
        <v>811.688281185251</v>
      </c>
      <c r="Q383" s="23" t="n">
        <v>429.282110118184</v>
      </c>
      <c r="R383" s="23" t="n">
        <v>340.853228358044</v>
      </c>
      <c r="S383" s="23" t="n">
        <v>340.853228358044</v>
      </c>
    </row>
    <row r="384" customFormat="false" ht="15" hidden="false" customHeight="false" outlineLevel="0" collapsed="false">
      <c r="A384" s="3" t="n">
        <v>30000653</v>
      </c>
      <c r="B384" s="3" t="s">
        <v>596</v>
      </c>
      <c r="C384" s="3" t="s">
        <v>129</v>
      </c>
      <c r="D384" s="3" t="s">
        <v>213</v>
      </c>
      <c r="E384" s="3" t="s">
        <v>231</v>
      </c>
      <c r="F384" s="23" t="n">
        <v>796.48</v>
      </c>
      <c r="G384" s="23" t="n">
        <v>1088.32</v>
      </c>
      <c r="H384" s="23" t="n">
        <v>206.72</v>
      </c>
      <c r="I384" s="23" t="n">
        <v>1021.44</v>
      </c>
      <c r="J384" s="23" t="n">
        <v>936.32</v>
      </c>
      <c r="K384" s="23" t="n">
        <v>498.56</v>
      </c>
      <c r="L384" s="23" t="n">
        <v>468.16</v>
      </c>
      <c r="M384" s="23" t="n">
        <v>849.52</v>
      </c>
      <c r="N384" s="23" t="n">
        <v>899.52</v>
      </c>
      <c r="O384" s="23" t="n">
        <v>580</v>
      </c>
      <c r="P384" s="23" t="n">
        <v>845.92</v>
      </c>
      <c r="Q384" s="23" t="n">
        <v>845.92</v>
      </c>
      <c r="R384" s="23" t="n">
        <v>992.56</v>
      </c>
      <c r="S384" s="23" t="n">
        <v>795.92</v>
      </c>
    </row>
    <row r="385" customFormat="false" ht="15" hidden="false" customHeight="false" outlineLevel="0" collapsed="false">
      <c r="A385" s="3" t="n">
        <v>30000067</v>
      </c>
      <c r="B385" s="3" t="s">
        <v>597</v>
      </c>
      <c r="C385" s="3" t="s">
        <v>143</v>
      </c>
      <c r="D385" s="3" t="s">
        <v>224</v>
      </c>
      <c r="E385" s="3" t="s">
        <v>249</v>
      </c>
      <c r="F385" s="23" t="n">
        <v>560</v>
      </c>
      <c r="G385" s="23" t="n">
        <v>1920</v>
      </c>
      <c r="H385" s="23" t="n">
        <v>350</v>
      </c>
      <c r="I385" s="23" t="n">
        <v>460</v>
      </c>
      <c r="J385" s="23" t="n">
        <v>490</v>
      </c>
      <c r="K385" s="23" t="n">
        <v>670</v>
      </c>
      <c r="L385" s="23" t="n">
        <v>280</v>
      </c>
      <c r="M385" s="23" t="n">
        <v>400.000009254179</v>
      </c>
      <c r="N385" s="23" t="n">
        <v>503.773559295441</v>
      </c>
      <c r="O385" s="23" t="n">
        <v>317.603012400592</v>
      </c>
      <c r="P385" s="23" t="n">
        <v>503.773559295441</v>
      </c>
      <c r="Q385" s="23" t="n">
        <v>503.773559295441</v>
      </c>
      <c r="R385" s="23" t="n">
        <v>400</v>
      </c>
      <c r="S385" s="23" t="n">
        <v>400</v>
      </c>
    </row>
    <row r="386" customFormat="false" ht="15" hidden="false" customHeight="false" outlineLevel="0" collapsed="false">
      <c r="A386" s="3" t="n">
        <v>30002120</v>
      </c>
      <c r="B386" s="3" t="s">
        <v>598</v>
      </c>
      <c r="C386" s="3" t="s">
        <v>149</v>
      </c>
      <c r="D386" s="3" t="s">
        <v>224</v>
      </c>
      <c r="E386" s="3" t="s">
        <v>249</v>
      </c>
      <c r="F386" s="23" t="n">
        <v>1378.176</v>
      </c>
      <c r="G386" s="23" t="n">
        <v>1161.504</v>
      </c>
      <c r="H386" s="23" t="n">
        <v>753.024</v>
      </c>
      <c r="I386" s="23" t="n">
        <v>419.136</v>
      </c>
      <c r="J386" s="23" t="n">
        <v>483.072</v>
      </c>
      <c r="K386" s="23" t="n">
        <v>216.672</v>
      </c>
      <c r="L386" s="23" t="n">
        <v>0</v>
      </c>
      <c r="M386" s="23" t="n">
        <v>1300</v>
      </c>
      <c r="N386" s="23" t="n">
        <v>1259.4338982386</v>
      </c>
      <c r="O386" s="23" t="n">
        <v>794.007531001479</v>
      </c>
      <c r="P386" s="23" t="n">
        <v>0</v>
      </c>
      <c r="Q386" s="23" t="n">
        <v>0</v>
      </c>
      <c r="R386" s="23" t="n">
        <v>0</v>
      </c>
      <c r="S386" s="23" t="n">
        <v>0</v>
      </c>
    </row>
    <row r="387" customFormat="false" ht="15" hidden="false" customHeight="false" outlineLevel="0" collapsed="false">
      <c r="A387" s="3" t="n">
        <v>30001988</v>
      </c>
      <c r="B387" s="3" t="s">
        <v>599</v>
      </c>
      <c r="C387" s="3" t="s">
        <v>139</v>
      </c>
      <c r="D387" s="3" t="s">
        <v>213</v>
      </c>
      <c r="E387" s="3" t="s">
        <v>214</v>
      </c>
      <c r="F387" s="23" t="n">
        <v>410.55</v>
      </c>
      <c r="G387" s="23" t="n">
        <v>696.9</v>
      </c>
      <c r="H387" s="23" t="n">
        <v>220.8</v>
      </c>
      <c r="I387" s="23" t="n">
        <v>303.6</v>
      </c>
      <c r="J387" s="23" t="n">
        <v>1790.55</v>
      </c>
      <c r="K387" s="23" t="n">
        <v>928.05</v>
      </c>
      <c r="L387" s="23" t="n">
        <v>113.85</v>
      </c>
      <c r="M387" s="23" t="n">
        <v>3000</v>
      </c>
      <c r="N387" s="23" t="n">
        <v>1000</v>
      </c>
      <c r="O387" s="23" t="n">
        <v>1000</v>
      </c>
      <c r="P387" s="23" t="n">
        <v>2836</v>
      </c>
      <c r="Q387" s="23" t="n">
        <v>1500</v>
      </c>
      <c r="R387" s="23" t="n">
        <v>1537.605</v>
      </c>
      <c r="S387" s="23" t="n">
        <v>1544.06873301781</v>
      </c>
    </row>
    <row r="388" customFormat="false" ht="15" hidden="false" customHeight="false" outlineLevel="0" collapsed="false">
      <c r="A388" s="3" t="n">
        <v>30002114</v>
      </c>
      <c r="B388" s="3" t="s">
        <v>600</v>
      </c>
      <c r="C388" s="3" t="s">
        <v>144</v>
      </c>
      <c r="D388" s="3" t="s">
        <v>213</v>
      </c>
      <c r="E388" s="3" t="s">
        <v>249</v>
      </c>
      <c r="F388" s="23" t="n">
        <v>525</v>
      </c>
      <c r="G388" s="23" t="n">
        <v>1565</v>
      </c>
      <c r="H388" s="23" t="n">
        <v>665</v>
      </c>
      <c r="I388" s="23" t="n">
        <v>385</v>
      </c>
      <c r="J388" s="23" t="n">
        <v>635</v>
      </c>
      <c r="K388" s="23" t="n">
        <v>555</v>
      </c>
      <c r="L388" s="23" t="n">
        <v>415</v>
      </c>
      <c r="M388" s="23" t="n">
        <v>770</v>
      </c>
      <c r="N388" s="23" t="n">
        <v>820</v>
      </c>
      <c r="O388" s="23" t="n">
        <v>470</v>
      </c>
      <c r="P388" s="23" t="n">
        <v>740</v>
      </c>
      <c r="Q388" s="23" t="n">
        <v>805</v>
      </c>
      <c r="R388" s="23" t="n">
        <v>755</v>
      </c>
      <c r="S388" s="23" t="n">
        <v>730</v>
      </c>
    </row>
    <row r="389" customFormat="false" ht="15" hidden="false" customHeight="false" outlineLevel="0" collapsed="false">
      <c r="A389" s="3" t="n">
        <v>30002162</v>
      </c>
      <c r="B389" s="3" t="s">
        <v>601</v>
      </c>
      <c r="C389" s="3" t="s">
        <v>149</v>
      </c>
      <c r="D389" s="3" t="s">
        <v>224</v>
      </c>
      <c r="E389" s="3" t="n">
        <v>0</v>
      </c>
      <c r="F389" s="23" t="n">
        <v>585</v>
      </c>
      <c r="G389" s="23" t="n">
        <v>306</v>
      </c>
      <c r="H389" s="23" t="n">
        <v>963</v>
      </c>
      <c r="I389" s="23" t="n">
        <v>819</v>
      </c>
      <c r="J389" s="23" t="n">
        <v>792</v>
      </c>
      <c r="K389" s="23" t="n">
        <v>729</v>
      </c>
      <c r="L389" s="23" t="n">
        <v>288</v>
      </c>
      <c r="M389" s="23" t="n">
        <v>510.000002313545</v>
      </c>
      <c r="N389" s="23" t="n">
        <v>664.481118630106</v>
      </c>
      <c r="O389" s="23" t="n">
        <v>325.543087710606</v>
      </c>
      <c r="P389" s="23" t="n">
        <v>516.367898277827</v>
      </c>
      <c r="Q389" s="23" t="n">
        <v>518.257049125185</v>
      </c>
      <c r="R389" s="23" t="n">
        <v>410</v>
      </c>
      <c r="S389" s="23" t="n">
        <v>710</v>
      </c>
    </row>
    <row r="390" customFormat="false" ht="15" hidden="false" customHeight="false" outlineLevel="0" collapsed="false">
      <c r="A390" s="3" t="n">
        <v>30000052</v>
      </c>
      <c r="B390" s="3" t="s">
        <v>602</v>
      </c>
      <c r="C390" s="3" t="s">
        <v>124</v>
      </c>
      <c r="D390" s="3" t="s">
        <v>213</v>
      </c>
      <c r="E390" s="3" t="s">
        <v>249</v>
      </c>
      <c r="F390" s="23" t="n">
        <v>976.8</v>
      </c>
      <c r="G390" s="23" t="n">
        <v>377.4</v>
      </c>
      <c r="H390" s="23" t="n">
        <v>366.3</v>
      </c>
      <c r="I390" s="23" t="n">
        <v>455.1</v>
      </c>
      <c r="J390" s="23" t="n">
        <v>965.7</v>
      </c>
      <c r="K390" s="23" t="n">
        <v>987.9</v>
      </c>
      <c r="L390" s="23" t="n">
        <v>288.6</v>
      </c>
      <c r="M390" s="23" t="n">
        <v>644.4</v>
      </c>
      <c r="N390" s="23" t="n">
        <v>1094.4</v>
      </c>
      <c r="O390" s="23" t="n">
        <v>494.4</v>
      </c>
      <c r="P390" s="23" t="n">
        <v>1044.4</v>
      </c>
      <c r="Q390" s="23" t="n">
        <v>869.4</v>
      </c>
      <c r="R390" s="23" t="n">
        <v>404.4</v>
      </c>
      <c r="S390" s="23" t="n">
        <v>529.4</v>
      </c>
    </row>
    <row r="391" customFormat="false" ht="15" hidden="false" customHeight="false" outlineLevel="0" collapsed="false">
      <c r="A391" s="3" t="n">
        <v>30001342</v>
      </c>
      <c r="B391" s="3" t="s">
        <v>603</v>
      </c>
      <c r="C391" s="3" t="s">
        <v>143</v>
      </c>
      <c r="D391" s="3" t="s">
        <v>224</v>
      </c>
      <c r="E391" s="3" t="s">
        <v>249</v>
      </c>
      <c r="F391" s="23" t="n">
        <v>624</v>
      </c>
      <c r="G391" s="23" t="n">
        <v>704</v>
      </c>
      <c r="H391" s="23" t="n">
        <v>1096</v>
      </c>
      <c r="I391" s="23" t="n">
        <v>536</v>
      </c>
      <c r="J391" s="23" t="n">
        <v>456</v>
      </c>
      <c r="K391" s="23" t="n">
        <v>680</v>
      </c>
      <c r="L391" s="23" t="n">
        <v>456</v>
      </c>
      <c r="M391" s="23" t="n">
        <v>900.000020821902</v>
      </c>
      <c r="N391" s="23" t="n">
        <v>1133.49050841474</v>
      </c>
      <c r="O391" s="23" t="n">
        <v>576.404518600887</v>
      </c>
      <c r="P391" s="23" t="n">
        <v>855.660338943161</v>
      </c>
      <c r="Q391" s="23" t="n">
        <v>855.660338943161</v>
      </c>
      <c r="R391" s="23" t="n">
        <v>900</v>
      </c>
      <c r="S391" s="23" t="n">
        <v>900</v>
      </c>
    </row>
    <row r="392" customFormat="false" ht="15" hidden="false" customHeight="false" outlineLevel="0" collapsed="false">
      <c r="A392" s="3" t="n">
        <v>30000050</v>
      </c>
      <c r="B392" s="3" t="s">
        <v>604</v>
      </c>
      <c r="C392" s="3" t="s">
        <v>124</v>
      </c>
      <c r="D392" s="3" t="s">
        <v>213</v>
      </c>
      <c r="E392" s="3" t="s">
        <v>249</v>
      </c>
      <c r="F392" s="23" t="n">
        <v>1104</v>
      </c>
      <c r="G392" s="23" t="n">
        <v>565.8</v>
      </c>
      <c r="H392" s="23" t="n">
        <v>358.8</v>
      </c>
      <c r="I392" s="23" t="n">
        <v>814.2</v>
      </c>
      <c r="J392" s="23" t="n">
        <v>910.8</v>
      </c>
      <c r="K392" s="23" t="n">
        <v>303.6</v>
      </c>
      <c r="L392" s="23" t="n">
        <v>634.8</v>
      </c>
      <c r="M392" s="23" t="n">
        <v>594</v>
      </c>
      <c r="N392" s="23" t="n">
        <v>580</v>
      </c>
      <c r="O392" s="23" t="n">
        <v>210</v>
      </c>
      <c r="P392" s="23" t="n">
        <v>650</v>
      </c>
      <c r="Q392" s="23" t="n">
        <v>903.6</v>
      </c>
      <c r="R392" s="23" t="n">
        <v>460</v>
      </c>
      <c r="S392" s="23" t="n">
        <v>800</v>
      </c>
    </row>
    <row r="393" customFormat="false" ht="15" hidden="false" customHeight="false" outlineLevel="0" collapsed="false">
      <c r="A393" s="3" t="n">
        <v>30001776</v>
      </c>
      <c r="B393" s="3" t="s">
        <v>605</v>
      </c>
      <c r="C393" s="3" t="s">
        <v>135</v>
      </c>
      <c r="D393" s="3" t="s">
        <v>213</v>
      </c>
      <c r="E393" s="3" t="s">
        <v>249</v>
      </c>
      <c r="F393" s="23" t="n">
        <v>1824</v>
      </c>
      <c r="G393" s="23" t="n">
        <v>972</v>
      </c>
      <c r="H393" s="23" t="n">
        <v>264</v>
      </c>
      <c r="I393" s="23" t="n">
        <v>360</v>
      </c>
      <c r="J393" s="23" t="n">
        <v>120</v>
      </c>
      <c r="K393" s="23" t="n">
        <v>420</v>
      </c>
      <c r="L393" s="23" t="n">
        <v>1032</v>
      </c>
      <c r="M393" s="23" t="n">
        <v>580.576631259484</v>
      </c>
      <c r="N393" s="23" t="n">
        <v>461.576631259484</v>
      </c>
      <c r="O393" s="23" t="n">
        <v>719.538631259484</v>
      </c>
      <c r="P393" s="23" t="n">
        <v>1050.962</v>
      </c>
      <c r="Q393" s="23" t="n">
        <v>520.538631259484</v>
      </c>
      <c r="R393" s="23" t="n">
        <v>579.877327639537</v>
      </c>
      <c r="S393" s="23" t="n">
        <v>552.673769104418</v>
      </c>
    </row>
    <row r="394" customFormat="false" ht="15" hidden="false" customHeight="false" outlineLevel="0" collapsed="false">
      <c r="A394" s="3" t="n">
        <v>30000640</v>
      </c>
      <c r="B394" s="3" t="s">
        <v>606</v>
      </c>
      <c r="C394" s="3" t="s">
        <v>129</v>
      </c>
      <c r="D394" s="3" t="s">
        <v>213</v>
      </c>
      <c r="E394" s="3" t="s">
        <v>231</v>
      </c>
      <c r="F394" s="23" t="n">
        <v>790.4</v>
      </c>
      <c r="G394" s="23" t="n">
        <v>510.72</v>
      </c>
      <c r="H394" s="23" t="n">
        <v>547.2</v>
      </c>
      <c r="I394" s="23" t="n">
        <v>535.04</v>
      </c>
      <c r="J394" s="23" t="n">
        <v>644.48</v>
      </c>
      <c r="K394" s="23" t="n">
        <v>608</v>
      </c>
      <c r="L394" s="23" t="n">
        <v>194.56</v>
      </c>
      <c r="M394" s="23" t="n">
        <v>568.64</v>
      </c>
      <c r="N394" s="23" t="n">
        <v>598.64</v>
      </c>
      <c r="O394" s="23" t="n">
        <v>528.64</v>
      </c>
      <c r="P394" s="23" t="n">
        <v>598.64</v>
      </c>
      <c r="Q394" s="23" t="n">
        <v>778.64</v>
      </c>
      <c r="R394" s="23" t="n">
        <v>580</v>
      </c>
      <c r="S394" s="23" t="n">
        <v>562.4</v>
      </c>
    </row>
    <row r="395" customFormat="false" ht="15" hidden="false" customHeight="false" outlineLevel="0" collapsed="false">
      <c r="A395" s="3" t="n">
        <v>30002085</v>
      </c>
      <c r="B395" s="3" t="s">
        <v>607</v>
      </c>
      <c r="C395" s="3" t="s">
        <v>155</v>
      </c>
      <c r="D395" s="3" t="s">
        <v>224</v>
      </c>
      <c r="E395" s="3" t="s">
        <v>249</v>
      </c>
      <c r="F395" s="23" t="n">
        <v>994.56</v>
      </c>
      <c r="G395" s="23" t="n">
        <v>806.4</v>
      </c>
      <c r="H395" s="23" t="n">
        <v>577.92</v>
      </c>
      <c r="I395" s="23" t="n">
        <v>460.32</v>
      </c>
      <c r="J395" s="23" t="n">
        <v>325.92</v>
      </c>
      <c r="K395" s="23" t="n">
        <v>409.92</v>
      </c>
      <c r="L395" s="23" t="n">
        <v>312.48</v>
      </c>
      <c r="M395" s="23" t="n">
        <v>649.960397032579</v>
      </c>
      <c r="N395" s="23" t="n">
        <v>818.582137597187</v>
      </c>
      <c r="O395" s="23" t="n">
        <v>516.073438156989</v>
      </c>
      <c r="P395" s="23" t="n">
        <v>818.582137597187</v>
      </c>
      <c r="Q395" s="23" t="n">
        <v>445.891015527839</v>
      </c>
      <c r="R395" s="23" t="n">
        <v>354.040824335002</v>
      </c>
      <c r="S395" s="23" t="n">
        <v>354.040824335002</v>
      </c>
    </row>
    <row r="396" customFormat="false" ht="15" hidden="false" customHeight="false" outlineLevel="0" collapsed="false">
      <c r="A396" s="3" t="n">
        <v>30000667</v>
      </c>
      <c r="B396" s="3" t="s">
        <v>608</v>
      </c>
      <c r="C396" s="3" t="s">
        <v>129</v>
      </c>
      <c r="D396" s="3" t="s">
        <v>213</v>
      </c>
      <c r="E396" s="3" t="s">
        <v>249</v>
      </c>
      <c r="F396" s="23" t="n">
        <v>741.76</v>
      </c>
      <c r="G396" s="23" t="n">
        <v>456</v>
      </c>
      <c r="H396" s="23" t="n">
        <v>480.32</v>
      </c>
      <c r="I396" s="23" t="n">
        <v>431.68</v>
      </c>
      <c r="J396" s="23" t="n">
        <v>984.96</v>
      </c>
      <c r="K396" s="23" t="n">
        <v>456</v>
      </c>
      <c r="L396" s="23" t="n">
        <v>340.48</v>
      </c>
      <c r="M396" s="23" t="n">
        <v>770</v>
      </c>
      <c r="N396" s="23" t="n">
        <v>800</v>
      </c>
      <c r="O396" s="23" t="n">
        <v>416.88</v>
      </c>
      <c r="P396" s="23" t="n">
        <v>700</v>
      </c>
      <c r="Q396" s="23" t="n">
        <v>708.64</v>
      </c>
      <c r="R396" s="23" t="n">
        <v>572.16</v>
      </c>
      <c r="S396" s="23" t="n">
        <v>640.8</v>
      </c>
    </row>
    <row r="397" customFormat="false" ht="15" hidden="false" customHeight="false" outlineLevel="0" collapsed="false">
      <c r="A397" s="3" t="n">
        <v>30001716</v>
      </c>
      <c r="B397" s="3" t="s">
        <v>609</v>
      </c>
      <c r="C397" s="3" t="s">
        <v>130</v>
      </c>
      <c r="D397" s="3" t="s">
        <v>213</v>
      </c>
      <c r="E397" s="3" t="s">
        <v>214</v>
      </c>
      <c r="F397" s="23" t="n">
        <v>1125</v>
      </c>
      <c r="G397" s="23" t="n">
        <v>639</v>
      </c>
      <c r="H397" s="23" t="n">
        <v>1053</v>
      </c>
      <c r="I397" s="23" t="n">
        <v>279</v>
      </c>
      <c r="J397" s="23" t="n">
        <v>148.5</v>
      </c>
      <c r="K397" s="23" t="n">
        <v>265.5</v>
      </c>
      <c r="L397" s="23" t="n">
        <v>121.5</v>
      </c>
      <c r="M397" s="23" t="n">
        <v>2168.25</v>
      </c>
      <c r="N397" s="23" t="n">
        <v>1168.25</v>
      </c>
      <c r="O397" s="23" t="n">
        <v>668.25</v>
      </c>
      <c r="P397" s="23" t="n">
        <v>1168.25</v>
      </c>
      <c r="Q397" s="23" t="n">
        <v>1168.25</v>
      </c>
      <c r="R397" s="23" t="n">
        <v>471.802083333333</v>
      </c>
      <c r="S397" s="23" t="n">
        <v>474.466145833333</v>
      </c>
    </row>
    <row r="398" customFormat="false" ht="15" hidden="false" customHeight="false" outlineLevel="0" collapsed="false">
      <c r="A398" s="3" t="n">
        <v>30001036</v>
      </c>
      <c r="B398" s="3" t="s">
        <v>610</v>
      </c>
      <c r="C398" s="3" t="s">
        <v>155</v>
      </c>
      <c r="D398" s="3" t="s">
        <v>224</v>
      </c>
      <c r="E398" s="3" t="s">
        <v>249</v>
      </c>
      <c r="F398" s="23" t="n">
        <v>421.2</v>
      </c>
      <c r="G398" s="23" t="n">
        <v>621</v>
      </c>
      <c r="H398" s="23" t="n">
        <v>378</v>
      </c>
      <c r="I398" s="23" t="n">
        <v>815.4</v>
      </c>
      <c r="J398" s="23" t="n">
        <v>513</v>
      </c>
      <c r="K398" s="23" t="n">
        <v>642.6</v>
      </c>
      <c r="L398" s="23" t="n">
        <v>334.8</v>
      </c>
      <c r="M398" s="23" t="n">
        <v>838.873637212116</v>
      </c>
      <c r="N398" s="23" t="n">
        <v>762.683911518122</v>
      </c>
      <c r="O398" s="23" t="n">
        <v>480.832515597676</v>
      </c>
      <c r="P398" s="23" t="n">
        <v>762.683911518122</v>
      </c>
      <c r="Q398" s="23" t="n">
        <v>319.648292963816</v>
      </c>
      <c r="R398" s="23" t="n">
        <v>253.803151885037</v>
      </c>
      <c r="S398" s="23" t="n">
        <v>253.803151885037</v>
      </c>
    </row>
    <row r="399" customFormat="false" ht="15" hidden="false" customHeight="false" outlineLevel="0" collapsed="false">
      <c r="A399" s="3" t="n">
        <v>30000494</v>
      </c>
      <c r="B399" s="3" t="s">
        <v>611</v>
      </c>
      <c r="C399" s="3" t="s">
        <v>155</v>
      </c>
      <c r="D399" s="3" t="s">
        <v>224</v>
      </c>
      <c r="E399" s="3" t="s">
        <v>249</v>
      </c>
      <c r="F399" s="23" t="n">
        <v>1198.8</v>
      </c>
      <c r="G399" s="23" t="n">
        <v>745.2</v>
      </c>
      <c r="H399" s="23" t="n">
        <v>81</v>
      </c>
      <c r="I399" s="23" t="n">
        <v>691.2</v>
      </c>
      <c r="J399" s="23" t="n">
        <v>124.2</v>
      </c>
      <c r="K399" s="23" t="n">
        <v>243</v>
      </c>
      <c r="L399" s="23" t="n">
        <v>97.2</v>
      </c>
      <c r="M399" s="23" t="n">
        <v>800.052025653375</v>
      </c>
      <c r="N399" s="23" t="n">
        <v>1007.61261815075</v>
      </c>
      <c r="O399" s="23" t="n">
        <v>635.247318865038</v>
      </c>
      <c r="P399" s="23" t="n">
        <v>1007.61261815075</v>
      </c>
      <c r="Q399" s="23" t="n">
        <v>1007.61261815075</v>
      </c>
      <c r="R399" s="23" t="n">
        <v>800.052007143815</v>
      </c>
      <c r="S399" s="23" t="n">
        <v>800.052007143815</v>
      </c>
    </row>
    <row r="400" customFormat="false" ht="15" hidden="false" customHeight="false" outlineLevel="0" collapsed="false">
      <c r="A400" s="3" t="n">
        <v>30000464</v>
      </c>
      <c r="B400" s="3" t="s">
        <v>612</v>
      </c>
      <c r="C400" s="3" t="s">
        <v>149</v>
      </c>
      <c r="D400" s="3" t="s">
        <v>224</v>
      </c>
      <c r="E400" s="3" t="s">
        <v>249</v>
      </c>
      <c r="F400" s="23" t="n">
        <v>250</v>
      </c>
      <c r="G400" s="23" t="n">
        <v>720</v>
      </c>
      <c r="H400" s="23" t="n">
        <v>390</v>
      </c>
      <c r="I400" s="23" t="n">
        <v>720</v>
      </c>
      <c r="J400" s="23" t="n">
        <v>480</v>
      </c>
      <c r="K400" s="23" t="n">
        <v>500</v>
      </c>
      <c r="L400" s="23" t="n">
        <v>260</v>
      </c>
      <c r="M400" s="23" t="n">
        <v>1200.00000462709</v>
      </c>
      <c r="N400" s="23" t="n">
        <v>1251.88677964772</v>
      </c>
      <c r="O400" s="23" t="n">
        <v>555.805271701035</v>
      </c>
      <c r="P400" s="23" t="n">
        <v>1251.88677964772</v>
      </c>
      <c r="Q400" s="23" t="n">
        <v>1251.88677964772</v>
      </c>
      <c r="R400" s="23" t="n">
        <v>1400</v>
      </c>
      <c r="S400" s="23" t="n">
        <v>700</v>
      </c>
    </row>
    <row r="401" customFormat="false" ht="15" hidden="false" customHeight="false" outlineLevel="0" collapsed="false">
      <c r="A401" s="3" t="n">
        <v>30000495</v>
      </c>
      <c r="B401" s="3" t="s">
        <v>613</v>
      </c>
      <c r="C401" s="3" t="s">
        <v>155</v>
      </c>
      <c r="D401" s="3" t="s">
        <v>224</v>
      </c>
      <c r="E401" s="3" t="s">
        <v>249</v>
      </c>
      <c r="F401" s="23" t="n">
        <v>999</v>
      </c>
      <c r="G401" s="23" t="n">
        <v>221.4</v>
      </c>
      <c r="H401" s="23" t="n">
        <v>102.6</v>
      </c>
      <c r="I401" s="23" t="n">
        <v>1020.6</v>
      </c>
      <c r="J401" s="23" t="n">
        <v>183.6</v>
      </c>
      <c r="K401" s="23" t="n">
        <v>291.6</v>
      </c>
      <c r="L401" s="23" t="n">
        <v>102.6</v>
      </c>
      <c r="M401" s="23" t="n">
        <v>808.184091533809</v>
      </c>
      <c r="N401" s="23" t="n">
        <v>510.854437308459</v>
      </c>
      <c r="O401" s="23" t="n">
        <v>322.06713749386</v>
      </c>
      <c r="P401" s="23" t="n">
        <v>510.854437308459</v>
      </c>
      <c r="Q401" s="23" t="n">
        <v>510.854437308459</v>
      </c>
      <c r="R401" s="23" t="n">
        <v>405.622270468439</v>
      </c>
      <c r="S401" s="23" t="n">
        <v>405.622270468439</v>
      </c>
    </row>
    <row r="402" customFormat="false" ht="15" hidden="false" customHeight="false" outlineLevel="0" collapsed="false">
      <c r="A402" s="3" t="n">
        <v>30001037</v>
      </c>
      <c r="B402" s="3" t="s">
        <v>614</v>
      </c>
      <c r="C402" s="3" t="s">
        <v>155</v>
      </c>
      <c r="D402" s="3" t="s">
        <v>224</v>
      </c>
      <c r="E402" s="3" t="s">
        <v>249</v>
      </c>
      <c r="F402" s="23" t="n">
        <v>334.8</v>
      </c>
      <c r="G402" s="23" t="n">
        <v>399.6</v>
      </c>
      <c r="H402" s="23" t="n">
        <v>361.8</v>
      </c>
      <c r="I402" s="23" t="n">
        <v>561.6</v>
      </c>
      <c r="J402" s="23" t="n">
        <v>464.4</v>
      </c>
      <c r="K402" s="23" t="n">
        <v>664.2</v>
      </c>
      <c r="L402" s="23" t="n">
        <v>264.6</v>
      </c>
      <c r="M402" s="23" t="n">
        <v>701.626398428039</v>
      </c>
      <c r="N402" s="23" t="n">
        <v>574.834888411274</v>
      </c>
      <c r="O402" s="23" t="n">
        <v>362.403482325895</v>
      </c>
      <c r="P402" s="23" t="n">
        <v>574.834888411274</v>
      </c>
      <c r="Q402" s="23" t="n">
        <v>109.188949386428</v>
      </c>
      <c r="R402" s="23" t="n">
        <v>86.696848114963</v>
      </c>
      <c r="S402" s="23" t="n">
        <v>86.696848114963</v>
      </c>
    </row>
    <row r="403" customFormat="false" ht="15" hidden="false" customHeight="false" outlineLevel="0" collapsed="false">
      <c r="A403" s="3" t="n">
        <v>30000251</v>
      </c>
      <c r="B403" s="3" t="s">
        <v>615</v>
      </c>
      <c r="C403" s="3" t="s">
        <v>135</v>
      </c>
      <c r="D403" s="3" t="s">
        <v>224</v>
      </c>
      <c r="E403" s="3" t="s">
        <v>231</v>
      </c>
      <c r="F403" s="23" t="n">
        <v>1116</v>
      </c>
      <c r="G403" s="23" t="n">
        <v>300</v>
      </c>
      <c r="H403" s="23" t="n">
        <v>234</v>
      </c>
      <c r="I403" s="23" t="n">
        <v>456</v>
      </c>
      <c r="J403" s="23" t="n">
        <v>282</v>
      </c>
      <c r="K403" s="23" t="n">
        <v>306</v>
      </c>
      <c r="L403" s="23" t="n">
        <v>240</v>
      </c>
      <c r="M403" s="23" t="n">
        <v>811.325602522798</v>
      </c>
      <c r="N403" s="23" t="n">
        <v>776.397149501684</v>
      </c>
      <c r="O403" s="23" t="n">
        <v>324.379720776886</v>
      </c>
      <c r="P403" s="23" t="n">
        <v>514.522596192883</v>
      </c>
      <c r="Q403" s="23" t="n">
        <v>514.522596192883</v>
      </c>
      <c r="R403" s="23" t="n">
        <v>408.534816247582</v>
      </c>
      <c r="S403" s="23" t="n">
        <v>408.534816247582</v>
      </c>
    </row>
    <row r="404" customFormat="false" ht="15" hidden="false" customHeight="false" outlineLevel="0" collapsed="false">
      <c r="A404" s="3" t="n">
        <v>30000542</v>
      </c>
      <c r="B404" s="3" t="s">
        <v>616</v>
      </c>
      <c r="C404" s="3" t="s">
        <v>138</v>
      </c>
      <c r="D404" s="3" t="s">
        <v>213</v>
      </c>
      <c r="E404" s="3" t="s">
        <v>249</v>
      </c>
      <c r="F404" s="23" t="n">
        <v>616</v>
      </c>
      <c r="G404" s="23" t="n">
        <v>462</v>
      </c>
      <c r="H404" s="23" t="n">
        <v>61.6</v>
      </c>
      <c r="I404" s="23" t="n">
        <v>84.7</v>
      </c>
      <c r="J404" s="23" t="n">
        <v>716.1</v>
      </c>
      <c r="K404" s="23" t="n">
        <v>577.5</v>
      </c>
      <c r="L404" s="23" t="n">
        <v>231</v>
      </c>
      <c r="M404" s="23" t="n">
        <v>570.9</v>
      </c>
      <c r="N404" s="23" t="n">
        <v>650.8</v>
      </c>
      <c r="O404" s="23" t="n">
        <v>625.355</v>
      </c>
      <c r="P404" s="23" t="n">
        <v>625.355</v>
      </c>
      <c r="Q404" s="23" t="n">
        <v>569.12154</v>
      </c>
      <c r="R404" s="23" t="n">
        <v>624.147983932189</v>
      </c>
      <c r="S404" s="23" t="n">
        <v>451.177590491839</v>
      </c>
    </row>
    <row r="405" customFormat="false" ht="15" hidden="false" customHeight="false" outlineLevel="0" collapsed="false">
      <c r="A405" s="3" t="n">
        <v>30000665</v>
      </c>
      <c r="B405" s="3" t="s">
        <v>617</v>
      </c>
      <c r="C405" s="3" t="s">
        <v>129</v>
      </c>
      <c r="D405" s="3" t="s">
        <v>213</v>
      </c>
      <c r="E405" s="3" t="s">
        <v>249</v>
      </c>
      <c r="F405" s="23" t="n">
        <v>419.52</v>
      </c>
      <c r="G405" s="23" t="n">
        <v>316.16</v>
      </c>
      <c r="H405" s="23" t="n">
        <v>237.12</v>
      </c>
      <c r="I405" s="23" t="n">
        <v>991.04</v>
      </c>
      <c r="J405" s="23" t="n">
        <v>273.6</v>
      </c>
      <c r="K405" s="23" t="n">
        <v>188.48</v>
      </c>
      <c r="L405" s="23" t="n">
        <v>334.4</v>
      </c>
      <c r="M405" s="23" t="n">
        <v>325</v>
      </c>
      <c r="N405" s="23" t="n">
        <v>410</v>
      </c>
      <c r="O405" s="23" t="n">
        <v>216.88</v>
      </c>
      <c r="P405" s="23" t="n">
        <v>357.96</v>
      </c>
      <c r="Q405" s="23" t="n">
        <v>310</v>
      </c>
      <c r="R405" s="23" t="n">
        <v>292.16</v>
      </c>
      <c r="S405" s="23" t="n">
        <v>265.12</v>
      </c>
    </row>
    <row r="406" customFormat="false" ht="15" hidden="false" customHeight="false" outlineLevel="0" collapsed="false">
      <c r="A406" s="3" t="n">
        <v>30001527</v>
      </c>
      <c r="B406" s="3" t="s">
        <v>618</v>
      </c>
      <c r="C406" s="3" t="s">
        <v>152</v>
      </c>
      <c r="D406" s="3" t="s">
        <v>213</v>
      </c>
      <c r="E406" s="3" t="s">
        <v>231</v>
      </c>
      <c r="F406" s="23" t="n">
        <v>767.04</v>
      </c>
      <c r="G406" s="23" t="n">
        <v>756.16</v>
      </c>
      <c r="H406" s="23" t="n">
        <v>408</v>
      </c>
      <c r="I406" s="23" t="n">
        <v>239.36</v>
      </c>
      <c r="J406" s="23" t="n">
        <v>179.52</v>
      </c>
      <c r="K406" s="23" t="n">
        <v>32.64</v>
      </c>
      <c r="L406" s="23" t="n">
        <v>119.68</v>
      </c>
      <c r="M406" s="23" t="n">
        <v>325</v>
      </c>
      <c r="N406" s="23" t="n">
        <v>331.6</v>
      </c>
      <c r="O406" s="23" t="n">
        <v>275</v>
      </c>
      <c r="P406" s="23" t="n">
        <v>1000</v>
      </c>
      <c r="Q406" s="23" t="n">
        <v>0</v>
      </c>
      <c r="R406" s="23" t="n">
        <v>0</v>
      </c>
      <c r="S406" s="23" t="n">
        <v>0</v>
      </c>
    </row>
    <row r="407" customFormat="false" ht="15" hidden="false" customHeight="false" outlineLevel="0" collapsed="false">
      <c r="A407" s="3" t="n">
        <v>30001820</v>
      </c>
      <c r="B407" s="3" t="s">
        <v>619</v>
      </c>
      <c r="C407" s="3" t="s">
        <v>129</v>
      </c>
      <c r="D407" s="3" t="s">
        <v>213</v>
      </c>
      <c r="E407" s="3" t="s">
        <v>231</v>
      </c>
      <c r="F407" s="23" t="n">
        <v>492.48</v>
      </c>
      <c r="G407" s="23" t="n">
        <v>468.16</v>
      </c>
      <c r="H407" s="23" t="n">
        <v>91.2</v>
      </c>
      <c r="I407" s="23" t="n">
        <v>638.4</v>
      </c>
      <c r="J407" s="23" t="n">
        <v>358.72</v>
      </c>
      <c r="K407" s="23" t="n">
        <v>145.92</v>
      </c>
      <c r="L407" s="23" t="n">
        <v>249.28</v>
      </c>
      <c r="M407" s="23" t="n">
        <v>602.4</v>
      </c>
      <c r="N407" s="23" t="n">
        <v>652.4</v>
      </c>
      <c r="O407" s="23" t="n">
        <v>370</v>
      </c>
      <c r="P407" s="23" t="n">
        <v>550</v>
      </c>
      <c r="Q407" s="23" t="n">
        <v>720</v>
      </c>
      <c r="R407" s="23" t="n">
        <v>563.64</v>
      </c>
      <c r="S407" s="23" t="n">
        <v>526.2</v>
      </c>
    </row>
    <row r="408" customFormat="false" ht="15" hidden="false" customHeight="false" outlineLevel="0" collapsed="false">
      <c r="A408" s="3" t="n">
        <v>30002046</v>
      </c>
      <c r="B408" s="3" t="s">
        <v>620</v>
      </c>
      <c r="C408" s="3" t="s">
        <v>124</v>
      </c>
      <c r="D408" s="3" t="s">
        <v>213</v>
      </c>
      <c r="E408" s="3" t="s">
        <v>249</v>
      </c>
      <c r="F408" s="23" t="n">
        <v>241.56</v>
      </c>
      <c r="G408" s="23" t="n">
        <v>493.02</v>
      </c>
      <c r="H408" s="23" t="n">
        <v>360.36</v>
      </c>
      <c r="I408" s="23" t="n">
        <v>203.94</v>
      </c>
      <c r="J408" s="23" t="n">
        <v>445.5</v>
      </c>
      <c r="K408" s="23" t="n">
        <v>368.28</v>
      </c>
      <c r="L408" s="23" t="n">
        <v>196.02</v>
      </c>
      <c r="M408" s="23" t="n">
        <v>365.44</v>
      </c>
      <c r="N408" s="23" t="n">
        <v>515.44</v>
      </c>
      <c r="O408" s="23" t="n">
        <v>311.38</v>
      </c>
      <c r="P408" s="23" t="n">
        <v>415.44</v>
      </c>
      <c r="Q408" s="23" t="n">
        <v>461.48</v>
      </c>
      <c r="R408" s="23" t="n">
        <v>459.4</v>
      </c>
      <c r="S408" s="23" t="n">
        <v>415.44</v>
      </c>
    </row>
    <row r="409" customFormat="false" ht="15" hidden="false" customHeight="false" outlineLevel="0" collapsed="false">
      <c r="A409" s="3" t="n">
        <v>30001363</v>
      </c>
      <c r="B409" s="3" t="s">
        <v>621</v>
      </c>
      <c r="C409" s="3" t="s">
        <v>124</v>
      </c>
      <c r="D409" s="3" t="s">
        <v>213</v>
      </c>
      <c r="E409" s="3" t="s">
        <v>249</v>
      </c>
      <c r="F409" s="23" t="n">
        <v>218.04</v>
      </c>
      <c r="G409" s="23" t="n">
        <v>648.6</v>
      </c>
      <c r="H409" s="23" t="n">
        <v>527.16</v>
      </c>
      <c r="I409" s="23" t="n">
        <v>171.12</v>
      </c>
      <c r="J409" s="23" t="n">
        <v>375.36</v>
      </c>
      <c r="K409" s="23" t="n">
        <v>157.32</v>
      </c>
      <c r="L409" s="23" t="n">
        <v>182.16</v>
      </c>
      <c r="M409" s="23" t="n">
        <v>741.08</v>
      </c>
      <c r="N409" s="23" t="n">
        <v>823.24</v>
      </c>
      <c r="O409" s="23" t="n">
        <v>310</v>
      </c>
      <c r="P409" s="23" t="n">
        <v>361.08</v>
      </c>
      <c r="Q409" s="23" t="n">
        <v>585.4</v>
      </c>
      <c r="R409" s="23" t="n">
        <v>605.4</v>
      </c>
      <c r="S409" s="23" t="n">
        <v>491.08</v>
      </c>
    </row>
    <row r="410" customFormat="false" ht="15" hidden="false" customHeight="false" outlineLevel="0" collapsed="false">
      <c r="A410" s="3" t="n">
        <v>30000446</v>
      </c>
      <c r="B410" s="3" t="s">
        <v>622</v>
      </c>
      <c r="C410" s="3" t="s">
        <v>149</v>
      </c>
      <c r="D410" s="3" t="s">
        <v>224</v>
      </c>
      <c r="E410" s="3" t="s">
        <v>249</v>
      </c>
      <c r="F410" s="23" t="n">
        <v>0</v>
      </c>
      <c r="G410" s="23" t="n">
        <v>0</v>
      </c>
      <c r="H410" s="23" t="n">
        <v>0</v>
      </c>
      <c r="I410" s="23" t="n">
        <v>0</v>
      </c>
      <c r="J410" s="23" t="n">
        <v>0</v>
      </c>
      <c r="K410" s="23" t="n">
        <v>2000</v>
      </c>
      <c r="L410" s="23" t="n">
        <v>0</v>
      </c>
      <c r="M410" s="23" t="n">
        <v>0</v>
      </c>
      <c r="N410" s="23" t="n">
        <v>0</v>
      </c>
      <c r="O410" s="23" t="n">
        <v>0</v>
      </c>
      <c r="P410" s="23" t="n">
        <v>500</v>
      </c>
      <c r="Q410" s="23" t="n">
        <v>500</v>
      </c>
      <c r="R410" s="23" t="n">
        <v>500</v>
      </c>
      <c r="S410" s="23" t="n">
        <v>500</v>
      </c>
    </row>
    <row r="411" customFormat="false" ht="15" hidden="false" customHeight="false" outlineLevel="0" collapsed="false">
      <c r="A411" s="3" t="n">
        <v>30002186</v>
      </c>
      <c r="B411" s="3" t="s">
        <v>623</v>
      </c>
      <c r="C411" s="3" t="s">
        <v>139</v>
      </c>
      <c r="D411" s="3" t="s">
        <v>213</v>
      </c>
      <c r="E411" s="3" t="s">
        <v>214</v>
      </c>
      <c r="F411" s="23" t="n">
        <v>0</v>
      </c>
      <c r="G411" s="23" t="n">
        <v>6.9</v>
      </c>
      <c r="H411" s="23" t="n">
        <v>0</v>
      </c>
      <c r="I411" s="23" t="n">
        <v>17.25</v>
      </c>
      <c r="J411" s="23" t="n">
        <v>17.25</v>
      </c>
      <c r="K411" s="23" t="n">
        <v>1825.05</v>
      </c>
      <c r="L411" s="23" t="n">
        <v>3446.55</v>
      </c>
      <c r="M411" s="23" t="n">
        <v>1200</v>
      </c>
      <c r="N411" s="23" t="n">
        <v>7000</v>
      </c>
      <c r="O411" s="23" t="n">
        <v>7000</v>
      </c>
      <c r="P411" s="23" t="n">
        <v>0</v>
      </c>
      <c r="Q411" s="23" t="n">
        <v>0</v>
      </c>
      <c r="R411" s="23" t="n">
        <v>0</v>
      </c>
      <c r="S411" s="23" t="n">
        <v>391.755250473403</v>
      </c>
    </row>
    <row r="412" customFormat="false" ht="15" hidden="false" customHeight="false" outlineLevel="0" collapsed="false">
      <c r="A412" s="3" t="n">
        <v>30002126</v>
      </c>
      <c r="B412" s="3" t="s">
        <v>624</v>
      </c>
      <c r="C412" s="3" t="s">
        <v>130</v>
      </c>
      <c r="D412" s="3" t="s">
        <v>224</v>
      </c>
      <c r="E412" s="3" t="s">
        <v>249</v>
      </c>
      <c r="F412" s="23" t="n">
        <v>527.52</v>
      </c>
      <c r="G412" s="23" t="n">
        <v>122.64</v>
      </c>
      <c r="H412" s="23" t="n">
        <v>129.36</v>
      </c>
      <c r="I412" s="23" t="n">
        <v>582.96</v>
      </c>
      <c r="J412" s="23" t="n">
        <v>199.92</v>
      </c>
      <c r="K412" s="23" t="n">
        <v>176.4</v>
      </c>
      <c r="L412" s="23" t="n">
        <v>100.8</v>
      </c>
      <c r="M412" s="23" t="n">
        <v>531.665863053394</v>
      </c>
      <c r="N412" s="23" t="n">
        <v>669.597994974278</v>
      </c>
      <c r="O412" s="23" t="n">
        <v>422.146689474243</v>
      </c>
      <c r="P412" s="23" t="n">
        <v>669.597994974278</v>
      </c>
      <c r="Q412" s="23" t="n">
        <v>669.597994974278</v>
      </c>
      <c r="R412" s="23" t="n">
        <v>531.665850753067</v>
      </c>
      <c r="S412" s="23" t="n">
        <v>531.665850753067</v>
      </c>
    </row>
    <row r="413" customFormat="false" ht="15" hidden="false" customHeight="false" outlineLevel="0" collapsed="false">
      <c r="A413" s="3" t="n">
        <v>30002284</v>
      </c>
      <c r="B413" s="3" t="s">
        <v>625</v>
      </c>
      <c r="C413" s="3" t="s">
        <v>212</v>
      </c>
      <c r="D413" s="3" t="s">
        <v>213</v>
      </c>
      <c r="E413" s="3" t="s">
        <v>231</v>
      </c>
      <c r="F413" s="23" t="n">
        <v>785.4</v>
      </c>
      <c r="G413" s="23" t="n">
        <v>100.8</v>
      </c>
      <c r="H413" s="23" t="n">
        <v>25.2</v>
      </c>
      <c r="I413" s="23" t="n">
        <v>126</v>
      </c>
      <c r="J413" s="23" t="n">
        <v>319.2</v>
      </c>
      <c r="K413" s="23" t="n">
        <v>315</v>
      </c>
      <c r="L413" s="23" t="n">
        <v>54.6</v>
      </c>
      <c r="M413" s="23" t="n">
        <v>404.2</v>
      </c>
      <c r="N413" s="23" t="n">
        <v>500</v>
      </c>
      <c r="O413" s="23" t="n">
        <v>400</v>
      </c>
      <c r="P413" s="23" t="n">
        <v>400</v>
      </c>
      <c r="Q413" s="23" t="n">
        <v>228.3</v>
      </c>
      <c r="R413" s="23" t="n">
        <v>226.495</v>
      </c>
      <c r="S413" s="23" t="n">
        <v>237.46625</v>
      </c>
    </row>
    <row r="414" customFormat="false" ht="15" hidden="false" customHeight="false" outlineLevel="0" collapsed="false">
      <c r="A414" s="3" t="n">
        <v>30001860</v>
      </c>
      <c r="B414" s="3" t="s">
        <v>626</v>
      </c>
      <c r="C414" s="3" t="s">
        <v>124</v>
      </c>
      <c r="D414" s="3" t="s">
        <v>213</v>
      </c>
      <c r="E414" s="3" t="s">
        <v>249</v>
      </c>
      <c r="F414" s="23" t="n">
        <v>365.608</v>
      </c>
      <c r="G414" s="23" t="n">
        <v>174.856</v>
      </c>
      <c r="H414" s="23" t="n">
        <v>115.246</v>
      </c>
      <c r="I414" s="23" t="n">
        <v>359.647</v>
      </c>
      <c r="J414" s="23" t="n">
        <v>349.712</v>
      </c>
      <c r="K414" s="23" t="n">
        <v>286.128</v>
      </c>
      <c r="L414" s="23" t="n">
        <v>79.48</v>
      </c>
      <c r="M414" s="23" t="n">
        <v>283.909</v>
      </c>
      <c r="N414" s="23" t="n">
        <v>283.909</v>
      </c>
      <c r="O414" s="23" t="n">
        <v>273.844</v>
      </c>
      <c r="P414" s="23" t="n">
        <v>338.909</v>
      </c>
      <c r="Q414" s="23" t="n">
        <v>401.857</v>
      </c>
      <c r="R414" s="23" t="n">
        <v>433.909</v>
      </c>
      <c r="S414" s="23" t="n">
        <v>340</v>
      </c>
    </row>
    <row r="415" customFormat="false" ht="15" hidden="false" customHeight="false" outlineLevel="0" collapsed="false">
      <c r="A415" s="3" t="n">
        <v>30002137</v>
      </c>
      <c r="B415" s="3" t="s">
        <v>627</v>
      </c>
      <c r="C415" s="3" t="s">
        <v>149</v>
      </c>
      <c r="D415" s="3" t="s">
        <v>224</v>
      </c>
      <c r="E415" s="3" t="n">
        <v>0</v>
      </c>
      <c r="F415" s="23" t="n">
        <v>231</v>
      </c>
      <c r="G415" s="23" t="n">
        <v>256.2</v>
      </c>
      <c r="H415" s="23" t="n">
        <v>294</v>
      </c>
      <c r="I415" s="23" t="n">
        <v>184.8</v>
      </c>
      <c r="J415" s="23" t="n">
        <v>197.4</v>
      </c>
      <c r="K415" s="23" t="n">
        <v>256.2</v>
      </c>
      <c r="L415" s="23" t="n">
        <v>147</v>
      </c>
      <c r="M415" s="23" t="n">
        <v>450.000010410951</v>
      </c>
      <c r="N415" s="23" t="n">
        <v>566.745254207371</v>
      </c>
      <c r="O415" s="23" t="n">
        <v>357.303388950666</v>
      </c>
      <c r="P415" s="23" t="n">
        <v>566.745254207371</v>
      </c>
      <c r="Q415" s="23" t="n">
        <v>566.745254207371</v>
      </c>
      <c r="R415" s="23" t="n">
        <v>450</v>
      </c>
      <c r="S415" s="23" t="n">
        <v>450</v>
      </c>
    </row>
    <row r="416" customFormat="false" ht="15" hidden="false" customHeight="false" outlineLevel="0" collapsed="false">
      <c r="A416" s="3" t="n">
        <v>30000662</v>
      </c>
      <c r="B416" s="3" t="s">
        <v>628</v>
      </c>
      <c r="C416" s="3" t="s">
        <v>129</v>
      </c>
      <c r="D416" s="3" t="s">
        <v>213</v>
      </c>
      <c r="E416" s="3" t="s">
        <v>249</v>
      </c>
      <c r="F416" s="23" t="n">
        <v>462.08</v>
      </c>
      <c r="G416" s="23" t="n">
        <v>79.04</v>
      </c>
      <c r="H416" s="23" t="n">
        <v>85.12</v>
      </c>
      <c r="I416" s="23" t="n">
        <v>170.24</v>
      </c>
      <c r="J416" s="23" t="n">
        <v>316.16</v>
      </c>
      <c r="K416" s="23" t="n">
        <v>200.64</v>
      </c>
      <c r="L416" s="23" t="n">
        <v>322.24</v>
      </c>
      <c r="M416" s="23" t="n">
        <v>325</v>
      </c>
      <c r="N416" s="23" t="n">
        <v>400</v>
      </c>
      <c r="O416" s="23" t="n">
        <v>192.56</v>
      </c>
      <c r="P416" s="23" t="n">
        <v>285</v>
      </c>
      <c r="Q416" s="23" t="n">
        <v>325</v>
      </c>
      <c r="R416" s="23" t="n">
        <v>292.16</v>
      </c>
      <c r="S416" s="23" t="n">
        <v>297.16</v>
      </c>
    </row>
    <row r="417" customFormat="false" ht="15" hidden="false" customHeight="false" outlineLevel="0" collapsed="false">
      <c r="A417" s="3" t="n">
        <v>30002101</v>
      </c>
      <c r="B417" s="3" t="s">
        <v>629</v>
      </c>
      <c r="C417" s="3" t="s">
        <v>124</v>
      </c>
      <c r="D417" s="3" t="s">
        <v>213</v>
      </c>
      <c r="E417" s="3" t="s">
        <v>214</v>
      </c>
      <c r="F417" s="23" t="n">
        <v>455.4</v>
      </c>
      <c r="G417" s="23" t="n">
        <v>173.88</v>
      </c>
      <c r="H417" s="23" t="n">
        <v>207</v>
      </c>
      <c r="I417" s="23" t="n">
        <v>173.88</v>
      </c>
      <c r="J417" s="23" t="n">
        <v>140.76</v>
      </c>
      <c r="K417" s="23" t="n">
        <v>124.2</v>
      </c>
      <c r="L417" s="23" t="n">
        <v>107.64</v>
      </c>
      <c r="M417" s="23" t="n">
        <v>100</v>
      </c>
      <c r="N417" s="23" t="n">
        <v>100</v>
      </c>
      <c r="O417" s="23" t="n">
        <v>100</v>
      </c>
      <c r="P417" s="23" t="n">
        <v>100</v>
      </c>
      <c r="Q417" s="23" t="n">
        <v>150</v>
      </c>
      <c r="R417" s="23" t="n">
        <v>200</v>
      </c>
      <c r="S417" s="23" t="n">
        <v>200</v>
      </c>
    </row>
    <row r="418" customFormat="false" ht="15" hidden="false" customHeight="false" outlineLevel="0" collapsed="false">
      <c r="A418" s="3" t="n">
        <v>30002163</v>
      </c>
      <c r="B418" s="3" t="s">
        <v>630</v>
      </c>
      <c r="C418" s="3" t="s">
        <v>149</v>
      </c>
      <c r="D418" s="3" t="s">
        <v>224</v>
      </c>
      <c r="E418" s="3" t="n">
        <v>0</v>
      </c>
      <c r="F418" s="23" t="n">
        <v>156.8</v>
      </c>
      <c r="G418" s="23" t="n">
        <v>121.6</v>
      </c>
      <c r="H418" s="23" t="n">
        <v>249.6</v>
      </c>
      <c r="I418" s="23" t="n">
        <v>124.8</v>
      </c>
      <c r="J418" s="23" t="n">
        <v>163.2</v>
      </c>
      <c r="K418" s="23" t="n">
        <v>185.6</v>
      </c>
      <c r="L418" s="23" t="n">
        <v>60.8</v>
      </c>
      <c r="M418" s="23" t="n">
        <v>388.201144354118</v>
      </c>
      <c r="N418" s="23" t="n">
        <v>302.264135577265</v>
      </c>
      <c r="O418" s="23" t="n">
        <v>190.561807440355</v>
      </c>
      <c r="P418" s="23" t="n">
        <v>302.264135577265</v>
      </c>
      <c r="Q418" s="23" t="n">
        <v>302.264135577265</v>
      </c>
      <c r="R418" s="23" t="n">
        <v>240</v>
      </c>
      <c r="S418" s="23" t="n">
        <v>240</v>
      </c>
    </row>
    <row r="419" customFormat="false" ht="15" hidden="false" customHeight="false" outlineLevel="0" collapsed="false">
      <c r="A419" s="3" t="n">
        <v>30002145</v>
      </c>
      <c r="B419" s="3" t="s">
        <v>631</v>
      </c>
      <c r="C419" s="3" t="s">
        <v>149</v>
      </c>
      <c r="D419" s="3" t="s">
        <v>224</v>
      </c>
      <c r="E419" s="3" t="n">
        <v>0</v>
      </c>
      <c r="F419" s="23" t="n">
        <v>210</v>
      </c>
      <c r="G419" s="23" t="n">
        <v>176.4</v>
      </c>
      <c r="H419" s="23" t="n">
        <v>264.6</v>
      </c>
      <c r="I419" s="23" t="n">
        <v>109.2</v>
      </c>
      <c r="J419" s="23" t="n">
        <v>88.2</v>
      </c>
      <c r="K419" s="23" t="n">
        <v>138.6</v>
      </c>
      <c r="L419" s="23" t="n">
        <v>96.6</v>
      </c>
      <c r="M419" s="23" t="n">
        <v>330.000007634698</v>
      </c>
      <c r="N419" s="23" t="n">
        <v>415.613186418739</v>
      </c>
      <c r="O419" s="23" t="n">
        <v>262.022485230488</v>
      </c>
      <c r="P419" s="23" t="n">
        <v>415.613186418739</v>
      </c>
      <c r="Q419" s="23" t="n">
        <v>415.613186418739</v>
      </c>
      <c r="R419" s="23" t="n">
        <v>330</v>
      </c>
      <c r="S419" s="23" t="n">
        <v>330</v>
      </c>
    </row>
    <row r="420" customFormat="false" ht="15" hidden="false" customHeight="false" outlineLevel="0" collapsed="false">
      <c r="A420" s="3" t="n">
        <v>30002164</v>
      </c>
      <c r="B420" s="3" t="s">
        <v>632</v>
      </c>
      <c r="C420" s="3" t="s">
        <v>149</v>
      </c>
      <c r="D420" s="3" t="s">
        <v>224</v>
      </c>
      <c r="E420" s="3" t="n">
        <v>0</v>
      </c>
      <c r="F420" s="23" t="n">
        <v>140.8</v>
      </c>
      <c r="G420" s="23" t="n">
        <v>131.2</v>
      </c>
      <c r="H420" s="23" t="n">
        <v>243.2</v>
      </c>
      <c r="I420" s="23" t="n">
        <v>150.4</v>
      </c>
      <c r="J420" s="23" t="n">
        <v>134.4</v>
      </c>
      <c r="K420" s="23" t="n">
        <v>182.4</v>
      </c>
      <c r="L420" s="23" t="n">
        <v>67.2</v>
      </c>
      <c r="M420" s="23" t="n">
        <v>408.715104828717</v>
      </c>
      <c r="N420" s="23" t="n">
        <v>326.698101682948</v>
      </c>
      <c r="O420" s="23" t="n">
        <v>242.921355580266</v>
      </c>
      <c r="P420" s="23" t="n">
        <v>326.698101682948</v>
      </c>
      <c r="Q420" s="23" t="n">
        <v>341.698101682948</v>
      </c>
      <c r="R420" s="23" t="n">
        <v>180</v>
      </c>
      <c r="S420" s="23" t="n">
        <v>180</v>
      </c>
    </row>
    <row r="421" customFormat="false" ht="15" hidden="false" customHeight="false" outlineLevel="0" collapsed="false">
      <c r="A421" s="3" t="n">
        <v>30000681</v>
      </c>
      <c r="B421" s="3" t="s">
        <v>633</v>
      </c>
      <c r="C421" s="3" t="s">
        <v>129</v>
      </c>
      <c r="D421" s="3" t="s">
        <v>213</v>
      </c>
      <c r="E421" s="3" t="s">
        <v>214</v>
      </c>
      <c r="F421" s="23" t="n">
        <v>48</v>
      </c>
      <c r="G421" s="23" t="n">
        <v>72</v>
      </c>
      <c r="H421" s="23" t="n">
        <v>56</v>
      </c>
      <c r="I421" s="23" t="n">
        <v>88</v>
      </c>
      <c r="J421" s="23" t="n">
        <v>48</v>
      </c>
      <c r="K421" s="23" t="n">
        <v>24</v>
      </c>
      <c r="L421" s="23" t="n">
        <v>32</v>
      </c>
      <c r="M421" s="23" t="n">
        <v>0</v>
      </c>
      <c r="N421" s="23" t="n">
        <v>0</v>
      </c>
      <c r="O421" s="23" t="n">
        <v>0</v>
      </c>
      <c r="P421" s="23" t="n">
        <v>0</v>
      </c>
      <c r="Q421" s="23" t="n">
        <v>0</v>
      </c>
      <c r="R421" s="23" t="n">
        <v>0</v>
      </c>
      <c r="S421" s="23" t="n">
        <v>0</v>
      </c>
    </row>
    <row r="422" customFormat="false" ht="15" hidden="false" customHeight="false" outlineLevel="0" collapsed="false">
      <c r="A422" s="3" t="n">
        <v>30002302</v>
      </c>
      <c r="B422" s="3" t="s">
        <v>634</v>
      </c>
      <c r="C422" s="3" t="s">
        <v>212</v>
      </c>
      <c r="D422" s="3" t="s">
        <v>213</v>
      </c>
      <c r="E422" s="3" t="s">
        <v>212</v>
      </c>
      <c r="F422" s="23" t="n">
        <v>0</v>
      </c>
      <c r="G422" s="23" t="n">
        <v>0</v>
      </c>
      <c r="H422" s="23" t="n">
        <v>0</v>
      </c>
      <c r="I422" s="23" t="n">
        <v>110.4</v>
      </c>
      <c r="J422" s="23" t="n">
        <v>76.8</v>
      </c>
      <c r="K422" s="23" t="n">
        <v>144</v>
      </c>
      <c r="L422" s="23" t="n">
        <v>139.2</v>
      </c>
      <c r="M422" s="23" t="n">
        <v>0</v>
      </c>
      <c r="N422" s="23" t="n">
        <v>0</v>
      </c>
      <c r="O422" s="23" t="n">
        <v>0</v>
      </c>
      <c r="P422" s="23" t="n">
        <v>0</v>
      </c>
      <c r="Q422" s="23" t="n">
        <v>1100</v>
      </c>
      <c r="R422" s="23" t="n">
        <v>2700</v>
      </c>
      <c r="S422" s="23" t="n">
        <v>2050</v>
      </c>
    </row>
    <row r="423" customFormat="false" ht="15" hidden="false" customHeight="false" outlineLevel="0" collapsed="false">
      <c r="A423" s="3" t="n">
        <v>30001412</v>
      </c>
      <c r="B423" s="3" t="s">
        <v>635</v>
      </c>
      <c r="C423" s="3" t="s">
        <v>139</v>
      </c>
      <c r="D423" s="3" t="s">
        <v>213</v>
      </c>
      <c r="E423" s="3" t="s">
        <v>214</v>
      </c>
      <c r="F423" s="23" t="n">
        <v>75.6</v>
      </c>
      <c r="G423" s="23" t="n">
        <v>198</v>
      </c>
      <c r="H423" s="23" t="n">
        <v>0</v>
      </c>
      <c r="I423" s="23" t="n">
        <v>3.6</v>
      </c>
      <c r="J423" s="23" t="n">
        <v>0</v>
      </c>
      <c r="K423" s="23" t="n">
        <v>0</v>
      </c>
      <c r="L423" s="23" t="n">
        <v>93.6</v>
      </c>
      <c r="M423" s="23" t="n">
        <v>0</v>
      </c>
      <c r="N423" s="23" t="n">
        <v>0</v>
      </c>
      <c r="O423" s="23" t="n">
        <v>0</v>
      </c>
      <c r="P423" s="23" t="n">
        <v>0</v>
      </c>
      <c r="Q423" s="23" t="n">
        <v>0</v>
      </c>
      <c r="R423" s="23" t="n">
        <v>101.348582240631</v>
      </c>
      <c r="S423" s="23" t="n">
        <v>160.62120669428</v>
      </c>
    </row>
    <row r="424" customFormat="false" ht="15" hidden="false" customHeight="false" outlineLevel="0" collapsed="false">
      <c r="A424" s="3" t="n">
        <v>30000046</v>
      </c>
      <c r="B424" s="3" t="s">
        <v>636</v>
      </c>
      <c r="C424" s="3" t="s">
        <v>124</v>
      </c>
      <c r="D424" s="3" t="s">
        <v>213</v>
      </c>
      <c r="E424" s="3" t="s">
        <v>249</v>
      </c>
      <c r="F424" s="23" t="n">
        <v>132.48</v>
      </c>
      <c r="G424" s="23" t="n">
        <v>0</v>
      </c>
      <c r="H424" s="23" t="n">
        <v>0</v>
      </c>
      <c r="I424" s="23" t="n">
        <v>0</v>
      </c>
      <c r="J424" s="23" t="n">
        <v>0</v>
      </c>
      <c r="K424" s="23" t="n">
        <v>0</v>
      </c>
      <c r="L424" s="23" t="n">
        <v>77.28</v>
      </c>
      <c r="M424" s="23" t="n">
        <v>0</v>
      </c>
      <c r="N424" s="23" t="n">
        <v>0</v>
      </c>
      <c r="O424" s="23" t="n">
        <v>0</v>
      </c>
      <c r="P424" s="23" t="n">
        <v>0</v>
      </c>
      <c r="Q424" s="23" t="n">
        <v>0</v>
      </c>
      <c r="R424" s="23" t="n">
        <v>0</v>
      </c>
      <c r="S424" s="23" t="n">
        <v>0</v>
      </c>
    </row>
    <row r="425" customFormat="false" ht="15" hidden="false" customHeight="false" outlineLevel="0" collapsed="false">
      <c r="A425" s="3" t="n">
        <v>30002303</v>
      </c>
      <c r="B425" s="3" t="s">
        <v>637</v>
      </c>
      <c r="C425" s="3" t="s">
        <v>212</v>
      </c>
      <c r="D425" s="3" t="s">
        <v>213</v>
      </c>
      <c r="E425" s="3" t="s">
        <v>212</v>
      </c>
      <c r="F425" s="23" t="n">
        <v>0</v>
      </c>
      <c r="G425" s="23" t="n">
        <v>0</v>
      </c>
      <c r="H425" s="23" t="n">
        <v>0</v>
      </c>
      <c r="I425" s="23" t="n">
        <v>0</v>
      </c>
      <c r="J425" s="23" t="n">
        <v>0</v>
      </c>
      <c r="K425" s="23" t="n">
        <v>100.8</v>
      </c>
      <c r="L425" s="23" t="n">
        <v>134.4</v>
      </c>
      <c r="M425" s="23" t="n">
        <v>0</v>
      </c>
      <c r="N425" s="23" t="n">
        <v>0</v>
      </c>
      <c r="O425" s="23" t="n">
        <v>0</v>
      </c>
      <c r="P425" s="23" t="n">
        <v>0</v>
      </c>
      <c r="Q425" s="23" t="n">
        <v>600</v>
      </c>
      <c r="R425" s="23" t="n">
        <v>700</v>
      </c>
      <c r="S425" s="23" t="n">
        <v>700</v>
      </c>
    </row>
    <row r="426" customFormat="false" ht="15" hidden="false" customHeight="false" outlineLevel="0" collapsed="false">
      <c r="A426" s="3" t="n">
        <v>30001411</v>
      </c>
      <c r="B426" s="3" t="s">
        <v>638</v>
      </c>
      <c r="C426" s="3" t="s">
        <v>139</v>
      </c>
      <c r="D426" s="3" t="s">
        <v>213</v>
      </c>
      <c r="E426" s="3" t="s">
        <v>214</v>
      </c>
      <c r="F426" s="23" t="n">
        <v>0</v>
      </c>
      <c r="G426" s="23" t="n">
        <v>90</v>
      </c>
      <c r="H426" s="23" t="n">
        <v>0</v>
      </c>
      <c r="I426" s="23" t="n">
        <v>0</v>
      </c>
      <c r="J426" s="23" t="n">
        <v>0</v>
      </c>
      <c r="K426" s="23" t="n">
        <v>3.6</v>
      </c>
      <c r="L426" s="23" t="n">
        <v>57.6</v>
      </c>
      <c r="M426" s="23" t="n">
        <v>0</v>
      </c>
      <c r="N426" s="23" t="n">
        <v>0</v>
      </c>
      <c r="O426" s="23" t="n">
        <v>0</v>
      </c>
      <c r="P426" s="23" t="n">
        <v>0</v>
      </c>
      <c r="Q426" s="23" t="n">
        <v>0</v>
      </c>
      <c r="R426" s="23" t="n">
        <v>965.443564002189</v>
      </c>
      <c r="S426" s="23" t="n">
        <v>1681.26951266995</v>
      </c>
    </row>
    <row r="427" customFormat="false" ht="15" hidden="false" customHeight="false" outlineLevel="0" collapsed="false">
      <c r="A427" s="3" t="n">
        <v>30001743</v>
      </c>
      <c r="B427" s="3" t="s">
        <v>639</v>
      </c>
      <c r="C427" s="3" t="s">
        <v>129</v>
      </c>
      <c r="D427" s="3" t="s">
        <v>213</v>
      </c>
      <c r="E427" s="3" t="s">
        <v>214</v>
      </c>
      <c r="F427" s="23" t="n">
        <v>5.44</v>
      </c>
      <c r="G427" s="23" t="n">
        <v>21.76</v>
      </c>
      <c r="H427" s="23" t="n">
        <v>16.32</v>
      </c>
      <c r="I427" s="23" t="n">
        <v>5.44</v>
      </c>
      <c r="J427" s="23" t="n">
        <v>32.64</v>
      </c>
      <c r="K427" s="23" t="n">
        <v>0</v>
      </c>
      <c r="L427" s="23" t="n">
        <v>0</v>
      </c>
      <c r="M427" s="23" t="n">
        <v>0</v>
      </c>
      <c r="N427" s="23" t="n">
        <v>0</v>
      </c>
      <c r="O427" s="23" t="n">
        <v>0</v>
      </c>
      <c r="P427" s="23" t="n">
        <v>0</v>
      </c>
      <c r="Q427" s="23" t="n">
        <v>0</v>
      </c>
      <c r="R427" s="23" t="n">
        <v>0</v>
      </c>
      <c r="S427" s="23" t="n">
        <v>0</v>
      </c>
    </row>
    <row r="428" customFormat="false" ht="15" hidden="false" customHeight="false" outlineLevel="0" collapsed="false">
      <c r="A428" s="3" t="n">
        <v>30000068</v>
      </c>
      <c r="B428" s="3" t="s">
        <v>640</v>
      </c>
      <c r="C428" s="3" t="s">
        <v>143</v>
      </c>
      <c r="D428" s="3" t="s">
        <v>224</v>
      </c>
      <c r="E428" s="3" t="s">
        <v>249</v>
      </c>
      <c r="F428" s="23" t="n">
        <v>42</v>
      </c>
      <c r="G428" s="23" t="n">
        <v>18</v>
      </c>
      <c r="H428" s="23" t="n">
        <v>6</v>
      </c>
      <c r="I428" s="23" t="n">
        <v>0</v>
      </c>
      <c r="J428" s="23" t="n">
        <v>0</v>
      </c>
      <c r="K428" s="23" t="n">
        <v>0</v>
      </c>
      <c r="L428" s="23" t="n">
        <v>0</v>
      </c>
      <c r="M428" s="23" t="n">
        <v>0</v>
      </c>
      <c r="N428" s="23" t="n">
        <v>0</v>
      </c>
      <c r="O428" s="23" t="n">
        <v>0</v>
      </c>
      <c r="P428" s="23" t="n">
        <v>0</v>
      </c>
      <c r="Q428" s="23" t="n">
        <v>0</v>
      </c>
      <c r="R428" s="23" t="n">
        <v>0</v>
      </c>
      <c r="S428" s="23" t="n">
        <v>0</v>
      </c>
    </row>
    <row r="429" customFormat="false" ht="15" hidden="false" customHeight="false" outlineLevel="0" collapsed="false">
      <c r="A429" s="3" t="n">
        <v>30001735</v>
      </c>
      <c r="B429" s="3" t="s">
        <v>641</v>
      </c>
      <c r="C429" s="3" t="s">
        <v>149</v>
      </c>
      <c r="D429" s="3" t="s">
        <v>224</v>
      </c>
      <c r="E429" s="3" t="s">
        <v>231</v>
      </c>
      <c r="F429" s="23" t="n">
        <v>45</v>
      </c>
      <c r="G429" s="23" t="n">
        <v>0</v>
      </c>
      <c r="H429" s="23" t="n">
        <v>15</v>
      </c>
      <c r="I429" s="23" t="n">
        <v>0</v>
      </c>
      <c r="J429" s="23" t="n">
        <v>0</v>
      </c>
      <c r="K429" s="23" t="n">
        <v>0</v>
      </c>
      <c r="L429" s="23" t="n">
        <v>6</v>
      </c>
      <c r="M429" s="23" t="n">
        <v>0</v>
      </c>
      <c r="N429" s="23" t="n">
        <v>0</v>
      </c>
      <c r="O429" s="23" t="n">
        <v>0</v>
      </c>
      <c r="P429" s="23" t="n">
        <v>0</v>
      </c>
      <c r="Q429" s="23" t="n">
        <v>0</v>
      </c>
      <c r="R429" s="23" t="n">
        <v>0</v>
      </c>
      <c r="S429" s="23" t="n">
        <v>0</v>
      </c>
    </row>
    <row r="430" customFormat="false" ht="15" hidden="false" customHeight="false" outlineLevel="0" collapsed="false">
      <c r="A430" s="3" t="n">
        <v>30002187</v>
      </c>
      <c r="B430" s="3" t="s">
        <v>642</v>
      </c>
      <c r="C430" s="3" t="s">
        <v>139</v>
      </c>
      <c r="D430" s="3" t="s">
        <v>213</v>
      </c>
      <c r="E430" s="3" t="s">
        <v>214</v>
      </c>
      <c r="F430" s="23" t="n">
        <v>13.8</v>
      </c>
      <c r="G430" s="23" t="n">
        <v>6.9</v>
      </c>
      <c r="H430" s="23" t="n">
        <v>0</v>
      </c>
      <c r="I430" s="23" t="n">
        <v>17.25</v>
      </c>
      <c r="J430" s="23" t="n">
        <v>17.25</v>
      </c>
      <c r="K430" s="23" t="n">
        <v>0</v>
      </c>
      <c r="L430" s="23" t="n">
        <v>0</v>
      </c>
      <c r="M430" s="23" t="n">
        <v>1200</v>
      </c>
      <c r="N430" s="23" t="n">
        <v>1000</v>
      </c>
      <c r="O430" s="23" t="n">
        <v>1000</v>
      </c>
      <c r="P430" s="23" t="n">
        <v>0</v>
      </c>
      <c r="Q430" s="23" t="n">
        <v>0</v>
      </c>
      <c r="R430" s="23" t="n">
        <v>0</v>
      </c>
      <c r="S430" s="23" t="n">
        <v>314.115866016652</v>
      </c>
    </row>
    <row r="431" customFormat="false" ht="15" hidden="false" customHeight="false" outlineLevel="0" collapsed="false">
      <c r="A431" s="3" t="n">
        <v>30001408</v>
      </c>
      <c r="B431" s="3" t="s">
        <v>643</v>
      </c>
      <c r="C431" s="3" t="s">
        <v>138</v>
      </c>
      <c r="D431" s="3" t="s">
        <v>213</v>
      </c>
      <c r="E431" s="3" t="s">
        <v>249</v>
      </c>
      <c r="F431" s="23" t="n">
        <v>0</v>
      </c>
      <c r="G431" s="23" t="n">
        <v>17</v>
      </c>
      <c r="H431" s="23" t="n">
        <v>17</v>
      </c>
      <c r="I431" s="23" t="n">
        <v>17</v>
      </c>
      <c r="J431" s="23" t="n">
        <v>0</v>
      </c>
      <c r="K431" s="23" t="n">
        <v>0</v>
      </c>
      <c r="L431" s="23" t="n">
        <v>0</v>
      </c>
      <c r="M431" s="23" t="n">
        <v>0</v>
      </c>
      <c r="N431" s="23" t="n">
        <v>0</v>
      </c>
      <c r="O431" s="23" t="n">
        <v>0</v>
      </c>
      <c r="P431" s="23" t="n">
        <v>0</v>
      </c>
      <c r="Q431" s="23" t="n">
        <v>0</v>
      </c>
      <c r="R431" s="23" t="n">
        <v>0</v>
      </c>
      <c r="S431" s="23" t="n">
        <v>0</v>
      </c>
    </row>
    <row r="432" customFormat="false" ht="15" hidden="false" customHeight="false" outlineLevel="0" collapsed="false">
      <c r="A432" s="3" t="n">
        <v>30000239</v>
      </c>
      <c r="B432" s="3" t="s">
        <v>644</v>
      </c>
      <c r="C432" s="3" t="s">
        <v>135</v>
      </c>
      <c r="D432" s="3" t="s">
        <v>224</v>
      </c>
      <c r="E432" s="3" t="s">
        <v>231</v>
      </c>
      <c r="F432" s="23" t="n">
        <v>12</v>
      </c>
      <c r="G432" s="23" t="n">
        <v>0</v>
      </c>
      <c r="H432" s="23" t="n">
        <v>12</v>
      </c>
      <c r="I432" s="23" t="n">
        <v>0</v>
      </c>
      <c r="J432" s="23" t="n">
        <v>0</v>
      </c>
      <c r="K432" s="23" t="n">
        <v>0</v>
      </c>
      <c r="L432" s="23" t="n">
        <v>0</v>
      </c>
      <c r="M432" s="23" t="n">
        <v>0</v>
      </c>
      <c r="N432" s="23" t="n">
        <v>0</v>
      </c>
      <c r="O432" s="23" t="n">
        <v>0</v>
      </c>
      <c r="P432" s="23" t="n">
        <v>0</v>
      </c>
      <c r="Q432" s="23" t="n">
        <v>0</v>
      </c>
      <c r="R432" s="23" t="n">
        <v>0</v>
      </c>
      <c r="S432" s="23" t="n">
        <v>0</v>
      </c>
    </row>
    <row r="433" customFormat="false" ht="15" hidden="false" customHeight="false" outlineLevel="0" collapsed="false">
      <c r="A433" s="3" t="n">
        <v>30000210</v>
      </c>
      <c r="B433" s="3" t="s">
        <v>645</v>
      </c>
      <c r="C433" s="3" t="s">
        <v>135</v>
      </c>
      <c r="D433" s="3" t="s">
        <v>224</v>
      </c>
      <c r="E433" s="3" t="s">
        <v>214</v>
      </c>
      <c r="F433" s="23" t="n">
        <v>0</v>
      </c>
      <c r="G433" s="23" t="n">
        <v>22.04</v>
      </c>
      <c r="H433" s="23" t="n">
        <v>0</v>
      </c>
      <c r="I433" s="23" t="n">
        <v>0</v>
      </c>
      <c r="J433" s="23" t="n">
        <v>0</v>
      </c>
      <c r="K433" s="23" t="n">
        <v>0</v>
      </c>
      <c r="L433" s="23" t="n">
        <v>0</v>
      </c>
      <c r="M433" s="23" t="n">
        <v>0</v>
      </c>
      <c r="N433" s="23" t="n">
        <v>0</v>
      </c>
      <c r="O433" s="23" t="n">
        <v>0</v>
      </c>
      <c r="P433" s="23" t="n">
        <v>0</v>
      </c>
      <c r="Q433" s="23" t="n">
        <v>0</v>
      </c>
      <c r="R433" s="23" t="n">
        <v>0</v>
      </c>
      <c r="S433" s="23" t="n">
        <v>0</v>
      </c>
    </row>
    <row r="434" customFormat="false" ht="15" hidden="false" customHeight="false" outlineLevel="0" collapsed="false">
      <c r="A434" s="3" t="n">
        <v>30000611</v>
      </c>
      <c r="B434" s="3" t="s">
        <v>646</v>
      </c>
      <c r="C434" s="3" t="s">
        <v>212</v>
      </c>
      <c r="D434" s="3" t="s">
        <v>213</v>
      </c>
      <c r="E434" s="3" t="s">
        <v>231</v>
      </c>
      <c r="F434" s="23" t="n">
        <v>0</v>
      </c>
      <c r="G434" s="23" t="n">
        <v>19.68</v>
      </c>
      <c r="H434" s="23" t="n">
        <v>0</v>
      </c>
      <c r="I434" s="23" t="n">
        <v>0</v>
      </c>
      <c r="J434" s="23" t="n">
        <v>0</v>
      </c>
      <c r="K434" s="23" t="n">
        <v>0</v>
      </c>
      <c r="L434" s="23" t="n">
        <v>0</v>
      </c>
      <c r="M434" s="23" t="n">
        <v>0</v>
      </c>
      <c r="N434" s="23" t="n">
        <v>0</v>
      </c>
      <c r="O434" s="23" t="n">
        <v>0</v>
      </c>
      <c r="P434" s="23" t="n">
        <v>0</v>
      </c>
      <c r="Q434" s="23" t="n">
        <v>0</v>
      </c>
      <c r="R434" s="23" t="n">
        <v>0</v>
      </c>
      <c r="S434" s="23" t="n">
        <v>0</v>
      </c>
    </row>
    <row r="435" customFormat="false" ht="15" hidden="false" customHeight="false" outlineLevel="0" collapsed="false">
      <c r="A435" s="3" t="n">
        <v>30001415</v>
      </c>
      <c r="B435" s="3" t="s">
        <v>647</v>
      </c>
      <c r="C435" s="3" t="s">
        <v>139</v>
      </c>
      <c r="D435" s="3" t="s">
        <v>213</v>
      </c>
      <c r="E435" s="3" t="s">
        <v>231</v>
      </c>
      <c r="F435" s="23" t="n">
        <v>0</v>
      </c>
      <c r="G435" s="23" t="n">
        <v>18</v>
      </c>
      <c r="H435" s="23" t="n">
        <v>0</v>
      </c>
      <c r="I435" s="23" t="n">
        <v>0</v>
      </c>
      <c r="J435" s="23" t="n">
        <v>0</v>
      </c>
      <c r="K435" s="23" t="n">
        <v>0</v>
      </c>
      <c r="L435" s="23" t="n">
        <v>0</v>
      </c>
      <c r="M435" s="23" t="n">
        <v>0</v>
      </c>
      <c r="N435" s="23" t="n">
        <v>0</v>
      </c>
      <c r="O435" s="23" t="n">
        <v>0</v>
      </c>
      <c r="P435" s="23" t="n">
        <v>0</v>
      </c>
      <c r="Q435" s="23" t="n">
        <v>0</v>
      </c>
      <c r="R435" s="23" t="n">
        <v>0</v>
      </c>
      <c r="S435" s="23" t="n">
        <v>0</v>
      </c>
    </row>
    <row r="436" customFormat="false" ht="15" hidden="false" customHeight="false" outlineLevel="0" collapsed="false">
      <c r="A436" s="3" t="n">
        <v>30000026</v>
      </c>
      <c r="B436" s="3" t="s">
        <v>621</v>
      </c>
      <c r="C436" s="3" t="s">
        <v>212</v>
      </c>
      <c r="D436" s="3" t="s">
        <v>213</v>
      </c>
      <c r="E436" s="3" t="n">
        <v>0</v>
      </c>
      <c r="F436" s="23" t="n">
        <v>0</v>
      </c>
      <c r="G436" s="23" t="n">
        <v>5.52</v>
      </c>
      <c r="H436" s="23" t="n">
        <v>0</v>
      </c>
      <c r="I436" s="23" t="n">
        <v>0</v>
      </c>
      <c r="J436" s="23" t="n">
        <v>0</v>
      </c>
      <c r="K436" s="23" t="n">
        <v>0</v>
      </c>
      <c r="L436" s="23" t="n">
        <v>0</v>
      </c>
      <c r="M436" s="23" t="n">
        <v>0</v>
      </c>
      <c r="N436" s="23" t="n">
        <v>0</v>
      </c>
      <c r="O436" s="23" t="n">
        <v>0</v>
      </c>
      <c r="P436" s="23" t="n">
        <v>0</v>
      </c>
      <c r="Q436" s="23" t="n">
        <v>0</v>
      </c>
      <c r="R436" s="23" t="n">
        <v>0</v>
      </c>
      <c r="S436" s="23" t="n">
        <v>0</v>
      </c>
    </row>
    <row r="437" customFormat="false" ht="15" hidden="false" customHeight="false" outlineLevel="0" collapsed="false">
      <c r="A437" s="3" t="n">
        <v>30000659</v>
      </c>
      <c r="B437" s="3" t="s">
        <v>648</v>
      </c>
      <c r="C437" s="3" t="s">
        <v>147</v>
      </c>
      <c r="D437" s="3" t="s">
        <v>224</v>
      </c>
      <c r="E437" s="3" t="s">
        <v>214</v>
      </c>
      <c r="F437" s="23" t="n">
        <v>0</v>
      </c>
      <c r="G437" s="23" t="n">
        <v>2.4</v>
      </c>
      <c r="H437" s="23" t="n">
        <v>0</v>
      </c>
      <c r="I437" s="23" t="n">
        <v>0</v>
      </c>
      <c r="J437" s="23" t="n">
        <v>0</v>
      </c>
      <c r="K437" s="23" t="n">
        <v>0</v>
      </c>
      <c r="L437" s="23" t="n">
        <v>0</v>
      </c>
      <c r="M437" s="23" t="n">
        <v>0</v>
      </c>
      <c r="N437" s="23" t="n">
        <v>0</v>
      </c>
      <c r="O437" s="23" t="n">
        <v>0</v>
      </c>
      <c r="P437" s="23" t="n">
        <v>0</v>
      </c>
      <c r="Q437" s="23" t="n">
        <v>0</v>
      </c>
      <c r="R437" s="23" t="n">
        <v>0</v>
      </c>
      <c r="S437" s="23" t="n">
        <v>0</v>
      </c>
    </row>
    <row r="438" customFormat="false" ht="15" hidden="false" customHeight="false" outlineLevel="0" collapsed="false">
      <c r="A438" s="3" t="n">
        <v>30000394</v>
      </c>
      <c r="B438" s="3" t="s">
        <v>649</v>
      </c>
      <c r="C438" s="3" t="s">
        <v>138</v>
      </c>
      <c r="D438" s="3" t="s">
        <v>213</v>
      </c>
      <c r="E438" s="3" t="s">
        <v>231</v>
      </c>
      <c r="F438" s="23" t="n">
        <v>0</v>
      </c>
      <c r="G438" s="23" t="n">
        <v>0</v>
      </c>
      <c r="H438" s="23" t="n">
        <v>0</v>
      </c>
      <c r="I438" s="23" t="n">
        <v>0</v>
      </c>
      <c r="J438" s="23" t="n">
        <v>0</v>
      </c>
      <c r="K438" s="23" t="n">
        <v>0</v>
      </c>
      <c r="L438" s="23" t="n">
        <v>0</v>
      </c>
      <c r="M438" s="23" t="n">
        <v>0</v>
      </c>
      <c r="N438" s="23" t="n">
        <v>0</v>
      </c>
      <c r="O438" s="23" t="n">
        <v>0</v>
      </c>
      <c r="P438" s="23" t="n">
        <v>0</v>
      </c>
      <c r="Q438" s="23" t="n">
        <v>0</v>
      </c>
      <c r="R438" s="23" t="n">
        <v>0</v>
      </c>
      <c r="S438" s="23" t="n">
        <v>0</v>
      </c>
    </row>
    <row r="439" customFormat="false" ht="15" hidden="false" customHeight="false" outlineLevel="0" collapsed="false">
      <c r="A439" s="3" t="n">
        <v>30000609</v>
      </c>
      <c r="B439" s="3" t="s">
        <v>650</v>
      </c>
      <c r="C439" s="3" t="s">
        <v>129</v>
      </c>
      <c r="D439" s="3" t="s">
        <v>213</v>
      </c>
      <c r="E439" s="3" t="s">
        <v>231</v>
      </c>
      <c r="F439" s="23" t="n">
        <v>0</v>
      </c>
      <c r="G439" s="23" t="n">
        <v>0</v>
      </c>
      <c r="H439" s="23" t="n">
        <v>0</v>
      </c>
      <c r="I439" s="23" t="n">
        <v>0</v>
      </c>
      <c r="J439" s="23" t="n">
        <v>0</v>
      </c>
      <c r="K439" s="23" t="n">
        <v>0</v>
      </c>
      <c r="L439" s="23" t="n">
        <v>0</v>
      </c>
      <c r="M439" s="23" t="n">
        <v>0</v>
      </c>
      <c r="N439" s="23" t="n">
        <v>0</v>
      </c>
      <c r="O439" s="23" t="n">
        <v>0</v>
      </c>
      <c r="P439" s="23" t="n">
        <v>0</v>
      </c>
      <c r="Q439" s="23" t="n">
        <v>0</v>
      </c>
      <c r="R439" s="23" t="n">
        <v>0</v>
      </c>
      <c r="S439" s="23" t="n">
        <v>0</v>
      </c>
    </row>
    <row r="440" customFormat="false" ht="15" hidden="false" customHeight="false" outlineLevel="0" collapsed="false">
      <c r="A440" s="3" t="n">
        <v>30000145</v>
      </c>
      <c r="B440" s="3" t="s">
        <v>651</v>
      </c>
      <c r="C440" s="3" t="s">
        <v>144</v>
      </c>
      <c r="D440" s="3" t="s">
        <v>213</v>
      </c>
      <c r="E440" s="3" t="s">
        <v>214</v>
      </c>
      <c r="F440" s="23" t="n">
        <v>0</v>
      </c>
      <c r="G440" s="23" t="n">
        <v>0</v>
      </c>
      <c r="H440" s="23" t="n">
        <v>0</v>
      </c>
      <c r="I440" s="23" t="n">
        <v>0</v>
      </c>
      <c r="J440" s="23" t="n">
        <v>0</v>
      </c>
      <c r="K440" s="23" t="n">
        <v>0</v>
      </c>
      <c r="L440" s="23" t="n">
        <v>0</v>
      </c>
      <c r="M440" s="23" t="n">
        <v>0</v>
      </c>
      <c r="N440" s="23" t="n">
        <v>0</v>
      </c>
      <c r="O440" s="23" t="n">
        <v>0</v>
      </c>
      <c r="P440" s="23" t="n">
        <v>0</v>
      </c>
      <c r="Q440" s="23" t="n">
        <v>0</v>
      </c>
      <c r="R440" s="23" t="n">
        <v>0</v>
      </c>
      <c r="S440" s="23" t="n">
        <v>0</v>
      </c>
    </row>
    <row r="441" customFormat="false" ht="15" hidden="false" customHeight="false" outlineLevel="0" collapsed="false">
      <c r="A441" s="3" t="n">
        <v>30000064</v>
      </c>
      <c r="B441" s="3" t="s">
        <v>652</v>
      </c>
      <c r="C441" s="3" t="s">
        <v>143</v>
      </c>
      <c r="D441" s="3" t="s">
        <v>224</v>
      </c>
      <c r="E441" s="3" t="s">
        <v>249</v>
      </c>
      <c r="F441" s="23" t="n">
        <v>0</v>
      </c>
      <c r="G441" s="23" t="n">
        <v>0</v>
      </c>
      <c r="H441" s="23" t="n">
        <v>0</v>
      </c>
      <c r="I441" s="23" t="n">
        <v>0</v>
      </c>
      <c r="J441" s="23" t="n">
        <v>0</v>
      </c>
      <c r="K441" s="23" t="n">
        <v>0</v>
      </c>
      <c r="L441" s="23" t="n">
        <v>0</v>
      </c>
      <c r="M441" s="23" t="n">
        <v>0</v>
      </c>
      <c r="N441" s="23" t="n">
        <v>0</v>
      </c>
      <c r="O441" s="23" t="n">
        <v>0</v>
      </c>
      <c r="P441" s="23" t="n">
        <v>0</v>
      </c>
      <c r="Q441" s="23" t="n">
        <v>0</v>
      </c>
      <c r="R441" s="23" t="n">
        <v>0</v>
      </c>
      <c r="S441" s="23" t="n">
        <v>0</v>
      </c>
    </row>
    <row r="442" customFormat="false" ht="15" hidden="false" customHeight="false" outlineLevel="0" collapsed="false">
      <c r="A442" s="3" t="n">
        <v>30000071</v>
      </c>
      <c r="B442" s="3" t="s">
        <v>653</v>
      </c>
      <c r="C442" s="3" t="s">
        <v>143</v>
      </c>
      <c r="D442" s="3" t="s">
        <v>224</v>
      </c>
      <c r="E442" s="3" t="s">
        <v>214</v>
      </c>
      <c r="F442" s="23" t="n">
        <v>0</v>
      </c>
      <c r="G442" s="23" t="n">
        <v>0</v>
      </c>
      <c r="H442" s="23" t="n">
        <v>0</v>
      </c>
      <c r="I442" s="23" t="n">
        <v>0</v>
      </c>
      <c r="J442" s="23" t="n">
        <v>0</v>
      </c>
      <c r="K442" s="23" t="n">
        <v>0</v>
      </c>
      <c r="L442" s="23" t="n">
        <v>0</v>
      </c>
      <c r="M442" s="23" t="n">
        <v>0</v>
      </c>
      <c r="N442" s="23" t="n">
        <v>0</v>
      </c>
      <c r="O442" s="23" t="n">
        <v>0</v>
      </c>
      <c r="P442" s="23" t="n">
        <v>0</v>
      </c>
      <c r="Q442" s="23" t="n">
        <v>0</v>
      </c>
      <c r="R442" s="23" t="n">
        <v>0</v>
      </c>
      <c r="S442" s="23" t="n">
        <v>0</v>
      </c>
    </row>
    <row r="443" customFormat="false" ht="15" hidden="false" customHeight="false" outlineLevel="0" collapsed="false">
      <c r="A443" s="3" t="n">
        <v>30000390</v>
      </c>
      <c r="B443" s="3" t="s">
        <v>654</v>
      </c>
      <c r="C443" s="3" t="s">
        <v>139</v>
      </c>
      <c r="D443" s="3" t="s">
        <v>213</v>
      </c>
      <c r="E443" s="3" t="s">
        <v>249</v>
      </c>
      <c r="F443" s="23" t="n">
        <v>0</v>
      </c>
      <c r="G443" s="23" t="n">
        <v>0</v>
      </c>
      <c r="H443" s="23" t="n">
        <v>0</v>
      </c>
      <c r="I443" s="23" t="n">
        <v>0</v>
      </c>
      <c r="J443" s="23" t="n">
        <v>0</v>
      </c>
      <c r="K443" s="23" t="n">
        <v>0</v>
      </c>
      <c r="L443" s="23" t="n">
        <v>0</v>
      </c>
      <c r="M443" s="23" t="n">
        <v>0</v>
      </c>
      <c r="N443" s="23" t="n">
        <v>0</v>
      </c>
      <c r="O443" s="23" t="n">
        <v>0</v>
      </c>
      <c r="P443" s="23" t="n">
        <v>0</v>
      </c>
      <c r="Q443" s="23" t="n">
        <v>0</v>
      </c>
      <c r="R443" s="23" t="n">
        <v>0</v>
      </c>
      <c r="S443" s="23" t="n">
        <v>0</v>
      </c>
    </row>
    <row r="444" customFormat="false" ht="15" hidden="false" customHeight="false" outlineLevel="0" collapsed="false">
      <c r="A444" s="3" t="n">
        <v>30001676</v>
      </c>
      <c r="B444" s="3" t="s">
        <v>655</v>
      </c>
      <c r="C444" s="3" t="s">
        <v>130</v>
      </c>
      <c r="D444" s="3" t="s">
        <v>213</v>
      </c>
      <c r="E444" s="3" t="s">
        <v>231</v>
      </c>
      <c r="F444" s="23" t="n">
        <v>0</v>
      </c>
      <c r="G444" s="23" t="n">
        <v>0</v>
      </c>
      <c r="H444" s="23" t="n">
        <v>0</v>
      </c>
      <c r="I444" s="23" t="n">
        <v>0</v>
      </c>
      <c r="J444" s="23" t="n">
        <v>0</v>
      </c>
      <c r="K444" s="23" t="n">
        <v>0</v>
      </c>
      <c r="L444" s="23" t="n">
        <v>0</v>
      </c>
      <c r="M444" s="23" t="n">
        <v>0</v>
      </c>
      <c r="N444" s="23" t="n">
        <v>0</v>
      </c>
      <c r="O444" s="23" t="n">
        <v>0</v>
      </c>
      <c r="P444" s="23" t="n">
        <v>0</v>
      </c>
      <c r="Q444" s="23" t="n">
        <v>0</v>
      </c>
      <c r="R444" s="23" t="n">
        <v>0</v>
      </c>
      <c r="S444" s="23" t="n">
        <v>0</v>
      </c>
    </row>
    <row r="445" customFormat="false" ht="15" hidden="false" customHeight="false" outlineLevel="0" collapsed="false">
      <c r="A445" s="3" t="n">
        <v>30001677</v>
      </c>
      <c r="B445" s="3" t="s">
        <v>656</v>
      </c>
      <c r="C445" s="3" t="s">
        <v>155</v>
      </c>
      <c r="D445" s="3" t="s">
        <v>224</v>
      </c>
      <c r="E445" s="3" t="s">
        <v>231</v>
      </c>
      <c r="F445" s="23" t="n">
        <v>0</v>
      </c>
      <c r="G445" s="23" t="n">
        <v>0</v>
      </c>
      <c r="H445" s="23" t="n">
        <v>0</v>
      </c>
      <c r="I445" s="23" t="n">
        <v>0</v>
      </c>
      <c r="J445" s="23" t="n">
        <v>0</v>
      </c>
      <c r="K445" s="23" t="n">
        <v>0</v>
      </c>
      <c r="L445" s="23" t="n">
        <v>0</v>
      </c>
      <c r="M445" s="23" t="n">
        <v>0</v>
      </c>
      <c r="N445" s="23" t="n">
        <v>0</v>
      </c>
      <c r="O445" s="23" t="n">
        <v>0</v>
      </c>
      <c r="P445" s="23" t="n">
        <v>0</v>
      </c>
      <c r="Q445" s="23" t="n">
        <v>0</v>
      </c>
      <c r="R445" s="23" t="n">
        <v>0</v>
      </c>
      <c r="S445" s="23" t="n">
        <v>0</v>
      </c>
    </row>
    <row r="446" customFormat="false" ht="15" hidden="false" customHeight="false" outlineLevel="0" collapsed="false">
      <c r="A446" s="3" t="n">
        <v>30002175</v>
      </c>
      <c r="B446" s="3" t="s">
        <v>657</v>
      </c>
      <c r="C446" s="3" t="s">
        <v>135</v>
      </c>
      <c r="D446" s="3" t="s">
        <v>213</v>
      </c>
      <c r="E446" s="3" t="s">
        <v>214</v>
      </c>
      <c r="F446" s="23" t="n">
        <v>0</v>
      </c>
      <c r="G446" s="23" t="n">
        <v>0</v>
      </c>
      <c r="H446" s="23" t="n">
        <v>0</v>
      </c>
      <c r="I446" s="23" t="n">
        <v>0</v>
      </c>
      <c r="J446" s="23" t="n">
        <v>0</v>
      </c>
      <c r="K446" s="23" t="n">
        <v>0</v>
      </c>
      <c r="L446" s="23" t="n">
        <v>34.5</v>
      </c>
      <c r="M446" s="23" t="n">
        <v>0</v>
      </c>
      <c r="N446" s="23" t="n">
        <v>0</v>
      </c>
      <c r="O446" s="23" t="n">
        <v>0</v>
      </c>
      <c r="P446" s="23" t="n">
        <v>0</v>
      </c>
      <c r="Q446" s="23" t="n">
        <v>0</v>
      </c>
      <c r="R446" s="23" t="n">
        <v>0</v>
      </c>
      <c r="S446" s="23" t="n">
        <v>0</v>
      </c>
    </row>
    <row r="447" customFormat="false" ht="15" hidden="false" customHeight="false" outlineLevel="0" collapsed="false">
      <c r="A447" s="3" t="n">
        <v>30000409</v>
      </c>
      <c r="B447" s="3" t="s">
        <v>658</v>
      </c>
      <c r="C447" s="3" t="s">
        <v>155</v>
      </c>
      <c r="D447" s="3" t="s">
        <v>224</v>
      </c>
      <c r="E447" s="3" t="s">
        <v>214</v>
      </c>
      <c r="F447" s="23" t="n">
        <v>0</v>
      </c>
      <c r="G447" s="23" t="n">
        <v>0</v>
      </c>
      <c r="H447" s="23" t="n">
        <v>0</v>
      </c>
      <c r="I447" s="23" t="n">
        <v>0</v>
      </c>
      <c r="J447" s="23" t="n">
        <v>0</v>
      </c>
      <c r="K447" s="23" t="n">
        <v>0</v>
      </c>
      <c r="L447" s="23" t="n">
        <v>0</v>
      </c>
      <c r="M447" s="23" t="n">
        <v>0</v>
      </c>
      <c r="N447" s="23" t="n">
        <v>0</v>
      </c>
      <c r="O447" s="23" t="n">
        <v>0</v>
      </c>
      <c r="P447" s="23" t="n">
        <v>0</v>
      </c>
      <c r="Q447" s="23" t="n">
        <v>0</v>
      </c>
      <c r="R447" s="23" t="n">
        <v>0</v>
      </c>
      <c r="S447" s="23" t="n">
        <v>0</v>
      </c>
    </row>
    <row r="448" customFormat="false" ht="15" hidden="false" customHeight="false" outlineLevel="0" collapsed="false">
      <c r="A448" s="3" t="n">
        <v>30000408</v>
      </c>
      <c r="B448" s="3" t="s">
        <v>659</v>
      </c>
      <c r="C448" s="3" t="s">
        <v>155</v>
      </c>
      <c r="D448" s="3" t="s">
        <v>224</v>
      </c>
      <c r="E448" s="3" t="s">
        <v>214</v>
      </c>
      <c r="F448" s="23" t="n">
        <v>0</v>
      </c>
      <c r="G448" s="23" t="n">
        <v>0</v>
      </c>
      <c r="H448" s="23" t="n">
        <v>0</v>
      </c>
      <c r="I448" s="23" t="n">
        <v>0</v>
      </c>
      <c r="J448" s="23" t="n">
        <v>0</v>
      </c>
      <c r="K448" s="23" t="n">
        <v>0</v>
      </c>
      <c r="L448" s="23" t="n">
        <v>0</v>
      </c>
      <c r="M448" s="23" t="n">
        <v>0</v>
      </c>
      <c r="N448" s="23" t="n">
        <v>0</v>
      </c>
      <c r="O448" s="23" t="n">
        <v>0</v>
      </c>
      <c r="P448" s="23" t="n">
        <v>0</v>
      </c>
      <c r="Q448" s="23" t="n">
        <v>0</v>
      </c>
      <c r="R448" s="23" t="n">
        <v>0</v>
      </c>
      <c r="S448" s="23" t="n">
        <v>0</v>
      </c>
    </row>
    <row r="449" customFormat="false" ht="15" hidden="false" customHeight="false" outlineLevel="0" collapsed="false">
      <c r="A449" s="3" t="n">
        <v>30000395</v>
      </c>
      <c r="B449" s="3" t="s">
        <v>660</v>
      </c>
      <c r="C449" s="3" t="s">
        <v>138</v>
      </c>
      <c r="D449" s="3" t="s">
        <v>213</v>
      </c>
      <c r="E449" s="3" t="s">
        <v>231</v>
      </c>
      <c r="F449" s="23" t="n">
        <v>0</v>
      </c>
      <c r="G449" s="23" t="n">
        <v>0</v>
      </c>
      <c r="H449" s="23" t="n">
        <v>0</v>
      </c>
      <c r="I449" s="23" t="n">
        <v>0</v>
      </c>
      <c r="J449" s="23" t="n">
        <v>0</v>
      </c>
      <c r="K449" s="23" t="n">
        <v>0</v>
      </c>
      <c r="L449" s="23" t="n">
        <v>16</v>
      </c>
      <c r="M449" s="23" t="n">
        <v>0</v>
      </c>
      <c r="N449" s="23" t="n">
        <v>0</v>
      </c>
      <c r="O449" s="23" t="n">
        <v>0</v>
      </c>
      <c r="P449" s="23" t="n">
        <v>0</v>
      </c>
      <c r="Q449" s="23" t="n">
        <v>0</v>
      </c>
      <c r="R449" s="23" t="n">
        <v>0</v>
      </c>
      <c r="S449" s="23" t="n">
        <v>0</v>
      </c>
    </row>
    <row r="450" customFormat="false" ht="15" hidden="false" customHeight="false" outlineLevel="0" collapsed="false">
      <c r="A450" s="3" t="n">
        <v>30001485</v>
      </c>
      <c r="B450" s="3" t="s">
        <v>661</v>
      </c>
      <c r="C450" s="3" t="s">
        <v>139</v>
      </c>
      <c r="D450" s="3" t="s">
        <v>213</v>
      </c>
      <c r="E450" s="3" t="s">
        <v>231</v>
      </c>
      <c r="F450" s="23" t="n">
        <v>0</v>
      </c>
      <c r="G450" s="23" t="n">
        <v>0</v>
      </c>
      <c r="H450" s="23" t="n">
        <v>0</v>
      </c>
      <c r="I450" s="23" t="n">
        <v>0</v>
      </c>
      <c r="J450" s="23" t="n">
        <v>0</v>
      </c>
      <c r="K450" s="23" t="n">
        <v>0</v>
      </c>
      <c r="L450" s="23" t="n">
        <v>0</v>
      </c>
      <c r="M450" s="23" t="n">
        <v>0</v>
      </c>
      <c r="N450" s="23" t="n">
        <v>0</v>
      </c>
      <c r="O450" s="23" t="n">
        <v>0</v>
      </c>
      <c r="P450" s="23" t="n">
        <v>0</v>
      </c>
      <c r="Q450" s="23" t="n">
        <v>0</v>
      </c>
      <c r="R450" s="23" t="n">
        <v>0</v>
      </c>
      <c r="S450" s="23" t="n">
        <v>0</v>
      </c>
    </row>
    <row r="451" customFormat="false" ht="15" hidden="false" customHeight="false" outlineLevel="0" collapsed="false">
      <c r="A451" s="3" t="n">
        <v>30001521</v>
      </c>
      <c r="B451" s="3" t="s">
        <v>662</v>
      </c>
      <c r="C451" s="3" t="s">
        <v>129</v>
      </c>
      <c r="D451" s="3" t="s">
        <v>213</v>
      </c>
      <c r="E451" s="3" t="s">
        <v>231</v>
      </c>
      <c r="F451" s="23" t="n">
        <v>0</v>
      </c>
      <c r="G451" s="23" t="n">
        <v>0</v>
      </c>
      <c r="H451" s="23" t="n">
        <v>0</v>
      </c>
      <c r="I451" s="23" t="n">
        <v>0</v>
      </c>
      <c r="J451" s="23" t="n">
        <v>0</v>
      </c>
      <c r="K451" s="23" t="n">
        <v>0</v>
      </c>
      <c r="L451" s="23" t="n">
        <v>0</v>
      </c>
      <c r="M451" s="23" t="n">
        <v>0</v>
      </c>
      <c r="N451" s="23" t="n">
        <v>0</v>
      </c>
      <c r="O451" s="23" t="n">
        <v>0</v>
      </c>
      <c r="P451" s="23" t="n">
        <v>0</v>
      </c>
      <c r="Q451" s="23" t="n">
        <v>0</v>
      </c>
      <c r="R451" s="23" t="n">
        <v>0</v>
      </c>
      <c r="S451" s="23" t="n">
        <v>0</v>
      </c>
    </row>
    <row r="452" customFormat="false" ht="15" hidden="false" customHeight="false" outlineLevel="0" collapsed="false">
      <c r="A452" s="3" t="n">
        <v>30000458</v>
      </c>
      <c r="B452" s="3" t="s">
        <v>663</v>
      </c>
      <c r="C452" s="3" t="s">
        <v>149</v>
      </c>
      <c r="D452" s="3" t="s">
        <v>224</v>
      </c>
      <c r="E452" s="3" t="s">
        <v>249</v>
      </c>
      <c r="F452" s="23" t="n">
        <v>0</v>
      </c>
      <c r="G452" s="23" t="n">
        <v>0</v>
      </c>
      <c r="H452" s="23" t="n">
        <v>0</v>
      </c>
      <c r="I452" s="23" t="n">
        <v>0</v>
      </c>
      <c r="J452" s="23" t="n">
        <v>0</v>
      </c>
      <c r="K452" s="23" t="n">
        <v>0</v>
      </c>
      <c r="L452" s="23" t="n">
        <v>0</v>
      </c>
      <c r="M452" s="23" t="n">
        <v>0</v>
      </c>
      <c r="N452" s="23" t="n">
        <v>0</v>
      </c>
      <c r="O452" s="23" t="n">
        <v>0</v>
      </c>
      <c r="P452" s="23" t="n">
        <v>0</v>
      </c>
      <c r="Q452" s="23" t="n">
        <v>0</v>
      </c>
      <c r="R452" s="23" t="n">
        <v>0</v>
      </c>
      <c r="S452" s="23" t="n">
        <v>0</v>
      </c>
    </row>
    <row r="453" customFormat="false" ht="15" hidden="false" customHeight="false" outlineLevel="0" collapsed="false">
      <c r="A453" s="3" t="n">
        <v>30000420</v>
      </c>
      <c r="B453" s="3" t="s">
        <v>664</v>
      </c>
      <c r="C453" s="3" t="s">
        <v>139</v>
      </c>
      <c r="D453" s="3" t="s">
        <v>213</v>
      </c>
      <c r="E453" s="3" t="s">
        <v>249</v>
      </c>
      <c r="F453" s="23" t="n">
        <v>0</v>
      </c>
      <c r="G453" s="23" t="n">
        <v>0</v>
      </c>
      <c r="H453" s="23" t="n">
        <v>0</v>
      </c>
      <c r="I453" s="23" t="n">
        <v>0</v>
      </c>
      <c r="J453" s="23" t="n">
        <v>0</v>
      </c>
      <c r="K453" s="23" t="n">
        <v>0</v>
      </c>
      <c r="L453" s="23" t="n">
        <v>0</v>
      </c>
      <c r="M453" s="23" t="n">
        <v>0</v>
      </c>
      <c r="N453" s="23" t="n">
        <v>0</v>
      </c>
      <c r="O453" s="23" t="n">
        <v>0</v>
      </c>
      <c r="P453" s="23" t="n">
        <v>0</v>
      </c>
      <c r="Q453" s="23" t="n">
        <v>0</v>
      </c>
      <c r="R453" s="23" t="n">
        <v>0</v>
      </c>
      <c r="S453" s="23" t="n">
        <v>0</v>
      </c>
    </row>
    <row r="454" customFormat="false" ht="15" hidden="false" customHeight="false" outlineLevel="0" collapsed="false">
      <c r="A454" s="3" t="n">
        <v>30001414</v>
      </c>
      <c r="B454" s="3" t="s">
        <v>665</v>
      </c>
      <c r="C454" s="3" t="s">
        <v>139</v>
      </c>
      <c r="D454" s="3" t="s">
        <v>213</v>
      </c>
      <c r="E454" s="3" t="s">
        <v>231</v>
      </c>
      <c r="F454" s="23" t="n">
        <v>0</v>
      </c>
      <c r="G454" s="23" t="n">
        <v>0</v>
      </c>
      <c r="H454" s="23" t="n">
        <v>0</v>
      </c>
      <c r="I454" s="23" t="n">
        <v>0</v>
      </c>
      <c r="J454" s="23" t="n">
        <v>0</v>
      </c>
      <c r="K454" s="23" t="n">
        <v>0</v>
      </c>
      <c r="L454" s="23" t="n">
        <v>0</v>
      </c>
      <c r="M454" s="23" t="n">
        <v>0</v>
      </c>
      <c r="N454" s="23" t="n">
        <v>0</v>
      </c>
      <c r="O454" s="23" t="n">
        <v>0</v>
      </c>
      <c r="P454" s="23" t="n">
        <v>0</v>
      </c>
      <c r="Q454" s="23" t="n">
        <v>0</v>
      </c>
      <c r="R454" s="23" t="n">
        <v>0</v>
      </c>
      <c r="S454" s="23" t="n">
        <v>0</v>
      </c>
    </row>
    <row r="455" customFormat="false" ht="15" hidden="false" customHeight="false" outlineLevel="0" collapsed="false">
      <c r="A455" s="3" t="n">
        <v>30000459</v>
      </c>
      <c r="B455" s="3" t="s">
        <v>666</v>
      </c>
      <c r="C455" s="3" t="s">
        <v>212</v>
      </c>
      <c r="D455" s="3" t="s">
        <v>224</v>
      </c>
      <c r="E455" s="3" t="s">
        <v>249</v>
      </c>
      <c r="F455" s="23" t="n">
        <v>0</v>
      </c>
      <c r="G455" s="23" t="n">
        <v>0</v>
      </c>
      <c r="H455" s="23" t="n">
        <v>0</v>
      </c>
      <c r="I455" s="23" t="n">
        <v>0</v>
      </c>
      <c r="J455" s="23" t="n">
        <v>0</v>
      </c>
      <c r="K455" s="23" t="n">
        <v>0</v>
      </c>
      <c r="L455" s="23" t="n">
        <v>0</v>
      </c>
      <c r="M455" s="23" t="n">
        <v>1100</v>
      </c>
      <c r="N455" s="23" t="n">
        <v>1385.37728806246</v>
      </c>
      <c r="O455" s="23" t="n">
        <v>873.408284101627</v>
      </c>
      <c r="P455" s="23" t="n">
        <v>1385.37728806246</v>
      </c>
      <c r="Q455" s="23" t="n">
        <v>1385.37728806246</v>
      </c>
      <c r="R455" s="23" t="n">
        <v>1100</v>
      </c>
      <c r="S455" s="23" t="n">
        <v>1100</v>
      </c>
    </row>
    <row r="456" customFormat="false" ht="15" hidden="false" customHeight="false" outlineLevel="0" collapsed="false">
      <c r="A456" s="3" t="n">
        <v>30000477</v>
      </c>
      <c r="B456" s="3" t="s">
        <v>667</v>
      </c>
      <c r="C456" s="3" t="s">
        <v>139</v>
      </c>
      <c r="D456" s="3" t="s">
        <v>213</v>
      </c>
      <c r="E456" s="3" t="s">
        <v>231</v>
      </c>
      <c r="F456" s="23" t="n">
        <v>0</v>
      </c>
      <c r="G456" s="23" t="n">
        <v>0</v>
      </c>
      <c r="H456" s="23" t="n">
        <v>0</v>
      </c>
      <c r="I456" s="23" t="n">
        <v>0</v>
      </c>
      <c r="J456" s="23" t="n">
        <v>0</v>
      </c>
      <c r="K456" s="23" t="n">
        <v>0</v>
      </c>
      <c r="L456" s="23" t="n">
        <v>0</v>
      </c>
      <c r="M456" s="23" t="n">
        <v>0</v>
      </c>
      <c r="N456" s="23" t="n">
        <v>0</v>
      </c>
      <c r="O456" s="23" t="n">
        <v>0</v>
      </c>
      <c r="P456" s="23" t="n">
        <v>0</v>
      </c>
      <c r="Q456" s="23" t="n">
        <v>0</v>
      </c>
      <c r="R456" s="23" t="n">
        <v>0</v>
      </c>
      <c r="S456" s="23" t="n">
        <v>0</v>
      </c>
    </row>
    <row r="457" customFormat="false" ht="15" hidden="false" customHeight="false" outlineLevel="0" collapsed="false">
      <c r="A457" s="3" t="n">
        <v>30000515</v>
      </c>
      <c r="B457" s="3" t="s">
        <v>668</v>
      </c>
      <c r="C457" s="3" t="s">
        <v>139</v>
      </c>
      <c r="D457" s="3" t="s">
        <v>213</v>
      </c>
      <c r="E457" s="3" t="s">
        <v>214</v>
      </c>
      <c r="F457" s="23" t="n">
        <v>0</v>
      </c>
      <c r="G457" s="23" t="n">
        <v>0</v>
      </c>
      <c r="H457" s="23" t="n">
        <v>0</v>
      </c>
      <c r="I457" s="23" t="n">
        <v>0</v>
      </c>
      <c r="J457" s="23" t="n">
        <v>0</v>
      </c>
      <c r="K457" s="23" t="n">
        <v>0</v>
      </c>
      <c r="L457" s="23" t="n">
        <v>0</v>
      </c>
      <c r="M457" s="23" t="n">
        <v>0</v>
      </c>
      <c r="N457" s="23" t="n">
        <v>0</v>
      </c>
      <c r="O457" s="23" t="n">
        <v>0</v>
      </c>
      <c r="P457" s="23" t="n">
        <v>0</v>
      </c>
      <c r="Q457" s="23" t="n">
        <v>0</v>
      </c>
      <c r="R457" s="23" t="n">
        <v>0</v>
      </c>
      <c r="S457" s="23" t="n">
        <v>0</v>
      </c>
    </row>
    <row r="458" customFormat="false" ht="15" hidden="false" customHeight="false" outlineLevel="0" collapsed="false">
      <c r="A458" s="3" t="n">
        <v>30001589</v>
      </c>
      <c r="B458" s="3" t="s">
        <v>669</v>
      </c>
      <c r="C458" s="3" t="s">
        <v>149</v>
      </c>
      <c r="D458" s="3" t="s">
        <v>224</v>
      </c>
      <c r="E458" s="3" t="s">
        <v>249</v>
      </c>
      <c r="F458" s="23" t="n">
        <v>0</v>
      </c>
      <c r="G458" s="23" t="n">
        <v>0</v>
      </c>
      <c r="H458" s="23" t="n">
        <v>0</v>
      </c>
      <c r="I458" s="23" t="n">
        <v>0</v>
      </c>
      <c r="J458" s="23" t="n">
        <v>0</v>
      </c>
      <c r="K458" s="23" t="n">
        <v>0</v>
      </c>
      <c r="L458" s="23" t="n">
        <v>6.4</v>
      </c>
      <c r="M458" s="23" t="n">
        <v>0</v>
      </c>
      <c r="N458" s="23" t="n">
        <v>0</v>
      </c>
      <c r="O458" s="23" t="n">
        <v>0</v>
      </c>
      <c r="P458" s="23" t="n">
        <v>0</v>
      </c>
      <c r="Q458" s="23" t="n">
        <v>0</v>
      </c>
      <c r="R458" s="23" t="n">
        <v>0</v>
      </c>
      <c r="S458" s="23" t="n">
        <v>0</v>
      </c>
    </row>
    <row r="459" customFormat="false" ht="15" hidden="false" customHeight="false" outlineLevel="0" collapsed="false">
      <c r="A459" s="3" t="n">
        <v>30000604</v>
      </c>
      <c r="B459" s="3" t="s">
        <v>670</v>
      </c>
      <c r="C459" s="3" t="s">
        <v>129</v>
      </c>
      <c r="D459" s="3" t="s">
        <v>213</v>
      </c>
      <c r="E459" s="3" t="s">
        <v>214</v>
      </c>
      <c r="F459" s="23" t="n">
        <v>0</v>
      </c>
      <c r="G459" s="23" t="n">
        <v>0</v>
      </c>
      <c r="H459" s="23" t="n">
        <v>0</v>
      </c>
      <c r="I459" s="23" t="n">
        <v>0</v>
      </c>
      <c r="J459" s="23" t="n">
        <v>0</v>
      </c>
      <c r="K459" s="23" t="n">
        <v>0</v>
      </c>
      <c r="L459" s="23" t="n">
        <v>0</v>
      </c>
      <c r="M459" s="23" t="n">
        <v>0</v>
      </c>
      <c r="N459" s="23" t="n">
        <v>0</v>
      </c>
      <c r="O459" s="23" t="n">
        <v>0</v>
      </c>
      <c r="P459" s="23" t="n">
        <v>0</v>
      </c>
      <c r="Q459" s="23" t="n">
        <v>0</v>
      </c>
      <c r="R459" s="23" t="n">
        <v>0</v>
      </c>
      <c r="S459" s="23" t="n">
        <v>0</v>
      </c>
    </row>
    <row r="460" customFormat="false" ht="15" hidden="false" customHeight="false" outlineLevel="0" collapsed="false">
      <c r="A460" s="3" t="n">
        <v>30000298</v>
      </c>
      <c r="B460" s="3" t="s">
        <v>671</v>
      </c>
      <c r="C460" s="3" t="s">
        <v>149</v>
      </c>
      <c r="D460" s="3" t="s">
        <v>224</v>
      </c>
      <c r="E460" s="3" t="s">
        <v>249</v>
      </c>
      <c r="F460" s="23" t="n">
        <v>0</v>
      </c>
      <c r="G460" s="23" t="n">
        <v>0</v>
      </c>
      <c r="H460" s="23" t="n">
        <v>0</v>
      </c>
      <c r="I460" s="23" t="n">
        <v>0</v>
      </c>
      <c r="J460" s="23" t="n">
        <v>0</v>
      </c>
      <c r="K460" s="23" t="n">
        <v>0</v>
      </c>
      <c r="L460" s="23" t="n">
        <v>0</v>
      </c>
      <c r="M460" s="23" t="n">
        <v>0</v>
      </c>
      <c r="N460" s="23" t="n">
        <v>0</v>
      </c>
      <c r="O460" s="23" t="n">
        <v>0</v>
      </c>
      <c r="P460" s="23" t="n">
        <v>0</v>
      </c>
      <c r="Q460" s="23" t="n">
        <v>0</v>
      </c>
      <c r="R460" s="23" t="n">
        <v>0</v>
      </c>
      <c r="S460" s="23" t="n">
        <v>0</v>
      </c>
    </row>
    <row r="461" customFormat="false" ht="15" hidden="false" customHeight="false" outlineLevel="0" collapsed="false">
      <c r="A461" s="3" t="n">
        <v>30000304</v>
      </c>
      <c r="B461" s="3" t="s">
        <v>672</v>
      </c>
      <c r="C461" s="3" t="s">
        <v>149</v>
      </c>
      <c r="D461" s="3" t="s">
        <v>224</v>
      </c>
      <c r="E461" s="3" t="s">
        <v>214</v>
      </c>
      <c r="F461" s="23" t="n">
        <v>0</v>
      </c>
      <c r="G461" s="23" t="n">
        <v>0</v>
      </c>
      <c r="H461" s="23" t="n">
        <v>0</v>
      </c>
      <c r="I461" s="23" t="n">
        <v>0</v>
      </c>
      <c r="J461" s="23" t="n">
        <v>0</v>
      </c>
      <c r="K461" s="23" t="n">
        <v>0</v>
      </c>
      <c r="L461" s="23" t="n">
        <v>0</v>
      </c>
      <c r="M461" s="23" t="n">
        <v>0</v>
      </c>
      <c r="N461" s="23" t="n">
        <v>0</v>
      </c>
      <c r="O461" s="23" t="n">
        <v>0</v>
      </c>
      <c r="P461" s="23" t="n">
        <v>0</v>
      </c>
      <c r="Q461" s="23" t="n">
        <v>0</v>
      </c>
      <c r="R461" s="23" t="n">
        <v>0</v>
      </c>
      <c r="S461" s="23" t="n">
        <v>0</v>
      </c>
    </row>
    <row r="462" customFormat="false" ht="15" hidden="false" customHeight="false" outlineLevel="0" collapsed="false">
      <c r="A462" s="3" t="n">
        <v>30000311</v>
      </c>
      <c r="B462" s="3" t="s">
        <v>673</v>
      </c>
      <c r="C462" s="3" t="s">
        <v>139</v>
      </c>
      <c r="D462" s="3" t="s">
        <v>213</v>
      </c>
      <c r="E462" s="3" t="n">
        <v>0</v>
      </c>
      <c r="F462" s="23" t="n">
        <v>0</v>
      </c>
      <c r="G462" s="23" t="n">
        <v>0</v>
      </c>
      <c r="H462" s="23" t="n">
        <v>0</v>
      </c>
      <c r="I462" s="23" t="n">
        <v>0</v>
      </c>
      <c r="J462" s="23" t="n">
        <v>0</v>
      </c>
      <c r="K462" s="23" t="n">
        <v>0</v>
      </c>
      <c r="L462" s="23" t="n">
        <v>0</v>
      </c>
      <c r="M462" s="23" t="n">
        <v>0</v>
      </c>
      <c r="N462" s="23" t="n">
        <v>0</v>
      </c>
      <c r="O462" s="23" t="n">
        <v>0</v>
      </c>
      <c r="P462" s="23" t="n">
        <v>0</v>
      </c>
      <c r="Q462" s="23" t="n">
        <v>0</v>
      </c>
      <c r="R462" s="23" t="n">
        <v>0</v>
      </c>
      <c r="S462" s="23" t="n">
        <v>0</v>
      </c>
    </row>
    <row r="463" customFormat="false" ht="15" hidden="false" customHeight="false" outlineLevel="0" collapsed="false">
      <c r="A463" s="3" t="n">
        <v>30000370</v>
      </c>
      <c r="B463" s="3" t="s">
        <v>674</v>
      </c>
      <c r="C463" s="3" t="s">
        <v>155</v>
      </c>
      <c r="D463" s="3" t="s">
        <v>224</v>
      </c>
      <c r="E463" s="3" t="s">
        <v>231</v>
      </c>
      <c r="F463" s="23" t="n">
        <v>0</v>
      </c>
      <c r="G463" s="23" t="n">
        <v>0</v>
      </c>
      <c r="H463" s="23" t="n">
        <v>0</v>
      </c>
      <c r="I463" s="23" t="n">
        <v>0</v>
      </c>
      <c r="J463" s="23" t="n">
        <v>0</v>
      </c>
      <c r="K463" s="23" t="n">
        <v>0</v>
      </c>
      <c r="L463" s="23" t="n">
        <v>0</v>
      </c>
      <c r="M463" s="23" t="n">
        <v>0</v>
      </c>
      <c r="N463" s="23" t="n">
        <v>0</v>
      </c>
      <c r="O463" s="23" t="n">
        <v>0</v>
      </c>
      <c r="P463" s="23" t="n">
        <v>0</v>
      </c>
      <c r="Q463" s="23" t="n">
        <v>0</v>
      </c>
      <c r="R463" s="23" t="n">
        <v>0</v>
      </c>
      <c r="S463" s="23" t="n">
        <v>0</v>
      </c>
    </row>
    <row r="464" customFormat="false" ht="15" hidden="false" customHeight="false" outlineLevel="0" collapsed="false">
      <c r="A464" s="3" t="n">
        <v>30000358</v>
      </c>
      <c r="B464" s="3" t="s">
        <v>675</v>
      </c>
      <c r="C464" s="3" t="s">
        <v>138</v>
      </c>
      <c r="D464" s="3" t="s">
        <v>213</v>
      </c>
      <c r="E464" s="3" t="n">
        <v>0</v>
      </c>
      <c r="F464" s="23" t="n">
        <v>0</v>
      </c>
      <c r="G464" s="23" t="n">
        <v>0</v>
      </c>
      <c r="H464" s="23" t="n">
        <v>0</v>
      </c>
      <c r="I464" s="23" t="n">
        <v>0</v>
      </c>
      <c r="J464" s="23" t="n">
        <v>0</v>
      </c>
      <c r="K464" s="23" t="n">
        <v>0</v>
      </c>
      <c r="L464" s="23" t="n">
        <v>0</v>
      </c>
      <c r="M464" s="23" t="n">
        <v>0</v>
      </c>
      <c r="N464" s="23" t="n">
        <v>0</v>
      </c>
      <c r="O464" s="23" t="n">
        <v>0</v>
      </c>
      <c r="P464" s="23" t="n">
        <v>0</v>
      </c>
      <c r="Q464" s="23" t="n">
        <v>0</v>
      </c>
      <c r="R464" s="23" t="n">
        <v>0</v>
      </c>
      <c r="S464" s="23" t="n">
        <v>0</v>
      </c>
    </row>
    <row r="465" customFormat="false" ht="15" hidden="false" customHeight="false" outlineLevel="0" collapsed="false">
      <c r="A465" s="3" t="n">
        <v>30000366</v>
      </c>
      <c r="B465" s="3" t="s">
        <v>676</v>
      </c>
      <c r="C465" s="3" t="s">
        <v>149</v>
      </c>
      <c r="D465" s="3" t="s">
        <v>224</v>
      </c>
      <c r="E465" s="3" t="s">
        <v>214</v>
      </c>
      <c r="F465" s="23" t="n">
        <v>0</v>
      </c>
      <c r="G465" s="23" t="n">
        <v>0</v>
      </c>
      <c r="H465" s="23" t="n">
        <v>0</v>
      </c>
      <c r="I465" s="23" t="n">
        <v>0</v>
      </c>
      <c r="J465" s="23" t="n">
        <v>0</v>
      </c>
      <c r="K465" s="23" t="n">
        <v>0</v>
      </c>
      <c r="L465" s="23" t="n">
        <v>100</v>
      </c>
      <c r="M465" s="23" t="n">
        <v>0</v>
      </c>
      <c r="N465" s="23" t="n">
        <v>0</v>
      </c>
      <c r="O465" s="23" t="n">
        <v>0</v>
      </c>
      <c r="P465" s="23" t="n">
        <v>0</v>
      </c>
      <c r="Q465" s="23" t="n">
        <v>0</v>
      </c>
      <c r="R465" s="23" t="n">
        <v>0</v>
      </c>
      <c r="S465" s="23" t="n">
        <v>0</v>
      </c>
    </row>
    <row r="466" customFormat="false" ht="15" hidden="false" customHeight="false" outlineLevel="0" collapsed="false">
      <c r="A466" s="3" t="n">
        <v>30000368</v>
      </c>
      <c r="B466" s="3" t="s">
        <v>677</v>
      </c>
      <c r="C466" s="3" t="s">
        <v>149</v>
      </c>
      <c r="D466" s="3" t="s">
        <v>224</v>
      </c>
      <c r="E466" s="3" t="s">
        <v>249</v>
      </c>
      <c r="F466" s="23" t="n">
        <v>0</v>
      </c>
      <c r="G466" s="23" t="n">
        <v>0</v>
      </c>
      <c r="H466" s="23" t="n">
        <v>0</v>
      </c>
      <c r="I466" s="23" t="n">
        <v>0</v>
      </c>
      <c r="J466" s="23" t="n">
        <v>0</v>
      </c>
      <c r="K466" s="23" t="n">
        <v>0</v>
      </c>
      <c r="L466" s="23" t="n">
        <v>0</v>
      </c>
      <c r="M466" s="23" t="n">
        <v>0</v>
      </c>
      <c r="N466" s="23" t="n">
        <v>0</v>
      </c>
      <c r="O466" s="23" t="n">
        <v>0</v>
      </c>
      <c r="P466" s="23" t="n">
        <v>0</v>
      </c>
      <c r="Q466" s="23" t="n">
        <v>0</v>
      </c>
      <c r="R466" s="23" t="n">
        <v>0</v>
      </c>
      <c r="S466" s="23" t="n">
        <v>0</v>
      </c>
    </row>
    <row r="467" customFormat="false" ht="15" hidden="false" customHeight="false" outlineLevel="0" collapsed="false">
      <c r="A467" s="3" t="n">
        <v>30001872</v>
      </c>
      <c r="B467" s="3" t="s">
        <v>678</v>
      </c>
      <c r="C467" s="3" t="s">
        <v>143</v>
      </c>
      <c r="D467" s="3" t="s">
        <v>224</v>
      </c>
      <c r="E467" s="3" t="s">
        <v>231</v>
      </c>
      <c r="F467" s="23" t="n">
        <v>0</v>
      </c>
      <c r="G467" s="23" t="n">
        <v>0</v>
      </c>
      <c r="H467" s="23" t="n">
        <v>0</v>
      </c>
      <c r="I467" s="23" t="n">
        <v>0</v>
      </c>
      <c r="J467" s="23" t="n">
        <v>0</v>
      </c>
      <c r="K467" s="23" t="n">
        <v>0</v>
      </c>
      <c r="L467" s="23" t="n">
        <v>0</v>
      </c>
      <c r="M467" s="23" t="n">
        <v>0</v>
      </c>
      <c r="N467" s="23" t="n">
        <v>0</v>
      </c>
      <c r="O467" s="23" t="n">
        <v>0</v>
      </c>
      <c r="P467" s="23" t="n">
        <v>0</v>
      </c>
      <c r="Q467" s="23" t="n">
        <v>0</v>
      </c>
      <c r="R467" s="23" t="n">
        <v>0</v>
      </c>
      <c r="S467" s="23" t="n">
        <v>0</v>
      </c>
    </row>
    <row r="468" customFormat="false" ht="15" hidden="false" customHeight="false" outlineLevel="0" collapsed="false">
      <c r="A468" s="3" t="n">
        <v>30000371</v>
      </c>
      <c r="B468" s="3" t="s">
        <v>679</v>
      </c>
      <c r="C468" s="3" t="s">
        <v>155</v>
      </c>
      <c r="D468" s="3" t="s">
        <v>224</v>
      </c>
      <c r="E468" s="3" t="s">
        <v>231</v>
      </c>
      <c r="F468" s="23" t="n">
        <v>0</v>
      </c>
      <c r="G468" s="23" t="n">
        <v>0</v>
      </c>
      <c r="H468" s="23" t="n">
        <v>0</v>
      </c>
      <c r="I468" s="23" t="n">
        <v>0</v>
      </c>
      <c r="J468" s="23" t="n">
        <v>0</v>
      </c>
      <c r="K468" s="23" t="n">
        <v>0</v>
      </c>
      <c r="L468" s="23" t="n">
        <v>0</v>
      </c>
      <c r="M468" s="23" t="n">
        <v>0</v>
      </c>
      <c r="N468" s="23" t="n">
        <v>0</v>
      </c>
      <c r="O468" s="23" t="n">
        <v>0</v>
      </c>
      <c r="P468" s="23" t="n">
        <v>0</v>
      </c>
      <c r="Q468" s="23" t="n">
        <v>0</v>
      </c>
      <c r="R468" s="23" t="n">
        <v>0</v>
      </c>
      <c r="S468" s="23" t="n">
        <v>0</v>
      </c>
    </row>
    <row r="469" customFormat="false" ht="15" hidden="false" customHeight="false" outlineLevel="0" collapsed="false">
      <c r="A469" s="3" t="n">
        <v>30001881</v>
      </c>
      <c r="B469" s="3" t="s">
        <v>680</v>
      </c>
      <c r="C469" s="3" t="s">
        <v>124</v>
      </c>
      <c r="D469" s="3" t="s">
        <v>213</v>
      </c>
      <c r="E469" s="3" t="s">
        <v>231</v>
      </c>
      <c r="F469" s="23" t="n">
        <v>0</v>
      </c>
      <c r="G469" s="23" t="n">
        <v>0</v>
      </c>
      <c r="H469" s="23" t="n">
        <v>0</v>
      </c>
      <c r="I469" s="23" t="n">
        <v>0</v>
      </c>
      <c r="J469" s="23" t="n">
        <v>0</v>
      </c>
      <c r="K469" s="23" t="n">
        <v>0</v>
      </c>
      <c r="L469" s="23" t="n">
        <v>0</v>
      </c>
      <c r="M469" s="23" t="n">
        <v>0</v>
      </c>
      <c r="N469" s="23" t="n">
        <v>0</v>
      </c>
      <c r="O469" s="23" t="n">
        <v>0</v>
      </c>
      <c r="P469" s="23" t="n">
        <v>0</v>
      </c>
      <c r="Q469" s="23" t="n">
        <v>0</v>
      </c>
      <c r="R469" s="23" t="n">
        <v>0</v>
      </c>
      <c r="S469" s="23" t="n">
        <v>0</v>
      </c>
    </row>
    <row r="470" customFormat="false" ht="15" hidden="false" customHeight="false" outlineLevel="0" collapsed="false">
      <c r="A470" s="3" t="n">
        <v>30001762</v>
      </c>
      <c r="B470" s="3" t="s">
        <v>681</v>
      </c>
      <c r="C470" s="3" t="s">
        <v>135</v>
      </c>
      <c r="D470" s="3" t="s">
        <v>213</v>
      </c>
      <c r="E470" s="3" t="s">
        <v>214</v>
      </c>
      <c r="F470" s="23" t="n">
        <v>0</v>
      </c>
      <c r="G470" s="23" t="n">
        <v>0</v>
      </c>
      <c r="H470" s="23" t="n">
        <v>0</v>
      </c>
      <c r="I470" s="23" t="n">
        <v>0</v>
      </c>
      <c r="J470" s="23" t="n">
        <v>0</v>
      </c>
      <c r="K470" s="23" t="n">
        <v>0</v>
      </c>
      <c r="L470" s="23" t="n">
        <v>34.5</v>
      </c>
      <c r="M470" s="23" t="n">
        <v>0</v>
      </c>
      <c r="N470" s="23" t="n">
        <v>0</v>
      </c>
      <c r="O470" s="23" t="n">
        <v>0</v>
      </c>
      <c r="P470" s="23" t="n">
        <v>0</v>
      </c>
      <c r="Q470" s="23" t="n">
        <v>0</v>
      </c>
      <c r="R470" s="23" t="n">
        <v>0</v>
      </c>
      <c r="S470" s="23" t="n">
        <v>0</v>
      </c>
    </row>
    <row r="471" customFormat="false" ht="15" hidden="false" customHeight="false" outlineLevel="0" collapsed="false">
      <c r="A471" s="3" t="n">
        <v>30001775</v>
      </c>
      <c r="B471" s="3" t="s">
        <v>682</v>
      </c>
      <c r="C471" s="3" t="s">
        <v>135</v>
      </c>
      <c r="D471" s="3" t="s">
        <v>213</v>
      </c>
      <c r="E471" s="3" t="s">
        <v>249</v>
      </c>
      <c r="F471" s="23" t="n">
        <v>0</v>
      </c>
      <c r="G471" s="23" t="n">
        <v>0</v>
      </c>
      <c r="H471" s="23" t="n">
        <v>0</v>
      </c>
      <c r="I471" s="23" t="n">
        <v>0</v>
      </c>
      <c r="J471" s="23" t="n">
        <v>0</v>
      </c>
      <c r="K471" s="23" t="n">
        <v>0</v>
      </c>
      <c r="L471" s="23" t="n">
        <v>0</v>
      </c>
      <c r="M471" s="23" t="n">
        <v>0</v>
      </c>
      <c r="N471" s="23" t="n">
        <v>0</v>
      </c>
      <c r="O471" s="23" t="n">
        <v>0</v>
      </c>
      <c r="P471" s="23" t="n">
        <v>0</v>
      </c>
      <c r="Q471" s="23" t="n">
        <v>0</v>
      </c>
      <c r="R471" s="23" t="n">
        <v>0</v>
      </c>
      <c r="S471" s="23" t="n">
        <v>0</v>
      </c>
    </row>
    <row r="472" customFormat="false" ht="15" hidden="false" customHeight="false" outlineLevel="0" collapsed="false">
      <c r="A472" s="3" t="n">
        <v>30001763</v>
      </c>
      <c r="B472" s="3" t="s">
        <v>683</v>
      </c>
      <c r="C472" s="3" t="s">
        <v>135</v>
      </c>
      <c r="D472" s="3" t="s">
        <v>213</v>
      </c>
      <c r="E472" s="3" t="s">
        <v>214</v>
      </c>
      <c r="F472" s="23" t="n">
        <v>0</v>
      </c>
      <c r="G472" s="23" t="n">
        <v>0</v>
      </c>
      <c r="H472" s="23" t="n">
        <v>0</v>
      </c>
      <c r="I472" s="23" t="n">
        <v>0</v>
      </c>
      <c r="J472" s="23" t="n">
        <v>0</v>
      </c>
      <c r="K472" s="23" t="n">
        <v>0</v>
      </c>
      <c r="L472" s="23" t="n">
        <v>34.5</v>
      </c>
      <c r="M472" s="23" t="n">
        <v>0</v>
      </c>
      <c r="N472" s="23" t="n">
        <v>0</v>
      </c>
      <c r="O472" s="23" t="n">
        <v>0</v>
      </c>
      <c r="P472" s="23" t="n">
        <v>0</v>
      </c>
      <c r="Q472" s="23" t="n">
        <v>0</v>
      </c>
      <c r="R472" s="23" t="n">
        <v>0</v>
      </c>
      <c r="S472" s="23" t="n">
        <v>0</v>
      </c>
    </row>
    <row r="473" customFormat="false" ht="15" hidden="false" customHeight="false" outlineLevel="0" collapsed="false">
      <c r="A473" s="3" t="n">
        <v>30001802</v>
      </c>
      <c r="B473" s="3" t="s">
        <v>684</v>
      </c>
      <c r="C473" s="3" t="s">
        <v>212</v>
      </c>
      <c r="D473" s="3" t="s">
        <v>224</v>
      </c>
      <c r="E473" s="3" t="s">
        <v>231</v>
      </c>
      <c r="F473" s="23" t="n">
        <v>0</v>
      </c>
      <c r="G473" s="23" t="n">
        <v>0</v>
      </c>
      <c r="H473" s="23" t="n">
        <v>0</v>
      </c>
      <c r="I473" s="23" t="n">
        <v>0</v>
      </c>
      <c r="J473" s="23" t="n">
        <v>0</v>
      </c>
      <c r="K473" s="23" t="n">
        <v>0</v>
      </c>
      <c r="L473" s="23" t="n">
        <v>6.9</v>
      </c>
      <c r="M473" s="23" t="n">
        <v>0</v>
      </c>
      <c r="N473" s="23" t="n">
        <v>0</v>
      </c>
      <c r="O473" s="23" t="n">
        <v>0</v>
      </c>
      <c r="P473" s="23" t="n">
        <v>0</v>
      </c>
      <c r="Q473" s="23" t="n">
        <v>0</v>
      </c>
      <c r="R473" s="23" t="n">
        <v>0</v>
      </c>
      <c r="S473" s="23" t="n">
        <v>0</v>
      </c>
    </row>
    <row r="474" customFormat="false" ht="15" hidden="false" customHeight="false" outlineLevel="0" collapsed="false">
      <c r="A474" s="3" t="n">
        <v>30000259</v>
      </c>
      <c r="B474" s="3" t="s">
        <v>685</v>
      </c>
      <c r="C474" s="3" t="s">
        <v>135</v>
      </c>
      <c r="D474" s="3" t="s">
        <v>213</v>
      </c>
      <c r="E474" s="3" t="s">
        <v>214</v>
      </c>
      <c r="F474" s="23" t="n">
        <v>0</v>
      </c>
      <c r="G474" s="23" t="n">
        <v>0</v>
      </c>
      <c r="H474" s="23" t="n">
        <v>0</v>
      </c>
      <c r="I474" s="23" t="n">
        <v>0</v>
      </c>
      <c r="J474" s="23" t="n">
        <v>0</v>
      </c>
      <c r="K474" s="23" t="n">
        <v>0</v>
      </c>
      <c r="L474" s="23" t="n">
        <v>0</v>
      </c>
      <c r="M474" s="23" t="n">
        <v>0</v>
      </c>
      <c r="N474" s="23" t="n">
        <v>0</v>
      </c>
      <c r="O474" s="23" t="n">
        <v>0</v>
      </c>
      <c r="P474" s="23" t="n">
        <v>0</v>
      </c>
      <c r="Q474" s="23" t="n">
        <v>0</v>
      </c>
      <c r="R474" s="23" t="n">
        <v>0</v>
      </c>
      <c r="S474" s="23" t="n">
        <v>0</v>
      </c>
    </row>
    <row r="475" customFormat="false" ht="15" hidden="false" customHeight="false" outlineLevel="0" collapsed="false">
      <c r="A475" s="3" t="n">
        <v>30000262</v>
      </c>
      <c r="B475" s="3" t="s">
        <v>686</v>
      </c>
      <c r="C475" s="3" t="s">
        <v>135</v>
      </c>
      <c r="D475" s="3" t="s">
        <v>224</v>
      </c>
      <c r="E475" s="3" t="s">
        <v>231</v>
      </c>
      <c r="F475" s="23" t="n">
        <v>0</v>
      </c>
      <c r="G475" s="23" t="n">
        <v>0</v>
      </c>
      <c r="H475" s="23" t="n">
        <v>0</v>
      </c>
      <c r="I475" s="23" t="n">
        <v>0</v>
      </c>
      <c r="J475" s="23" t="n">
        <v>0</v>
      </c>
      <c r="K475" s="23" t="n">
        <v>0</v>
      </c>
      <c r="L475" s="23" t="n">
        <v>10.5</v>
      </c>
      <c r="M475" s="23" t="n">
        <v>0</v>
      </c>
      <c r="N475" s="23" t="n">
        <v>0</v>
      </c>
      <c r="O475" s="23" t="n">
        <v>0</v>
      </c>
      <c r="P475" s="23" t="n">
        <v>0</v>
      </c>
      <c r="Q475" s="23" t="n">
        <v>0</v>
      </c>
      <c r="R475" s="23" t="n">
        <v>0</v>
      </c>
      <c r="S475" s="23" t="n">
        <v>0</v>
      </c>
    </row>
    <row r="476" customFormat="false" ht="15" hidden="false" customHeight="false" outlineLevel="0" collapsed="false">
      <c r="A476" s="3" t="n">
        <v>30001118</v>
      </c>
      <c r="B476" s="3" t="s">
        <v>687</v>
      </c>
      <c r="C476" s="3" t="s">
        <v>135</v>
      </c>
      <c r="D476" s="3" t="s">
        <v>213</v>
      </c>
      <c r="E476" s="3" t="s">
        <v>214</v>
      </c>
      <c r="F476" s="23" t="n">
        <v>0</v>
      </c>
      <c r="G476" s="23" t="n">
        <v>0</v>
      </c>
      <c r="H476" s="23" t="n">
        <v>0</v>
      </c>
      <c r="I476" s="23" t="n">
        <v>0</v>
      </c>
      <c r="J476" s="23" t="n">
        <v>0</v>
      </c>
      <c r="K476" s="23" t="n">
        <v>0</v>
      </c>
      <c r="L476" s="23" t="n">
        <v>0</v>
      </c>
      <c r="M476" s="23" t="n">
        <v>0</v>
      </c>
      <c r="N476" s="23" t="n">
        <v>0</v>
      </c>
      <c r="O476" s="23" t="n">
        <v>0</v>
      </c>
      <c r="P476" s="23" t="n">
        <v>0</v>
      </c>
      <c r="Q476" s="23" t="n">
        <v>0</v>
      </c>
      <c r="R476" s="23" t="n">
        <v>0</v>
      </c>
      <c r="S476" s="23" t="n">
        <v>0</v>
      </c>
    </row>
    <row r="477" customFormat="false" ht="15" hidden="false" customHeight="false" outlineLevel="0" collapsed="false">
      <c r="A477" s="3" t="n">
        <v>30000661</v>
      </c>
      <c r="B477" s="3" t="s">
        <v>688</v>
      </c>
      <c r="C477" s="3" t="s">
        <v>147</v>
      </c>
      <c r="D477" s="3" t="s">
        <v>224</v>
      </c>
      <c r="E477" s="3" t="s">
        <v>214</v>
      </c>
      <c r="F477" s="23" t="n">
        <v>0</v>
      </c>
      <c r="G477" s="23" t="n">
        <v>0</v>
      </c>
      <c r="H477" s="23" t="n">
        <v>0</v>
      </c>
      <c r="I477" s="23" t="n">
        <v>0</v>
      </c>
      <c r="J477" s="23" t="n">
        <v>0</v>
      </c>
      <c r="K477" s="23" t="n">
        <v>0</v>
      </c>
      <c r="L477" s="23" t="n">
        <v>4.8</v>
      </c>
      <c r="M477" s="23" t="n">
        <v>0</v>
      </c>
      <c r="N477" s="23" t="n">
        <v>0</v>
      </c>
      <c r="O477" s="23" t="n">
        <v>0</v>
      </c>
      <c r="P477" s="23" t="n">
        <v>0</v>
      </c>
      <c r="Q477" s="23" t="n">
        <v>0</v>
      </c>
      <c r="R477" s="23" t="n">
        <v>0</v>
      </c>
      <c r="S477" s="23" t="n">
        <v>0</v>
      </c>
    </row>
    <row r="478" customFormat="false" ht="15" hidden="false" customHeight="false" outlineLevel="0" collapsed="false">
      <c r="A478" s="3" t="n">
        <v>30000699</v>
      </c>
      <c r="B478" s="3" t="s">
        <v>689</v>
      </c>
      <c r="C478" s="3" t="s">
        <v>212</v>
      </c>
      <c r="D478" s="3" t="s">
        <v>224</v>
      </c>
      <c r="E478" s="3" t="s">
        <v>249</v>
      </c>
      <c r="F478" s="23" t="n">
        <v>0</v>
      </c>
      <c r="G478" s="23" t="n">
        <v>0</v>
      </c>
      <c r="H478" s="23" t="n">
        <v>0</v>
      </c>
      <c r="I478" s="23" t="n">
        <v>0</v>
      </c>
      <c r="J478" s="23" t="n">
        <v>0</v>
      </c>
      <c r="K478" s="23" t="n">
        <v>0</v>
      </c>
      <c r="L478" s="23" t="n">
        <v>0</v>
      </c>
      <c r="M478" s="23" t="n">
        <v>0</v>
      </c>
      <c r="N478" s="23" t="n">
        <v>0</v>
      </c>
      <c r="O478" s="23" t="n">
        <v>0</v>
      </c>
      <c r="P478" s="23" t="n">
        <v>0</v>
      </c>
      <c r="Q478" s="23" t="n">
        <v>0</v>
      </c>
      <c r="R478" s="23" t="n">
        <v>0</v>
      </c>
      <c r="S478" s="23" t="n">
        <v>0</v>
      </c>
    </row>
    <row r="479" customFormat="false" ht="15" hidden="false" customHeight="false" outlineLevel="0" collapsed="false">
      <c r="A479" s="3" t="n">
        <v>30001276</v>
      </c>
      <c r="B479" s="3" t="s">
        <v>690</v>
      </c>
      <c r="C479" s="3" t="s">
        <v>212</v>
      </c>
      <c r="D479" s="3" t="s">
        <v>213</v>
      </c>
      <c r="E479" s="3" t="n">
        <v>0</v>
      </c>
      <c r="F479" s="23" t="n">
        <v>0</v>
      </c>
      <c r="G479" s="23" t="n">
        <v>0</v>
      </c>
      <c r="H479" s="23" t="n">
        <v>0</v>
      </c>
      <c r="I479" s="23" t="n">
        <v>0</v>
      </c>
      <c r="J479" s="23" t="n">
        <v>0</v>
      </c>
      <c r="K479" s="23" t="n">
        <v>0</v>
      </c>
      <c r="L479" s="23" t="n">
        <v>0</v>
      </c>
      <c r="M479" s="23" t="n">
        <v>0</v>
      </c>
      <c r="N479" s="23" t="n">
        <v>0</v>
      </c>
      <c r="O479" s="23" t="n">
        <v>0</v>
      </c>
      <c r="P479" s="23" t="n">
        <v>0</v>
      </c>
      <c r="Q479" s="23" t="n">
        <v>0</v>
      </c>
      <c r="R479" s="23" t="n">
        <v>0</v>
      </c>
      <c r="S479" s="23" t="n">
        <v>0</v>
      </c>
    </row>
    <row r="480" customFormat="false" ht="15" hidden="false" customHeight="false" outlineLevel="0" collapsed="false">
      <c r="A480" s="3" t="n">
        <v>30001265</v>
      </c>
      <c r="B480" s="3" t="s">
        <v>691</v>
      </c>
      <c r="C480" s="3" t="s">
        <v>155</v>
      </c>
      <c r="D480" s="3" t="s">
        <v>224</v>
      </c>
      <c r="E480" s="3" t="s">
        <v>231</v>
      </c>
      <c r="F480" s="23" t="n">
        <v>0</v>
      </c>
      <c r="G480" s="23" t="n">
        <v>0</v>
      </c>
      <c r="H480" s="23" t="n">
        <v>0</v>
      </c>
      <c r="I480" s="23" t="n">
        <v>0</v>
      </c>
      <c r="J480" s="23" t="n">
        <v>0</v>
      </c>
      <c r="K480" s="23" t="n">
        <v>0</v>
      </c>
      <c r="L480" s="23" t="n">
        <v>0</v>
      </c>
      <c r="M480" s="23" t="n">
        <v>0</v>
      </c>
      <c r="N480" s="23" t="n">
        <v>0</v>
      </c>
      <c r="O480" s="23" t="n">
        <v>0</v>
      </c>
      <c r="P480" s="23" t="n">
        <v>0</v>
      </c>
      <c r="Q480" s="23" t="n">
        <v>0</v>
      </c>
      <c r="R480" s="23" t="n">
        <v>0</v>
      </c>
      <c r="S480" s="23" t="n">
        <v>0</v>
      </c>
    </row>
    <row r="481" customFormat="false" ht="15" hidden="false" customHeight="false" outlineLevel="0" collapsed="false">
      <c r="A481" s="3" t="n">
        <v>30001191</v>
      </c>
      <c r="B481" s="3" t="s">
        <v>692</v>
      </c>
      <c r="C481" s="3" t="s">
        <v>212</v>
      </c>
      <c r="D481" s="3" t="s">
        <v>213</v>
      </c>
      <c r="E481" s="3" t="n">
        <v>0</v>
      </c>
      <c r="F481" s="23" t="n">
        <v>0</v>
      </c>
      <c r="G481" s="23" t="n">
        <v>0</v>
      </c>
      <c r="H481" s="23" t="n">
        <v>0</v>
      </c>
      <c r="I481" s="23" t="n">
        <v>0</v>
      </c>
      <c r="J481" s="23" t="n">
        <v>0</v>
      </c>
      <c r="K481" s="23" t="n">
        <v>0</v>
      </c>
      <c r="L481" s="23" t="n">
        <v>0</v>
      </c>
      <c r="M481" s="23" t="n">
        <v>0</v>
      </c>
      <c r="N481" s="23" t="n">
        <v>0</v>
      </c>
      <c r="O481" s="23" t="n">
        <v>0</v>
      </c>
      <c r="P481" s="23" t="n">
        <v>0</v>
      </c>
      <c r="Q481" s="23" t="n">
        <v>0</v>
      </c>
      <c r="R481" s="23" t="n">
        <v>0</v>
      </c>
      <c r="S481" s="23" t="n">
        <v>0</v>
      </c>
    </row>
    <row r="482" customFormat="false" ht="15" hidden="false" customHeight="false" outlineLevel="0" collapsed="false">
      <c r="A482" s="3" t="n">
        <v>30001184</v>
      </c>
      <c r="B482" s="3" t="s">
        <v>693</v>
      </c>
      <c r="C482" s="3" t="s">
        <v>141</v>
      </c>
      <c r="D482" s="3" t="s">
        <v>224</v>
      </c>
      <c r="E482" s="3" t="s">
        <v>249</v>
      </c>
      <c r="F482" s="23" t="n">
        <v>0</v>
      </c>
      <c r="G482" s="23" t="n">
        <v>0</v>
      </c>
      <c r="H482" s="23" t="n">
        <v>0</v>
      </c>
      <c r="I482" s="23" t="n">
        <v>0</v>
      </c>
      <c r="J482" s="23" t="n">
        <v>0</v>
      </c>
      <c r="K482" s="23" t="n">
        <v>0</v>
      </c>
      <c r="L482" s="23" t="n">
        <v>0</v>
      </c>
      <c r="M482" s="23" t="n">
        <v>0</v>
      </c>
      <c r="N482" s="23" t="n">
        <v>0</v>
      </c>
      <c r="O482" s="23" t="n">
        <v>0</v>
      </c>
      <c r="P482" s="23" t="n">
        <v>0</v>
      </c>
      <c r="Q482" s="23" t="n">
        <v>0</v>
      </c>
      <c r="R482" s="23" t="n">
        <v>0</v>
      </c>
      <c r="S482" s="23" t="n">
        <v>0</v>
      </c>
    </row>
    <row r="483" customFormat="false" ht="15" hidden="false" customHeight="false" outlineLevel="0" collapsed="false">
      <c r="A483" s="3" t="n">
        <v>30001280</v>
      </c>
      <c r="B483" s="3" t="s">
        <v>694</v>
      </c>
      <c r="C483" s="3" t="s">
        <v>212</v>
      </c>
      <c r="D483" s="3" t="s">
        <v>224</v>
      </c>
      <c r="E483" s="3" t="s">
        <v>249</v>
      </c>
      <c r="F483" s="23" t="n">
        <v>0</v>
      </c>
      <c r="G483" s="23" t="n">
        <v>0</v>
      </c>
      <c r="H483" s="23" t="n">
        <v>0</v>
      </c>
      <c r="I483" s="23" t="n">
        <v>0</v>
      </c>
      <c r="J483" s="23" t="n">
        <v>0</v>
      </c>
      <c r="K483" s="23" t="n">
        <v>0</v>
      </c>
      <c r="L483" s="23" t="n">
        <v>0</v>
      </c>
      <c r="M483" s="23" t="n">
        <v>0</v>
      </c>
      <c r="N483" s="23" t="n">
        <v>0</v>
      </c>
      <c r="O483" s="23" t="n">
        <v>0</v>
      </c>
      <c r="P483" s="23" t="n">
        <v>0</v>
      </c>
      <c r="Q483" s="23" t="n">
        <v>0</v>
      </c>
      <c r="R483" s="23" t="n">
        <v>0</v>
      </c>
      <c r="S483" s="23" t="n">
        <v>0</v>
      </c>
    </row>
    <row r="484" customFormat="false" ht="15" hidden="false" customHeight="false" outlineLevel="0" collapsed="false">
      <c r="A484" s="3" t="n">
        <v>30001087</v>
      </c>
      <c r="B484" s="3" t="s">
        <v>695</v>
      </c>
      <c r="C484" s="3" t="s">
        <v>155</v>
      </c>
      <c r="D484" s="3" t="s">
        <v>224</v>
      </c>
      <c r="E484" s="3" t="s">
        <v>249</v>
      </c>
      <c r="F484" s="23" t="n">
        <v>0</v>
      </c>
      <c r="G484" s="23" t="n">
        <v>0</v>
      </c>
      <c r="H484" s="23" t="n">
        <v>0</v>
      </c>
      <c r="I484" s="23" t="n">
        <v>0</v>
      </c>
      <c r="J484" s="23" t="n">
        <v>0</v>
      </c>
      <c r="K484" s="23" t="n">
        <v>0</v>
      </c>
      <c r="L484" s="23" t="n">
        <v>0</v>
      </c>
      <c r="M484" s="23" t="n">
        <v>0</v>
      </c>
      <c r="N484" s="23" t="n">
        <v>0</v>
      </c>
      <c r="O484" s="23" t="n">
        <v>0</v>
      </c>
      <c r="P484" s="23" t="n">
        <v>0</v>
      </c>
      <c r="Q484" s="23" t="n">
        <v>0</v>
      </c>
      <c r="R484" s="23" t="n">
        <v>0</v>
      </c>
      <c r="S484" s="23" t="n">
        <v>0</v>
      </c>
    </row>
    <row r="485" customFormat="false" ht="15" hidden="false" customHeight="false" outlineLevel="0" collapsed="false">
      <c r="A485" s="3" t="n">
        <v>30001150</v>
      </c>
      <c r="B485" s="3" t="s">
        <v>696</v>
      </c>
      <c r="C485" s="3" t="s">
        <v>138</v>
      </c>
      <c r="D485" s="3" t="s">
        <v>213</v>
      </c>
      <c r="E485" s="3" t="s">
        <v>231</v>
      </c>
      <c r="F485" s="23" t="n">
        <v>0</v>
      </c>
      <c r="G485" s="23" t="n">
        <v>0</v>
      </c>
      <c r="H485" s="23" t="n">
        <v>0</v>
      </c>
      <c r="I485" s="23" t="n">
        <v>0</v>
      </c>
      <c r="J485" s="23" t="n">
        <v>0</v>
      </c>
      <c r="K485" s="23" t="n">
        <v>0</v>
      </c>
      <c r="L485" s="23" t="n">
        <v>0</v>
      </c>
      <c r="M485" s="23" t="n">
        <v>0</v>
      </c>
      <c r="N485" s="23" t="n">
        <v>0</v>
      </c>
      <c r="O485" s="23" t="n">
        <v>0</v>
      </c>
      <c r="P485" s="23" t="n">
        <v>0</v>
      </c>
      <c r="Q485" s="23" t="n">
        <v>0</v>
      </c>
      <c r="R485" s="23" t="n">
        <v>0</v>
      </c>
      <c r="S485" s="23" t="n">
        <v>0</v>
      </c>
    </row>
    <row r="486" customFormat="false" ht="15" hidden="false" customHeight="false" outlineLevel="0" collapsed="false">
      <c r="A486" s="3" t="n">
        <v>30001151</v>
      </c>
      <c r="B486" s="3" t="s">
        <v>697</v>
      </c>
      <c r="C486" s="3" t="s">
        <v>129</v>
      </c>
      <c r="D486" s="3" t="s">
        <v>213</v>
      </c>
      <c r="E486" s="3" t="n">
        <v>0</v>
      </c>
      <c r="F486" s="23" t="n">
        <v>0</v>
      </c>
      <c r="G486" s="23" t="n">
        <v>0</v>
      </c>
      <c r="H486" s="23" t="n">
        <v>0</v>
      </c>
      <c r="I486" s="23" t="n">
        <v>0</v>
      </c>
      <c r="J486" s="23" t="n">
        <v>0</v>
      </c>
      <c r="K486" s="23" t="n">
        <v>0</v>
      </c>
      <c r="L486" s="23" t="n">
        <v>0</v>
      </c>
      <c r="M486" s="23" t="n">
        <v>0</v>
      </c>
      <c r="N486" s="23" t="n">
        <v>0</v>
      </c>
      <c r="O486" s="23" t="n">
        <v>0</v>
      </c>
      <c r="P486" s="23" t="n">
        <v>0</v>
      </c>
      <c r="Q486" s="23" t="n">
        <v>0</v>
      </c>
      <c r="R486" s="23" t="n">
        <v>0</v>
      </c>
      <c r="S486" s="23" t="n">
        <v>0</v>
      </c>
    </row>
    <row r="487" customFormat="false" ht="15" hidden="false" customHeight="false" outlineLevel="0" collapsed="false">
      <c r="A487" s="3" t="n">
        <v>30001981</v>
      </c>
      <c r="B487" s="3" t="s">
        <v>698</v>
      </c>
      <c r="C487" s="3" t="s">
        <v>155</v>
      </c>
      <c r="D487" s="3" t="s">
        <v>224</v>
      </c>
      <c r="E487" s="3" t="s">
        <v>231</v>
      </c>
      <c r="F487" s="23" t="n">
        <v>0</v>
      </c>
      <c r="G487" s="23" t="n">
        <v>0</v>
      </c>
      <c r="H487" s="23" t="n">
        <v>0</v>
      </c>
      <c r="I487" s="23" t="n">
        <v>0</v>
      </c>
      <c r="J487" s="23" t="n">
        <v>0</v>
      </c>
      <c r="K487" s="23" t="n">
        <v>0</v>
      </c>
      <c r="L487" s="23" t="n">
        <v>5.28</v>
      </c>
      <c r="M487" s="23" t="n">
        <v>0</v>
      </c>
      <c r="N487" s="23" t="n">
        <v>0</v>
      </c>
      <c r="O487" s="23" t="n">
        <v>0</v>
      </c>
      <c r="P487" s="23" t="n">
        <v>0</v>
      </c>
      <c r="Q487" s="23" t="n">
        <v>0</v>
      </c>
      <c r="R487" s="23" t="n">
        <v>0</v>
      </c>
      <c r="S487" s="23" t="n">
        <v>0</v>
      </c>
    </row>
    <row r="488" customFormat="false" ht="15" hidden="false" customHeight="false" outlineLevel="0" collapsed="false">
      <c r="A488" s="3" t="n">
        <v>30001973</v>
      </c>
      <c r="B488" s="3" t="s">
        <v>699</v>
      </c>
      <c r="C488" s="3" t="s">
        <v>139</v>
      </c>
      <c r="D488" s="3" t="s">
        <v>213</v>
      </c>
      <c r="E488" s="3" t="s">
        <v>249</v>
      </c>
      <c r="F488" s="23" t="n">
        <v>0</v>
      </c>
      <c r="G488" s="23" t="n">
        <v>0</v>
      </c>
      <c r="H488" s="23" t="n">
        <v>0</v>
      </c>
      <c r="I488" s="23" t="n">
        <v>0</v>
      </c>
      <c r="J488" s="23" t="n">
        <v>0</v>
      </c>
      <c r="K488" s="23" t="n">
        <v>0</v>
      </c>
      <c r="L488" s="23" t="n">
        <v>0</v>
      </c>
      <c r="M488" s="23" t="n">
        <v>24</v>
      </c>
      <c r="N488" s="23" t="n">
        <v>90</v>
      </c>
      <c r="O488" s="23" t="n">
        <v>60</v>
      </c>
      <c r="P488" s="23" t="n">
        <v>60</v>
      </c>
      <c r="Q488" s="23" t="n">
        <v>0</v>
      </c>
      <c r="R488" s="23" t="n">
        <v>7.79166666666667</v>
      </c>
      <c r="S488" s="23" t="n">
        <v>13.6354166666667</v>
      </c>
    </row>
    <row r="489" customFormat="false" ht="15" hidden="false" customHeight="false" outlineLevel="0" collapsed="false">
      <c r="A489" s="3" t="n">
        <v>30001063</v>
      </c>
      <c r="B489" s="3" t="s">
        <v>700</v>
      </c>
      <c r="C489" s="3" t="s">
        <v>155</v>
      </c>
      <c r="D489" s="3" t="s">
        <v>224</v>
      </c>
      <c r="E489" s="3" t="s">
        <v>249</v>
      </c>
      <c r="F489" s="23" t="n">
        <v>0</v>
      </c>
      <c r="G489" s="23" t="n">
        <v>0</v>
      </c>
      <c r="H489" s="23" t="n">
        <v>0</v>
      </c>
      <c r="I489" s="23" t="n">
        <v>0</v>
      </c>
      <c r="J489" s="23" t="n">
        <v>0</v>
      </c>
      <c r="K489" s="23" t="n">
        <v>0</v>
      </c>
      <c r="L489" s="23" t="n">
        <v>0</v>
      </c>
      <c r="M489" s="23" t="n">
        <v>0</v>
      </c>
      <c r="N489" s="23" t="n">
        <v>0</v>
      </c>
      <c r="O489" s="23" t="n">
        <v>0</v>
      </c>
      <c r="P489" s="23" t="n">
        <v>0</v>
      </c>
      <c r="Q489" s="23" t="n">
        <v>0</v>
      </c>
      <c r="R489" s="23" t="n">
        <v>0</v>
      </c>
      <c r="S489" s="23" t="n">
        <v>0</v>
      </c>
    </row>
    <row r="490" customFormat="false" ht="15" hidden="false" customHeight="false" outlineLevel="0" collapsed="false">
      <c r="A490" s="3" t="n">
        <v>30001064</v>
      </c>
      <c r="B490" s="3" t="s">
        <v>701</v>
      </c>
      <c r="C490" s="3" t="s">
        <v>155</v>
      </c>
      <c r="D490" s="3" t="s">
        <v>224</v>
      </c>
      <c r="E490" s="3" t="s">
        <v>249</v>
      </c>
      <c r="F490" s="23" t="n">
        <v>0</v>
      </c>
      <c r="G490" s="23" t="n">
        <v>0</v>
      </c>
      <c r="H490" s="23" t="n">
        <v>0</v>
      </c>
      <c r="I490" s="23" t="n">
        <v>0</v>
      </c>
      <c r="J490" s="23" t="n">
        <v>0</v>
      </c>
      <c r="K490" s="23" t="n">
        <v>0</v>
      </c>
      <c r="L490" s="23" t="n">
        <v>0</v>
      </c>
      <c r="M490" s="23" t="n">
        <v>0</v>
      </c>
      <c r="N490" s="23" t="n">
        <v>0</v>
      </c>
      <c r="O490" s="23" t="n">
        <v>0</v>
      </c>
      <c r="P490" s="23" t="n">
        <v>0</v>
      </c>
      <c r="Q490" s="23" t="n">
        <v>0</v>
      </c>
      <c r="R490" s="23" t="n">
        <v>0</v>
      </c>
      <c r="S490" s="23" t="n">
        <v>0</v>
      </c>
    </row>
    <row r="491" customFormat="false" ht="15" hidden="false" customHeight="false" outlineLevel="0" collapsed="false">
      <c r="A491" s="3" t="n">
        <v>30001044</v>
      </c>
      <c r="B491" s="3" t="s">
        <v>702</v>
      </c>
      <c r="C491" s="3" t="s">
        <v>155</v>
      </c>
      <c r="D491" s="3" t="s">
        <v>224</v>
      </c>
      <c r="E491" s="3" t="s">
        <v>214</v>
      </c>
      <c r="F491" s="23" t="n">
        <v>0</v>
      </c>
      <c r="G491" s="23" t="n">
        <v>0</v>
      </c>
      <c r="H491" s="23" t="n">
        <v>0</v>
      </c>
      <c r="I491" s="23" t="n">
        <v>0</v>
      </c>
      <c r="J491" s="23" t="n">
        <v>0</v>
      </c>
      <c r="K491" s="23" t="n">
        <v>0</v>
      </c>
      <c r="L491" s="23" t="n">
        <v>0</v>
      </c>
      <c r="M491" s="23" t="n">
        <v>0</v>
      </c>
      <c r="N491" s="23" t="n">
        <v>0</v>
      </c>
      <c r="O491" s="23" t="n">
        <v>0</v>
      </c>
      <c r="P491" s="23" t="n">
        <v>0</v>
      </c>
      <c r="Q491" s="23" t="n">
        <v>0</v>
      </c>
      <c r="R491" s="23" t="n">
        <v>0</v>
      </c>
      <c r="S491" s="23" t="n">
        <v>0</v>
      </c>
    </row>
    <row r="492" customFormat="false" ht="15" hidden="false" customHeight="false" outlineLevel="0" collapsed="false">
      <c r="A492" s="3" t="n">
        <v>30000170</v>
      </c>
      <c r="B492" s="3" t="s">
        <v>703</v>
      </c>
      <c r="C492" s="3" t="s">
        <v>144</v>
      </c>
      <c r="D492" s="3" t="s">
        <v>213</v>
      </c>
      <c r="E492" s="3" t="s">
        <v>214</v>
      </c>
      <c r="F492" s="23" t="n">
        <v>0</v>
      </c>
      <c r="G492" s="23" t="n">
        <v>0</v>
      </c>
      <c r="H492" s="23" t="n">
        <v>0</v>
      </c>
      <c r="I492" s="23" t="n">
        <v>0</v>
      </c>
      <c r="J492" s="23" t="n">
        <v>0</v>
      </c>
      <c r="K492" s="23" t="n">
        <v>0</v>
      </c>
      <c r="L492" s="23" t="n">
        <v>0</v>
      </c>
      <c r="M492" s="23" t="n">
        <v>0</v>
      </c>
      <c r="N492" s="23" t="n">
        <v>0</v>
      </c>
      <c r="O492" s="23" t="n">
        <v>0</v>
      </c>
      <c r="P492" s="23" t="n">
        <v>0</v>
      </c>
      <c r="Q492" s="23" t="n">
        <v>0</v>
      </c>
      <c r="R492" s="23" t="n">
        <v>0</v>
      </c>
      <c r="S492" s="23" t="n">
        <v>0</v>
      </c>
    </row>
    <row r="493" customFormat="false" ht="15" hidden="false" customHeight="false" outlineLevel="0" collapsed="false">
      <c r="A493" s="3" t="n">
        <v>30000152</v>
      </c>
      <c r="B493" s="3" t="s">
        <v>704</v>
      </c>
      <c r="C493" s="3" t="s">
        <v>144</v>
      </c>
      <c r="D493" s="3" t="s">
        <v>213</v>
      </c>
      <c r="E493" s="3" t="s">
        <v>231</v>
      </c>
      <c r="F493" s="23" t="n">
        <v>0</v>
      </c>
      <c r="G493" s="23" t="n">
        <v>0</v>
      </c>
      <c r="H493" s="23" t="n">
        <v>0</v>
      </c>
      <c r="I493" s="23" t="n">
        <v>0</v>
      </c>
      <c r="J493" s="23" t="n">
        <v>0</v>
      </c>
      <c r="K493" s="23" t="n">
        <v>0</v>
      </c>
      <c r="L493" s="23" t="n">
        <v>60</v>
      </c>
      <c r="M493" s="23" t="n">
        <v>0</v>
      </c>
      <c r="N493" s="23" t="n">
        <v>0</v>
      </c>
      <c r="O493" s="23" t="n">
        <v>0</v>
      </c>
      <c r="P493" s="23" t="n">
        <v>0</v>
      </c>
      <c r="Q493" s="23" t="n">
        <v>0</v>
      </c>
      <c r="R493" s="23" t="n">
        <v>0</v>
      </c>
      <c r="S493" s="23" t="n">
        <v>0</v>
      </c>
    </row>
    <row r="494" customFormat="false" ht="15" hidden="false" customHeight="false" outlineLevel="0" collapsed="false">
      <c r="A494" s="3" t="n">
        <v>20000132</v>
      </c>
      <c r="B494" s="3" t="s">
        <v>705</v>
      </c>
      <c r="C494" s="3" t="s">
        <v>149</v>
      </c>
      <c r="D494" s="3" t="s">
        <v>224</v>
      </c>
      <c r="E494" s="3" t="n">
        <v>0</v>
      </c>
      <c r="F494" s="23" t="n">
        <v>0</v>
      </c>
      <c r="G494" s="23" t="n">
        <v>0</v>
      </c>
      <c r="H494" s="23" t="n">
        <v>0</v>
      </c>
      <c r="I494" s="23" t="n">
        <v>0</v>
      </c>
      <c r="J494" s="23" t="n">
        <v>0</v>
      </c>
      <c r="K494" s="23" t="n">
        <v>0</v>
      </c>
      <c r="L494" s="23" t="n">
        <v>0</v>
      </c>
      <c r="M494" s="23" t="n">
        <v>0</v>
      </c>
      <c r="N494" s="23" t="n">
        <v>0</v>
      </c>
      <c r="O494" s="23" t="n">
        <v>0</v>
      </c>
      <c r="P494" s="23" t="n">
        <v>0</v>
      </c>
      <c r="Q494" s="23" t="n">
        <v>0</v>
      </c>
      <c r="R494" s="23" t="n">
        <v>0</v>
      </c>
      <c r="S494" s="23" t="n">
        <v>0</v>
      </c>
    </row>
  </sheetData>
  <autoFilter ref="A4:S4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1" min="10" style="0" width="6"/>
    <col collapsed="false" customWidth="true" hidden="false" outlineLevel="0" max="12" min="12" style="0" width="9"/>
    <col collapsed="false" customWidth="true" hidden="false" outlineLevel="0" max="13" min="13" style="0" width="60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3"/>
    <col collapsed="false" customWidth="true" hidden="false" outlineLevel="0" max="23" min="20" style="0" width="13"/>
  </cols>
  <sheetData>
    <row r="1" customFormat="false" ht="17.35" hidden="false" customHeight="false" outlineLevel="0" collapsed="false">
      <c r="A1" s="1" t="s">
        <v>706</v>
      </c>
    </row>
    <row r="2" customFormat="false" ht="15" hidden="false" customHeight="false" outlineLevel="0" collapsed="false">
      <c r="A2" s="3" t="s">
        <v>707</v>
      </c>
    </row>
    <row r="4" customFormat="false" ht="42" hidden="false" customHeight="true" outlineLevel="0" collapsed="false">
      <c r="A4" s="14" t="s">
        <v>158</v>
      </c>
      <c r="B4" s="14" t="s">
        <v>159</v>
      </c>
      <c r="C4" s="14" t="s">
        <v>121</v>
      </c>
      <c r="D4" s="14" t="s">
        <v>708</v>
      </c>
      <c r="E4" s="14" t="s">
        <v>709</v>
      </c>
      <c r="F4" s="14" t="s">
        <v>710</v>
      </c>
      <c r="G4" s="14" t="s">
        <v>20</v>
      </c>
      <c r="H4" s="14" t="s">
        <v>711</v>
      </c>
      <c r="I4" s="14" t="s">
        <v>712</v>
      </c>
      <c r="J4" s="14" t="s">
        <v>713</v>
      </c>
      <c r="K4" s="14" t="s">
        <v>21</v>
      </c>
      <c r="L4" s="14" t="s">
        <v>94</v>
      </c>
      <c r="M4" s="14" t="s">
        <v>95</v>
      </c>
      <c r="N4" s="14" t="s">
        <v>714</v>
      </c>
      <c r="O4" s="14" t="s">
        <v>715</v>
      </c>
      <c r="P4" s="14" t="s">
        <v>716</v>
      </c>
      <c r="Q4" s="14" t="s">
        <v>717</v>
      </c>
      <c r="R4" s="14" t="s">
        <v>718</v>
      </c>
      <c r="T4" s="2" t="s">
        <v>185</v>
      </c>
    </row>
    <row r="5" customFormat="false" ht="15" hidden="false" customHeight="false" outlineLevel="0" collapsed="false">
      <c r="A5" s="18" t="n">
        <f aca="false">Datos_Semanales!A5</f>
        <v>30000522</v>
      </c>
      <c r="B5" s="18" t="str">
        <f aca="false">Datos_Semanales!B5</f>
        <v>LECHE BCA ENTERA LONCO BASE 12X1LT</v>
      </c>
      <c r="C5" s="18" t="str">
        <f aca="false">Datos_Semanales!C5</f>
        <v>-</v>
      </c>
      <c r="D5" s="23" t="n">
        <f aca="false">SUM(Datos_Semanales!F5:K5)</f>
        <v>2254380</v>
      </c>
      <c r="E5" s="23" t="n">
        <f aca="false">AVERAGE(Datos_Semanales!F5:K5)</f>
        <v>375730</v>
      </c>
      <c r="F5" s="23" t="n">
        <f aca="false">STDEV(Datos_Semanales!F5:K5)</f>
        <v>91205.669639557</v>
      </c>
      <c r="G5" s="27" t="n">
        <f aca="false">IF(E5&gt;0,F5/E5,"")</f>
        <v>0.242742580149461</v>
      </c>
      <c r="H5" s="24" t="n">
        <f aca="false">IF(SUM($D$5:$D$494)&gt;0,D5/SUM($D$5:$D$494),0)</f>
        <v>0.0939722258775001</v>
      </c>
      <c r="I5" s="24" t="n">
        <f aca="false">SUMIF($D$5:$D$494,"&gt;="&amp;D5)/SUM($D$5:$D$494)</f>
        <v>0.0939722258775001</v>
      </c>
      <c r="J5" s="3" t="str">
        <f aca="false">IF(D5&lt;=0,"C",IF(I5&lt;=Parametros!$B$4,"A",IF(I5&lt;=Parametros!$B$5,"B","C")))</f>
        <v>A</v>
      </c>
      <c r="K5" s="3" t="str">
        <f aca="false">IF(E5&lt;=0,"Z",IF(G5&lt;=Parametros!$B$6,"X",IF(G5&lt;=Parametros!$B$7,"Y","Z")))</f>
        <v>X</v>
      </c>
      <c r="L5" s="3" t="str">
        <f aca="false">J5&amp;K5</f>
        <v>AX</v>
      </c>
      <c r="M5" s="3" t="str">
        <f aca="false">INDEX(Parametros!$B$23:$B$31,MATCH(L5,Parametros!$A$23:$A$31,0))</f>
        <v>Forecast estadístico casi automático. Ajustes mínimos. SS bajo porque la demanda es estable.</v>
      </c>
      <c r="N5" s="3" t="str">
        <f aca="false">INDEX(Parametros!$C$23:$C$31,MATCH(L5,Parametros!$A$23:$A$31,0))</f>
        <v>Mensual</v>
      </c>
      <c r="O5" s="23" t="n">
        <f aca="false">SUM(Datos_Semanales!M5:R5)</f>
        <v>2075776.11150031</v>
      </c>
      <c r="P5" s="24" t="n">
        <f aca="false">IF(D5&gt;0,SUMPRODUCT(ABS(Datos_Semanales!F5:K5-Datos_Semanales!M5:R5))/D5,"")</f>
        <v>0.222087452647872</v>
      </c>
      <c r="Q5" s="24" t="n">
        <f aca="false">IF(D5&gt;0,O5/D5-1,"")</f>
        <v>-0.0792252807865973</v>
      </c>
      <c r="R5" s="23" t="n">
        <f aca="false">SQRT(SUMXMY2(Datos_Semanales!F5:K5,Datos_Semanales!M5:R5)/COUNT(Datos_Semanales!F5:K5))</f>
        <v>99257.3742298119</v>
      </c>
      <c r="T5" s="2" t="s">
        <v>719</v>
      </c>
      <c r="U5" s="2" t="s">
        <v>720</v>
      </c>
      <c r="V5" s="2" t="s">
        <v>721</v>
      </c>
      <c r="W5" s="2" t="s">
        <v>722</v>
      </c>
    </row>
    <row r="6" customFormat="false" ht="15" hidden="false" customHeight="false" outlineLevel="0" collapsed="false">
      <c r="A6" s="18" t="n">
        <f aca="false">Datos_Semanales!A6</f>
        <v>30000038</v>
      </c>
      <c r="B6" s="18" t="str">
        <f aca="false">Datos_Semanales!B6</f>
        <v>ACEITE BELMONT 12X1LT</v>
      </c>
      <c r="C6" s="18" t="str">
        <f aca="false">Datos_Semanales!C6</f>
        <v>-</v>
      </c>
      <c r="D6" s="23" t="n">
        <f aca="false">SUM(Datos_Semanales!F6:K6)</f>
        <v>859530.24</v>
      </c>
      <c r="E6" s="23" t="n">
        <f aca="false">AVERAGE(Datos_Semanales!F6:K6)</f>
        <v>143255.04</v>
      </c>
      <c r="F6" s="23" t="n">
        <f aca="false">STDEV(Datos_Semanales!F6:K6)</f>
        <v>43072.7481026266</v>
      </c>
      <c r="G6" s="27" t="n">
        <f aca="false">IF(E6&gt;0,F6/E6,"")</f>
        <v>0.30067178161848</v>
      </c>
      <c r="H6" s="24" t="n">
        <f aca="false">IF(SUM($D$5:$D$494)&gt;0,D6/SUM($D$5:$D$494),0)</f>
        <v>0.0358289063342568</v>
      </c>
      <c r="I6" s="24" t="n">
        <f aca="false">SUMIF($D$5:$D$494,"&gt;="&amp;D6)/SUM($D$5:$D$494)</f>
        <v>0.129801132211757</v>
      </c>
      <c r="J6" s="3" t="str">
        <f aca="false">IF(D6&lt;=0,"C",IF(I6&lt;=Parametros!$B$4,"A",IF(I6&lt;=Parametros!$B$5,"B","C")))</f>
        <v>A</v>
      </c>
      <c r="K6" s="3" t="str">
        <f aca="false">IF(E6&lt;=0,"Z",IF(G6&lt;=Parametros!$B$6,"X",IF(G6&lt;=Parametros!$B$7,"Y","Z")))</f>
        <v>X</v>
      </c>
      <c r="L6" s="3" t="str">
        <f aca="false">J6&amp;K6</f>
        <v>AX</v>
      </c>
      <c r="M6" s="3" t="str">
        <f aca="false">INDEX(Parametros!$B$23:$B$31,MATCH(L6,Parametros!$A$23:$A$31,0))</f>
        <v>Forecast estadístico casi automático. Ajustes mínimos. SS bajo porque la demanda es estable.</v>
      </c>
      <c r="N6" s="3" t="str">
        <f aca="false">INDEX(Parametros!$C$23:$C$31,MATCH(L6,Parametros!$A$23:$A$31,0))</f>
        <v>Mensual</v>
      </c>
      <c r="O6" s="23" t="n">
        <f aca="false">SUM(Datos_Semanales!M6:R6)</f>
        <v>822889.76</v>
      </c>
      <c r="P6" s="24" t="n">
        <f aca="false">IF(D6&gt;0,SUMPRODUCT(ABS(Datos_Semanales!F6:K6-Datos_Semanales!M6:R6))/D6,"")</f>
        <v>0.169699579156168</v>
      </c>
      <c r="Q6" s="24" t="n">
        <f aca="false">IF(D6&gt;0,O6/D6-1,"")</f>
        <v>-0.0426284943738571</v>
      </c>
      <c r="R6" s="23" t="n">
        <f aca="false">SQRT(SUMXMY2(Datos_Semanales!F6:K6,Datos_Semanales!M6:R6)/COUNT(Datos_Semanales!F6:K6))</f>
        <v>26385.0429574333</v>
      </c>
      <c r="T6" s="2" t="s">
        <v>723</v>
      </c>
      <c r="U6" s="3" t="n">
        <f aca="false">COUNTIF($L$5:$L$494,"AX")</f>
        <v>107</v>
      </c>
      <c r="V6" s="3" t="n">
        <f aca="false">COUNTIF($L$5:$L$494,"AY")</f>
        <v>12</v>
      </c>
      <c r="W6" s="3" t="n">
        <f aca="false">COUNTIF($L$5:$L$494,"AZ")</f>
        <v>1</v>
      </c>
      <c r="X6" s="2" t="s">
        <v>724</v>
      </c>
    </row>
    <row r="7" customFormat="false" ht="15" hidden="false" customHeight="false" outlineLevel="0" collapsed="false">
      <c r="A7" s="18" t="n">
        <f aca="false">Datos_Semanales!A7</f>
        <v>30000325</v>
      </c>
      <c r="B7" s="18" t="str">
        <f aca="false">Datos_Semanales!B7</f>
        <v>LECHE LONCO S/LAC NAT ENT 12X1LT</v>
      </c>
      <c r="C7" s="18" t="str">
        <f aca="false">Datos_Semanales!C7</f>
        <v>LECHES LIQUIDAS</v>
      </c>
      <c r="D7" s="23" t="n">
        <f aca="false">SUM(Datos_Semanales!F7:K7)</f>
        <v>733236</v>
      </c>
      <c r="E7" s="23" t="n">
        <f aca="false">AVERAGE(Datos_Semanales!F7:K7)</f>
        <v>122206</v>
      </c>
      <c r="F7" s="23" t="n">
        <f aca="false">STDEV(Datos_Semanales!F7:K7)</f>
        <v>20103.6274935644</v>
      </c>
      <c r="G7" s="27" t="n">
        <f aca="false">IF(E7&gt;0,F7/E7,"")</f>
        <v>0.164506059387955</v>
      </c>
      <c r="H7" s="24" t="n">
        <f aca="false">IF(SUM($D$5:$D$494)&gt;0,D7/SUM($D$5:$D$494),0)</f>
        <v>0.0305644208223612</v>
      </c>
      <c r="I7" s="24" t="n">
        <f aca="false">SUMIF($D$5:$D$494,"&gt;="&amp;D7)/SUM($D$5:$D$494)</f>
        <v>0.160365553034118</v>
      </c>
      <c r="J7" s="3" t="str">
        <f aca="false">IF(D7&lt;=0,"C",IF(I7&lt;=Parametros!$B$4,"A",IF(I7&lt;=Parametros!$B$5,"B","C")))</f>
        <v>A</v>
      </c>
      <c r="K7" s="3" t="str">
        <f aca="false">IF(E7&lt;=0,"Z",IF(G7&lt;=Parametros!$B$6,"X",IF(G7&lt;=Parametros!$B$7,"Y","Z")))</f>
        <v>X</v>
      </c>
      <c r="L7" s="3" t="str">
        <f aca="false">J7&amp;K7</f>
        <v>AX</v>
      </c>
      <c r="M7" s="3" t="str">
        <f aca="false">INDEX(Parametros!$B$23:$B$31,MATCH(L7,Parametros!$A$23:$A$31,0))</f>
        <v>Forecast estadístico casi automático. Ajustes mínimos. SS bajo porque la demanda es estable.</v>
      </c>
      <c r="N7" s="3" t="str">
        <f aca="false">INDEX(Parametros!$C$23:$C$31,MATCH(L7,Parametros!$A$23:$A$31,0))</f>
        <v>Mensual</v>
      </c>
      <c r="O7" s="23" t="n">
        <f aca="false">SUM(Datos_Semanales!M7:R7)</f>
        <v>773654.176497465</v>
      </c>
      <c r="P7" s="24" t="n">
        <f aca="false">IF(D7&gt;0,SUMPRODUCT(ABS(Datos_Semanales!F7:K7-Datos_Semanales!M7:R7))/D7,"")</f>
        <v>0.167384411700277</v>
      </c>
      <c r="Q7" s="24" t="n">
        <f aca="false">IF(D7&gt;0,O7/D7-1,"")</f>
        <v>0.055123011550803</v>
      </c>
      <c r="R7" s="23" t="n">
        <f aca="false">SQRT(SUMXMY2(Datos_Semanales!F7:K7,Datos_Semanales!M7:R7)/COUNT(Datos_Semanales!F7:K7))</f>
        <v>26676.9874922305</v>
      </c>
      <c r="T7" s="2" t="s">
        <v>725</v>
      </c>
      <c r="U7" s="3" t="n">
        <f aca="false">COUNTIF($L$5:$L$494,"BX")</f>
        <v>123</v>
      </c>
      <c r="V7" s="3" t="n">
        <f aca="false">COUNTIF($L$5:$L$494,"BY")</f>
        <v>22</v>
      </c>
      <c r="W7" s="3" t="n">
        <f aca="false">COUNTIF($L$5:$L$494,"BZ")</f>
        <v>2</v>
      </c>
    </row>
    <row r="8" customFormat="false" ht="15" hidden="false" customHeight="false" outlineLevel="0" collapsed="false">
      <c r="A8" s="18" t="n">
        <f aca="false">Datos_Semanales!A8</f>
        <v>30000049</v>
      </c>
      <c r="B8" s="18" t="str">
        <f aca="false">Datos_Semanales!B8</f>
        <v>ACEITE CHEF MARAVILLA 12X1LT</v>
      </c>
      <c r="C8" s="18" t="str">
        <f aca="false">Datos_Semanales!C8</f>
        <v>-</v>
      </c>
      <c r="D8" s="23" t="n">
        <f aca="false">SUM(Datos_Semanales!F8:K8)</f>
        <v>681830.4</v>
      </c>
      <c r="E8" s="23" t="n">
        <f aca="false">AVERAGE(Datos_Semanales!F8:K8)</f>
        <v>113638.4</v>
      </c>
      <c r="F8" s="23" t="n">
        <f aca="false">STDEV(Datos_Semanales!F8:K8)</f>
        <v>19304.4944590466</v>
      </c>
      <c r="G8" s="27" t="n">
        <f aca="false">IF(E8&gt;0,F8/E8,"")</f>
        <v>0.169876507052604</v>
      </c>
      <c r="H8" s="24" t="n">
        <f aca="false">IF(SUM($D$5:$D$494)&gt;0,D8/SUM($D$5:$D$494),0)</f>
        <v>0.0284216149712765</v>
      </c>
      <c r="I8" s="24" t="n">
        <f aca="false">SUMIF($D$5:$D$494,"&gt;="&amp;D8)/SUM($D$5:$D$494)</f>
        <v>0.188787168005395</v>
      </c>
      <c r="J8" s="3" t="str">
        <f aca="false">IF(D8&lt;=0,"C",IF(I8&lt;=Parametros!$B$4,"A",IF(I8&lt;=Parametros!$B$5,"B","C")))</f>
        <v>A</v>
      </c>
      <c r="K8" s="3" t="str">
        <f aca="false">IF(E8&lt;=0,"Z",IF(G8&lt;=Parametros!$B$6,"X",IF(G8&lt;=Parametros!$B$7,"Y","Z")))</f>
        <v>X</v>
      </c>
      <c r="L8" s="3" t="str">
        <f aca="false">J8&amp;K8</f>
        <v>AX</v>
      </c>
      <c r="M8" s="3" t="str">
        <f aca="false">INDEX(Parametros!$B$23:$B$31,MATCH(L8,Parametros!$A$23:$A$31,0))</f>
        <v>Forecast estadístico casi automático. Ajustes mínimos. SS bajo porque la demanda es estable.</v>
      </c>
      <c r="N8" s="3" t="str">
        <f aca="false">INDEX(Parametros!$C$23:$C$31,MATCH(L8,Parametros!$A$23:$A$31,0))</f>
        <v>Mensual</v>
      </c>
      <c r="O8" s="23" t="n">
        <f aca="false">SUM(Datos_Semanales!M8:R8)</f>
        <v>785122.24</v>
      </c>
      <c r="P8" s="24" t="n">
        <f aca="false">IF(D8&gt;0,SUMPRODUCT(ABS(Datos_Semanales!F8:K8-Datos_Semanales!M8:R8))/D8,"")</f>
        <v>0.371725520012015</v>
      </c>
      <c r="Q8" s="24" t="n">
        <f aca="false">IF(D8&gt;0,O8/D8-1,"")</f>
        <v>0.151491983930315</v>
      </c>
      <c r="R8" s="23" t="n">
        <f aca="false">SQRT(SUMXMY2(Datos_Semanales!F8:K8,Datos_Semanales!M8:R8)/COUNT(Datos_Semanales!F8:K8))</f>
        <v>47027.0827418244</v>
      </c>
      <c r="T8" s="2" t="s">
        <v>726</v>
      </c>
      <c r="U8" s="3" t="n">
        <f aca="false">COUNTIF($L$5:$L$494,"CX")</f>
        <v>93</v>
      </c>
      <c r="V8" s="3" t="n">
        <f aca="false">COUNTIF($L$5:$L$494,"CY")</f>
        <v>46</v>
      </c>
      <c r="W8" s="3" t="n">
        <f aca="false">COUNTIF($L$5:$L$494,"CZ")</f>
        <v>84</v>
      </c>
    </row>
    <row r="9" customFormat="false" ht="15" hidden="false" customHeight="false" outlineLevel="0" collapsed="false">
      <c r="A9" s="18" t="n">
        <f aca="false">Datos_Semanales!A9</f>
        <v>30000326</v>
      </c>
      <c r="B9" s="18" t="str">
        <f aca="false">Datos_Semanales!B9</f>
        <v>LECHE LONCO SEMI S/LAC 12X1LT</v>
      </c>
      <c r="C9" s="18" t="str">
        <f aca="false">Datos_Semanales!C9</f>
        <v>LECHES LIQUIDAS</v>
      </c>
      <c r="D9" s="23" t="n">
        <f aca="false">SUM(Datos_Semanales!F9:K9)</f>
        <v>657036</v>
      </c>
      <c r="E9" s="23" t="n">
        <f aca="false">AVERAGE(Datos_Semanales!F9:K9)</f>
        <v>109506</v>
      </c>
      <c r="F9" s="23" t="n">
        <f aca="false">STDEV(Datos_Semanales!F9:K9)</f>
        <v>31862.6089327287</v>
      </c>
      <c r="G9" s="27" t="n">
        <f aca="false">IF(E9&gt;0,F9/E9,"")</f>
        <v>0.29096678659369</v>
      </c>
      <c r="H9" s="24" t="n">
        <f aca="false">IF(SUM($D$5:$D$494)&gt;0,D9/SUM($D$5:$D$494),0)</f>
        <v>0.0273880780532338</v>
      </c>
      <c r="I9" s="24" t="n">
        <f aca="false">SUMIF($D$5:$D$494,"&gt;="&amp;D9)/SUM($D$5:$D$494)</f>
        <v>0.216175246058628</v>
      </c>
      <c r="J9" s="3" t="str">
        <f aca="false">IF(D9&lt;=0,"C",IF(I9&lt;=Parametros!$B$4,"A",IF(I9&lt;=Parametros!$B$5,"B","C")))</f>
        <v>A</v>
      </c>
      <c r="K9" s="3" t="str">
        <f aca="false">IF(E9&lt;=0,"Z",IF(G9&lt;=Parametros!$B$6,"X",IF(G9&lt;=Parametros!$B$7,"Y","Z")))</f>
        <v>X</v>
      </c>
      <c r="L9" s="3" t="str">
        <f aca="false">J9&amp;K9</f>
        <v>AX</v>
      </c>
      <c r="M9" s="3" t="str">
        <f aca="false">INDEX(Parametros!$B$23:$B$31,MATCH(L9,Parametros!$A$23:$A$31,0))</f>
        <v>Forecast estadístico casi automático. Ajustes mínimos. SS bajo porque la demanda es estable.</v>
      </c>
      <c r="N9" s="3" t="str">
        <f aca="false">INDEX(Parametros!$C$23:$C$31,MATCH(L9,Parametros!$A$23:$A$31,0))</f>
        <v>Mensual</v>
      </c>
      <c r="O9" s="23" t="n">
        <f aca="false">SUM(Datos_Semanales!M9:R9)</f>
        <v>735307.369500659</v>
      </c>
      <c r="P9" s="24" t="n">
        <f aca="false">IF(D9&gt;0,SUMPRODUCT(ABS(Datos_Semanales!F9:K9-Datos_Semanales!M9:R9))/D9,"")</f>
        <v>0.148189124341222</v>
      </c>
      <c r="Q9" s="24" t="n">
        <f aca="false">IF(D9&gt;0,O9/D9-1,"")</f>
        <v>0.119127977006829</v>
      </c>
      <c r="R9" s="23" t="n">
        <f aca="false">SQRT(SUMXMY2(Datos_Semanales!F9:K9,Datos_Semanales!M9:R9)/COUNT(Datos_Semanales!F9:K9))</f>
        <v>18291.1587730342</v>
      </c>
    </row>
    <row r="10" customFormat="false" ht="15" hidden="false" customHeight="false" outlineLevel="0" collapsed="false">
      <c r="A10" s="18" t="n">
        <f aca="false">Datos_Semanales!A10</f>
        <v>30000353</v>
      </c>
      <c r="B10" s="18" t="str">
        <f aca="false">Datos_Semanales!B10</f>
        <v>LECHE LCO DESC S/LACTOSA 12X1LT</v>
      </c>
      <c r="C10" s="18" t="str">
        <f aca="false">Datos_Semanales!C10</f>
        <v>LECHES LIQUIDAS</v>
      </c>
      <c r="D10" s="23" t="n">
        <f aca="false">SUM(Datos_Semanales!F10:K10)</f>
        <v>556968</v>
      </c>
      <c r="E10" s="23" t="n">
        <f aca="false">AVERAGE(Datos_Semanales!F10:K10)</f>
        <v>92828</v>
      </c>
      <c r="F10" s="23" t="n">
        <f aca="false">STDEV(Datos_Semanales!F10:K10)</f>
        <v>42662.5249323103</v>
      </c>
      <c r="G10" s="27" t="n">
        <f aca="false">IF(E10&gt;0,F10/E10,"")</f>
        <v>0.459586815748592</v>
      </c>
      <c r="H10" s="24" t="n">
        <f aca="false">IF(SUM($D$5:$D$494)&gt;0,D10/SUM($D$5:$D$494),0)</f>
        <v>0.0232168146907529</v>
      </c>
      <c r="I10" s="24" t="n">
        <f aca="false">SUMIF($D$5:$D$494,"&gt;="&amp;D10)/SUM($D$5:$D$494)</f>
        <v>0.239392060749381</v>
      </c>
      <c r="J10" s="3" t="str">
        <f aca="false">IF(D10&lt;=0,"C",IF(I10&lt;=Parametros!$B$4,"A",IF(I10&lt;=Parametros!$B$5,"B","C")))</f>
        <v>A</v>
      </c>
      <c r="K10" s="3" t="str">
        <f aca="false">IF(E10&lt;=0,"Z",IF(G10&lt;=Parametros!$B$6,"X",IF(G10&lt;=Parametros!$B$7,"Y","Z")))</f>
        <v>X</v>
      </c>
      <c r="L10" s="3" t="str">
        <f aca="false">J10&amp;K10</f>
        <v>AX</v>
      </c>
      <c r="M10" s="3" t="str">
        <f aca="false">INDEX(Parametros!$B$23:$B$31,MATCH(L10,Parametros!$A$23:$A$31,0))</f>
        <v>Forecast estadístico casi automático. Ajustes mínimos. SS bajo porque la demanda es estable.</v>
      </c>
      <c r="N10" s="3" t="str">
        <f aca="false">INDEX(Parametros!$C$23:$C$31,MATCH(L10,Parametros!$A$23:$A$31,0))</f>
        <v>Mensual</v>
      </c>
      <c r="O10" s="23" t="n">
        <f aca="false">SUM(Datos_Semanales!M10:R10)</f>
        <v>571261.158237621</v>
      </c>
      <c r="P10" s="24" t="n">
        <f aca="false">IF(D10&gt;0,SUMPRODUCT(ABS(Datos_Semanales!F10:K10-Datos_Semanales!M10:R10))/D10,"")</f>
        <v>0.236658758424863</v>
      </c>
      <c r="Q10" s="24" t="n">
        <f aca="false">IF(D10&gt;0,O10/D10-1,"")</f>
        <v>0.0256624406386381</v>
      </c>
      <c r="R10" s="23" t="n">
        <f aca="false">SQRT(SUMXMY2(Datos_Semanales!F10:K10,Datos_Semanales!M10:R10)/COUNT(Datos_Semanales!F10:K10))</f>
        <v>24910.9459954102</v>
      </c>
      <c r="T10" s="2" t="s">
        <v>711</v>
      </c>
      <c r="U10" s="2" t="s">
        <v>720</v>
      </c>
      <c r="V10" s="2" t="s">
        <v>721</v>
      </c>
      <c r="W10" s="2" t="s">
        <v>722</v>
      </c>
    </row>
    <row r="11" customFormat="false" ht="15" hidden="false" customHeight="false" outlineLevel="0" collapsed="false">
      <c r="A11" s="18" t="n">
        <f aca="false">Datos_Semanales!A11</f>
        <v>30000524</v>
      </c>
      <c r="B11" s="18" t="str">
        <f aca="false">Datos_Semanales!B11</f>
        <v>LECHE BLANCA DESC LCO BASE 12X1LT</v>
      </c>
      <c r="C11" s="18" t="str">
        <f aca="false">Datos_Semanales!C11</f>
        <v>-</v>
      </c>
      <c r="D11" s="23" t="n">
        <f aca="false">SUM(Datos_Semanales!F11:K11)</f>
        <v>524352</v>
      </c>
      <c r="E11" s="23" t="n">
        <f aca="false">AVERAGE(Datos_Semanales!F11:K11)</f>
        <v>87392</v>
      </c>
      <c r="F11" s="23" t="n">
        <f aca="false">STDEV(Datos_Semanales!F11:K11)</f>
        <v>102650.51715408</v>
      </c>
      <c r="G11" s="27" t="n">
        <f aca="false">IF(E11&gt;0,F11/E11,"")</f>
        <v>1.17459855769498</v>
      </c>
      <c r="H11" s="24" t="n">
        <f aca="false">IF(SUM($D$5:$D$494)&gt;0,D11/SUM($D$5:$D$494),0)</f>
        <v>0.0218572399432744</v>
      </c>
      <c r="I11" s="24" t="n">
        <f aca="false">SUMIF($D$5:$D$494,"&gt;="&amp;D11)/SUM($D$5:$D$494)</f>
        <v>0.261249300692656</v>
      </c>
      <c r="J11" s="3" t="str">
        <f aca="false">IF(D11&lt;=0,"C",IF(I11&lt;=Parametros!$B$4,"A",IF(I11&lt;=Parametros!$B$5,"B","C")))</f>
        <v>A</v>
      </c>
      <c r="K11" s="3" t="str">
        <f aca="false">IF(E11&lt;=0,"Z",IF(G11&lt;=Parametros!$B$6,"X",IF(G11&lt;=Parametros!$B$7,"Y","Z")))</f>
        <v>Z</v>
      </c>
      <c r="L11" s="3" t="str">
        <f aca="false">J11&amp;K11</f>
        <v>AZ</v>
      </c>
      <c r="M11" s="3" t="str">
        <f aca="false">INDEX(Parametros!$B$23:$B$31,MATCH(L11,Parametros!$A$23:$A$31,0))</f>
        <v>FOCO MÁXIMO. Mucho volumen y errático: CPFR con cadenas, separar promociones de la base, SS alto.</v>
      </c>
      <c r="N11" s="3" t="str">
        <f aca="false">INDEX(Parametros!$C$23:$C$31,MATCH(L11,Parametros!$A$23:$A$31,0))</f>
        <v>2 veces por semana</v>
      </c>
      <c r="O11" s="23" t="n">
        <f aca="false">SUM(Datos_Semanales!M11:R11)</f>
        <v>312893.602113639</v>
      </c>
      <c r="P11" s="24" t="n">
        <f aca="false">IF(D11&gt;0,SUMPRODUCT(ABS(Datos_Semanales!F11:K11-Datos_Semanales!M11:R11))/D11,"")</f>
        <v>0.612366505922814</v>
      </c>
      <c r="Q11" s="24" t="n">
        <f aca="false">IF(D11&gt;0,O11/D11-1,"")</f>
        <v>-0.403275658119662</v>
      </c>
      <c r="R11" s="23" t="n">
        <f aca="false">SQRT(SUMXMY2(Datos_Semanales!F11:K11,Datos_Semanales!M11:R11)/COUNT(Datos_Semanales!F11:K11))</f>
        <v>99831.5639361556</v>
      </c>
      <c r="T11" s="2" t="s">
        <v>723</v>
      </c>
      <c r="U11" s="24" t="n">
        <f aca="false">SUMIF($L$5:$L$494,"AX",$D$5:$D$494)/SUM($D$5:$D$494)</f>
        <v>0.68513427926009</v>
      </c>
      <c r="V11" s="24" t="n">
        <f aca="false">SUMIF($L$5:$L$494,"AY",$D$5:$D$494)/SUM($D$5:$D$494)</f>
        <v>0.0917761341669845</v>
      </c>
      <c r="W11" s="24" t="n">
        <f aca="false">SUMIF($L$5:$L$494,"AZ",$D$5:$D$494)/SUM($D$5:$D$494)</f>
        <v>0.0218572399432744</v>
      </c>
      <c r="X11" s="2" t="s">
        <v>724</v>
      </c>
    </row>
    <row r="12" customFormat="false" ht="15" hidden="false" customHeight="false" outlineLevel="0" collapsed="false">
      <c r="A12" s="18" t="n">
        <f aca="false">Datos_Semanales!A12</f>
        <v>30000255</v>
      </c>
      <c r="B12" s="18" t="str">
        <f aca="false">Datos_Semanales!B12</f>
        <v>NECTAR W DZNO SIXPACK 30X200ML</v>
      </c>
      <c r="C12" s="18" t="str">
        <f aca="false">Datos_Semanales!C12</f>
        <v>-</v>
      </c>
      <c r="D12" s="23" t="n">
        <f aca="false">SUM(Datos_Semanales!F12:K12)</f>
        <v>480900</v>
      </c>
      <c r="E12" s="23" t="n">
        <f aca="false">AVERAGE(Datos_Semanales!F12:K12)</f>
        <v>80150</v>
      </c>
      <c r="F12" s="23" t="n">
        <f aca="false">STDEV(Datos_Semanales!F12:K12)</f>
        <v>42227.1390648242</v>
      </c>
      <c r="G12" s="27" t="n">
        <f aca="false">IF(E12&gt;0,F12/E12,"")</f>
        <v>0.526851391950395</v>
      </c>
      <c r="H12" s="24" t="n">
        <f aca="false">IF(SUM($D$5:$D$494)&gt;0,D12/SUM($D$5:$D$494),0)</f>
        <v>0.0200459742476822</v>
      </c>
      <c r="I12" s="24" t="n">
        <f aca="false">SUMIF($D$5:$D$494,"&gt;="&amp;D12)/SUM($D$5:$D$494)</f>
        <v>0.281295274940338</v>
      </c>
      <c r="J12" s="3" t="str">
        <f aca="false">IF(D12&lt;=0,"C",IF(I12&lt;=Parametros!$B$4,"A",IF(I12&lt;=Parametros!$B$5,"B","C")))</f>
        <v>A</v>
      </c>
      <c r="K12" s="3" t="str">
        <f aca="false">IF(E12&lt;=0,"Z",IF(G12&lt;=Parametros!$B$6,"X",IF(G12&lt;=Parametros!$B$7,"Y","Z")))</f>
        <v>Y</v>
      </c>
      <c r="L12" s="3" t="str">
        <f aca="false">J12&amp;K12</f>
        <v>AY</v>
      </c>
      <c r="M12" s="3" t="str">
        <f aca="false">INDEX(Parametros!$B$23:$B$31,MATCH(L12,Parametros!$A$23:$A$31,0))</f>
        <v>Alto volumen con variaciones: entender causas (promos, cadenas). Validar con KAM antes de ajustar.</v>
      </c>
      <c r="N12" s="3" t="str">
        <f aca="false">INDEX(Parametros!$C$23:$C$31,MATCH(L12,Parametros!$A$23:$A$31,0))</f>
        <v>Semanal</v>
      </c>
      <c r="O12" s="23" t="n">
        <f aca="false">SUM(Datos_Semanales!M12:R12)</f>
        <v>411027.203009746</v>
      </c>
      <c r="P12" s="24" t="n">
        <f aca="false">IF(D12&gt;0,SUMPRODUCT(ABS(Datos_Semanales!F12:K12-Datos_Semanales!M12:R12))/D12,"")</f>
        <v>0.2887248486385</v>
      </c>
      <c r="Q12" s="24" t="n">
        <f aca="false">IF(D12&gt;0,O12/D12-1,"")</f>
        <v>-0.145295897255676</v>
      </c>
      <c r="R12" s="23" t="n">
        <f aca="false">SQRT(SUMXMY2(Datos_Semanales!F12:K12,Datos_Semanales!M12:R12)/COUNT(Datos_Semanales!F12:K12))</f>
        <v>28327.615874693</v>
      </c>
      <c r="T12" s="2" t="s">
        <v>725</v>
      </c>
      <c r="U12" s="24" t="n">
        <f aca="false">SUMIF($L$5:$L$494,"BX",$D$5:$D$494)/SUM($D$5:$D$494)</f>
        <v>0.125617968151701</v>
      </c>
      <c r="V12" s="24" t="n">
        <f aca="false">SUMIF($L$5:$L$494,"BY",$D$5:$D$494)/SUM($D$5:$D$494)</f>
        <v>0.0239299135632826</v>
      </c>
      <c r="W12" s="24" t="n">
        <f aca="false">SUMIF($L$5:$L$494,"BZ",$D$5:$D$494)/SUM($D$5:$D$494)</f>
        <v>0.00128754429728095</v>
      </c>
    </row>
    <row r="13" customFormat="false" ht="15" hidden="false" customHeight="false" outlineLevel="0" collapsed="false">
      <c r="A13" s="18" t="n">
        <f aca="false">Datos_Semanales!A13</f>
        <v>30000523</v>
      </c>
      <c r="B13" s="18" t="str">
        <f aca="false">Datos_Semanales!B13</f>
        <v>LECHE BCA SEMI LONCO BASE 12X1LT</v>
      </c>
      <c r="C13" s="18" t="str">
        <f aca="false">Datos_Semanales!C13</f>
        <v>-</v>
      </c>
      <c r="D13" s="23" t="n">
        <f aca="false">SUM(Datos_Semanales!F13:K13)</f>
        <v>423528</v>
      </c>
      <c r="E13" s="23" t="n">
        <f aca="false">AVERAGE(Datos_Semanales!F13:K13)</f>
        <v>70588</v>
      </c>
      <c r="F13" s="23" t="n">
        <f aca="false">STDEV(Datos_Semanales!F13:K13)</f>
        <v>26079.0571608714</v>
      </c>
      <c r="G13" s="27" t="n">
        <f aca="false">IF(E13&gt;0,F13/E13,"")</f>
        <v>0.36945454129415</v>
      </c>
      <c r="H13" s="24" t="n">
        <f aca="false">IF(SUM($D$5:$D$494)&gt;0,D13/SUM($D$5:$D$494),0)</f>
        <v>0.0176544632588321</v>
      </c>
      <c r="I13" s="24" t="n">
        <f aca="false">SUMIF($D$5:$D$494,"&gt;="&amp;D13)/SUM($D$5:$D$494)</f>
        <v>0.29894973819917</v>
      </c>
      <c r="J13" s="3" t="str">
        <f aca="false">IF(D13&lt;=0,"C",IF(I13&lt;=Parametros!$B$4,"A",IF(I13&lt;=Parametros!$B$5,"B","C")))</f>
        <v>A</v>
      </c>
      <c r="K13" s="3" t="str">
        <f aca="false">IF(E13&lt;=0,"Z",IF(G13&lt;=Parametros!$B$6,"X",IF(G13&lt;=Parametros!$B$7,"Y","Z")))</f>
        <v>X</v>
      </c>
      <c r="L13" s="3" t="str">
        <f aca="false">J13&amp;K13</f>
        <v>AX</v>
      </c>
      <c r="M13" s="3" t="str">
        <f aca="false">INDEX(Parametros!$B$23:$B$31,MATCH(L13,Parametros!$A$23:$A$31,0))</f>
        <v>Forecast estadístico casi automático. Ajustes mínimos. SS bajo porque la demanda es estable.</v>
      </c>
      <c r="N13" s="3" t="str">
        <f aca="false">INDEX(Parametros!$C$23:$C$31,MATCH(L13,Parametros!$A$23:$A$31,0))</f>
        <v>Mensual</v>
      </c>
      <c r="O13" s="23" t="n">
        <f aca="false">SUM(Datos_Semanales!M13:R13)</f>
        <v>653342.507120916</v>
      </c>
      <c r="P13" s="24" t="n">
        <f aca="false">IF(D13&gt;0,SUMPRODUCT(ABS(Datos_Semanales!F13:K13-Datos_Semanales!M13:R13))/D13,"")</f>
        <v>0.598891471451511</v>
      </c>
      <c r="Q13" s="24" t="n">
        <f aca="false">IF(D13&gt;0,O13/D13-1,"")</f>
        <v>0.542619394989034</v>
      </c>
      <c r="R13" s="23" t="n">
        <f aca="false">SQRT(SUMXMY2(Datos_Semanales!F13:K13,Datos_Semanales!M13:R13)/COUNT(Datos_Semanales!F13:K13))</f>
        <v>66361.7670214695</v>
      </c>
      <c r="T13" s="2" t="s">
        <v>726</v>
      </c>
      <c r="U13" s="24" t="n">
        <f aca="false">SUMIF($L$5:$L$494,"CX",$D$5:$D$494)/SUM($D$5:$D$494)</f>
        <v>0.0338594356339821</v>
      </c>
      <c r="V13" s="24" t="n">
        <f aca="false">SUMIF($L$5:$L$494,"CY",$D$5:$D$494)/SUM($D$5:$D$494)</f>
        <v>0.0125316340474762</v>
      </c>
      <c r="W13" s="24" t="n">
        <f aca="false">SUMIF($L$5:$L$494,"CZ",$D$5:$D$494)/SUM($D$5:$D$494)</f>
        <v>0.00400585093592831</v>
      </c>
    </row>
    <row r="14" customFormat="false" ht="15" hidden="false" customHeight="false" outlineLevel="0" collapsed="false">
      <c r="A14" s="18" t="n">
        <f aca="false">Datos_Semanales!A14</f>
        <v>30001086</v>
      </c>
      <c r="B14" s="18" t="str">
        <f aca="false">Datos_Semanales!B14</f>
        <v>YOG GRI OIKOS NAT S/A 48X150GR</v>
      </c>
      <c r="C14" s="18" t="str">
        <f aca="false">Datos_Semanales!C14</f>
        <v>-</v>
      </c>
      <c r="D14" s="23" t="n">
        <f aca="false">SUM(Datos_Semanales!F14:K14)</f>
        <v>397821.6</v>
      </c>
      <c r="E14" s="23" t="n">
        <f aca="false">AVERAGE(Datos_Semanales!F14:K14)</f>
        <v>66303.6</v>
      </c>
      <c r="F14" s="23" t="n">
        <f aca="false">STDEV(Datos_Semanales!F14:K14)</f>
        <v>15918.8599692315</v>
      </c>
      <c r="G14" s="27" t="n">
        <f aca="false">IF(E14&gt;0,F14/E14,"")</f>
        <v>0.240090432031315</v>
      </c>
      <c r="H14" s="24" t="n">
        <f aca="false">IF(SUM($D$5:$D$494)&gt;0,D14/SUM($D$5:$D$494),0)</f>
        <v>0.0165829102698518</v>
      </c>
      <c r="I14" s="24" t="n">
        <f aca="false">SUMIF($D$5:$D$494,"&gt;="&amp;D14)/SUM($D$5:$D$494)</f>
        <v>0.315532648469022</v>
      </c>
      <c r="J14" s="3" t="str">
        <f aca="false">IF(D14&lt;=0,"C",IF(I14&lt;=Parametros!$B$4,"A",IF(I14&lt;=Parametros!$B$5,"B","C")))</f>
        <v>A</v>
      </c>
      <c r="K14" s="3" t="str">
        <f aca="false">IF(E14&lt;=0,"Z",IF(G14&lt;=Parametros!$B$6,"X",IF(G14&lt;=Parametros!$B$7,"Y","Z")))</f>
        <v>X</v>
      </c>
      <c r="L14" s="3" t="str">
        <f aca="false">J14&amp;K14</f>
        <v>AX</v>
      </c>
      <c r="M14" s="3" t="str">
        <f aca="false">INDEX(Parametros!$B$23:$B$31,MATCH(L14,Parametros!$A$23:$A$31,0))</f>
        <v>Forecast estadístico casi automático. Ajustes mínimos. SS bajo porque la demanda es estable.</v>
      </c>
      <c r="N14" s="3" t="str">
        <f aca="false">INDEX(Parametros!$C$23:$C$31,MATCH(L14,Parametros!$A$23:$A$31,0))</f>
        <v>Mensual</v>
      </c>
      <c r="O14" s="23" t="n">
        <f aca="false">SUM(Datos_Semanales!M14:R14)</f>
        <v>358579.287717047</v>
      </c>
      <c r="P14" s="24" t="n">
        <f aca="false">IF(D14&gt;0,SUMPRODUCT(ABS(Datos_Semanales!F14:K14-Datos_Semanales!M14:R14))/D14,"")</f>
        <v>0.161292859540088</v>
      </c>
      <c r="Q14" s="24" t="n">
        <f aca="false">IF(D14&gt;0,O14/D14-1,"")</f>
        <v>-0.0986429904332816</v>
      </c>
      <c r="R14" s="23" t="n">
        <f aca="false">SQRT(SUMXMY2(Datos_Semanales!F14:K14,Datos_Semanales!M14:R14)/COUNT(Datos_Semanales!F14:K14))</f>
        <v>12798.347846992</v>
      </c>
      <c r="T14" s="28" t="s">
        <v>727</v>
      </c>
    </row>
    <row r="15" customFormat="false" ht="15" hidden="false" customHeight="false" outlineLevel="0" collapsed="false">
      <c r="A15" s="18" t="n">
        <f aca="false">Datos_Semanales!A15</f>
        <v>30000256</v>
      </c>
      <c r="B15" s="18" t="str">
        <f aca="false">Datos_Semanales!B15</f>
        <v>NECTAR W PIÑA SIXPACK 30X200ML</v>
      </c>
      <c r="C15" s="18" t="str">
        <f aca="false">Datos_Semanales!C15</f>
        <v>-</v>
      </c>
      <c r="D15" s="23" t="n">
        <f aca="false">SUM(Datos_Semanales!F15:K15)</f>
        <v>337002</v>
      </c>
      <c r="E15" s="23" t="n">
        <f aca="false">AVERAGE(Datos_Semanales!F15:K15)</f>
        <v>56167</v>
      </c>
      <c r="F15" s="23" t="n">
        <f aca="false">STDEV(Datos_Semanales!F15:K15)</f>
        <v>34612.3735273962</v>
      </c>
      <c r="G15" s="27" t="n">
        <f aca="false">IF(E15&gt;0,F15/E15,"")</f>
        <v>0.616240381850486</v>
      </c>
      <c r="H15" s="24" t="n">
        <f aca="false">IF(SUM($D$5:$D$494)&gt;0,D15/SUM($D$5:$D$494),0)</f>
        <v>0.0140476885286284</v>
      </c>
      <c r="I15" s="24" t="n">
        <f aca="false">SUMIF($D$5:$D$494,"&gt;="&amp;D15)/SUM($D$5:$D$494)</f>
        <v>0.32958033699765</v>
      </c>
      <c r="J15" s="3" t="str">
        <f aca="false">IF(D15&lt;=0,"C",IF(I15&lt;=Parametros!$B$4,"A",IF(I15&lt;=Parametros!$B$5,"B","C")))</f>
        <v>A</v>
      </c>
      <c r="K15" s="3" t="str">
        <f aca="false">IF(E15&lt;=0,"Z",IF(G15&lt;=Parametros!$B$6,"X",IF(G15&lt;=Parametros!$B$7,"Y","Z")))</f>
        <v>Y</v>
      </c>
      <c r="L15" s="3" t="str">
        <f aca="false">J15&amp;K15</f>
        <v>AY</v>
      </c>
      <c r="M15" s="3" t="str">
        <f aca="false">INDEX(Parametros!$B$23:$B$31,MATCH(L15,Parametros!$A$23:$A$31,0))</f>
        <v>Alto volumen con variaciones: entender causas (promos, cadenas). Validar con KAM antes de ajustar.</v>
      </c>
      <c r="N15" s="3" t="str">
        <f aca="false">INDEX(Parametros!$C$23:$C$31,MATCH(L15,Parametros!$A$23:$A$31,0))</f>
        <v>Semanal</v>
      </c>
      <c r="O15" s="23" t="n">
        <f aca="false">SUM(Datos_Semanales!M15:R15)</f>
        <v>304146.60977481</v>
      </c>
      <c r="P15" s="24" t="n">
        <f aca="false">IF(D15&gt;0,SUMPRODUCT(ABS(Datos_Semanales!F15:K15-Datos_Semanales!M15:R15))/D15,"")</f>
        <v>0.41618658970923</v>
      </c>
      <c r="Q15" s="24" t="n">
        <f aca="false">IF(D15&gt;0,O15/D15-1,"")</f>
        <v>-0.0974931609461954</v>
      </c>
      <c r="R15" s="23" t="n">
        <f aca="false">SQRT(SUMXMY2(Datos_Semanales!F15:K15,Datos_Semanales!M15:R15)/COUNT(Datos_Semanales!F15:K15))</f>
        <v>26394.7768594339</v>
      </c>
    </row>
    <row r="16" customFormat="false" ht="15" hidden="false" customHeight="false" outlineLevel="0" collapsed="false">
      <c r="A16" s="18" t="n">
        <f aca="false">Datos_Semanales!A16</f>
        <v>30001051</v>
      </c>
      <c r="B16" s="18" t="str">
        <f aca="false">Datos_Semanales!B16</f>
        <v>YOG CALAN BOLSA FRUT NUEVA 12X1KG</v>
      </c>
      <c r="C16" s="18" t="str">
        <f aca="false">Datos_Semanales!C16</f>
        <v>-</v>
      </c>
      <c r="D16" s="23" t="n">
        <f aca="false">SUM(Datos_Semanales!F16:K16)</f>
        <v>333636</v>
      </c>
      <c r="E16" s="23" t="n">
        <f aca="false">AVERAGE(Datos_Semanales!F16:K16)</f>
        <v>55606</v>
      </c>
      <c r="F16" s="23" t="n">
        <f aca="false">STDEV(Datos_Semanales!F16:K16)</f>
        <v>15441.3646547188</v>
      </c>
      <c r="G16" s="27" t="n">
        <f aca="false">IF(E16&gt;0,F16/E16,"")</f>
        <v>0.277692419068425</v>
      </c>
      <c r="H16" s="24" t="n">
        <f aca="false">IF(SUM($D$5:$D$494)&gt;0,D16/SUM($D$5:$D$494),0)</f>
        <v>0.0139073792141811</v>
      </c>
      <c r="I16" s="24" t="n">
        <f aca="false">SUMIF($D$5:$D$494,"&gt;="&amp;D16)/SUM($D$5:$D$494)</f>
        <v>0.343487716211831</v>
      </c>
      <c r="J16" s="3" t="str">
        <f aca="false">IF(D16&lt;=0,"C",IF(I16&lt;=Parametros!$B$4,"A",IF(I16&lt;=Parametros!$B$5,"B","C")))</f>
        <v>A</v>
      </c>
      <c r="K16" s="3" t="str">
        <f aca="false">IF(E16&lt;=0,"Z",IF(G16&lt;=Parametros!$B$6,"X",IF(G16&lt;=Parametros!$B$7,"Y","Z")))</f>
        <v>X</v>
      </c>
      <c r="L16" s="3" t="str">
        <f aca="false">J16&amp;K16</f>
        <v>AX</v>
      </c>
      <c r="M16" s="3" t="str">
        <f aca="false">INDEX(Parametros!$B$23:$B$31,MATCH(L16,Parametros!$A$23:$A$31,0))</f>
        <v>Forecast estadístico casi automático. Ajustes mínimos. SS bajo porque la demanda es estable.</v>
      </c>
      <c r="N16" s="3" t="str">
        <f aca="false">INDEX(Parametros!$C$23:$C$31,MATCH(L16,Parametros!$A$23:$A$31,0))</f>
        <v>Mensual</v>
      </c>
      <c r="O16" s="23" t="n">
        <f aca="false">SUM(Datos_Semanales!M16:R16)</f>
        <v>244083.499985238</v>
      </c>
      <c r="P16" s="24" t="n">
        <f aca="false">IF(D16&gt;0,SUMPRODUCT(ABS(Datos_Semanales!F16:K16-Datos_Semanales!M16:R16))/D16,"")</f>
        <v>0.325563178387283</v>
      </c>
      <c r="Q16" s="24" t="n">
        <f aca="false">IF(D16&gt;0,O16/D16-1,"")</f>
        <v>-0.268413780331746</v>
      </c>
      <c r="R16" s="23" t="n">
        <f aca="false">SQRT(SUMXMY2(Datos_Semanales!F16:K16,Datos_Semanales!M16:R16)/COUNT(Datos_Semanales!F16:K16))</f>
        <v>21140.1623637128</v>
      </c>
    </row>
    <row r="17" customFormat="false" ht="15" hidden="false" customHeight="false" outlineLevel="0" collapsed="false">
      <c r="A17" s="18" t="n">
        <f aca="false">Datos_Semanales!A17</f>
        <v>30000258</v>
      </c>
      <c r="B17" s="18" t="str">
        <f aca="false">Datos_Semanales!B17</f>
        <v>NECTAR W NJA SIXPACK 30X200ML</v>
      </c>
      <c r="C17" s="18" t="str">
        <f aca="false">Datos_Semanales!C17</f>
        <v>-</v>
      </c>
      <c r="D17" s="23" t="n">
        <f aca="false">SUM(Datos_Semanales!F17:K17)</f>
        <v>325614</v>
      </c>
      <c r="E17" s="23" t="n">
        <f aca="false">AVERAGE(Datos_Semanales!F17:K17)</f>
        <v>54269</v>
      </c>
      <c r="F17" s="23" t="n">
        <f aca="false">STDEV(Datos_Semanales!F17:K17)</f>
        <v>30508.3140340465</v>
      </c>
      <c r="G17" s="27" t="n">
        <f aca="false">IF(E17&gt;0,F17/E17,"")</f>
        <v>0.562168347197231</v>
      </c>
      <c r="H17" s="24" t="n">
        <f aca="false">IF(SUM($D$5:$D$494)&gt;0,D17/SUM($D$5:$D$494),0)</f>
        <v>0.0135729878533683</v>
      </c>
      <c r="I17" s="24" t="n">
        <f aca="false">SUMIF($D$5:$D$494,"&gt;="&amp;D17)/SUM($D$5:$D$494)</f>
        <v>0.3570607040652</v>
      </c>
      <c r="J17" s="3" t="str">
        <f aca="false">IF(D17&lt;=0,"C",IF(I17&lt;=Parametros!$B$4,"A",IF(I17&lt;=Parametros!$B$5,"B","C")))</f>
        <v>A</v>
      </c>
      <c r="K17" s="3" t="str">
        <f aca="false">IF(E17&lt;=0,"Z",IF(G17&lt;=Parametros!$B$6,"X",IF(G17&lt;=Parametros!$B$7,"Y","Z")))</f>
        <v>Y</v>
      </c>
      <c r="L17" s="3" t="str">
        <f aca="false">J17&amp;K17</f>
        <v>AY</v>
      </c>
      <c r="M17" s="3" t="str">
        <f aca="false">INDEX(Parametros!$B$23:$B$31,MATCH(L17,Parametros!$A$23:$A$31,0))</f>
        <v>Alto volumen con variaciones: entender causas (promos, cadenas). Validar con KAM antes de ajustar.</v>
      </c>
      <c r="N17" s="3" t="str">
        <f aca="false">INDEX(Parametros!$C$23:$C$31,MATCH(L17,Parametros!$A$23:$A$31,0))</f>
        <v>Semanal</v>
      </c>
      <c r="O17" s="23" t="n">
        <f aca="false">SUM(Datos_Semanales!M17:R17)</f>
        <v>399775.605169129</v>
      </c>
      <c r="P17" s="24" t="n">
        <f aca="false">IF(D17&gt;0,SUMPRODUCT(ABS(Datos_Semanales!F17:K17-Datos_Semanales!M17:R17))/D17,"")</f>
        <v>0.412328732827061</v>
      </c>
      <c r="Q17" s="24" t="n">
        <f aca="false">IF(D17&gt;0,O17/D17-1,"")</f>
        <v>0.227759264555975</v>
      </c>
      <c r="R17" s="23" t="n">
        <f aca="false">SQRT(SUMXMY2(Datos_Semanales!F17:K17,Datos_Semanales!M17:R17)/COUNT(Datos_Semanales!F17:K17))</f>
        <v>24438.2400442619</v>
      </c>
    </row>
    <row r="18" customFormat="false" ht="15" hidden="false" customHeight="false" outlineLevel="0" collapsed="false">
      <c r="A18" s="18" t="n">
        <f aca="false">Datos_Semanales!A18</f>
        <v>30000257</v>
      </c>
      <c r="B18" s="18" t="str">
        <f aca="false">Datos_Semanales!B18</f>
        <v>NECTAR W MZNA SIXPACK 30X200ML</v>
      </c>
      <c r="C18" s="18" t="str">
        <f aca="false">Datos_Semanales!C18</f>
        <v>-</v>
      </c>
      <c r="D18" s="23" t="n">
        <f aca="false">SUM(Datos_Semanales!F18:K18)</f>
        <v>322578</v>
      </c>
      <c r="E18" s="23" t="n">
        <f aca="false">AVERAGE(Datos_Semanales!F18:K18)</f>
        <v>53763</v>
      </c>
      <c r="F18" s="23" t="n">
        <f aca="false">STDEV(Datos_Semanales!F18:K18)</f>
        <v>25424.0403004715</v>
      </c>
      <c r="G18" s="27" t="n">
        <f aca="false">IF(E18&gt;0,F18/E18,"")</f>
        <v>0.472891027295194</v>
      </c>
      <c r="H18" s="24" t="n">
        <f aca="false">IF(SUM($D$5:$D$494)&gt;0,D18/SUM($D$5:$D$494),0)</f>
        <v>0.0134464343540629</v>
      </c>
      <c r="I18" s="24" t="n">
        <f aca="false">SUMIF($D$5:$D$494,"&gt;="&amp;D18)/SUM($D$5:$D$494)</f>
        <v>0.370507138419262</v>
      </c>
      <c r="J18" s="3" t="str">
        <f aca="false">IF(D18&lt;=0,"C",IF(I18&lt;=Parametros!$B$4,"A",IF(I18&lt;=Parametros!$B$5,"B","C")))</f>
        <v>A</v>
      </c>
      <c r="K18" s="3" t="str">
        <f aca="false">IF(E18&lt;=0,"Z",IF(G18&lt;=Parametros!$B$6,"X",IF(G18&lt;=Parametros!$B$7,"Y","Z")))</f>
        <v>X</v>
      </c>
      <c r="L18" s="3" t="str">
        <f aca="false">J18&amp;K18</f>
        <v>AX</v>
      </c>
      <c r="M18" s="3" t="str">
        <f aca="false">INDEX(Parametros!$B$23:$B$31,MATCH(L18,Parametros!$A$23:$A$31,0))</f>
        <v>Forecast estadístico casi automático. Ajustes mínimos. SS bajo porque la demanda es estable.</v>
      </c>
      <c r="N18" s="3" t="str">
        <f aca="false">INDEX(Parametros!$C$23:$C$31,MATCH(L18,Parametros!$A$23:$A$31,0))</f>
        <v>Mensual</v>
      </c>
      <c r="O18" s="23" t="n">
        <f aca="false">SUM(Datos_Semanales!M18:R18)</f>
        <v>308147.272144553</v>
      </c>
      <c r="P18" s="24" t="n">
        <f aca="false">IF(D18&gt;0,SUMPRODUCT(ABS(Datos_Semanales!F18:K18-Datos_Semanales!M18:R18))/D18,"")</f>
        <v>0.302493112387958</v>
      </c>
      <c r="Q18" s="24" t="n">
        <f aca="false">IF(D18&gt;0,O18/D18-1,"")</f>
        <v>-0.044735623183995</v>
      </c>
      <c r="R18" s="23" t="n">
        <f aca="false">SQRT(SUMXMY2(Datos_Semanales!F18:K18,Datos_Semanales!M18:R18)/COUNT(Datos_Semanales!F18:K18))</f>
        <v>19392.6104419052</v>
      </c>
    </row>
    <row r="19" customFormat="false" ht="15" hidden="false" customHeight="false" outlineLevel="0" collapsed="false">
      <c r="A19" s="18" t="n">
        <f aca="false">Datos_Semanales!A19</f>
        <v>30000441</v>
      </c>
      <c r="B19" s="18" t="str">
        <f aca="false">Datos_Semanales!B19</f>
        <v>MANTECOSO PARCELAS PIEZA 1X10KG</v>
      </c>
      <c r="C19" s="18" t="str">
        <f aca="false">Datos_Semanales!C19</f>
        <v>QUESOS</v>
      </c>
      <c r="D19" s="23" t="n">
        <f aca="false">SUM(Datos_Semanales!F19:K19)</f>
        <v>262828</v>
      </c>
      <c r="E19" s="23" t="n">
        <f aca="false">AVERAGE(Datos_Semanales!F19:K19)</f>
        <v>43804.6666666667</v>
      </c>
      <c r="F19" s="23" t="n">
        <f aca="false">STDEV(Datos_Semanales!F19:K19)</f>
        <v>21029.3380843684</v>
      </c>
      <c r="G19" s="27" t="n">
        <f aca="false">IF(E19&gt;0,F19/E19,"")</f>
        <v>0.48007072498444</v>
      </c>
      <c r="H19" s="24" t="n">
        <f aca="false">IF(SUM($D$5:$D$494)&gt;0,D19/SUM($D$5:$D$494),0)</f>
        <v>0.0109557981276145</v>
      </c>
      <c r="I19" s="24" t="n">
        <f aca="false">SUMIF($D$5:$D$494,"&gt;="&amp;D19)/SUM($D$5:$D$494)</f>
        <v>0.381462936546877</v>
      </c>
      <c r="J19" s="3" t="str">
        <f aca="false">IF(D19&lt;=0,"C",IF(I19&lt;=Parametros!$B$4,"A",IF(I19&lt;=Parametros!$B$5,"B","C")))</f>
        <v>A</v>
      </c>
      <c r="K19" s="3" t="str">
        <f aca="false">IF(E19&lt;=0,"Z",IF(G19&lt;=Parametros!$B$6,"X",IF(G19&lt;=Parametros!$B$7,"Y","Z")))</f>
        <v>X</v>
      </c>
      <c r="L19" s="3" t="str">
        <f aca="false">J19&amp;K19</f>
        <v>AX</v>
      </c>
      <c r="M19" s="3" t="str">
        <f aca="false">INDEX(Parametros!$B$23:$B$31,MATCH(L19,Parametros!$A$23:$A$31,0))</f>
        <v>Forecast estadístico casi automático. Ajustes mínimos. SS bajo porque la demanda es estable.</v>
      </c>
      <c r="N19" s="3" t="str">
        <f aca="false">INDEX(Parametros!$C$23:$C$31,MATCH(L19,Parametros!$A$23:$A$31,0))</f>
        <v>Mensual</v>
      </c>
      <c r="O19" s="23" t="n">
        <f aca="false">SUM(Datos_Semanales!M19:R19)</f>
        <v>233511.112027492</v>
      </c>
      <c r="P19" s="24" t="n">
        <f aca="false">IF(D19&gt;0,SUMPRODUCT(ABS(Datos_Semanales!F19:K19-Datos_Semanales!M19:R19))/D19,"")</f>
        <v>0.195725461717612</v>
      </c>
      <c r="Q19" s="24" t="n">
        <f aca="false">IF(D19&gt;0,O19/D19-1,"")</f>
        <v>-0.111544005861278</v>
      </c>
      <c r="R19" s="23" t="n">
        <f aca="false">SQRT(SUMXMY2(Datos_Semanales!F19:K19,Datos_Semanales!M19:R19)/COUNT(Datos_Semanales!F19:K19))</f>
        <v>10334.240748567</v>
      </c>
    </row>
    <row r="20" customFormat="false" ht="15" hidden="false" customHeight="false" outlineLevel="0" collapsed="false">
      <c r="A20" s="18" t="n">
        <f aca="false">Datos_Semanales!A20</f>
        <v>30001038</v>
      </c>
      <c r="B20" s="18" t="str">
        <f aca="false">Datos_Semanales!B20</f>
        <v>YOG CALAN UNIV PACK 4X12X110GR</v>
      </c>
      <c r="C20" s="18" t="str">
        <f aca="false">Datos_Semanales!C20</f>
        <v>YOGURT</v>
      </c>
      <c r="D20" s="23" t="n">
        <f aca="false">SUM(Datos_Semanales!F20:K20)</f>
        <v>258646.08</v>
      </c>
      <c r="E20" s="23" t="n">
        <f aca="false">AVERAGE(Datos_Semanales!F20:K20)</f>
        <v>43107.68</v>
      </c>
      <c r="F20" s="23" t="n">
        <f aca="false">STDEV(Datos_Semanales!F20:K20)</f>
        <v>7450.76563251858</v>
      </c>
      <c r="G20" s="27" t="n">
        <f aca="false">IF(E20&gt;0,F20/E20,"")</f>
        <v>0.172840793856653</v>
      </c>
      <c r="H20" s="24" t="n">
        <f aca="false">IF(SUM($D$5:$D$494)&gt;0,D20/SUM($D$5:$D$494),0)</f>
        <v>0.0107814777686503</v>
      </c>
      <c r="I20" s="24" t="n">
        <f aca="false">SUMIF($D$5:$D$494,"&gt;="&amp;D20)/SUM($D$5:$D$494)</f>
        <v>0.392244414315527</v>
      </c>
      <c r="J20" s="3" t="str">
        <f aca="false">IF(D20&lt;=0,"C",IF(I20&lt;=Parametros!$B$4,"A",IF(I20&lt;=Parametros!$B$5,"B","C")))</f>
        <v>A</v>
      </c>
      <c r="K20" s="3" t="str">
        <f aca="false">IF(E20&lt;=0,"Z",IF(G20&lt;=Parametros!$B$6,"X",IF(G20&lt;=Parametros!$B$7,"Y","Z")))</f>
        <v>X</v>
      </c>
      <c r="L20" s="3" t="str">
        <f aca="false">J20&amp;K20</f>
        <v>AX</v>
      </c>
      <c r="M20" s="3" t="str">
        <f aca="false">INDEX(Parametros!$B$23:$B$31,MATCH(L20,Parametros!$A$23:$A$31,0))</f>
        <v>Forecast estadístico casi automático. Ajustes mínimos. SS bajo porque la demanda es estable.</v>
      </c>
      <c r="N20" s="3" t="str">
        <f aca="false">INDEX(Parametros!$C$23:$C$31,MATCH(L20,Parametros!$A$23:$A$31,0))</f>
        <v>Mensual</v>
      </c>
      <c r="O20" s="23" t="n">
        <f aca="false">SUM(Datos_Semanales!M20:R20)</f>
        <v>232491.22107855</v>
      </c>
      <c r="P20" s="24" t="n">
        <f aca="false">IF(D20&gt;0,SUMPRODUCT(ABS(Datos_Semanales!F20:K20-Datos_Semanales!M20:R20))/D20,"")</f>
        <v>0.182110326443639</v>
      </c>
      <c r="Q20" s="24" t="n">
        <f aca="false">IF(D20&gt;0,O20/D20-1,"")</f>
        <v>-0.101122193390483</v>
      </c>
      <c r="R20" s="23" t="n">
        <f aca="false">SQRT(SUMXMY2(Datos_Semanales!F20:K20,Datos_Semanales!M20:R20)/COUNT(Datos_Semanales!F20:K20))</f>
        <v>8824.79219727331</v>
      </c>
    </row>
    <row r="21" customFormat="false" ht="15" hidden="false" customHeight="false" outlineLevel="0" collapsed="false">
      <c r="A21" s="18" t="n">
        <f aca="false">Datos_Semanales!A21</f>
        <v>30000637</v>
      </c>
      <c r="B21" s="18" t="str">
        <f aca="false">Datos_Semanales!B21</f>
        <v>POROTOS NEGROS WS 16X380GR</v>
      </c>
      <c r="C21" s="18" t="str">
        <f aca="false">Datos_Semanales!C21</f>
        <v>-</v>
      </c>
      <c r="D21" s="23" t="n">
        <f aca="false">SUM(Datos_Semanales!F21:K21)</f>
        <v>250161.6</v>
      </c>
      <c r="E21" s="23" t="n">
        <f aca="false">AVERAGE(Datos_Semanales!F21:K21)</f>
        <v>41693.6</v>
      </c>
      <c r="F21" s="23" t="n">
        <f aca="false">STDEV(Datos_Semanales!F21:K21)</f>
        <v>13558.0552350785</v>
      </c>
      <c r="G21" s="27" t="n">
        <f aca="false">IF(E21&gt;0,F21/E21,"")</f>
        <v>0.325183127268418</v>
      </c>
      <c r="H21" s="24" t="n">
        <f aca="false">IF(SUM($D$5:$D$494)&gt;0,D21/SUM($D$5:$D$494),0)</f>
        <v>0.0104278082581804</v>
      </c>
      <c r="I21" s="24" t="n">
        <f aca="false">SUMIF($D$5:$D$494,"&gt;="&amp;D21)/SUM($D$5:$D$494)</f>
        <v>0.402672222573708</v>
      </c>
      <c r="J21" s="3" t="str">
        <f aca="false">IF(D21&lt;=0,"C",IF(I21&lt;=Parametros!$B$4,"A",IF(I21&lt;=Parametros!$B$5,"B","C")))</f>
        <v>A</v>
      </c>
      <c r="K21" s="3" t="str">
        <f aca="false">IF(E21&lt;=0,"Z",IF(G21&lt;=Parametros!$B$6,"X",IF(G21&lt;=Parametros!$B$7,"Y","Z")))</f>
        <v>X</v>
      </c>
      <c r="L21" s="3" t="str">
        <f aca="false">J21&amp;K21</f>
        <v>AX</v>
      </c>
      <c r="M21" s="3" t="str">
        <f aca="false">INDEX(Parametros!$B$23:$B$31,MATCH(L21,Parametros!$A$23:$A$31,0))</f>
        <v>Forecast estadístico casi automático. Ajustes mínimos. SS bajo porque la demanda es estable.</v>
      </c>
      <c r="N21" s="3" t="str">
        <f aca="false">INDEX(Parametros!$C$23:$C$31,MATCH(L21,Parametros!$A$23:$A$31,0))</f>
        <v>Mensual</v>
      </c>
      <c r="O21" s="23" t="n">
        <f aca="false">SUM(Datos_Semanales!M21:R21)</f>
        <v>243239.84</v>
      </c>
      <c r="P21" s="24" t="n">
        <f aca="false">IF(D21&gt;0,SUMPRODUCT(ABS(Datos_Semanales!F21:K21-Datos_Semanales!M21:R21))/D21,"")</f>
        <v>0.112670849562843</v>
      </c>
      <c r="Q21" s="24" t="n">
        <f aca="false">IF(D21&gt;0,O21/D21-1,"")</f>
        <v>-0.0276691546584288</v>
      </c>
      <c r="R21" s="23" t="n">
        <f aca="false">SQRT(SUMXMY2(Datos_Semanales!F21:K21,Datos_Semanales!M21:R21)/COUNT(Datos_Semanales!F21:K21))</f>
        <v>6967.07252243007</v>
      </c>
    </row>
    <row r="22" customFormat="false" ht="15" hidden="false" customHeight="false" outlineLevel="0" collapsed="false">
      <c r="A22" s="18" t="n">
        <f aca="false">Datos_Semanales!A22</f>
        <v>30001050</v>
      </c>
      <c r="B22" s="18" t="str">
        <f aca="false">Datos_Semanales!B22</f>
        <v>YOG CALAN BOLSA DCO NUEVA 12X1KG</v>
      </c>
      <c r="C22" s="18" t="str">
        <f aca="false">Datos_Semanales!C22</f>
        <v>-</v>
      </c>
      <c r="D22" s="23" t="n">
        <f aca="false">SUM(Datos_Semanales!F22:K22)</f>
        <v>240096</v>
      </c>
      <c r="E22" s="23" t="n">
        <f aca="false">AVERAGE(Datos_Semanales!F22:K22)</f>
        <v>40016</v>
      </c>
      <c r="F22" s="23" t="n">
        <f aca="false">STDEV(Datos_Semanales!F22:K22)</f>
        <v>15036.6687800191</v>
      </c>
      <c r="G22" s="27" t="n">
        <f aca="false">IF(E22&gt;0,F22/E22,"")</f>
        <v>0.375766412935302</v>
      </c>
      <c r="H22" s="24" t="n">
        <f aca="false">IF(SUM($D$5:$D$494)&gt;0,D22/SUM($D$5:$D$494),0)</f>
        <v>0.0100082308857798</v>
      </c>
      <c r="I22" s="24" t="n">
        <f aca="false">SUMIF($D$5:$D$494,"&gt;="&amp;D22)/SUM($D$5:$D$494)</f>
        <v>0.412680453459487</v>
      </c>
      <c r="J22" s="3" t="str">
        <f aca="false">IF(D22&lt;=0,"C",IF(I22&lt;=Parametros!$B$4,"A",IF(I22&lt;=Parametros!$B$5,"B","C")))</f>
        <v>A</v>
      </c>
      <c r="K22" s="3" t="str">
        <f aca="false">IF(E22&lt;=0,"Z",IF(G22&lt;=Parametros!$B$6,"X",IF(G22&lt;=Parametros!$B$7,"Y","Z")))</f>
        <v>X</v>
      </c>
      <c r="L22" s="3" t="str">
        <f aca="false">J22&amp;K22</f>
        <v>AX</v>
      </c>
      <c r="M22" s="3" t="str">
        <f aca="false">INDEX(Parametros!$B$23:$B$31,MATCH(L22,Parametros!$A$23:$A$31,0))</f>
        <v>Forecast estadístico casi automático. Ajustes mínimos. SS bajo porque la demanda es estable.</v>
      </c>
      <c r="N22" s="3" t="str">
        <f aca="false">INDEX(Parametros!$C$23:$C$31,MATCH(L22,Parametros!$A$23:$A$31,0))</f>
        <v>Mensual</v>
      </c>
      <c r="O22" s="23" t="n">
        <f aca="false">SUM(Datos_Semanales!M22:R22)</f>
        <v>170292.930124886</v>
      </c>
      <c r="P22" s="24" t="n">
        <f aca="false">IF(D22&gt;0,SUMPRODUCT(ABS(Datos_Semanales!F22:K22-Datos_Semanales!M22:R22))/D22,"")</f>
        <v>0.290729832546624</v>
      </c>
      <c r="Q22" s="24" t="n">
        <f aca="false">IF(D22&gt;0,O22/D22-1,"")</f>
        <v>-0.290729832546624</v>
      </c>
      <c r="R22" s="23" t="n">
        <f aca="false">SQRT(SUMXMY2(Datos_Semanales!F22:K22,Datos_Semanales!M22:R22)/COUNT(Datos_Semanales!F22:K22))</f>
        <v>15873.1089497344</v>
      </c>
    </row>
    <row r="23" customFormat="false" ht="15" hidden="false" customHeight="false" outlineLevel="0" collapsed="false">
      <c r="A23" s="18" t="n">
        <f aca="false">Datos_Semanales!A23</f>
        <v>30000401</v>
      </c>
      <c r="B23" s="18" t="str">
        <f aca="false">Datos_Semanales!B23</f>
        <v>LECHE FRUTILLA LONCO 30X200ML</v>
      </c>
      <c r="C23" s="18" t="str">
        <f aca="false">Datos_Semanales!C23</f>
        <v>-</v>
      </c>
      <c r="D23" s="23" t="n">
        <f aca="false">SUM(Datos_Semanales!F23:K23)</f>
        <v>239088</v>
      </c>
      <c r="E23" s="23" t="n">
        <f aca="false">AVERAGE(Datos_Semanales!F23:K23)</f>
        <v>39848</v>
      </c>
      <c r="F23" s="23" t="n">
        <f aca="false">STDEV(Datos_Semanales!F23:K23)</f>
        <v>27944.6743405609</v>
      </c>
      <c r="G23" s="27" t="n">
        <f aca="false">IF(E23&gt;0,F23/E23,"")</f>
        <v>0.701281729084543</v>
      </c>
      <c r="H23" s="24" t="n">
        <f aca="false">IF(SUM($D$5:$D$494)&gt;0,D23/SUM($D$5:$D$494),0)</f>
        <v>0.00996621312316457</v>
      </c>
      <c r="I23" s="24" t="n">
        <f aca="false">SUMIF($D$5:$D$494,"&gt;="&amp;D23)/SUM($D$5:$D$494)</f>
        <v>0.422646666582652</v>
      </c>
      <c r="J23" s="3" t="str">
        <f aca="false">IF(D23&lt;=0,"C",IF(I23&lt;=Parametros!$B$4,"A",IF(I23&lt;=Parametros!$B$5,"B","C")))</f>
        <v>A</v>
      </c>
      <c r="K23" s="3" t="str">
        <f aca="false">IF(E23&lt;=0,"Z",IF(G23&lt;=Parametros!$B$6,"X",IF(G23&lt;=Parametros!$B$7,"Y","Z")))</f>
        <v>Y</v>
      </c>
      <c r="L23" s="3" t="str">
        <f aca="false">J23&amp;K23</f>
        <v>AY</v>
      </c>
      <c r="M23" s="3" t="str">
        <f aca="false">INDEX(Parametros!$B$23:$B$31,MATCH(L23,Parametros!$A$23:$A$31,0))</f>
        <v>Alto volumen con variaciones: entender causas (promos, cadenas). Validar con KAM antes de ajustar.</v>
      </c>
      <c r="N23" s="3" t="str">
        <f aca="false">INDEX(Parametros!$C$23:$C$31,MATCH(L23,Parametros!$A$23:$A$31,0))</f>
        <v>Semanal</v>
      </c>
      <c r="O23" s="23" t="n">
        <f aca="false">SUM(Datos_Semanales!M23:R23)</f>
        <v>155008.284281518</v>
      </c>
      <c r="P23" s="24" t="n">
        <f aca="false">IF(D23&gt;0,SUMPRODUCT(ABS(Datos_Semanales!F23:K23-Datos_Semanales!M23:R23))/D23,"")</f>
        <v>0.404202985170657</v>
      </c>
      <c r="Q23" s="24" t="n">
        <f aca="false">IF(D23&gt;0,O23/D23-1,"")</f>
        <v>-0.351668489085534</v>
      </c>
      <c r="R23" s="23" t="n">
        <f aca="false">SQRT(SUMXMY2(Datos_Semanales!F23:K23,Datos_Semanales!M23:R23)/COUNT(Datos_Semanales!F23:K23))</f>
        <v>22905.3487307147</v>
      </c>
    </row>
    <row r="24" customFormat="false" ht="15" hidden="false" customHeight="false" outlineLevel="0" collapsed="false">
      <c r="A24" s="18" t="n">
        <f aca="false">Datos_Semanales!A24</f>
        <v>30000400</v>
      </c>
      <c r="B24" s="18" t="str">
        <f aca="false">Datos_Semanales!B24</f>
        <v>LECHE CHOC LONCO 30X200ML</v>
      </c>
      <c r="C24" s="18" t="str">
        <f aca="false">Datos_Semanales!C24</f>
        <v>-</v>
      </c>
      <c r="D24" s="23" t="n">
        <f aca="false">SUM(Datos_Semanales!F24:K24)</f>
        <v>232812</v>
      </c>
      <c r="E24" s="23" t="n">
        <f aca="false">AVERAGE(Datos_Semanales!F24:K24)</f>
        <v>38802</v>
      </c>
      <c r="F24" s="23" t="n">
        <f aca="false">STDEV(Datos_Semanales!F24:K24)</f>
        <v>13337.8690951741</v>
      </c>
      <c r="G24" s="27" t="n">
        <f aca="false">IF(E24&gt;0,F24/E24,"")</f>
        <v>0.343741794113038</v>
      </c>
      <c r="H24" s="24" t="n">
        <f aca="false">IF(SUM($D$5:$D$494)&gt;0,D24/SUM($D$5:$D$494),0)</f>
        <v>0.0097046025297388</v>
      </c>
      <c r="I24" s="24" t="n">
        <f aca="false">SUMIF($D$5:$D$494,"&gt;="&amp;D24)/SUM($D$5:$D$494)</f>
        <v>0.432351269112391</v>
      </c>
      <c r="J24" s="3" t="str">
        <f aca="false">IF(D24&lt;=0,"C",IF(I24&lt;=Parametros!$B$4,"A",IF(I24&lt;=Parametros!$B$5,"B","C")))</f>
        <v>A</v>
      </c>
      <c r="K24" s="3" t="str">
        <f aca="false">IF(E24&lt;=0,"Z",IF(G24&lt;=Parametros!$B$6,"X",IF(G24&lt;=Parametros!$B$7,"Y","Z")))</f>
        <v>X</v>
      </c>
      <c r="L24" s="3" t="str">
        <f aca="false">J24&amp;K24</f>
        <v>AX</v>
      </c>
      <c r="M24" s="3" t="str">
        <f aca="false">INDEX(Parametros!$B$23:$B$31,MATCH(L24,Parametros!$A$23:$A$31,0))</f>
        <v>Forecast estadístico casi automático. Ajustes mínimos. SS bajo porque la demanda es estable.</v>
      </c>
      <c r="N24" s="3" t="str">
        <f aca="false">INDEX(Parametros!$C$23:$C$31,MATCH(L24,Parametros!$A$23:$A$31,0))</f>
        <v>Mensual</v>
      </c>
      <c r="O24" s="23" t="n">
        <f aca="false">SUM(Datos_Semanales!M24:R24)</f>
        <v>200388.68808477</v>
      </c>
      <c r="P24" s="24" t="n">
        <f aca="false">IF(D24&gt;0,SUMPRODUCT(ABS(Datos_Semanales!F24:K24-Datos_Semanales!M24:R24))/D24,"")</f>
        <v>0.139268216050846</v>
      </c>
      <c r="Q24" s="24" t="n">
        <f aca="false">IF(D24&gt;0,O24/D24-1,"")</f>
        <v>-0.139268216050846</v>
      </c>
      <c r="R24" s="23" t="n">
        <f aca="false">SQRT(SUMXMY2(Datos_Semanales!F24:K24,Datos_Semanales!M24:R24)/COUNT(Datos_Semanales!F24:K24))</f>
        <v>7041.43677838161</v>
      </c>
    </row>
    <row r="25" customFormat="false" ht="15" hidden="false" customHeight="false" outlineLevel="0" collapsed="false">
      <c r="A25" s="18" t="n">
        <f aca="false">Datos_Semanales!A25</f>
        <v>30000309</v>
      </c>
      <c r="B25" s="18" t="str">
        <f aca="false">Datos_Semanales!B25</f>
        <v>YOGU YOGU MORA 30X200GR</v>
      </c>
      <c r="C25" s="18" t="str">
        <f aca="false">Datos_Semanales!C25</f>
        <v>LECHES LIQUIDAS</v>
      </c>
      <c r="D25" s="23" t="n">
        <f aca="false">SUM(Datos_Semanales!F25:K25)</f>
        <v>229086</v>
      </c>
      <c r="E25" s="23" t="n">
        <f aca="false">AVERAGE(Datos_Semanales!F25:K25)</f>
        <v>38181</v>
      </c>
      <c r="F25" s="23" t="n">
        <f aca="false">STDEV(Datos_Semanales!F25:K25)</f>
        <v>7226.47607067234</v>
      </c>
      <c r="G25" s="27" t="n">
        <f aca="false">IF(E25&gt;0,F25/E25,"")</f>
        <v>0.189268905232245</v>
      </c>
      <c r="H25" s="24" t="n">
        <f aca="false">IF(SUM($D$5:$D$494)&gt;0,D25/SUM($D$5:$D$494),0)</f>
        <v>0.00954928687150036</v>
      </c>
      <c r="I25" s="24" t="n">
        <f aca="false">SUMIF($D$5:$D$494,"&gt;="&amp;D25)/SUM($D$5:$D$494)</f>
        <v>0.441900555983891</v>
      </c>
      <c r="J25" s="3" t="str">
        <f aca="false">IF(D25&lt;=0,"C",IF(I25&lt;=Parametros!$B$4,"A",IF(I25&lt;=Parametros!$B$5,"B","C")))</f>
        <v>A</v>
      </c>
      <c r="K25" s="3" t="str">
        <f aca="false">IF(E25&lt;=0,"Z",IF(G25&lt;=Parametros!$B$6,"X",IF(G25&lt;=Parametros!$B$7,"Y","Z")))</f>
        <v>X</v>
      </c>
      <c r="L25" s="3" t="str">
        <f aca="false">J25&amp;K25</f>
        <v>AX</v>
      </c>
      <c r="M25" s="3" t="str">
        <f aca="false">INDEX(Parametros!$B$23:$B$31,MATCH(L25,Parametros!$A$23:$A$31,0))</f>
        <v>Forecast estadístico casi automático. Ajustes mínimos. SS bajo porque la demanda es estable.</v>
      </c>
      <c r="N25" s="3" t="str">
        <f aca="false">INDEX(Parametros!$C$23:$C$31,MATCH(L25,Parametros!$A$23:$A$31,0))</f>
        <v>Mensual</v>
      </c>
      <c r="O25" s="23" t="n">
        <f aca="false">SUM(Datos_Semanales!M25:R25)</f>
        <v>230583.521522753</v>
      </c>
      <c r="P25" s="24" t="n">
        <f aca="false">IF(D25&gt;0,SUMPRODUCT(ABS(Datos_Semanales!F25:K25-Datos_Semanales!M25:R25))/D25,"")</f>
        <v>0.0553183040485368</v>
      </c>
      <c r="Q25" s="24" t="n">
        <f aca="false">IF(D25&gt;0,O25/D25-1,"")</f>
        <v>0.00653694037502528</v>
      </c>
      <c r="R25" s="23" t="n">
        <f aca="false">SQRT(SUMXMY2(Datos_Semanales!F25:K25,Datos_Semanales!M25:R25)/COUNT(Datos_Semanales!F25:K25))</f>
        <v>2581.79726393565</v>
      </c>
    </row>
    <row r="26" customFormat="false" ht="15" hidden="false" customHeight="false" outlineLevel="0" collapsed="false">
      <c r="A26" s="18" t="n">
        <f aca="false">Datos_Semanales!A26</f>
        <v>30002099</v>
      </c>
      <c r="B26" s="18" t="str">
        <f aca="false">Datos_Semanales!B26</f>
        <v>NECTAR W TUTTIFRUTILLA SIXPACK 30X200ML</v>
      </c>
      <c r="C26" s="18" t="str">
        <f aca="false">Datos_Semanales!C26</f>
        <v>-</v>
      </c>
      <c r="D26" s="23" t="n">
        <f aca="false">SUM(Datos_Semanales!F26:K26)</f>
        <v>227892</v>
      </c>
      <c r="E26" s="23" t="n">
        <f aca="false">AVERAGE(Datos_Semanales!F26:K26)</f>
        <v>37982</v>
      </c>
      <c r="F26" s="23" t="n">
        <f aca="false">STDEV(Datos_Semanales!F26:K26)</f>
        <v>32068.5635973924</v>
      </c>
      <c r="G26" s="27" t="n">
        <f aca="false">IF(E26&gt;0,F26/E26,"")</f>
        <v>0.844309504433479</v>
      </c>
      <c r="H26" s="24" t="n">
        <f aca="false">IF(SUM($D$5:$D$494)&gt;0,D26/SUM($D$5:$D$494),0)</f>
        <v>0.00949951583125971</v>
      </c>
      <c r="I26" s="24" t="n">
        <f aca="false">SUMIF($D$5:$D$494,"&gt;="&amp;D26)/SUM($D$5:$D$494)</f>
        <v>0.451400071815151</v>
      </c>
      <c r="J26" s="3" t="str">
        <f aca="false">IF(D26&lt;=0,"C",IF(I26&lt;=Parametros!$B$4,"A",IF(I26&lt;=Parametros!$B$5,"B","C")))</f>
        <v>A</v>
      </c>
      <c r="K26" s="3" t="str">
        <f aca="false">IF(E26&lt;=0,"Z",IF(G26&lt;=Parametros!$B$6,"X",IF(G26&lt;=Parametros!$B$7,"Y","Z")))</f>
        <v>Y</v>
      </c>
      <c r="L26" s="3" t="str">
        <f aca="false">J26&amp;K26</f>
        <v>AY</v>
      </c>
      <c r="M26" s="3" t="str">
        <f aca="false">INDEX(Parametros!$B$23:$B$31,MATCH(L26,Parametros!$A$23:$A$31,0))</f>
        <v>Alto volumen con variaciones: entender causas (promos, cadenas). Validar con KAM antes de ajustar.</v>
      </c>
      <c r="N26" s="3" t="str">
        <f aca="false">INDEX(Parametros!$C$23:$C$31,MATCH(L26,Parametros!$A$23:$A$31,0))</f>
        <v>Semanal</v>
      </c>
      <c r="O26" s="23" t="n">
        <f aca="false">SUM(Datos_Semanales!M26:R26)</f>
        <v>210022.61536724</v>
      </c>
      <c r="P26" s="24" t="n">
        <f aca="false">IF(D26&gt;0,SUMPRODUCT(ABS(Datos_Semanales!F26:K26-Datos_Semanales!M26:R26))/D26,"")</f>
        <v>0.564631171584889</v>
      </c>
      <c r="Q26" s="24" t="n">
        <f aca="false">IF(D26&gt;0,O26/D26-1,"")</f>
        <v>-0.0784116363573983</v>
      </c>
      <c r="R26" s="23" t="n">
        <f aca="false">SQRT(SUMXMY2(Datos_Semanales!F26:K26,Datos_Semanales!M26:R26)/COUNT(Datos_Semanales!F26:K26))</f>
        <v>25722.5607356231</v>
      </c>
    </row>
    <row r="27" customFormat="false" ht="15" hidden="false" customHeight="false" outlineLevel="0" collapsed="false">
      <c r="A27" s="18" t="n">
        <f aca="false">Datos_Semanales!A27</f>
        <v>30000626</v>
      </c>
      <c r="B27" s="18" t="str">
        <f aca="false">Datos_Semanales!B27</f>
        <v>DURAZNOS CUBITOS WSL 16X380GR</v>
      </c>
      <c r="C27" s="18" t="str">
        <f aca="false">Datos_Semanales!C27</f>
        <v>CONSERVAS Y PLATOS LISTOS</v>
      </c>
      <c r="D27" s="23" t="n">
        <f aca="false">SUM(Datos_Semanales!F27:K27)</f>
        <v>206422.08</v>
      </c>
      <c r="E27" s="23" t="n">
        <f aca="false">AVERAGE(Datos_Semanales!F27:K27)</f>
        <v>34403.68</v>
      </c>
      <c r="F27" s="23" t="n">
        <f aca="false">STDEV(Datos_Semanales!F27:K27)</f>
        <v>21674.0887726372</v>
      </c>
      <c r="G27" s="27" t="n">
        <f aca="false">IF(E27&gt;0,F27/E27,"")</f>
        <v>0.629993325499983</v>
      </c>
      <c r="H27" s="24" t="n">
        <f aca="false">IF(SUM($D$5:$D$494)&gt;0,D27/SUM($D$5:$D$494),0)</f>
        <v>0.00860455749601371</v>
      </c>
      <c r="I27" s="24" t="n">
        <f aca="false">SUMIF($D$5:$D$494,"&gt;="&amp;D27)/SUM($D$5:$D$494)</f>
        <v>0.460004629311165</v>
      </c>
      <c r="J27" s="3" t="str">
        <f aca="false">IF(D27&lt;=0,"C",IF(I27&lt;=Parametros!$B$4,"A",IF(I27&lt;=Parametros!$B$5,"B","C")))</f>
        <v>A</v>
      </c>
      <c r="K27" s="3" t="str">
        <f aca="false">IF(E27&lt;=0,"Z",IF(G27&lt;=Parametros!$B$6,"X",IF(G27&lt;=Parametros!$B$7,"Y","Z")))</f>
        <v>Y</v>
      </c>
      <c r="L27" s="3" t="str">
        <f aca="false">J27&amp;K27</f>
        <v>AY</v>
      </c>
      <c r="M27" s="3" t="str">
        <f aca="false">INDEX(Parametros!$B$23:$B$31,MATCH(L27,Parametros!$A$23:$A$31,0))</f>
        <v>Alto volumen con variaciones: entender causas (promos, cadenas). Validar con KAM antes de ajustar.</v>
      </c>
      <c r="N27" s="3" t="str">
        <f aca="false">INDEX(Parametros!$C$23:$C$31,MATCH(L27,Parametros!$A$23:$A$31,0))</f>
        <v>Semanal</v>
      </c>
      <c r="O27" s="23" t="n">
        <f aca="false">SUM(Datos_Semanales!M27:R27)</f>
        <v>181536.88</v>
      </c>
      <c r="P27" s="24" t="n">
        <f aca="false">IF(D27&gt;0,SUMPRODUCT(ABS(Datos_Semanales!F27:K27-Datos_Semanales!M27:R27))/D27,"")</f>
        <v>0.43131858762396</v>
      </c>
      <c r="Q27" s="24" t="n">
        <f aca="false">IF(D27&gt;0,O27/D27-1,"")</f>
        <v>-0.120554932883149</v>
      </c>
      <c r="R27" s="23" t="n">
        <f aca="false">SQRT(SUMXMY2(Datos_Semanales!F27:K27,Datos_Semanales!M27:R27)/COUNT(Datos_Semanales!F27:K27))</f>
        <v>16375.2995731335</v>
      </c>
    </row>
    <row r="28" customFormat="false" ht="15" hidden="false" customHeight="false" outlineLevel="0" collapsed="false">
      <c r="A28" s="18" t="n">
        <f aca="false">Datos_Semanales!A28</f>
        <v>30001862</v>
      </c>
      <c r="B28" s="18" t="str">
        <f aca="false">Datos_Semanales!B28</f>
        <v>MARGARINA PAMPERITA BOLSA 10X900GR</v>
      </c>
      <c r="C28" s="18" t="str">
        <f aca="false">Datos_Semanales!C28</f>
        <v>-</v>
      </c>
      <c r="D28" s="23" t="n">
        <f aca="false">SUM(Datos_Semanales!F28:K28)</f>
        <v>197667</v>
      </c>
      <c r="E28" s="23" t="n">
        <f aca="false">AVERAGE(Datos_Semanales!F28:K28)</f>
        <v>32944.5</v>
      </c>
      <c r="F28" s="23" t="n">
        <f aca="false">STDEV(Datos_Semanales!F28:K28)</f>
        <v>7416.13925840123</v>
      </c>
      <c r="G28" s="27" t="n">
        <f aca="false">IF(E28&gt;0,F28/E28,"")</f>
        <v>0.225110086915911</v>
      </c>
      <c r="H28" s="24" t="n">
        <f aca="false">IF(SUM($D$5:$D$494)&gt;0,D28/SUM($D$5:$D$494),0)</f>
        <v>0.00823960821712746</v>
      </c>
      <c r="I28" s="24" t="n">
        <f aca="false">SUMIF($D$5:$D$494,"&gt;="&amp;D28)/SUM($D$5:$D$494)</f>
        <v>0.468244237528292</v>
      </c>
      <c r="J28" s="3" t="str">
        <f aca="false">IF(D28&lt;=0,"C",IF(I28&lt;=Parametros!$B$4,"A",IF(I28&lt;=Parametros!$B$5,"B","C")))</f>
        <v>A</v>
      </c>
      <c r="K28" s="3" t="str">
        <f aca="false">IF(E28&lt;=0,"Z",IF(G28&lt;=Parametros!$B$6,"X",IF(G28&lt;=Parametros!$B$7,"Y","Z")))</f>
        <v>X</v>
      </c>
      <c r="L28" s="3" t="str">
        <f aca="false">J28&amp;K28</f>
        <v>AX</v>
      </c>
      <c r="M28" s="3" t="str">
        <f aca="false">INDEX(Parametros!$B$23:$B$31,MATCH(L28,Parametros!$A$23:$A$31,0))</f>
        <v>Forecast estadístico casi automático. Ajustes mínimos. SS bajo porque la demanda es estable.</v>
      </c>
      <c r="N28" s="3" t="str">
        <f aca="false">INDEX(Parametros!$C$23:$C$31,MATCH(L28,Parametros!$A$23:$A$31,0))</f>
        <v>Mensual</v>
      </c>
      <c r="O28" s="23" t="n">
        <f aca="false">SUM(Datos_Semanales!M28:R28)</f>
        <v>204808.654320294</v>
      </c>
      <c r="P28" s="24" t="n">
        <f aca="false">IF(D28&gt;0,SUMPRODUCT(ABS(Datos_Semanales!F28:K28-Datos_Semanales!M28:R28))/D28,"")</f>
        <v>0.194150432148395</v>
      </c>
      <c r="Q28" s="24" t="n">
        <f aca="false">IF(D28&gt;0,O28/D28-1,"")</f>
        <v>0.0361297248417465</v>
      </c>
      <c r="R28" s="23" t="n">
        <f aca="false">SQRT(SUMXMY2(Datos_Semanales!F28:K28,Datos_Semanales!M28:R28)/COUNT(Datos_Semanales!F28:K28))</f>
        <v>8029.82585122201</v>
      </c>
    </row>
    <row r="29" customFormat="false" ht="15" hidden="false" customHeight="false" outlineLevel="0" collapsed="false">
      <c r="A29" s="18" t="n">
        <f aca="false">Datos_Semanales!A29</f>
        <v>30000643</v>
      </c>
      <c r="B29" s="18" t="str">
        <f aca="false">Datos_Semanales!B29</f>
        <v>POROTOS WASIL 16X380GR</v>
      </c>
      <c r="C29" s="18" t="str">
        <f aca="false">Datos_Semanales!C29</f>
        <v>-</v>
      </c>
      <c r="D29" s="23" t="n">
        <f aca="false">SUM(Datos_Semanales!F29:K29)</f>
        <v>194237.76</v>
      </c>
      <c r="E29" s="23" t="n">
        <f aca="false">AVERAGE(Datos_Semanales!F29:K29)</f>
        <v>32372.96</v>
      </c>
      <c r="F29" s="23" t="n">
        <f aca="false">STDEV(Datos_Semanales!F29:K29)</f>
        <v>10165.8979990633</v>
      </c>
      <c r="G29" s="27" t="n">
        <f aca="false">IF(E29&gt;0,F29/E29,"")</f>
        <v>0.314024358571578</v>
      </c>
      <c r="H29" s="24" t="n">
        <f aca="false">IF(SUM($D$5:$D$494)&gt;0,D29/SUM($D$5:$D$494),0)</f>
        <v>0.00809666278828754</v>
      </c>
      <c r="I29" s="24" t="n">
        <f aca="false">SUMIF($D$5:$D$494,"&gt;="&amp;D29)/SUM($D$5:$D$494)</f>
        <v>0.47634090031658</v>
      </c>
      <c r="J29" s="3" t="str">
        <f aca="false">IF(D29&lt;=0,"C",IF(I29&lt;=Parametros!$B$4,"A",IF(I29&lt;=Parametros!$B$5,"B","C")))</f>
        <v>A</v>
      </c>
      <c r="K29" s="3" t="str">
        <f aca="false">IF(E29&lt;=0,"Z",IF(G29&lt;=Parametros!$B$6,"X",IF(G29&lt;=Parametros!$B$7,"Y","Z")))</f>
        <v>X</v>
      </c>
      <c r="L29" s="3" t="str">
        <f aca="false">J29&amp;K29</f>
        <v>AX</v>
      </c>
      <c r="M29" s="3" t="str">
        <f aca="false">INDEX(Parametros!$B$23:$B$31,MATCH(L29,Parametros!$A$23:$A$31,0))</f>
        <v>Forecast estadístico casi automático. Ajustes mínimos. SS bajo porque la demanda es estable.</v>
      </c>
      <c r="N29" s="3" t="str">
        <f aca="false">INDEX(Parametros!$C$23:$C$31,MATCH(L29,Parametros!$A$23:$A$31,0))</f>
        <v>Mensual</v>
      </c>
      <c r="O29" s="23" t="n">
        <f aca="false">SUM(Datos_Semanales!M29:R29)</f>
        <v>167617.44</v>
      </c>
      <c r="P29" s="24" t="n">
        <f aca="false">IF(D29&gt;0,SUMPRODUCT(ABS(Datos_Semanales!F29:K29-Datos_Semanales!M29:R29))/D29,"")</f>
        <v>0.23143265243586</v>
      </c>
      <c r="Q29" s="24" t="n">
        <f aca="false">IF(D29&gt;0,O29/D29-1,"")</f>
        <v>-0.137050180150348</v>
      </c>
      <c r="R29" s="23" t="n">
        <f aca="false">SQRT(SUMXMY2(Datos_Semanales!F29:K29,Datos_Semanales!M29:R29)/COUNT(Datos_Semanales!F29:K29))</f>
        <v>8518.96811892144</v>
      </c>
    </row>
    <row r="30" customFormat="false" ht="15" hidden="false" customHeight="false" outlineLevel="0" collapsed="false">
      <c r="A30" s="18" t="n">
        <f aca="false">Datos_Semanales!A30</f>
        <v>30000481</v>
      </c>
      <c r="B30" s="18" t="str">
        <f aca="false">Datos_Semanales!B30</f>
        <v>LONCOLECHE EXTRA PROTEINA 12X1LT</v>
      </c>
      <c r="C30" s="18" t="str">
        <f aca="false">Datos_Semanales!C30</f>
        <v>LECHES LIQUIDAS</v>
      </c>
      <c r="D30" s="23" t="n">
        <f aca="false">SUM(Datos_Semanales!F30:K30)</f>
        <v>185808</v>
      </c>
      <c r="E30" s="23" t="n">
        <f aca="false">AVERAGE(Datos_Semanales!F30:K30)</f>
        <v>30968</v>
      </c>
      <c r="F30" s="23" t="n">
        <f aca="false">STDEV(Datos_Semanales!F30:K30)</f>
        <v>7218.75823116414</v>
      </c>
      <c r="G30" s="27" t="n">
        <f aca="false">IF(E30&gt;0,F30/E30,"")</f>
        <v>0.233103792016409</v>
      </c>
      <c r="H30" s="24" t="n">
        <f aca="false">IF(SUM($D$5:$D$494)&gt;0,D30/SUM($D$5:$D$494),0)</f>
        <v>0.00774527424207389</v>
      </c>
      <c r="I30" s="24" t="n">
        <f aca="false">SUMIF($D$5:$D$494,"&gt;="&amp;D30)/SUM($D$5:$D$494)</f>
        <v>0.484086174558654</v>
      </c>
      <c r="J30" s="3" t="str">
        <f aca="false">IF(D30&lt;=0,"C",IF(I30&lt;=Parametros!$B$4,"A",IF(I30&lt;=Parametros!$B$5,"B","C")))</f>
        <v>A</v>
      </c>
      <c r="K30" s="3" t="str">
        <f aca="false">IF(E30&lt;=0,"Z",IF(G30&lt;=Parametros!$B$6,"X",IF(G30&lt;=Parametros!$B$7,"Y","Z")))</f>
        <v>X</v>
      </c>
      <c r="L30" s="3" t="str">
        <f aca="false">J30&amp;K30</f>
        <v>AX</v>
      </c>
      <c r="M30" s="3" t="str">
        <f aca="false">INDEX(Parametros!$B$23:$B$31,MATCH(L30,Parametros!$A$23:$A$31,0))</f>
        <v>Forecast estadístico casi automático. Ajustes mínimos. SS bajo porque la demanda es estable.</v>
      </c>
      <c r="N30" s="3" t="str">
        <f aca="false">INDEX(Parametros!$C$23:$C$31,MATCH(L30,Parametros!$A$23:$A$31,0))</f>
        <v>Mensual</v>
      </c>
      <c r="O30" s="23" t="n">
        <f aca="false">SUM(Datos_Semanales!M30:R30)</f>
        <v>229768.353681915</v>
      </c>
      <c r="P30" s="24" t="n">
        <f aca="false">IF(D30&gt;0,SUMPRODUCT(ABS(Datos_Semanales!F30:K30-Datos_Semanales!M30:R30))/D30,"")</f>
        <v>0.40265410360111</v>
      </c>
      <c r="Q30" s="24" t="n">
        <f aca="false">IF(D30&gt;0,O30/D30-1,"")</f>
        <v>0.236590209689115</v>
      </c>
      <c r="R30" s="23" t="n">
        <f aca="false">SQRT(SUMXMY2(Datos_Semanales!F30:K30,Datos_Semanales!M30:R30)/COUNT(Datos_Semanales!F30:K30))</f>
        <v>14170.7888300335</v>
      </c>
    </row>
    <row r="31" customFormat="false" ht="15" hidden="false" customHeight="false" outlineLevel="0" collapsed="false">
      <c r="A31" s="18" t="n">
        <f aca="false">Datos_Semanales!A31</f>
        <v>30001871</v>
      </c>
      <c r="B31" s="18" t="str">
        <f aca="false">Datos_Semanales!B31</f>
        <v>MARGARINA SUREÑA 12X450GR</v>
      </c>
      <c r="C31" s="18" t="str">
        <f aca="false">Datos_Semanales!C31</f>
        <v>MARGARINAS</v>
      </c>
      <c r="D31" s="23" t="n">
        <f aca="false">SUM(Datos_Semanales!F31:K31)</f>
        <v>185770.8</v>
      </c>
      <c r="E31" s="23" t="n">
        <f aca="false">AVERAGE(Datos_Semanales!F31:K31)</f>
        <v>30961.8</v>
      </c>
      <c r="F31" s="23" t="n">
        <f aca="false">STDEV(Datos_Semanales!F31:K31)</f>
        <v>7369.27905184761</v>
      </c>
      <c r="G31" s="27" t="n">
        <f aca="false">IF(E31&gt;0,F31/E31,"")</f>
        <v>0.238011971262898</v>
      </c>
      <c r="H31" s="24" t="n">
        <f aca="false">IF(SUM($D$5:$D$494)&gt;0,D31/SUM($D$5:$D$494),0)</f>
        <v>0.00774372358654881</v>
      </c>
      <c r="I31" s="24" t="n">
        <f aca="false">SUMIF($D$5:$D$494,"&gt;="&amp;D31)/SUM($D$5:$D$494)</f>
        <v>0.491829898145202</v>
      </c>
      <c r="J31" s="3" t="str">
        <f aca="false">IF(D31&lt;=0,"C",IF(I31&lt;=Parametros!$B$4,"A",IF(I31&lt;=Parametros!$B$5,"B","C")))</f>
        <v>A</v>
      </c>
      <c r="K31" s="3" t="str">
        <f aca="false">IF(E31&lt;=0,"Z",IF(G31&lt;=Parametros!$B$6,"X",IF(G31&lt;=Parametros!$B$7,"Y","Z")))</f>
        <v>X</v>
      </c>
      <c r="L31" s="3" t="str">
        <f aca="false">J31&amp;K31</f>
        <v>AX</v>
      </c>
      <c r="M31" s="3" t="str">
        <f aca="false">INDEX(Parametros!$B$23:$B$31,MATCH(L31,Parametros!$A$23:$A$31,0))</f>
        <v>Forecast estadístico casi automático. Ajustes mínimos. SS bajo porque la demanda es estable.</v>
      </c>
      <c r="N31" s="3" t="str">
        <f aca="false">INDEX(Parametros!$C$23:$C$31,MATCH(L31,Parametros!$A$23:$A$31,0))</f>
        <v>Mensual</v>
      </c>
      <c r="O31" s="23" t="n">
        <f aca="false">SUM(Datos_Semanales!M31:R31)</f>
        <v>195641.713401137</v>
      </c>
      <c r="P31" s="24" t="n">
        <f aca="false">IF(D31&gt;0,SUMPRODUCT(ABS(Datos_Semanales!F31:K31-Datos_Semanales!M31:R31))/D31,"")</f>
        <v>0.209916117987208</v>
      </c>
      <c r="Q31" s="24" t="n">
        <f aca="false">IF(D31&gt;0,O31/D31-1,"")</f>
        <v>0.0531349028003139</v>
      </c>
      <c r="R31" s="23" t="n">
        <f aca="false">SQRT(SUMXMY2(Datos_Semanales!F31:K31,Datos_Semanales!M31:R31)/COUNT(Datos_Semanales!F31:K31))</f>
        <v>7969.12070338365</v>
      </c>
    </row>
    <row r="32" customFormat="false" ht="15" hidden="false" customHeight="false" outlineLevel="0" collapsed="false">
      <c r="A32" s="18" t="n">
        <f aca="false">Datos_Semanales!A32</f>
        <v>30001052</v>
      </c>
      <c r="B32" s="18" t="str">
        <f aca="false">Datos_Semanales!B32</f>
        <v>YOG BOL CA VAIN NUEVA 12X1KG</v>
      </c>
      <c r="C32" s="18" t="str">
        <f aca="false">Datos_Semanales!C32</f>
        <v>-</v>
      </c>
      <c r="D32" s="23" t="n">
        <f aca="false">SUM(Datos_Semanales!F32:K32)</f>
        <v>184068</v>
      </c>
      <c r="E32" s="23" t="n">
        <f aca="false">AVERAGE(Datos_Semanales!F32:K32)</f>
        <v>30678</v>
      </c>
      <c r="F32" s="23" t="n">
        <f aca="false">STDEV(Datos_Semanales!F32:K32)</f>
        <v>7054.20691502596</v>
      </c>
      <c r="G32" s="27" t="n">
        <f aca="false">IF(E32&gt;0,F32/E32,"")</f>
        <v>0.229943507237302</v>
      </c>
      <c r="H32" s="24" t="n">
        <f aca="false">IF(SUM($D$5:$D$494)&gt;0,D32/SUM($D$5:$D$494),0)</f>
        <v>0.00767274358041665</v>
      </c>
      <c r="I32" s="24" t="n">
        <f aca="false">SUMIF($D$5:$D$494,"&gt;="&amp;D32)/SUM($D$5:$D$494)</f>
        <v>0.499502641725619</v>
      </c>
      <c r="J32" s="3" t="str">
        <f aca="false">IF(D32&lt;=0,"C",IF(I32&lt;=Parametros!$B$4,"A",IF(I32&lt;=Parametros!$B$5,"B","C")))</f>
        <v>A</v>
      </c>
      <c r="K32" s="3" t="str">
        <f aca="false">IF(E32&lt;=0,"Z",IF(G32&lt;=Parametros!$B$6,"X",IF(G32&lt;=Parametros!$B$7,"Y","Z")))</f>
        <v>X</v>
      </c>
      <c r="L32" s="3" t="str">
        <f aca="false">J32&amp;K32</f>
        <v>AX</v>
      </c>
      <c r="M32" s="3" t="str">
        <f aca="false">INDEX(Parametros!$B$23:$B$31,MATCH(L32,Parametros!$A$23:$A$31,0))</f>
        <v>Forecast estadístico casi automático. Ajustes mínimos. SS bajo porque la demanda es estable.</v>
      </c>
      <c r="N32" s="3" t="str">
        <f aca="false">INDEX(Parametros!$C$23:$C$31,MATCH(L32,Parametros!$A$23:$A$31,0))</f>
        <v>Mensual</v>
      </c>
      <c r="O32" s="23" t="n">
        <f aca="false">SUM(Datos_Semanales!M32:R32)</f>
        <v>135267.5804319</v>
      </c>
      <c r="P32" s="24" t="n">
        <f aca="false">IF(D32&gt;0,SUMPRODUCT(ABS(Datos_Semanales!F32:K32-Datos_Semanales!M32:R32))/D32,"")</f>
        <v>0.307021898085137</v>
      </c>
      <c r="Q32" s="24" t="n">
        <f aca="false">IF(D32&gt;0,O32/D32-1,"")</f>
        <v>-0.265121691810093</v>
      </c>
      <c r="R32" s="23" t="n">
        <f aca="false">SQRT(SUMXMY2(Datos_Semanales!F32:K32,Datos_Semanales!M32:R32)/COUNT(Datos_Semanales!F32:K32))</f>
        <v>10091.9169956551</v>
      </c>
    </row>
    <row r="33" customFormat="false" ht="15" hidden="false" customHeight="false" outlineLevel="0" collapsed="false">
      <c r="A33" s="18" t="n">
        <f aca="false">Datos_Semanales!A33</f>
        <v>30000639</v>
      </c>
      <c r="B33" s="18" t="str">
        <f aca="false">Datos_Semanales!B33</f>
        <v>GARBANZOS WS 16X380GR</v>
      </c>
      <c r="C33" s="18" t="str">
        <f aca="false">Datos_Semanales!C33</f>
        <v>-</v>
      </c>
      <c r="D33" s="23" t="n">
        <f aca="false">SUM(Datos_Semanales!F33:K33)</f>
        <v>171474.24</v>
      </c>
      <c r="E33" s="23" t="n">
        <f aca="false">AVERAGE(Datos_Semanales!F33:K33)</f>
        <v>28579.04</v>
      </c>
      <c r="F33" s="23" t="n">
        <f aca="false">STDEV(Datos_Semanales!F33:K33)</f>
        <v>7939.01689430121</v>
      </c>
      <c r="G33" s="27" t="n">
        <f aca="false">IF(E33&gt;0,F33/E33,"")</f>
        <v>0.2777915876216</v>
      </c>
      <c r="H33" s="24" t="n">
        <f aca="false">IF(SUM($D$5:$D$494)&gt;0,D33/SUM($D$5:$D$494),0)</f>
        <v>0.00714778165768533</v>
      </c>
      <c r="I33" s="24" t="n">
        <f aca="false">SUMIF($D$5:$D$494,"&gt;="&amp;D33)/SUM($D$5:$D$494)</f>
        <v>0.506650423383304</v>
      </c>
      <c r="J33" s="3" t="str">
        <f aca="false">IF(D33&lt;=0,"C",IF(I33&lt;=Parametros!$B$4,"A",IF(I33&lt;=Parametros!$B$5,"B","C")))</f>
        <v>A</v>
      </c>
      <c r="K33" s="3" t="str">
        <f aca="false">IF(E33&lt;=0,"Z",IF(G33&lt;=Parametros!$B$6,"X",IF(G33&lt;=Parametros!$B$7,"Y","Z")))</f>
        <v>X</v>
      </c>
      <c r="L33" s="3" t="str">
        <f aca="false">J33&amp;K33</f>
        <v>AX</v>
      </c>
      <c r="M33" s="3" t="str">
        <f aca="false">INDEX(Parametros!$B$23:$B$31,MATCH(L33,Parametros!$A$23:$A$31,0))</f>
        <v>Forecast estadístico casi automático. Ajustes mínimos. SS bajo porque la demanda es estable.</v>
      </c>
      <c r="N33" s="3" t="str">
        <f aca="false">INDEX(Parametros!$C$23:$C$31,MATCH(L33,Parametros!$A$23:$A$31,0))</f>
        <v>Mensual</v>
      </c>
      <c r="O33" s="23" t="n">
        <f aca="false">SUM(Datos_Semanales!M33:R33)</f>
        <v>170777.76</v>
      </c>
      <c r="P33" s="24" t="n">
        <f aca="false">IF(D33&gt;0,SUMPRODUCT(ABS(Datos_Semanales!F33:K33-Datos_Semanales!M33:R33))/D33,"")</f>
        <v>0.138067618786355</v>
      </c>
      <c r="Q33" s="24" t="n">
        <f aca="false">IF(D33&gt;0,O33/D33-1,"")</f>
        <v>-0.00406171795833576</v>
      </c>
      <c r="R33" s="23" t="n">
        <f aca="false">SQRT(SUMXMY2(Datos_Semanales!F33:K33,Datos_Semanales!M33:R33)/COUNT(Datos_Semanales!F33:K33))</f>
        <v>5134.00931680754</v>
      </c>
    </row>
    <row r="34" customFormat="false" ht="15" hidden="false" customHeight="false" outlineLevel="0" collapsed="false">
      <c r="A34" s="18" t="n">
        <f aca="false">Datos_Semanales!A34</f>
        <v>30000551</v>
      </c>
      <c r="B34" s="18" t="str">
        <f aca="false">Datos_Semanales!B34</f>
        <v>GAUDA CALO LAMINADO 12X467GR</v>
      </c>
      <c r="C34" s="18" t="str">
        <f aca="false">Datos_Semanales!C34</f>
        <v>QUESOS</v>
      </c>
      <c r="D34" s="23" t="n">
        <f aca="false">SUM(Datos_Semanales!F34:K34)</f>
        <v>170536.8</v>
      </c>
      <c r="E34" s="23" t="n">
        <f aca="false">AVERAGE(Datos_Semanales!F34:K34)</f>
        <v>28422.8</v>
      </c>
      <c r="F34" s="23" t="n">
        <f aca="false">STDEV(Datos_Semanales!F34:K34)</f>
        <v>4646.38550273221</v>
      </c>
      <c r="G34" s="27" t="n">
        <f aca="false">IF(E34&gt;0,F34/E34,"")</f>
        <v>0.163473883738837</v>
      </c>
      <c r="H34" s="24" t="n">
        <f aca="false">IF(SUM($D$5:$D$494)&gt;0,D34/SUM($D$5:$D$494),0)</f>
        <v>0.00710870513845317</v>
      </c>
      <c r="I34" s="24" t="n">
        <f aca="false">SUMIF($D$5:$D$494,"&gt;="&amp;D34)/SUM($D$5:$D$494)</f>
        <v>0.513759128521757</v>
      </c>
      <c r="J34" s="3" t="str">
        <f aca="false">IF(D34&lt;=0,"C",IF(I34&lt;=Parametros!$B$4,"A",IF(I34&lt;=Parametros!$B$5,"B","C")))</f>
        <v>A</v>
      </c>
      <c r="K34" s="3" t="str">
        <f aca="false">IF(E34&lt;=0,"Z",IF(G34&lt;=Parametros!$B$6,"X",IF(G34&lt;=Parametros!$B$7,"Y","Z")))</f>
        <v>X</v>
      </c>
      <c r="L34" s="3" t="str">
        <f aca="false">J34&amp;K34</f>
        <v>AX</v>
      </c>
      <c r="M34" s="3" t="str">
        <f aca="false">INDEX(Parametros!$B$23:$B$31,MATCH(L34,Parametros!$A$23:$A$31,0))</f>
        <v>Forecast estadístico casi automático. Ajustes mínimos. SS bajo porque la demanda es estable.</v>
      </c>
      <c r="N34" s="3" t="str">
        <f aca="false">INDEX(Parametros!$C$23:$C$31,MATCH(L34,Parametros!$A$23:$A$31,0))</f>
        <v>Mensual</v>
      </c>
      <c r="O34" s="23" t="n">
        <f aca="false">SUM(Datos_Semanales!M34:R34)</f>
        <v>151163.486340454</v>
      </c>
      <c r="P34" s="24" t="n">
        <f aca="false">IF(D34&gt;0,SUMPRODUCT(ABS(Datos_Semanales!F34:K34-Datos_Semanales!M34:R34))/D34,"")</f>
        <v>0.178711694123554</v>
      </c>
      <c r="Q34" s="24" t="n">
        <f aca="false">IF(D34&gt;0,O34/D34-1,"")</f>
        <v>-0.113601953710556</v>
      </c>
      <c r="R34" s="23" t="n">
        <f aca="false">SQRT(SUMXMY2(Datos_Semanales!F34:K34,Datos_Semanales!M34:R34)/COUNT(Datos_Semanales!F34:K34))</f>
        <v>6227.30887434157</v>
      </c>
    </row>
    <row r="35" customFormat="false" ht="15" hidden="false" customHeight="false" outlineLevel="0" collapsed="false">
      <c r="A35" s="18" t="n">
        <f aca="false">Datos_Semanales!A35</f>
        <v>30001055</v>
      </c>
      <c r="B35" s="18" t="str">
        <f aca="false">Datos_Semanales!B35</f>
        <v>LONCO PROTEIN YOG NAT 24X140GR</v>
      </c>
      <c r="C35" s="18" t="str">
        <f aca="false">Datos_Semanales!C35</f>
        <v>YOGURT</v>
      </c>
      <c r="D35" s="23" t="n">
        <f aca="false">SUM(Datos_Semanales!F35:K35)</f>
        <v>163292.64</v>
      </c>
      <c r="E35" s="23" t="n">
        <f aca="false">AVERAGE(Datos_Semanales!F35:K35)</f>
        <v>27215.44</v>
      </c>
      <c r="F35" s="23" t="n">
        <f aca="false">STDEV(Datos_Semanales!F35:K35)</f>
        <v>5482.45153806215</v>
      </c>
      <c r="G35" s="27" t="n">
        <f aca="false">IF(E35&gt;0,F35/E35,"")</f>
        <v>0.201446367872875</v>
      </c>
      <c r="H35" s="24" t="n">
        <f aca="false">IF(SUM($D$5:$D$494)&gt;0,D35/SUM($D$5:$D$494),0)</f>
        <v>0.00680673748445839</v>
      </c>
      <c r="I35" s="24" t="n">
        <f aca="false">SUMIF($D$5:$D$494,"&gt;="&amp;D35)/SUM($D$5:$D$494)</f>
        <v>0.520565866006216</v>
      </c>
      <c r="J35" s="3" t="str">
        <f aca="false">IF(D35&lt;=0,"C",IF(I35&lt;=Parametros!$B$4,"A",IF(I35&lt;=Parametros!$B$5,"B","C")))</f>
        <v>A</v>
      </c>
      <c r="K35" s="3" t="str">
        <f aca="false">IF(E35&lt;=0,"Z",IF(G35&lt;=Parametros!$B$6,"X",IF(G35&lt;=Parametros!$B$7,"Y","Z")))</f>
        <v>X</v>
      </c>
      <c r="L35" s="3" t="str">
        <f aca="false">J35&amp;K35</f>
        <v>AX</v>
      </c>
      <c r="M35" s="3" t="str">
        <f aca="false">INDEX(Parametros!$B$23:$B$31,MATCH(L35,Parametros!$A$23:$A$31,0))</f>
        <v>Forecast estadístico casi automático. Ajustes mínimos. SS bajo porque la demanda es estable.</v>
      </c>
      <c r="N35" s="3" t="str">
        <f aca="false">INDEX(Parametros!$C$23:$C$31,MATCH(L35,Parametros!$A$23:$A$31,0))</f>
        <v>Mensual</v>
      </c>
      <c r="O35" s="23" t="n">
        <f aca="false">SUM(Datos_Semanales!M35:R35)</f>
        <v>153587.963656275</v>
      </c>
      <c r="P35" s="24" t="n">
        <f aca="false">IF(D35&gt;0,SUMPRODUCT(ABS(Datos_Semanales!F35:K35-Datos_Semanales!M35:R35))/D35,"")</f>
        <v>0.228363226202662</v>
      </c>
      <c r="Q35" s="24" t="n">
        <f aca="false">IF(D35&gt;0,O35/D35-1,"")</f>
        <v>-0.0594311926350468</v>
      </c>
      <c r="R35" s="23" t="n">
        <f aca="false">SQRT(SUMXMY2(Datos_Semanales!F35:K35,Datos_Semanales!M35:R35)/COUNT(Datos_Semanales!F35:K35))</f>
        <v>7949.61154413258</v>
      </c>
    </row>
    <row r="36" customFormat="false" ht="15" hidden="false" customHeight="false" outlineLevel="0" collapsed="false">
      <c r="A36" s="18" t="n">
        <f aca="false">Datos_Semanales!A36</f>
        <v>30002066</v>
      </c>
      <c r="B36" s="18" t="str">
        <f aca="false">Datos_Semanales!B36</f>
        <v>LECHE FRUTILLA LONCOLECHE 12X1LT</v>
      </c>
      <c r="C36" s="18" t="str">
        <f aca="false">Datos_Semanales!C36</f>
        <v>-</v>
      </c>
      <c r="D36" s="23" t="n">
        <f aca="false">SUM(Datos_Semanales!F36:K36)</f>
        <v>161400</v>
      </c>
      <c r="E36" s="23" t="n">
        <f aca="false">AVERAGE(Datos_Semanales!F36:K36)</f>
        <v>26900</v>
      </c>
      <c r="F36" s="23" t="n">
        <f aca="false">STDEV(Datos_Semanales!F36:K36)</f>
        <v>10133.354982433</v>
      </c>
      <c r="G36" s="27" t="n">
        <f aca="false">IF(E36&gt;0,F36/E36,"")</f>
        <v>0.376704646187101</v>
      </c>
      <c r="H36" s="24" t="n">
        <f aca="false">IF(SUM($D$5:$D$494)&gt;0,D36/SUM($D$5:$D$494),0)</f>
        <v>0.0067278441330337</v>
      </c>
      <c r="I36" s="24" t="n">
        <f aca="false">SUMIF($D$5:$D$494,"&gt;="&amp;D36)/SUM($D$5:$D$494)</f>
        <v>0.52729371013925</v>
      </c>
      <c r="J36" s="3" t="str">
        <f aca="false">IF(D36&lt;=0,"C",IF(I36&lt;=Parametros!$B$4,"A",IF(I36&lt;=Parametros!$B$5,"B","C")))</f>
        <v>A</v>
      </c>
      <c r="K36" s="3" t="str">
        <f aca="false">IF(E36&lt;=0,"Z",IF(G36&lt;=Parametros!$B$6,"X",IF(G36&lt;=Parametros!$B$7,"Y","Z")))</f>
        <v>X</v>
      </c>
      <c r="L36" s="3" t="str">
        <f aca="false">J36&amp;K36</f>
        <v>AX</v>
      </c>
      <c r="M36" s="3" t="str">
        <f aca="false">INDEX(Parametros!$B$23:$B$31,MATCH(L36,Parametros!$A$23:$A$31,0))</f>
        <v>Forecast estadístico casi automático. Ajustes mínimos. SS bajo porque la demanda es estable.</v>
      </c>
      <c r="N36" s="3" t="str">
        <f aca="false">INDEX(Parametros!$C$23:$C$31,MATCH(L36,Parametros!$A$23:$A$31,0))</f>
        <v>Mensual</v>
      </c>
      <c r="O36" s="23" t="n">
        <f aca="false">SUM(Datos_Semanales!M36:R36)</f>
        <v>58654.5695669944</v>
      </c>
      <c r="P36" s="24" t="n">
        <f aca="false">IF(D36&gt;0,SUMPRODUCT(ABS(Datos_Semanales!F36:K36-Datos_Semanales!M36:R36))/D36,"")</f>
        <v>0.636588788308585</v>
      </c>
      <c r="Q36" s="24" t="n">
        <f aca="false">IF(D36&gt;0,O36/D36-1,"")</f>
        <v>-0.636588788308585</v>
      </c>
      <c r="R36" s="23" t="n">
        <f aca="false">SQRT(SUMXMY2(Datos_Semanales!F36:K36,Datos_Semanales!M36:R36)/COUNT(Datos_Semanales!F36:K36))</f>
        <v>19967.4549232887</v>
      </c>
    </row>
    <row r="37" customFormat="false" ht="15" hidden="false" customHeight="false" outlineLevel="0" collapsed="false">
      <c r="A37" s="18" t="n">
        <f aca="false">Datos_Semanales!A37</f>
        <v>30001364</v>
      </c>
      <c r="B37" s="18" t="str">
        <f aca="false">Datos_Semanales!B37</f>
        <v>ACEITE CRISTAL VEGETAL 12X900ML</v>
      </c>
      <c r="C37" s="18" t="str">
        <f aca="false">Datos_Semanales!C37</f>
        <v>ACEITES</v>
      </c>
      <c r="D37" s="23" t="n">
        <f aca="false">SUM(Datos_Semanales!F37:K37)</f>
        <v>157012.24</v>
      </c>
      <c r="E37" s="23" t="n">
        <f aca="false">AVERAGE(Datos_Semanales!F37:K37)</f>
        <v>26168.7066666667</v>
      </c>
      <c r="F37" s="23" t="n">
        <f aca="false">STDEV(Datos_Semanales!F37:K37)</f>
        <v>5197.72728727727</v>
      </c>
      <c r="G37" s="27" t="n">
        <f aca="false">IF(E37&gt;0,F37/E37,"")</f>
        <v>0.198623774322713</v>
      </c>
      <c r="H37" s="24" t="n">
        <f aca="false">IF(SUM($D$5:$D$494)&gt;0,D37/SUM($D$5:$D$494),0)</f>
        <v>0.00654494348016406</v>
      </c>
      <c r="I37" s="24" t="n">
        <f aca="false">SUMIF($D$5:$D$494,"&gt;="&amp;D37)/SUM($D$5:$D$494)</f>
        <v>0.533838653619414</v>
      </c>
      <c r="J37" s="3" t="str">
        <f aca="false">IF(D37&lt;=0,"C",IF(I37&lt;=Parametros!$B$4,"A",IF(I37&lt;=Parametros!$B$5,"B","C")))</f>
        <v>A</v>
      </c>
      <c r="K37" s="3" t="str">
        <f aca="false">IF(E37&lt;=0,"Z",IF(G37&lt;=Parametros!$B$6,"X",IF(G37&lt;=Parametros!$B$7,"Y","Z")))</f>
        <v>X</v>
      </c>
      <c r="L37" s="3" t="str">
        <f aca="false">J37&amp;K37</f>
        <v>AX</v>
      </c>
      <c r="M37" s="3" t="str">
        <f aca="false">INDEX(Parametros!$B$23:$B$31,MATCH(L37,Parametros!$A$23:$A$31,0))</f>
        <v>Forecast estadístico casi automático. Ajustes mínimos. SS bajo porque la demanda es estable.</v>
      </c>
      <c r="N37" s="3" t="str">
        <f aca="false">INDEX(Parametros!$C$23:$C$31,MATCH(L37,Parametros!$A$23:$A$31,0))</f>
        <v>Mensual</v>
      </c>
      <c r="O37" s="23" t="n">
        <f aca="false">SUM(Datos_Semanales!M37:R37)</f>
        <v>136050</v>
      </c>
      <c r="P37" s="24" t="n">
        <f aca="false">IF(D37&gt;0,SUMPRODUCT(ABS(Datos_Semanales!F37:K37-Datos_Semanales!M37:R37))/D37,"")</f>
        <v>0.176755901323362</v>
      </c>
      <c r="Q37" s="24" t="n">
        <f aca="false">IF(D37&gt;0,O37/D37-1,"")</f>
        <v>-0.133507043782064</v>
      </c>
      <c r="R37" s="23" t="n">
        <f aca="false">SQRT(SUMXMY2(Datos_Semanales!F37:K37,Datos_Semanales!M37:R37)/COUNT(Datos_Semanales!F37:K37))</f>
        <v>6252.8517813981</v>
      </c>
    </row>
    <row r="38" customFormat="false" ht="15" hidden="false" customHeight="false" outlineLevel="0" collapsed="false">
      <c r="A38" s="18" t="n">
        <f aca="false">Datos_Semanales!A38</f>
        <v>30001861</v>
      </c>
      <c r="B38" s="18" t="str">
        <f aca="false">Datos_Semanales!B38</f>
        <v>MARGARINA SUREÑA 6X900GR</v>
      </c>
      <c r="C38" s="18" t="str">
        <f aca="false">Datos_Semanales!C38</f>
        <v>MARGARINAS</v>
      </c>
      <c r="D38" s="23" t="n">
        <f aca="false">SUM(Datos_Semanales!F38:K38)</f>
        <v>150514.2</v>
      </c>
      <c r="E38" s="23" t="n">
        <f aca="false">AVERAGE(Datos_Semanales!F38:K38)</f>
        <v>25085.7</v>
      </c>
      <c r="F38" s="23" t="n">
        <f aca="false">STDEV(Datos_Semanales!F38:K38)</f>
        <v>10725.3607273602</v>
      </c>
      <c r="G38" s="27" t="n">
        <f aca="false">IF(E38&gt;0,F38/E38,"")</f>
        <v>0.427548791835993</v>
      </c>
      <c r="H38" s="24" t="n">
        <f aca="false">IF(SUM($D$5:$D$494)&gt;0,D38/SUM($D$5:$D$494),0)</f>
        <v>0.00627407730736221</v>
      </c>
      <c r="I38" s="24" t="n">
        <f aca="false">SUMIF($D$5:$D$494,"&gt;="&amp;D38)/SUM($D$5:$D$494)</f>
        <v>0.540112730926776</v>
      </c>
      <c r="J38" s="3" t="str">
        <f aca="false">IF(D38&lt;=0,"C",IF(I38&lt;=Parametros!$B$4,"A",IF(I38&lt;=Parametros!$B$5,"B","C")))</f>
        <v>A</v>
      </c>
      <c r="K38" s="3" t="str">
        <f aca="false">IF(E38&lt;=0,"Z",IF(G38&lt;=Parametros!$B$6,"X",IF(G38&lt;=Parametros!$B$7,"Y","Z")))</f>
        <v>X</v>
      </c>
      <c r="L38" s="3" t="str">
        <f aca="false">J38&amp;K38</f>
        <v>AX</v>
      </c>
      <c r="M38" s="3" t="str">
        <f aca="false">INDEX(Parametros!$B$23:$B$31,MATCH(L38,Parametros!$A$23:$A$31,0))</f>
        <v>Forecast estadístico casi automático. Ajustes mínimos. SS bajo porque la demanda es estable.</v>
      </c>
      <c r="N38" s="3" t="str">
        <f aca="false">INDEX(Parametros!$C$23:$C$31,MATCH(L38,Parametros!$A$23:$A$31,0))</f>
        <v>Mensual</v>
      </c>
      <c r="O38" s="23" t="n">
        <f aca="false">SUM(Datos_Semanales!M38:R38)</f>
        <v>142058.94008605</v>
      </c>
      <c r="P38" s="24" t="n">
        <f aca="false">IF(D38&gt;0,SUMPRODUCT(ABS(Datos_Semanales!F38:K38-Datos_Semanales!M38:R38))/D38,"")</f>
        <v>0.459280873947894</v>
      </c>
      <c r="Q38" s="24" t="n">
        <f aca="false">IF(D38&gt;0,O38/D38-1,"")</f>
        <v>-0.0561758286855973</v>
      </c>
      <c r="R38" s="23" t="n">
        <f aca="false">SQRT(SUMXMY2(Datos_Semanales!F38:K38,Datos_Semanales!M38:R38)/COUNT(Datos_Semanales!F38:K38))</f>
        <v>12566.6613544358</v>
      </c>
    </row>
    <row r="39" customFormat="false" ht="15" hidden="false" customHeight="false" outlineLevel="0" collapsed="false">
      <c r="A39" s="18" t="n">
        <f aca="false">Datos_Semanales!A39</f>
        <v>30000302</v>
      </c>
      <c r="B39" s="18" t="str">
        <f aca="false">Datos_Semanales!B39</f>
        <v>MANTEQUILLA CALO 20X250GR</v>
      </c>
      <c r="C39" s="18" t="str">
        <f aca="false">Datos_Semanales!C39</f>
        <v>MANTEQUILLAS</v>
      </c>
      <c r="D39" s="23" t="n">
        <f aca="false">SUM(Datos_Semanales!F39:K39)</f>
        <v>148320</v>
      </c>
      <c r="E39" s="23" t="n">
        <f aca="false">AVERAGE(Datos_Semanales!F39:K39)</f>
        <v>24720</v>
      </c>
      <c r="F39" s="23" t="n">
        <f aca="false">STDEV(Datos_Semanales!F39:K39)</f>
        <v>5162.84030355385</v>
      </c>
      <c r="G39" s="27" t="n">
        <f aca="false">IF(E39&gt;0,F39/E39,"")</f>
        <v>0.208852763088748</v>
      </c>
      <c r="H39" s="24" t="n">
        <f aca="false">IF(SUM($D$5:$D$494)&gt;0,D39/SUM($D$5:$D$494),0)</f>
        <v>0.00618261364195513</v>
      </c>
      <c r="I39" s="24" t="n">
        <f aca="false">SUMIF($D$5:$D$494,"&gt;="&amp;D39)/SUM($D$5:$D$494)</f>
        <v>0.546295344568731</v>
      </c>
      <c r="J39" s="3" t="str">
        <f aca="false">IF(D39&lt;=0,"C",IF(I39&lt;=Parametros!$B$4,"A",IF(I39&lt;=Parametros!$B$5,"B","C")))</f>
        <v>A</v>
      </c>
      <c r="K39" s="3" t="str">
        <f aca="false">IF(E39&lt;=0,"Z",IF(G39&lt;=Parametros!$B$6,"X",IF(G39&lt;=Parametros!$B$7,"Y","Z")))</f>
        <v>X</v>
      </c>
      <c r="L39" s="3" t="str">
        <f aca="false">J39&amp;K39</f>
        <v>AX</v>
      </c>
      <c r="M39" s="3" t="str">
        <f aca="false">INDEX(Parametros!$B$23:$B$31,MATCH(L39,Parametros!$A$23:$A$31,0))</f>
        <v>Forecast estadístico casi automático. Ajustes mínimos. SS bajo porque la demanda es estable.</v>
      </c>
      <c r="N39" s="3" t="str">
        <f aca="false">INDEX(Parametros!$C$23:$C$31,MATCH(L39,Parametros!$A$23:$A$31,0))</f>
        <v>Mensual</v>
      </c>
      <c r="O39" s="23" t="n">
        <f aca="false">SUM(Datos_Semanales!M39:R39)</f>
        <v>181346.158506775</v>
      </c>
      <c r="P39" s="24" t="n">
        <f aca="false">IF(D39&gt;0,SUMPRODUCT(ABS(Datos_Semanales!F39:K39-Datos_Semanales!M39:R39))/D39,"")</f>
        <v>0.268844967885825</v>
      </c>
      <c r="Q39" s="24" t="n">
        <f aca="false">IF(D39&gt;0,O39/D39-1,"")</f>
        <v>0.222668274722052</v>
      </c>
      <c r="R39" s="23" t="n">
        <f aca="false">SQRT(SUMXMY2(Datos_Semanales!F39:K39,Datos_Semanales!M39:R39)/COUNT(Datos_Semanales!F39:K39))</f>
        <v>8589.81714567789</v>
      </c>
    </row>
    <row r="40" customFormat="false" ht="15" hidden="false" customHeight="false" outlineLevel="0" collapsed="false">
      <c r="A40" s="18" t="n">
        <f aca="false">Datos_Semanales!A40</f>
        <v>30000514</v>
      </c>
      <c r="B40" s="18" t="str">
        <f aca="false">Datos_Semanales!B40</f>
        <v>LONCO PROTEIN MILK CAPP 12X1LT</v>
      </c>
      <c r="C40" s="18" t="str">
        <f aca="false">Datos_Semanales!C40</f>
        <v>LECHES LIQUIDAS</v>
      </c>
      <c r="D40" s="23" t="n">
        <f aca="false">SUM(Datos_Semanales!F40:K40)</f>
        <v>137532</v>
      </c>
      <c r="E40" s="23" t="n">
        <f aca="false">AVERAGE(Datos_Semanales!F40:K40)</f>
        <v>22922</v>
      </c>
      <c r="F40" s="23" t="n">
        <f aca="false">STDEV(Datos_Semanales!F40:K40)</f>
        <v>6105.55668223627</v>
      </c>
      <c r="G40" s="27" t="n">
        <f aca="false">IF(E40&gt;0,F40/E40,"")</f>
        <v>0.266362301816433</v>
      </c>
      <c r="H40" s="24" t="n">
        <f aca="false">IF(SUM($D$5:$D$494)&gt;0,D40/SUM($D$5:$D$494),0)</f>
        <v>0.00573292353968024</v>
      </c>
      <c r="I40" s="24" t="n">
        <f aca="false">SUMIF($D$5:$D$494,"&gt;="&amp;D40)/SUM($D$5:$D$494)</f>
        <v>0.552028268108411</v>
      </c>
      <c r="J40" s="3" t="str">
        <f aca="false">IF(D40&lt;=0,"C",IF(I40&lt;=Parametros!$B$4,"A",IF(I40&lt;=Parametros!$B$5,"B","C")))</f>
        <v>A</v>
      </c>
      <c r="K40" s="3" t="str">
        <f aca="false">IF(E40&lt;=0,"Z",IF(G40&lt;=Parametros!$B$6,"X",IF(G40&lt;=Parametros!$B$7,"Y","Z")))</f>
        <v>X</v>
      </c>
      <c r="L40" s="3" t="str">
        <f aca="false">J40&amp;K40</f>
        <v>AX</v>
      </c>
      <c r="M40" s="3" t="str">
        <f aca="false">INDEX(Parametros!$B$23:$B$31,MATCH(L40,Parametros!$A$23:$A$31,0))</f>
        <v>Forecast estadístico casi automático. Ajustes mínimos. SS bajo porque la demanda es estable.</v>
      </c>
      <c r="N40" s="3" t="str">
        <f aca="false">INDEX(Parametros!$C$23:$C$31,MATCH(L40,Parametros!$A$23:$A$31,0))</f>
        <v>Mensual</v>
      </c>
      <c r="O40" s="23" t="n">
        <f aca="false">SUM(Datos_Semanales!M40:R40)</f>
        <v>134355.376829953</v>
      </c>
      <c r="P40" s="24" t="n">
        <f aca="false">IF(D40&gt;0,SUMPRODUCT(ABS(Datos_Semanales!F40:K40-Datos_Semanales!M40:R40))/D40,"")</f>
        <v>0.254706564072703</v>
      </c>
      <c r="Q40" s="24" t="n">
        <f aca="false">IF(D40&gt;0,O40/D40-1,"")</f>
        <v>-0.023097338583362</v>
      </c>
      <c r="R40" s="23" t="n">
        <f aca="false">SQRT(SUMXMY2(Datos_Semanales!F40:K40,Datos_Semanales!M40:R40)/COUNT(Datos_Semanales!F40:K40))</f>
        <v>7275.61225674743</v>
      </c>
    </row>
    <row r="41" customFormat="false" ht="15" hidden="false" customHeight="false" outlineLevel="0" collapsed="false">
      <c r="A41" s="18" t="n">
        <f aca="false">Datos_Semanales!A41</f>
        <v>30002329</v>
      </c>
      <c r="B41" s="18" t="str">
        <f aca="false">Datos_Semanales!B41</f>
        <v>LECHE LONCO PROTEIN CAPPUCCINO 30X200ML</v>
      </c>
      <c r="C41" s="18" t="str">
        <f aca="false">Datos_Semanales!C41</f>
        <v>-</v>
      </c>
      <c r="D41" s="23" t="n">
        <f aca="false">SUM(Datos_Semanales!F41:K41)</f>
        <v>134646</v>
      </c>
      <c r="E41" s="23" t="n">
        <f aca="false">AVERAGE(Datos_Semanales!F41:K41)</f>
        <v>22441</v>
      </c>
      <c r="F41" s="23" t="n">
        <f aca="false">STDEV(Datos_Semanales!F41:K41)</f>
        <v>5884.0950026321</v>
      </c>
      <c r="G41" s="27" t="n">
        <f aca="false">IF(E41&gt;0,F41/E41,"")</f>
        <v>0.262202887689145</v>
      </c>
      <c r="H41" s="24" t="n">
        <f aca="false">IF(SUM($D$5:$D$494)&gt;0,D41/SUM($D$5:$D$494),0)</f>
        <v>0.00561262268362116</v>
      </c>
      <c r="I41" s="24" t="n">
        <f aca="false">SUMIF($D$5:$D$494,"&gt;="&amp;D41)/SUM($D$5:$D$494)</f>
        <v>0.557640890792032</v>
      </c>
      <c r="J41" s="3" t="str">
        <f aca="false">IF(D41&lt;=0,"C",IF(I41&lt;=Parametros!$B$4,"A",IF(I41&lt;=Parametros!$B$5,"B","C")))</f>
        <v>A</v>
      </c>
      <c r="K41" s="3" t="str">
        <f aca="false">IF(E41&lt;=0,"Z",IF(G41&lt;=Parametros!$B$6,"X",IF(G41&lt;=Parametros!$B$7,"Y","Z")))</f>
        <v>X</v>
      </c>
      <c r="L41" s="3" t="str">
        <f aca="false">J41&amp;K41</f>
        <v>AX</v>
      </c>
      <c r="M41" s="3" t="str">
        <f aca="false">INDEX(Parametros!$B$23:$B$31,MATCH(L41,Parametros!$A$23:$A$31,0))</f>
        <v>Forecast estadístico casi automático. Ajustes mínimos. SS bajo porque la demanda es estable.</v>
      </c>
      <c r="N41" s="3" t="str">
        <f aca="false">INDEX(Parametros!$C$23:$C$31,MATCH(L41,Parametros!$A$23:$A$31,0))</f>
        <v>Mensual</v>
      </c>
      <c r="O41" s="23" t="n">
        <f aca="false">SUM(Datos_Semanales!M41:R41)</f>
        <v>123223.086939072</v>
      </c>
      <c r="P41" s="24" t="n">
        <f aca="false">IF(D41&gt;0,SUMPRODUCT(ABS(Datos_Semanales!F41:K41-Datos_Semanales!M41:R41))/D41,"")</f>
        <v>0.210321235394501</v>
      </c>
      <c r="Q41" s="24" t="n">
        <f aca="false">IF(D41&gt;0,O41/D41-1,"")</f>
        <v>-0.0848366313215987</v>
      </c>
      <c r="R41" s="23" t="n">
        <f aca="false">SQRT(SUMXMY2(Datos_Semanales!F41:K41,Datos_Semanales!M41:R41)/COUNT(Datos_Semanales!F41:K41))</f>
        <v>5757.83858018592</v>
      </c>
    </row>
    <row r="42" customFormat="false" ht="15" hidden="false" customHeight="false" outlineLevel="0" collapsed="false">
      <c r="A42" s="18" t="n">
        <f aca="false">Datos_Semanales!A42</f>
        <v>30000305</v>
      </c>
      <c r="B42" s="18" t="str">
        <f aca="false">Datos_Semanales!B42</f>
        <v>YOGU YOGU FRUTILLA 30X200GR</v>
      </c>
      <c r="C42" s="18" t="str">
        <f aca="false">Datos_Semanales!C42</f>
        <v>LECHES LIQUIDAS</v>
      </c>
      <c r="D42" s="23" t="n">
        <f aca="false">SUM(Datos_Semanales!F42:K42)</f>
        <v>128718</v>
      </c>
      <c r="E42" s="23" t="n">
        <f aca="false">AVERAGE(Datos_Semanales!F42:K42)</f>
        <v>21453</v>
      </c>
      <c r="F42" s="23" t="n">
        <f aca="false">STDEV(Datos_Semanales!F42:K42)</f>
        <v>3051.57841124884</v>
      </c>
      <c r="G42" s="27" t="n">
        <f aca="false">IF(E42&gt;0,F42/E42,"")</f>
        <v>0.142244833414853</v>
      </c>
      <c r="H42" s="24" t="n">
        <f aca="false">IF(SUM($D$5:$D$494)&gt;0,D42/SUM($D$5:$D$494),0)</f>
        <v>0.00536551822252684</v>
      </c>
      <c r="I42" s="24" t="n">
        <f aca="false">SUMIF($D$5:$D$494,"&gt;="&amp;D42)/SUM($D$5:$D$494)</f>
        <v>0.563006409014559</v>
      </c>
      <c r="J42" s="3" t="str">
        <f aca="false">IF(D42&lt;=0,"C",IF(I42&lt;=Parametros!$B$4,"A",IF(I42&lt;=Parametros!$B$5,"B","C")))</f>
        <v>A</v>
      </c>
      <c r="K42" s="3" t="str">
        <f aca="false">IF(E42&lt;=0,"Z",IF(G42&lt;=Parametros!$B$6,"X",IF(G42&lt;=Parametros!$B$7,"Y","Z")))</f>
        <v>X</v>
      </c>
      <c r="L42" s="3" t="str">
        <f aca="false">J42&amp;K42</f>
        <v>AX</v>
      </c>
      <c r="M42" s="3" t="str">
        <f aca="false">INDEX(Parametros!$B$23:$B$31,MATCH(L42,Parametros!$A$23:$A$31,0))</f>
        <v>Forecast estadístico casi automático. Ajustes mínimos. SS bajo porque la demanda es estable.</v>
      </c>
      <c r="N42" s="3" t="str">
        <f aca="false">INDEX(Parametros!$C$23:$C$31,MATCH(L42,Parametros!$A$23:$A$31,0))</f>
        <v>Mensual</v>
      </c>
      <c r="O42" s="23" t="n">
        <f aca="false">SUM(Datos_Semanales!M42:R42)</f>
        <v>125066.871062014</v>
      </c>
      <c r="P42" s="24" t="n">
        <f aca="false">IF(D42&gt;0,SUMPRODUCT(ABS(Datos_Semanales!F42:K42-Datos_Semanales!M42:R42))/D42,"")</f>
        <v>0.137784736065321</v>
      </c>
      <c r="Q42" s="24" t="n">
        <f aca="false">IF(D42&gt;0,O42/D42-1,"")</f>
        <v>-0.0283653330380087</v>
      </c>
      <c r="R42" s="23" t="n">
        <f aca="false">SQRT(SUMXMY2(Datos_Semanales!F42:K42,Datos_Semanales!M42:R42)/COUNT(Datos_Semanales!F42:K42))</f>
        <v>3332.65282192597</v>
      </c>
    </row>
    <row r="43" customFormat="false" ht="15" hidden="false" customHeight="false" outlineLevel="0" collapsed="false">
      <c r="A43" s="18" t="n">
        <f aca="false">Datos_Semanales!A43</f>
        <v>30001753</v>
      </c>
      <c r="B43" s="18" t="str">
        <f aca="false">Datos_Semanales!B43</f>
        <v>MERMELADA MORA 24X225GR</v>
      </c>
      <c r="C43" s="18" t="str">
        <f aca="false">Datos_Semanales!C43</f>
        <v>-</v>
      </c>
      <c r="D43" s="23" t="n">
        <f aca="false">SUM(Datos_Semanales!F43:K43)</f>
        <v>125863.2</v>
      </c>
      <c r="E43" s="23" t="n">
        <f aca="false">AVERAGE(Datos_Semanales!F43:K43)</f>
        <v>20977.2</v>
      </c>
      <c r="F43" s="23" t="n">
        <f aca="false">STDEV(Datos_Semanales!F43:K43)</f>
        <v>7544.01581652637</v>
      </c>
      <c r="G43" s="27" t="n">
        <f aca="false">IF(E43&gt;0,F43/E43,"")</f>
        <v>0.359629303077931</v>
      </c>
      <c r="H43" s="24" t="n">
        <f aca="false">IF(SUM($D$5:$D$494)&gt;0,D43/SUM($D$5:$D$494),0)</f>
        <v>0.005246517916263</v>
      </c>
      <c r="I43" s="24" t="n">
        <f aca="false">SUMIF($D$5:$D$494,"&gt;="&amp;D43)/SUM($D$5:$D$494)</f>
        <v>0.568252926930822</v>
      </c>
      <c r="J43" s="3" t="str">
        <f aca="false">IF(D43&lt;=0,"C",IF(I43&lt;=Parametros!$B$4,"A",IF(I43&lt;=Parametros!$B$5,"B","C")))</f>
        <v>A</v>
      </c>
      <c r="K43" s="3" t="str">
        <f aca="false">IF(E43&lt;=0,"Z",IF(G43&lt;=Parametros!$B$6,"X",IF(G43&lt;=Parametros!$B$7,"Y","Z")))</f>
        <v>X</v>
      </c>
      <c r="L43" s="3" t="str">
        <f aca="false">J43&amp;K43</f>
        <v>AX</v>
      </c>
      <c r="M43" s="3" t="str">
        <f aca="false">INDEX(Parametros!$B$23:$B$31,MATCH(L43,Parametros!$A$23:$A$31,0))</f>
        <v>Forecast estadístico casi automático. Ajustes mínimos. SS bajo porque la demanda es estable.</v>
      </c>
      <c r="N43" s="3" t="str">
        <f aca="false">INDEX(Parametros!$C$23:$C$31,MATCH(L43,Parametros!$A$23:$A$31,0))</f>
        <v>Mensual</v>
      </c>
      <c r="O43" s="23" t="n">
        <f aca="false">SUM(Datos_Semanales!M43:R43)</f>
        <v>119506.325</v>
      </c>
      <c r="P43" s="24" t="n">
        <f aca="false">IF(D43&gt;0,SUMPRODUCT(ABS(Datos_Semanales!F43:K43-Datos_Semanales!M43:R43))/D43,"")</f>
        <v>0.20637585092386</v>
      </c>
      <c r="Q43" s="24" t="n">
        <f aca="false">IF(D43&gt;0,O43/D43-1,"")</f>
        <v>-0.0505062242180399</v>
      </c>
      <c r="R43" s="23" t="n">
        <f aca="false">SQRT(SUMXMY2(Datos_Semanales!F43:K43,Datos_Semanales!M43:R43)/COUNT(Datos_Semanales!F43:K43))</f>
        <v>5229.92674192837</v>
      </c>
    </row>
    <row r="44" customFormat="false" ht="15" hidden="false" customHeight="false" outlineLevel="0" collapsed="false">
      <c r="A44" s="18" t="n">
        <f aca="false">Datos_Semanales!A44</f>
        <v>30001074</v>
      </c>
      <c r="B44" s="18" t="str">
        <f aca="false">Datos_Semanales!B44</f>
        <v>YOG GRI OIKOS SAB NAT END 48X110GR</v>
      </c>
      <c r="C44" s="18" t="str">
        <f aca="false">Datos_Semanales!C44</f>
        <v>YOGURT</v>
      </c>
      <c r="D44" s="23" t="n">
        <f aca="false">SUM(Datos_Semanales!F44:K44)</f>
        <v>113166.24</v>
      </c>
      <c r="E44" s="23" t="n">
        <f aca="false">AVERAGE(Datos_Semanales!F44:K44)</f>
        <v>18861.04</v>
      </c>
      <c r="F44" s="23" t="n">
        <f aca="false">STDEV(Datos_Semanales!F44:K44)</f>
        <v>9267.00585141932</v>
      </c>
      <c r="G44" s="27" t="n">
        <f aca="false">IF(E44&gt;0,F44/E44,"")</f>
        <v>0.491330586829747</v>
      </c>
      <c r="H44" s="24" t="n">
        <f aca="false">IF(SUM($D$5:$D$494)&gt;0,D44/SUM($D$5:$D$494),0)</f>
        <v>0.00471725417497822</v>
      </c>
      <c r="I44" s="24" t="n">
        <f aca="false">SUMIF($D$5:$D$494,"&gt;="&amp;D44)/SUM($D$5:$D$494)</f>
        <v>0.5729701811058</v>
      </c>
      <c r="J44" s="3" t="str">
        <f aca="false">IF(D44&lt;=0,"C",IF(I44&lt;=Parametros!$B$4,"A",IF(I44&lt;=Parametros!$B$5,"B","C")))</f>
        <v>A</v>
      </c>
      <c r="K44" s="3" t="str">
        <f aca="false">IF(E44&lt;=0,"Z",IF(G44&lt;=Parametros!$B$6,"X",IF(G44&lt;=Parametros!$B$7,"Y","Z")))</f>
        <v>X</v>
      </c>
      <c r="L44" s="3" t="str">
        <f aca="false">J44&amp;K44</f>
        <v>AX</v>
      </c>
      <c r="M44" s="3" t="str">
        <f aca="false">INDEX(Parametros!$B$23:$B$31,MATCH(L44,Parametros!$A$23:$A$31,0))</f>
        <v>Forecast estadístico casi automático. Ajustes mínimos. SS bajo porque la demanda es estable.</v>
      </c>
      <c r="N44" s="3" t="str">
        <f aca="false">INDEX(Parametros!$C$23:$C$31,MATCH(L44,Parametros!$A$23:$A$31,0))</f>
        <v>Mensual</v>
      </c>
      <c r="O44" s="23" t="n">
        <f aca="false">SUM(Datos_Semanales!M44:R44)</f>
        <v>108202.083786029</v>
      </c>
      <c r="P44" s="24" t="n">
        <f aca="false">IF(D44&gt;0,SUMPRODUCT(ABS(Datos_Semanales!F44:K44-Datos_Semanales!M44:R44))/D44,"")</f>
        <v>0.454427739440437</v>
      </c>
      <c r="Q44" s="24" t="n">
        <f aca="false">IF(D44&gt;0,O44/D44-1,"")</f>
        <v>-0.0438660524019454</v>
      </c>
      <c r="R44" s="23" t="n">
        <f aca="false">SQRT(SUMXMY2(Datos_Semanales!F44:K44,Datos_Semanales!M44:R44)/COUNT(Datos_Semanales!F44:K44))</f>
        <v>10354.2406172005</v>
      </c>
    </row>
    <row r="45" customFormat="false" ht="15" hidden="false" customHeight="false" outlineLevel="0" collapsed="false">
      <c r="A45" s="18" t="n">
        <f aca="false">Datos_Semanales!A45</f>
        <v>30001042</v>
      </c>
      <c r="B45" s="18" t="str">
        <f aca="false">Datos_Semanales!B45</f>
        <v>YOG CALAN VAINILLA UNIV 48X110GR</v>
      </c>
      <c r="C45" s="18" t="str">
        <f aca="false">Datos_Semanales!C45</f>
        <v>-</v>
      </c>
      <c r="D45" s="23" t="n">
        <f aca="false">SUM(Datos_Semanales!F45:K45)</f>
        <v>112141.92</v>
      </c>
      <c r="E45" s="23" t="n">
        <f aca="false">AVERAGE(Datos_Semanales!F45:K45)</f>
        <v>18690.32</v>
      </c>
      <c r="F45" s="23" t="n">
        <f aca="false">STDEV(Datos_Semanales!F45:K45)</f>
        <v>3670.00249878934</v>
      </c>
      <c r="G45" s="27" t="n">
        <f aca="false">IF(E45&gt;0,F45/E45,"")</f>
        <v>0.196358462497664</v>
      </c>
      <c r="H45" s="24" t="n">
        <f aca="false">IF(SUM($D$5:$D$494)&gt;0,D45/SUM($D$5:$D$494),0)</f>
        <v>0.00467455612477779</v>
      </c>
      <c r="I45" s="24" t="n">
        <f aca="false">SUMIF($D$5:$D$494,"&gt;="&amp;D45)/SUM($D$5:$D$494)</f>
        <v>0.577644737230578</v>
      </c>
      <c r="J45" s="3" t="str">
        <f aca="false">IF(D45&lt;=0,"C",IF(I45&lt;=Parametros!$B$4,"A",IF(I45&lt;=Parametros!$B$5,"B","C")))</f>
        <v>A</v>
      </c>
      <c r="K45" s="3" t="str">
        <f aca="false">IF(E45&lt;=0,"Z",IF(G45&lt;=Parametros!$B$6,"X",IF(G45&lt;=Parametros!$B$7,"Y","Z")))</f>
        <v>X</v>
      </c>
      <c r="L45" s="3" t="str">
        <f aca="false">J45&amp;K45</f>
        <v>AX</v>
      </c>
      <c r="M45" s="3" t="str">
        <f aca="false">INDEX(Parametros!$B$23:$B$31,MATCH(L45,Parametros!$A$23:$A$31,0))</f>
        <v>Forecast estadístico casi automático. Ajustes mínimos. SS bajo porque la demanda es estable.</v>
      </c>
      <c r="N45" s="3" t="str">
        <f aca="false">INDEX(Parametros!$C$23:$C$31,MATCH(L45,Parametros!$A$23:$A$31,0))</f>
        <v>Mensual</v>
      </c>
      <c r="O45" s="23" t="n">
        <f aca="false">SUM(Datos_Semanales!M45:R45)</f>
        <v>130046.327966604</v>
      </c>
      <c r="P45" s="24" t="n">
        <f aca="false">IF(D45&gt;0,SUMPRODUCT(ABS(Datos_Semanales!F45:K45-Datos_Semanales!M45:R45))/D45,"")</f>
        <v>0.245611862654172</v>
      </c>
      <c r="Q45" s="24" t="n">
        <f aca="false">IF(D45&gt;0,O45/D45-1,"")</f>
        <v>0.159658475319521</v>
      </c>
      <c r="R45" s="23" t="n">
        <f aca="false">SQRT(SUMXMY2(Datos_Semanales!F45:K45,Datos_Semanales!M45:R45)/COUNT(Datos_Semanales!F45:K45))</f>
        <v>5855.98827638229</v>
      </c>
    </row>
    <row r="46" customFormat="false" ht="15" hidden="false" customHeight="false" outlineLevel="0" collapsed="false">
      <c r="A46" s="18" t="n">
        <f aca="false">Datos_Semanales!A46</f>
        <v>30001041</v>
      </c>
      <c r="B46" s="18" t="str">
        <f aca="false">Datos_Semanales!B46</f>
        <v>YOG CALAN FRUTILLA UNIV 48X110GR</v>
      </c>
      <c r="C46" s="18" t="str">
        <f aca="false">Datos_Semanales!C46</f>
        <v>-</v>
      </c>
      <c r="D46" s="23" t="n">
        <f aca="false">SUM(Datos_Semanales!F46:K46)</f>
        <v>111128.16</v>
      </c>
      <c r="E46" s="23" t="n">
        <f aca="false">AVERAGE(Datos_Semanales!F46:K46)</f>
        <v>18521.36</v>
      </c>
      <c r="F46" s="23" t="n">
        <f aca="false">STDEV(Datos_Semanales!F46:K46)</f>
        <v>5863.41507783988</v>
      </c>
      <c r="G46" s="27" t="n">
        <f aca="false">IF(E46&gt;0,F46/E46,"")</f>
        <v>0.316575838806647</v>
      </c>
      <c r="H46" s="24" t="n">
        <f aca="false">IF(SUM($D$5:$D$494)&gt;0,D46/SUM($D$5:$D$494),0)</f>
        <v>0.0046322982606619</v>
      </c>
      <c r="I46" s="24" t="n">
        <f aca="false">SUMIF($D$5:$D$494,"&gt;="&amp;D46)/SUM($D$5:$D$494)</f>
        <v>0.58227703549124</v>
      </c>
      <c r="J46" s="3" t="str">
        <f aca="false">IF(D46&lt;=0,"C",IF(I46&lt;=Parametros!$B$4,"A",IF(I46&lt;=Parametros!$B$5,"B","C")))</f>
        <v>A</v>
      </c>
      <c r="K46" s="3" t="str">
        <f aca="false">IF(E46&lt;=0,"Z",IF(G46&lt;=Parametros!$B$6,"X",IF(G46&lt;=Parametros!$B$7,"Y","Z")))</f>
        <v>X</v>
      </c>
      <c r="L46" s="3" t="str">
        <f aca="false">J46&amp;K46</f>
        <v>AX</v>
      </c>
      <c r="M46" s="3" t="str">
        <f aca="false">INDEX(Parametros!$B$23:$B$31,MATCH(L46,Parametros!$A$23:$A$31,0))</f>
        <v>Forecast estadístico casi automático. Ajustes mínimos. SS bajo porque la demanda es estable.</v>
      </c>
      <c r="N46" s="3" t="str">
        <f aca="false">INDEX(Parametros!$C$23:$C$31,MATCH(L46,Parametros!$A$23:$A$31,0))</f>
        <v>Mensual</v>
      </c>
      <c r="O46" s="23" t="n">
        <f aca="false">SUM(Datos_Semanales!M46:R46)</f>
        <v>116093.208173339</v>
      </c>
      <c r="P46" s="24" t="n">
        <f aca="false">IF(D46&gt;0,SUMPRODUCT(ABS(Datos_Semanales!F46:K46-Datos_Semanales!M46:R46))/D46,"")</f>
        <v>0.380449095639403</v>
      </c>
      <c r="Q46" s="24" t="n">
        <f aca="false">IF(D46&gt;0,O46/D46-1,"")</f>
        <v>0.0446785780790326</v>
      </c>
      <c r="R46" s="23" t="n">
        <f aca="false">SQRT(SUMXMY2(Datos_Semanales!F46:K46,Datos_Semanales!M46:R46)/COUNT(Datos_Semanales!F46:K46))</f>
        <v>8139.27838353533</v>
      </c>
    </row>
    <row r="47" customFormat="false" ht="15" hidden="false" customHeight="false" outlineLevel="0" collapsed="false">
      <c r="A47" s="18" t="n">
        <f aca="false">Datos_Semanales!A47</f>
        <v>30001056</v>
      </c>
      <c r="B47" s="18" t="str">
        <f aca="false">Datos_Semanales!B47</f>
        <v>LONCO PROTEIN YOGURT FLL 24X140GR</v>
      </c>
      <c r="C47" s="18" t="str">
        <f aca="false">Datos_Semanales!C47</f>
        <v>YOGURT</v>
      </c>
      <c r="D47" s="23" t="n">
        <f aca="false">SUM(Datos_Semanales!F47:K47)</f>
        <v>111078.24</v>
      </c>
      <c r="E47" s="23" t="n">
        <f aca="false">AVERAGE(Datos_Semanales!F47:K47)</f>
        <v>18513.04</v>
      </c>
      <c r="F47" s="23" t="n">
        <f aca="false">STDEV(Datos_Semanales!F47:K47)</f>
        <v>4385.45079614856</v>
      </c>
      <c r="G47" s="27" t="n">
        <f aca="false">IF(E47&gt;0,F47/E47,"")</f>
        <v>0.236884422879687</v>
      </c>
      <c r="H47" s="24" t="n">
        <f aca="false">IF(SUM($D$5:$D$494)&gt;0,D47/SUM($D$5:$D$494),0)</f>
        <v>0.00463021738098953</v>
      </c>
      <c r="I47" s="24" t="n">
        <f aca="false">SUMIF($D$5:$D$494,"&gt;="&amp;D47)/SUM($D$5:$D$494)</f>
        <v>0.58690725287223</v>
      </c>
      <c r="J47" s="3" t="str">
        <f aca="false">IF(D47&lt;=0,"C",IF(I47&lt;=Parametros!$B$4,"A",IF(I47&lt;=Parametros!$B$5,"B","C")))</f>
        <v>A</v>
      </c>
      <c r="K47" s="3" t="str">
        <f aca="false">IF(E47&lt;=0,"Z",IF(G47&lt;=Parametros!$B$6,"X",IF(G47&lt;=Parametros!$B$7,"Y","Z")))</f>
        <v>X</v>
      </c>
      <c r="L47" s="3" t="str">
        <f aca="false">J47&amp;K47</f>
        <v>AX</v>
      </c>
      <c r="M47" s="3" t="str">
        <f aca="false">INDEX(Parametros!$B$23:$B$31,MATCH(L47,Parametros!$A$23:$A$31,0))</f>
        <v>Forecast estadístico casi automático. Ajustes mínimos. SS bajo porque la demanda es estable.</v>
      </c>
      <c r="N47" s="3" t="str">
        <f aca="false">INDEX(Parametros!$C$23:$C$31,MATCH(L47,Parametros!$A$23:$A$31,0))</f>
        <v>Mensual</v>
      </c>
      <c r="O47" s="23" t="n">
        <f aca="false">SUM(Datos_Semanales!M47:R47)</f>
        <v>108226.580592146</v>
      </c>
      <c r="P47" s="24" t="n">
        <f aca="false">IF(D47&gt;0,SUMPRODUCT(ABS(Datos_Semanales!F47:K47-Datos_Semanales!M47:R47))/D47,"")</f>
        <v>0.312530928867627</v>
      </c>
      <c r="Q47" s="24" t="n">
        <f aca="false">IF(D47&gt;0,O47/D47-1,"")</f>
        <v>-0.0256725296318565</v>
      </c>
      <c r="R47" s="23" t="n">
        <f aca="false">SQRT(SUMXMY2(Datos_Semanales!F47:K47,Datos_Semanales!M47:R47)/COUNT(Datos_Semanales!F47:K47))</f>
        <v>6778.19274921754</v>
      </c>
    </row>
    <row r="48" customFormat="false" ht="15" hidden="false" customHeight="false" outlineLevel="0" collapsed="false">
      <c r="A48" s="18" t="n">
        <f aca="false">Datos_Semanales!A48</f>
        <v>30002315</v>
      </c>
      <c r="B48" s="18" t="str">
        <f aca="false">Datos_Semanales!B48</f>
        <v>LECHE LONCO FULL PRO DESCR 12X1LT</v>
      </c>
      <c r="C48" s="18" t="str">
        <f aca="false">Datos_Semanales!C48</f>
        <v>-</v>
      </c>
      <c r="D48" s="23" t="n">
        <f aca="false">SUM(Datos_Semanales!F48:K48)</f>
        <v>110736</v>
      </c>
      <c r="E48" s="23" t="n">
        <f aca="false">AVERAGE(Datos_Semanales!F48:K48)</f>
        <v>18456</v>
      </c>
      <c r="F48" s="23" t="n">
        <f aca="false">STDEV(Datos_Semanales!F48:K48)</f>
        <v>4563.07475283936</v>
      </c>
      <c r="G48" s="27" t="n">
        <f aca="false">IF(E48&gt;0,F48/E48,"")</f>
        <v>0.247240721328531</v>
      </c>
      <c r="H48" s="24" t="n">
        <f aca="false">IF(SUM($D$5:$D$494)&gt;0,D48/SUM($D$5:$D$494),0)</f>
        <v>0.00461595135015874</v>
      </c>
      <c r="I48" s="24" t="n">
        <f aca="false">SUMIF($D$5:$D$494,"&gt;="&amp;D48)/SUM($D$5:$D$494)</f>
        <v>0.591523204222388</v>
      </c>
      <c r="J48" s="3" t="str">
        <f aca="false">IF(D48&lt;=0,"C",IF(I48&lt;=Parametros!$B$4,"A",IF(I48&lt;=Parametros!$B$5,"B","C")))</f>
        <v>A</v>
      </c>
      <c r="K48" s="3" t="str">
        <f aca="false">IF(E48&lt;=0,"Z",IF(G48&lt;=Parametros!$B$6,"X",IF(G48&lt;=Parametros!$B$7,"Y","Z")))</f>
        <v>X</v>
      </c>
      <c r="L48" s="3" t="str">
        <f aca="false">J48&amp;K48</f>
        <v>AX</v>
      </c>
      <c r="M48" s="3" t="str">
        <f aca="false">INDEX(Parametros!$B$23:$B$31,MATCH(L48,Parametros!$A$23:$A$31,0))</f>
        <v>Forecast estadístico casi automático. Ajustes mínimos. SS bajo porque la demanda es estable.</v>
      </c>
      <c r="N48" s="3" t="str">
        <f aca="false">INDEX(Parametros!$C$23:$C$31,MATCH(L48,Parametros!$A$23:$A$31,0))</f>
        <v>Mensual</v>
      </c>
      <c r="O48" s="23" t="n">
        <f aca="false">SUM(Datos_Semanales!M48:R48)</f>
        <v>78814.4179562293</v>
      </c>
      <c r="P48" s="24" t="n">
        <f aca="false">IF(D48&gt;0,SUMPRODUCT(ABS(Datos_Semanales!F48:K48-Datos_Semanales!M48:R48))/D48,"")</f>
        <v>0.343606253104417</v>
      </c>
      <c r="Q48" s="24" t="n">
        <f aca="false">IF(D48&gt;0,O48/D48-1,"")</f>
        <v>-0.288267429235034</v>
      </c>
      <c r="R48" s="23" t="n">
        <f aca="false">SQRT(SUMXMY2(Datos_Semanales!F48:K48,Datos_Semanales!M48:R48)/COUNT(Datos_Semanales!F48:K48))</f>
        <v>7817.49426574967</v>
      </c>
    </row>
    <row r="49" customFormat="false" ht="15" hidden="false" customHeight="false" outlineLevel="0" collapsed="false">
      <c r="A49" s="18" t="n">
        <f aca="false">Datos_Semanales!A49</f>
        <v>30000644</v>
      </c>
      <c r="B49" s="18" t="str">
        <f aca="false">Datos_Semanales!B49</f>
        <v>DURAZNOS CUBITOS WSL 16X500GR</v>
      </c>
      <c r="C49" s="18" t="str">
        <f aca="false">Datos_Semanales!C49</f>
        <v>CONSERVAS Y PLATOS LISTOS</v>
      </c>
      <c r="D49" s="23" t="n">
        <f aca="false">SUM(Datos_Semanales!F49:K49)</f>
        <v>110696</v>
      </c>
      <c r="E49" s="23" t="n">
        <f aca="false">AVERAGE(Datos_Semanales!F49:K49)</f>
        <v>18449.3333333333</v>
      </c>
      <c r="F49" s="23" t="n">
        <f aca="false">STDEV(Datos_Semanales!F49:K49)</f>
        <v>6526.44180749868</v>
      </c>
      <c r="G49" s="27" t="n">
        <f aca="false">IF(E49&gt;0,F49/E49,"")</f>
        <v>0.353749465608442</v>
      </c>
      <c r="H49" s="24" t="n">
        <f aca="false">IF(SUM($D$5:$D$494)&gt;0,D49/SUM($D$5:$D$494),0)</f>
        <v>0.00461428397862639</v>
      </c>
      <c r="I49" s="24" t="n">
        <f aca="false">SUMIF($D$5:$D$494,"&gt;="&amp;D49)/SUM($D$5:$D$494)</f>
        <v>0.596137488201015</v>
      </c>
      <c r="J49" s="3" t="str">
        <f aca="false">IF(D49&lt;=0,"C",IF(I49&lt;=Parametros!$B$4,"A",IF(I49&lt;=Parametros!$B$5,"B","C")))</f>
        <v>A</v>
      </c>
      <c r="K49" s="3" t="str">
        <f aca="false">IF(E49&lt;=0,"Z",IF(G49&lt;=Parametros!$B$6,"X",IF(G49&lt;=Parametros!$B$7,"Y","Z")))</f>
        <v>X</v>
      </c>
      <c r="L49" s="3" t="str">
        <f aca="false">J49&amp;K49</f>
        <v>AX</v>
      </c>
      <c r="M49" s="3" t="str">
        <f aca="false">INDEX(Parametros!$B$23:$B$31,MATCH(L49,Parametros!$A$23:$A$31,0))</f>
        <v>Forecast estadístico casi automático. Ajustes mínimos. SS bajo porque la demanda es estable.</v>
      </c>
      <c r="N49" s="3" t="str">
        <f aca="false">INDEX(Parametros!$C$23:$C$31,MATCH(L49,Parametros!$A$23:$A$31,0))</f>
        <v>Mensual</v>
      </c>
      <c r="O49" s="23" t="n">
        <f aca="false">SUM(Datos_Semanales!M49:R49)</f>
        <v>113824.8</v>
      </c>
      <c r="P49" s="24" t="n">
        <f aca="false">IF(D49&gt;0,SUMPRODUCT(ABS(Datos_Semanales!F49:K49-Datos_Semanales!M49:R49))/D49,"")</f>
        <v>0.138621088386211</v>
      </c>
      <c r="Q49" s="24" t="n">
        <f aca="false">IF(D49&gt;0,O49/D49-1,"")</f>
        <v>0.028264797282648</v>
      </c>
      <c r="R49" s="23" t="n">
        <f aca="false">SQRT(SUMXMY2(Datos_Semanales!F49:K49,Datos_Semanales!M49:R49)/COUNT(Datos_Semanales!F49:K49))</f>
        <v>3156.18150724363</v>
      </c>
    </row>
    <row r="50" customFormat="false" ht="15" hidden="false" customHeight="false" outlineLevel="0" collapsed="false">
      <c r="A50" s="18" t="n">
        <f aca="false">Datos_Semanales!A50</f>
        <v>30000384</v>
      </c>
      <c r="B50" s="18" t="str">
        <f aca="false">Datos_Semanales!B50</f>
        <v>CREMA S/LAC LONCO 30X200ML</v>
      </c>
      <c r="C50" s="18" t="str">
        <f aca="false">Datos_Semanales!C50</f>
        <v>CREMA</v>
      </c>
      <c r="D50" s="23" t="n">
        <f aca="false">SUM(Datos_Semanales!F50:K50)</f>
        <v>110100</v>
      </c>
      <c r="E50" s="23" t="n">
        <f aca="false">AVERAGE(Datos_Semanales!F50:K50)</f>
        <v>18350</v>
      </c>
      <c r="F50" s="23" t="n">
        <f aca="false">STDEV(Datos_Semanales!F50:K50)</f>
        <v>5186.97646032831</v>
      </c>
      <c r="G50" s="27" t="n">
        <f aca="false">IF(E50&gt;0,F50/E50,"")</f>
        <v>0.282669016911625</v>
      </c>
      <c r="H50" s="24" t="n">
        <f aca="false">IF(SUM($D$5:$D$494)&gt;0,D50/SUM($D$5:$D$494),0)</f>
        <v>0.00458944014279437</v>
      </c>
      <c r="I50" s="24" t="n">
        <f aca="false">SUMIF($D$5:$D$494,"&gt;="&amp;D50)/SUM($D$5:$D$494)</f>
        <v>0.600726928343809</v>
      </c>
      <c r="J50" s="3" t="str">
        <f aca="false">IF(D50&lt;=0,"C",IF(I50&lt;=Parametros!$B$4,"A",IF(I50&lt;=Parametros!$B$5,"B","C")))</f>
        <v>A</v>
      </c>
      <c r="K50" s="3" t="str">
        <f aca="false">IF(E50&lt;=0,"Z",IF(G50&lt;=Parametros!$B$6,"X",IF(G50&lt;=Parametros!$B$7,"Y","Z")))</f>
        <v>X</v>
      </c>
      <c r="L50" s="3" t="str">
        <f aca="false">J50&amp;K50</f>
        <v>AX</v>
      </c>
      <c r="M50" s="3" t="str">
        <f aca="false">INDEX(Parametros!$B$23:$B$31,MATCH(L50,Parametros!$A$23:$A$31,0))</f>
        <v>Forecast estadístico casi automático. Ajustes mínimos. SS bajo porque la demanda es estable.</v>
      </c>
      <c r="N50" s="3" t="str">
        <f aca="false">INDEX(Parametros!$C$23:$C$31,MATCH(L50,Parametros!$A$23:$A$31,0))</f>
        <v>Mensual</v>
      </c>
      <c r="O50" s="23" t="n">
        <f aca="false">SUM(Datos_Semanales!M50:R50)</f>
        <v>112559.844472687</v>
      </c>
      <c r="P50" s="24" t="n">
        <f aca="false">IF(D50&gt;0,SUMPRODUCT(ABS(Datos_Semanales!F50:K50-Datos_Semanales!M50:R50))/D50,"")</f>
        <v>0.389393501114323</v>
      </c>
      <c r="Q50" s="24" t="n">
        <f aca="false">IF(D50&gt;0,O50/D50-1,"")</f>
        <v>0.0223419116501997</v>
      </c>
      <c r="R50" s="23" t="n">
        <f aca="false">SQRT(SUMXMY2(Datos_Semanales!F50:K50,Datos_Semanales!M50:R50)/COUNT(Datos_Semanales!F50:K50))</f>
        <v>7743.98218960086</v>
      </c>
    </row>
    <row r="51" customFormat="false" ht="15" hidden="false" customHeight="false" outlineLevel="0" collapsed="false">
      <c r="A51" s="18" t="n">
        <f aca="false">Datos_Semanales!A51</f>
        <v>30001400</v>
      </c>
      <c r="B51" s="18" t="str">
        <f aca="false">Datos_Semanales!B51</f>
        <v>QUESO LPV LAM S/BORDE 12X470G</v>
      </c>
      <c r="C51" s="18" t="str">
        <f aca="false">Datos_Semanales!C51</f>
        <v>QUESOS</v>
      </c>
      <c r="D51" s="23" t="n">
        <f aca="false">SUM(Datos_Semanales!F51:K51)</f>
        <v>102095.28</v>
      </c>
      <c r="E51" s="23" t="n">
        <f aca="false">AVERAGE(Datos_Semanales!F51:K51)</f>
        <v>17015.88</v>
      </c>
      <c r="F51" s="23" t="n">
        <f aca="false">STDEV(Datos_Semanales!F51:K51)</f>
        <v>2193.46263771235</v>
      </c>
      <c r="G51" s="27" t="n">
        <f aca="false">IF(E51&gt;0,F51/E51,"")</f>
        <v>0.128906799866498</v>
      </c>
      <c r="H51" s="24" t="n">
        <f aca="false">IF(SUM($D$5:$D$494)&gt;0,D51/SUM($D$5:$D$494),0)</f>
        <v>0.00425576908648348</v>
      </c>
      <c r="I51" s="24" t="n">
        <f aca="false">SUMIF($D$5:$D$494,"&gt;="&amp;D51)/SUM($D$5:$D$494)</f>
        <v>0.604982697430293</v>
      </c>
      <c r="J51" s="3" t="str">
        <f aca="false">IF(D51&lt;=0,"C",IF(I51&lt;=Parametros!$B$4,"A",IF(I51&lt;=Parametros!$B$5,"B","C")))</f>
        <v>A</v>
      </c>
      <c r="K51" s="3" t="str">
        <f aca="false">IF(E51&lt;=0,"Z",IF(G51&lt;=Parametros!$B$6,"X",IF(G51&lt;=Parametros!$B$7,"Y","Z")))</f>
        <v>X</v>
      </c>
      <c r="L51" s="3" t="str">
        <f aca="false">J51&amp;K51</f>
        <v>AX</v>
      </c>
      <c r="M51" s="3" t="str">
        <f aca="false">INDEX(Parametros!$B$23:$B$31,MATCH(L51,Parametros!$A$23:$A$31,0))</f>
        <v>Forecast estadístico casi automático. Ajustes mínimos. SS bajo porque la demanda es estable.</v>
      </c>
      <c r="N51" s="3" t="str">
        <f aca="false">INDEX(Parametros!$C$23:$C$31,MATCH(L51,Parametros!$A$23:$A$31,0))</f>
        <v>Mensual</v>
      </c>
      <c r="O51" s="23" t="n">
        <f aca="false">SUM(Datos_Semanales!M51:R51)</f>
        <v>93193.6857997269</v>
      </c>
      <c r="P51" s="24" t="n">
        <f aca="false">IF(D51&gt;0,SUMPRODUCT(ABS(Datos_Semanales!F51:K51-Datos_Semanales!M51:R51))/D51,"")</f>
        <v>0.191445955556955</v>
      </c>
      <c r="Q51" s="24" t="n">
        <f aca="false">IF(D51&gt;0,O51/D51-1,"")</f>
        <v>-0.0871890865108862</v>
      </c>
      <c r="R51" s="23" t="n">
        <f aca="false">SQRT(SUMXMY2(Datos_Semanales!F51:K51,Datos_Semanales!M51:R51)/COUNT(Datos_Semanales!F51:K51))</f>
        <v>4278.09553248408</v>
      </c>
    </row>
    <row r="52" customFormat="false" ht="15" hidden="false" customHeight="false" outlineLevel="0" collapsed="false">
      <c r="A52" s="18" t="n">
        <f aca="false">Datos_Semanales!A52</f>
        <v>30001751</v>
      </c>
      <c r="B52" s="18" t="str">
        <f aca="false">Datos_Semanales!B52</f>
        <v>MERMELADA DURAZNO 24X225GR</v>
      </c>
      <c r="C52" s="18" t="str">
        <f aca="false">Datos_Semanales!C52</f>
        <v>-</v>
      </c>
      <c r="D52" s="23" t="n">
        <f aca="false">SUM(Datos_Semanales!F52:K52)</f>
        <v>101277</v>
      </c>
      <c r="E52" s="23" t="n">
        <f aca="false">AVERAGE(Datos_Semanales!F52:K52)</f>
        <v>16879.5</v>
      </c>
      <c r="F52" s="23" t="n">
        <f aca="false">STDEV(Datos_Semanales!F52:K52)</f>
        <v>6631.07635878219</v>
      </c>
      <c r="G52" s="27" t="n">
        <f aca="false">IF(E52&gt;0,F52/E52,"")</f>
        <v>0.392847913669373</v>
      </c>
      <c r="H52" s="24" t="n">
        <f aca="false">IF(SUM($D$5:$D$494)&gt;0,D52/SUM($D$5:$D$494),0)</f>
        <v>0.00422165966704619</v>
      </c>
      <c r="I52" s="24" t="n">
        <f aca="false">SUMIF($D$5:$D$494,"&gt;="&amp;D52)/SUM($D$5:$D$494)</f>
        <v>0.609204357097339</v>
      </c>
      <c r="J52" s="3" t="str">
        <f aca="false">IF(D52&lt;=0,"C",IF(I52&lt;=Parametros!$B$4,"A",IF(I52&lt;=Parametros!$B$5,"B","C")))</f>
        <v>A</v>
      </c>
      <c r="K52" s="3" t="str">
        <f aca="false">IF(E52&lt;=0,"Z",IF(G52&lt;=Parametros!$B$6,"X",IF(G52&lt;=Parametros!$B$7,"Y","Z")))</f>
        <v>X</v>
      </c>
      <c r="L52" s="3" t="str">
        <f aca="false">J52&amp;K52</f>
        <v>AX</v>
      </c>
      <c r="M52" s="3" t="str">
        <f aca="false">INDEX(Parametros!$B$23:$B$31,MATCH(L52,Parametros!$A$23:$A$31,0))</f>
        <v>Forecast estadístico casi automático. Ajustes mínimos. SS bajo porque la demanda es estable.</v>
      </c>
      <c r="N52" s="3" t="str">
        <f aca="false">INDEX(Parametros!$C$23:$C$31,MATCH(L52,Parametros!$A$23:$A$31,0))</f>
        <v>Mensual</v>
      </c>
      <c r="O52" s="23" t="n">
        <f aca="false">SUM(Datos_Semanales!M52:R52)</f>
        <v>90336.4945652174</v>
      </c>
      <c r="P52" s="24" t="n">
        <f aca="false">IF(D52&gt;0,SUMPRODUCT(ABS(Datos_Semanales!F52:K52-Datos_Semanales!M52:R52))/D52,"")</f>
        <v>0.210214506405377</v>
      </c>
      <c r="Q52" s="24" t="n">
        <f aca="false">IF(D52&gt;0,O52/D52-1,"")</f>
        <v>-0.108025567846427</v>
      </c>
      <c r="R52" s="23" t="n">
        <f aca="false">SQRT(SUMXMY2(Datos_Semanales!F52:K52,Datos_Semanales!M52:R52)/COUNT(Datos_Semanales!F52:K52))</f>
        <v>4650.11083521928</v>
      </c>
    </row>
    <row r="53" customFormat="false" ht="15" hidden="false" customHeight="false" outlineLevel="0" collapsed="false">
      <c r="A53" s="18" t="n">
        <f aca="false">Datos_Semanales!A53</f>
        <v>30001597</v>
      </c>
      <c r="B53" s="18" t="str">
        <f aca="false">Datos_Semanales!B53</f>
        <v>FRUTILLAS WASIL 16X500G</v>
      </c>
      <c r="C53" s="18" t="str">
        <f aca="false">Datos_Semanales!C53</f>
        <v>CONSERVAS Y PLATOS LISTOS</v>
      </c>
      <c r="D53" s="23" t="n">
        <f aca="false">SUM(Datos_Semanales!F53:K53)</f>
        <v>96880</v>
      </c>
      <c r="E53" s="23" t="n">
        <f aca="false">AVERAGE(Datos_Semanales!F53:K53)</f>
        <v>16146.6666666667</v>
      </c>
      <c r="F53" s="23" t="n">
        <f aca="false">STDEV(Datos_Semanales!F53:K53)</f>
        <v>5645.53525067966</v>
      </c>
      <c r="G53" s="27" t="n">
        <f aca="false">IF(E53&gt;0,F53/E53,"")</f>
        <v>0.349640911478922</v>
      </c>
      <c r="H53" s="24" t="n">
        <f aca="false">IF(SUM($D$5:$D$494)&gt;0,D53/SUM($D$5:$D$494),0)</f>
        <v>0.00403837385135257</v>
      </c>
      <c r="I53" s="24" t="n">
        <f aca="false">SUMIF($D$5:$D$494,"&gt;="&amp;D53)/SUM($D$5:$D$494)</f>
        <v>0.613242730948691</v>
      </c>
      <c r="J53" s="3" t="str">
        <f aca="false">IF(D53&lt;=0,"C",IF(I53&lt;=Parametros!$B$4,"A",IF(I53&lt;=Parametros!$B$5,"B","C")))</f>
        <v>A</v>
      </c>
      <c r="K53" s="3" t="str">
        <f aca="false">IF(E53&lt;=0,"Z",IF(G53&lt;=Parametros!$B$6,"X",IF(G53&lt;=Parametros!$B$7,"Y","Z")))</f>
        <v>X</v>
      </c>
      <c r="L53" s="3" t="str">
        <f aca="false">J53&amp;K53</f>
        <v>AX</v>
      </c>
      <c r="M53" s="3" t="str">
        <f aca="false">INDEX(Parametros!$B$23:$B$31,MATCH(L53,Parametros!$A$23:$A$31,0))</f>
        <v>Forecast estadístico casi automático. Ajustes mínimos. SS bajo porque la demanda es estable.</v>
      </c>
      <c r="N53" s="3" t="str">
        <f aca="false">INDEX(Parametros!$C$23:$C$31,MATCH(L53,Parametros!$A$23:$A$31,0))</f>
        <v>Mensual</v>
      </c>
      <c r="O53" s="23" t="n">
        <f aca="false">SUM(Datos_Semanales!M53:R53)</f>
        <v>91160</v>
      </c>
      <c r="P53" s="24" t="n">
        <f aca="false">IF(D53&gt;0,SUMPRODUCT(ABS(Datos_Semanales!F53:K53-Datos_Semanales!M53:R53))/D53,"")</f>
        <v>0.245499587118084</v>
      </c>
      <c r="Q53" s="24" t="n">
        <f aca="false">IF(D53&gt;0,O53/D53-1,"")</f>
        <v>-0.0590421139554087</v>
      </c>
      <c r="R53" s="23" t="n">
        <f aca="false">SQRT(SUMXMY2(Datos_Semanales!F53:K53,Datos_Semanales!M53:R53)/COUNT(Datos_Semanales!F53:K53))</f>
        <v>4709.45092340923</v>
      </c>
    </row>
    <row r="54" customFormat="false" ht="15" hidden="false" customHeight="false" outlineLevel="0" collapsed="false">
      <c r="A54" s="18" t="n">
        <f aca="false">Datos_Semanales!A54</f>
        <v>30000466</v>
      </c>
      <c r="B54" s="18" t="str">
        <f aca="false">Datos_Semanales!B54</f>
        <v>LAS PARCELAS QUESO PIEZA 4X3KG</v>
      </c>
      <c r="C54" s="18" t="str">
        <f aca="false">Datos_Semanales!C54</f>
        <v>QUESOS</v>
      </c>
      <c r="D54" s="23" t="n">
        <f aca="false">SUM(Datos_Semanales!F54:K54)</f>
        <v>93257.988</v>
      </c>
      <c r="E54" s="23" t="n">
        <f aca="false">AVERAGE(Datos_Semanales!F54:K54)</f>
        <v>15542.998</v>
      </c>
      <c r="F54" s="23" t="n">
        <f aca="false">STDEV(Datos_Semanales!F54:K54)</f>
        <v>6151.73948590348</v>
      </c>
      <c r="G54" s="27" t="n">
        <f aca="false">IF(E54&gt;0,F54/E54,"")</f>
        <v>0.395788475679112</v>
      </c>
      <c r="H54" s="24" t="n">
        <f aca="false">IF(SUM($D$5:$D$494)&gt;0,D54/SUM($D$5:$D$494),0)</f>
        <v>0.00388739285888679</v>
      </c>
      <c r="I54" s="24" t="n">
        <f aca="false">SUMIF($D$5:$D$494,"&gt;="&amp;D54)/SUM($D$5:$D$494)</f>
        <v>0.617130123807578</v>
      </c>
      <c r="J54" s="3" t="str">
        <f aca="false">IF(D54&lt;=0,"C",IF(I54&lt;=Parametros!$B$4,"A",IF(I54&lt;=Parametros!$B$5,"B","C")))</f>
        <v>A</v>
      </c>
      <c r="K54" s="3" t="str">
        <f aca="false">IF(E54&lt;=0,"Z",IF(G54&lt;=Parametros!$B$6,"X",IF(G54&lt;=Parametros!$B$7,"Y","Z")))</f>
        <v>X</v>
      </c>
      <c r="L54" s="3" t="str">
        <f aca="false">J54&amp;K54</f>
        <v>AX</v>
      </c>
      <c r="M54" s="3" t="str">
        <f aca="false">INDEX(Parametros!$B$23:$B$31,MATCH(L54,Parametros!$A$23:$A$31,0))</f>
        <v>Forecast estadístico casi automático. Ajustes mínimos. SS bajo porque la demanda es estable.</v>
      </c>
      <c r="N54" s="3" t="str">
        <f aca="false">INDEX(Parametros!$C$23:$C$31,MATCH(L54,Parametros!$A$23:$A$31,0))</f>
        <v>Mensual</v>
      </c>
      <c r="O54" s="23" t="n">
        <f aca="false">SUM(Datos_Semanales!M54:R54)</f>
        <v>123844.030730519</v>
      </c>
      <c r="P54" s="24" t="n">
        <f aca="false">IF(D54&gt;0,SUMPRODUCT(ABS(Datos_Semanales!F54:K54-Datos_Semanales!M54:R54))/D54,"")</f>
        <v>0.372677726373868</v>
      </c>
      <c r="Q54" s="24" t="n">
        <f aca="false">IF(D54&gt;0,O54/D54-1,"")</f>
        <v>0.327972363402465</v>
      </c>
      <c r="R54" s="23" t="n">
        <f aca="false">SQRT(SUMXMY2(Datos_Semanales!F54:K54,Datos_Semanales!M54:R54)/COUNT(Datos_Semanales!F54:K54))</f>
        <v>6459.64548689095</v>
      </c>
    </row>
    <row r="55" customFormat="false" ht="15" hidden="false" customHeight="false" outlineLevel="0" collapsed="false">
      <c r="A55" s="18" t="n">
        <f aca="false">Datos_Semanales!A55</f>
        <v>30001081</v>
      </c>
      <c r="B55" s="18" t="str">
        <f aca="false">Datos_Semanales!B55</f>
        <v>YOG GRI OIKOS TZO FTLLA 48X110GR</v>
      </c>
      <c r="C55" s="18" t="str">
        <f aca="false">Datos_Semanales!C55</f>
        <v>YOGURT</v>
      </c>
      <c r="D55" s="23" t="n">
        <f aca="false">SUM(Datos_Semanales!F55:K55)</f>
        <v>92790.72</v>
      </c>
      <c r="E55" s="23" t="n">
        <f aca="false">AVERAGE(Datos_Semanales!F55:K55)</f>
        <v>15465.12</v>
      </c>
      <c r="F55" s="23" t="n">
        <f aca="false">STDEV(Datos_Semanales!F55:K55)</f>
        <v>3183.95995793917</v>
      </c>
      <c r="G55" s="27" t="n">
        <f aca="false">IF(E55&gt;0,F55/E55,"")</f>
        <v>0.205880068045975</v>
      </c>
      <c r="H55" s="24" t="n">
        <f aca="false">IF(SUM($D$5:$D$494)&gt;0,D55/SUM($D$5:$D$494),0)</f>
        <v>0.00386791512485733</v>
      </c>
      <c r="I55" s="24" t="n">
        <f aca="false">SUMIF($D$5:$D$494,"&gt;="&amp;D55)/SUM($D$5:$D$494)</f>
        <v>0.620998038932435</v>
      </c>
      <c r="J55" s="3" t="str">
        <f aca="false">IF(D55&lt;=0,"C",IF(I55&lt;=Parametros!$B$4,"A",IF(I55&lt;=Parametros!$B$5,"B","C")))</f>
        <v>A</v>
      </c>
      <c r="K55" s="3" t="str">
        <f aca="false">IF(E55&lt;=0,"Z",IF(G55&lt;=Parametros!$B$6,"X",IF(G55&lt;=Parametros!$B$7,"Y","Z")))</f>
        <v>X</v>
      </c>
      <c r="L55" s="3" t="str">
        <f aca="false">J55&amp;K55</f>
        <v>AX</v>
      </c>
      <c r="M55" s="3" t="str">
        <f aca="false">INDEX(Parametros!$B$23:$B$31,MATCH(L55,Parametros!$A$23:$A$31,0))</f>
        <v>Forecast estadístico casi automático. Ajustes mínimos. SS bajo porque la demanda es estable.</v>
      </c>
      <c r="N55" s="3" t="str">
        <f aca="false">INDEX(Parametros!$C$23:$C$31,MATCH(L55,Parametros!$A$23:$A$31,0))</f>
        <v>Mensual</v>
      </c>
      <c r="O55" s="23" t="n">
        <f aca="false">SUM(Datos_Semanales!M55:R55)</f>
        <v>77626.4534247899</v>
      </c>
      <c r="P55" s="24" t="n">
        <f aca="false">IF(D55&gt;0,SUMPRODUCT(ABS(Datos_Semanales!F55:K55-Datos_Semanales!M55:R55))/D55,"")</f>
        <v>0.213240110010073</v>
      </c>
      <c r="Q55" s="24" t="n">
        <f aca="false">IF(D55&gt;0,O55/D55-1,"")</f>
        <v>-0.163424387430231</v>
      </c>
      <c r="R55" s="23" t="n">
        <f aca="false">SQRT(SUMXMY2(Datos_Semanales!F55:K55,Datos_Semanales!M55:R55)/COUNT(Datos_Semanales!F55:K55))</f>
        <v>4180.4527420101</v>
      </c>
    </row>
    <row r="56" customFormat="false" ht="15" hidden="false" customHeight="false" outlineLevel="0" collapsed="false">
      <c r="A56" s="18" t="n">
        <f aca="false">Datos_Semanales!A56</f>
        <v>30000194</v>
      </c>
      <c r="B56" s="18" t="str">
        <f aca="false">Datos_Semanales!B56</f>
        <v>DULCE MEMBRILLO WATT'S 12X250GR</v>
      </c>
      <c r="C56" s="18" t="str">
        <f aca="false">Datos_Semanales!C56</f>
        <v>-</v>
      </c>
      <c r="D56" s="23" t="n">
        <f aca="false">SUM(Datos_Semanales!F56:K56)</f>
        <v>92508</v>
      </c>
      <c r="E56" s="23" t="n">
        <f aca="false">AVERAGE(Datos_Semanales!F56:K56)</f>
        <v>15418</v>
      </c>
      <c r="F56" s="23" t="n">
        <f aca="false">STDEV(Datos_Semanales!F56:K56)</f>
        <v>3798.26049659578</v>
      </c>
      <c r="G56" s="27" t="n">
        <f aca="false">IF(E56&gt;0,F56/E56,"")</f>
        <v>0.246352347684251</v>
      </c>
      <c r="H56" s="24" t="n">
        <f aca="false">IF(SUM($D$5:$D$494)&gt;0,D56/SUM($D$5:$D$494),0)</f>
        <v>0.00385613014286668</v>
      </c>
      <c r="I56" s="24" t="n">
        <f aca="false">SUMIF($D$5:$D$494,"&gt;="&amp;D56)/SUM($D$5:$D$494)</f>
        <v>0.624854169075302</v>
      </c>
      <c r="J56" s="3" t="str">
        <f aca="false">IF(D56&lt;=0,"C",IF(I56&lt;=Parametros!$B$4,"A",IF(I56&lt;=Parametros!$B$5,"B","C")))</f>
        <v>A</v>
      </c>
      <c r="K56" s="3" t="str">
        <f aca="false">IF(E56&lt;=0,"Z",IF(G56&lt;=Parametros!$B$6,"X",IF(G56&lt;=Parametros!$B$7,"Y","Z")))</f>
        <v>X</v>
      </c>
      <c r="L56" s="3" t="str">
        <f aca="false">J56&amp;K56</f>
        <v>AX</v>
      </c>
      <c r="M56" s="3" t="str">
        <f aca="false">INDEX(Parametros!$B$23:$B$31,MATCH(L56,Parametros!$A$23:$A$31,0))</f>
        <v>Forecast estadístico casi automático. Ajustes mínimos. SS bajo porque la demanda es estable.</v>
      </c>
      <c r="N56" s="3" t="str">
        <f aca="false">INDEX(Parametros!$C$23:$C$31,MATCH(L56,Parametros!$A$23:$A$31,0))</f>
        <v>Mensual</v>
      </c>
      <c r="O56" s="23" t="n">
        <f aca="false">SUM(Datos_Semanales!M56:R56)</f>
        <v>91599</v>
      </c>
      <c r="P56" s="24" t="n">
        <f aca="false">IF(D56&gt;0,SUMPRODUCT(ABS(Datos_Semanales!F56:K56-Datos_Semanales!M56:R56))/D56,"")</f>
        <v>0.12467029878497</v>
      </c>
      <c r="Q56" s="24" t="n">
        <f aca="false">IF(D56&gt;0,O56/D56-1,"")</f>
        <v>-0.00982617719548584</v>
      </c>
      <c r="R56" s="23" t="n">
        <f aca="false">SQRT(SUMXMY2(Datos_Semanales!F56:K56,Datos_Semanales!M56:R56)/COUNT(Datos_Semanales!F56:K56))</f>
        <v>2416.1166845443</v>
      </c>
    </row>
    <row r="57" customFormat="false" ht="15" hidden="false" customHeight="false" outlineLevel="0" collapsed="false">
      <c r="A57" s="18" t="n">
        <f aca="false">Datos_Semanales!A57</f>
        <v>30001049</v>
      </c>
      <c r="B57" s="18" t="str">
        <f aca="false">Datos_Semanales!B57</f>
        <v>YOG CALAN BOLSA CHIR NUEVA 12X1KG</v>
      </c>
      <c r="C57" s="18" t="str">
        <f aca="false">Datos_Semanales!C57</f>
        <v>-</v>
      </c>
      <c r="D57" s="23" t="n">
        <f aca="false">SUM(Datos_Semanales!F57:K57)</f>
        <v>92340</v>
      </c>
      <c r="E57" s="23" t="n">
        <f aca="false">AVERAGE(Datos_Semanales!F57:K57)</f>
        <v>15390</v>
      </c>
      <c r="F57" s="23" t="n">
        <f aca="false">STDEV(Datos_Semanales!F57:K57)</f>
        <v>4487.76737365029</v>
      </c>
      <c r="G57" s="27" t="n">
        <f aca="false">IF(E57&gt;0,F57/E57,"")</f>
        <v>0.291602818300863</v>
      </c>
      <c r="H57" s="24" t="n">
        <f aca="false">IF(SUM($D$5:$D$494)&gt;0,D57/SUM($D$5:$D$494),0)</f>
        <v>0.00384912718243081</v>
      </c>
      <c r="I57" s="24" t="n">
        <f aca="false">SUMIF($D$5:$D$494,"&gt;="&amp;D57)/SUM($D$5:$D$494)</f>
        <v>0.628703296257733</v>
      </c>
      <c r="J57" s="3" t="str">
        <f aca="false">IF(D57&lt;=0,"C",IF(I57&lt;=Parametros!$B$4,"A",IF(I57&lt;=Parametros!$B$5,"B","C")))</f>
        <v>A</v>
      </c>
      <c r="K57" s="3" t="str">
        <f aca="false">IF(E57&lt;=0,"Z",IF(G57&lt;=Parametros!$B$6,"X",IF(G57&lt;=Parametros!$B$7,"Y","Z")))</f>
        <v>X</v>
      </c>
      <c r="L57" s="3" t="str">
        <f aca="false">J57&amp;K57</f>
        <v>AX</v>
      </c>
      <c r="M57" s="3" t="str">
        <f aca="false">INDEX(Parametros!$B$23:$B$31,MATCH(L57,Parametros!$A$23:$A$31,0))</f>
        <v>Forecast estadístico casi automático. Ajustes mínimos. SS bajo porque la demanda es estable.</v>
      </c>
      <c r="N57" s="3" t="str">
        <f aca="false">INDEX(Parametros!$C$23:$C$31,MATCH(L57,Parametros!$A$23:$A$31,0))</f>
        <v>Mensual</v>
      </c>
      <c r="O57" s="23" t="n">
        <f aca="false">SUM(Datos_Semanales!M57:R57)</f>
        <v>79458.8753152069</v>
      </c>
      <c r="P57" s="24" t="n">
        <f aca="false">IF(D57&gt;0,SUMPRODUCT(ABS(Datos_Semanales!F57:K57-Datos_Semanales!M57:R57))/D57,"")</f>
        <v>0.243023547916346</v>
      </c>
      <c r="Q57" s="24" t="n">
        <f aca="false">IF(D57&gt;0,O57/D57-1,"")</f>
        <v>-0.13949669357584</v>
      </c>
      <c r="R57" s="23" t="n">
        <f aca="false">SQRT(SUMXMY2(Datos_Semanales!F57:K57,Datos_Semanales!M57:R57)/COUNT(Datos_Semanales!F57:K57))</f>
        <v>4534.38357223356</v>
      </c>
    </row>
    <row r="58" customFormat="false" ht="15" hidden="false" customHeight="false" outlineLevel="0" collapsed="false">
      <c r="A58" s="18" t="n">
        <f aca="false">Datos_Semanales!A58</f>
        <v>30001409</v>
      </c>
      <c r="B58" s="18" t="str">
        <f aca="false">Datos_Semanales!B58</f>
        <v>LECHE POLVO CALO 26% INST 20X850GR</v>
      </c>
      <c r="C58" s="18" t="str">
        <f aca="false">Datos_Semanales!C58</f>
        <v>-</v>
      </c>
      <c r="D58" s="23" t="n">
        <f aca="false">SUM(Datos_Semanales!F58:K58)</f>
        <v>89896</v>
      </c>
      <c r="E58" s="23" t="n">
        <f aca="false">AVERAGE(Datos_Semanales!F58:K58)</f>
        <v>14982.6666666667</v>
      </c>
      <c r="F58" s="23" t="n">
        <f aca="false">STDEV(Datos_Semanales!F58:K58)</f>
        <v>2982.86142263878</v>
      </c>
      <c r="G58" s="27" t="n">
        <f aca="false">IF(E58&gt;0,F58/E58,"")</f>
        <v>0.19908748482505</v>
      </c>
      <c r="H58" s="24" t="n">
        <f aca="false">IF(SUM($D$5:$D$494)&gt;0,D58/SUM($D$5:$D$494),0)</f>
        <v>0.0037472507818042</v>
      </c>
      <c r="I58" s="24" t="n">
        <f aca="false">SUMIF($D$5:$D$494,"&gt;="&amp;D58)/SUM($D$5:$D$494)</f>
        <v>0.632450547039537</v>
      </c>
      <c r="J58" s="3" t="str">
        <f aca="false">IF(D58&lt;=0,"C",IF(I58&lt;=Parametros!$B$4,"A",IF(I58&lt;=Parametros!$B$5,"B","C")))</f>
        <v>A</v>
      </c>
      <c r="K58" s="3" t="str">
        <f aca="false">IF(E58&lt;=0,"Z",IF(G58&lt;=Parametros!$B$6,"X",IF(G58&lt;=Parametros!$B$7,"Y","Z")))</f>
        <v>X</v>
      </c>
      <c r="L58" s="3" t="str">
        <f aca="false">J58&amp;K58</f>
        <v>AX</v>
      </c>
      <c r="M58" s="3" t="str">
        <f aca="false">INDEX(Parametros!$B$23:$B$31,MATCH(L58,Parametros!$A$23:$A$31,0))</f>
        <v>Forecast estadístico casi automático. Ajustes mínimos. SS bajo porque la demanda es estable.</v>
      </c>
      <c r="N58" s="3" t="str">
        <f aca="false">INDEX(Parametros!$C$23:$C$31,MATCH(L58,Parametros!$A$23:$A$31,0))</f>
        <v>Mensual</v>
      </c>
      <c r="O58" s="23" t="n">
        <f aca="false">SUM(Datos_Semanales!M58:R58)</f>
        <v>106500.322482384</v>
      </c>
      <c r="P58" s="24" t="n">
        <f aca="false">IF(D58&gt;0,SUMPRODUCT(ABS(Datos_Semanales!F58:K58-Datos_Semanales!M58:R58))/D58,"")</f>
        <v>0.197029350778851</v>
      </c>
      <c r="Q58" s="24" t="n">
        <f aca="false">IF(D58&gt;0,O58/D58-1,"")</f>
        <v>0.1847059099669</v>
      </c>
      <c r="R58" s="23" t="n">
        <f aca="false">SQRT(SUMXMY2(Datos_Semanales!F58:K58,Datos_Semanales!M58:R58)/COUNT(Datos_Semanales!F58:K58))</f>
        <v>4170.70595117852</v>
      </c>
    </row>
    <row r="59" customFormat="false" ht="15" hidden="false" customHeight="false" outlineLevel="0" collapsed="false">
      <c r="A59" s="18" t="n">
        <f aca="false">Datos_Semanales!A59</f>
        <v>30002347</v>
      </c>
      <c r="B59" s="18" t="str">
        <f aca="false">Datos_Semanales!B59</f>
        <v>QUESO LPV CHANCO 4 PIEZAS 2,5KG</v>
      </c>
      <c r="C59" s="18" t="str">
        <f aca="false">Datos_Semanales!C59</f>
        <v>QUESOS</v>
      </c>
      <c r="D59" s="23" t="n">
        <f aca="false">SUM(Datos_Semanales!F59:K59)</f>
        <v>89639</v>
      </c>
      <c r="E59" s="23" t="n">
        <f aca="false">AVERAGE(Datos_Semanales!F59:K59)</f>
        <v>14939.8333333333</v>
      </c>
      <c r="F59" s="23" t="n">
        <f aca="false">STDEV(Datos_Semanales!F59:K59)</f>
        <v>7470.32945502852</v>
      </c>
      <c r="G59" s="27" t="n">
        <f aca="false">IF(E59&gt;0,F59/E59,"")</f>
        <v>0.500027630051329</v>
      </c>
      <c r="H59" s="24" t="n">
        <f aca="false">IF(SUM($D$5:$D$494)&gt;0,D59/SUM($D$5:$D$494),0)</f>
        <v>0.00373653791970885</v>
      </c>
      <c r="I59" s="24" t="n">
        <f aca="false">SUMIF($D$5:$D$494,"&gt;="&amp;D59)/SUM($D$5:$D$494)</f>
        <v>0.636187084959246</v>
      </c>
      <c r="J59" s="3" t="str">
        <f aca="false">IF(D59&lt;=0,"C",IF(I59&lt;=Parametros!$B$4,"A",IF(I59&lt;=Parametros!$B$5,"B","C")))</f>
        <v>A</v>
      </c>
      <c r="K59" s="3" t="str">
        <f aca="false">IF(E59&lt;=0,"Z",IF(G59&lt;=Parametros!$B$6,"X",IF(G59&lt;=Parametros!$B$7,"Y","Z")))</f>
        <v>Y</v>
      </c>
      <c r="L59" s="3" t="str">
        <f aca="false">J59&amp;K59</f>
        <v>AY</v>
      </c>
      <c r="M59" s="3" t="str">
        <f aca="false">INDEX(Parametros!$B$23:$B$31,MATCH(L59,Parametros!$A$23:$A$31,0))</f>
        <v>Alto volumen con variaciones: entender causas (promos, cadenas). Validar con KAM antes de ajustar.</v>
      </c>
      <c r="N59" s="3" t="str">
        <f aca="false">INDEX(Parametros!$C$23:$C$31,MATCH(L59,Parametros!$A$23:$A$31,0))</f>
        <v>Semanal</v>
      </c>
      <c r="O59" s="23" t="n">
        <f aca="false">SUM(Datos_Semanales!M59:R59)</f>
        <v>65561.4074120684</v>
      </c>
      <c r="P59" s="24" t="n">
        <f aca="false">IF(D59&gt;0,SUMPRODUCT(ABS(Datos_Semanales!F59:K59-Datos_Semanales!M59:R59))/D59,"")</f>
        <v>0.507005648965064</v>
      </c>
      <c r="Q59" s="24" t="n">
        <f aca="false">IF(D59&gt;0,O59/D59-1,"")</f>
        <v>-0.268606215909723</v>
      </c>
      <c r="R59" s="23" t="n">
        <f aca="false">SQRT(SUMXMY2(Datos_Semanales!F59:K59,Datos_Semanales!M59:R59)/COUNT(Datos_Semanales!F59:K59))</f>
        <v>8824.02447820558</v>
      </c>
    </row>
    <row r="60" customFormat="false" ht="15" hidden="false" customHeight="false" outlineLevel="0" collapsed="false">
      <c r="A60" s="18" t="n">
        <f aca="false">Datos_Semanales!A60</f>
        <v>30000254</v>
      </c>
      <c r="B60" s="18" t="str">
        <f aca="false">Datos_Semanales!B60</f>
        <v>NECTAR W NJA LIG SIXPACK 30X200ML</v>
      </c>
      <c r="C60" s="18" t="str">
        <f aca="false">Datos_Semanales!C60</f>
        <v>JUGOS Y NECTARES</v>
      </c>
      <c r="D60" s="23" t="n">
        <f aca="false">SUM(Datos_Semanales!F60:K60)</f>
        <v>87222</v>
      </c>
      <c r="E60" s="23" t="n">
        <f aca="false">AVERAGE(Datos_Semanales!F60:K60)</f>
        <v>14537</v>
      </c>
      <c r="F60" s="23" t="n">
        <f aca="false">STDEV(Datos_Semanales!F60:K60)</f>
        <v>5994.94517072508</v>
      </c>
      <c r="G60" s="27" t="n">
        <f aca="false">IF(E60&gt;0,F60/E60,"")</f>
        <v>0.412392183443976</v>
      </c>
      <c r="H60" s="24" t="n">
        <f aca="false">IF(SUM($D$5:$D$494)&gt;0,D60/SUM($D$5:$D$494),0)</f>
        <v>0.00363578699486658</v>
      </c>
      <c r="I60" s="24" t="n">
        <f aca="false">SUMIF($D$5:$D$494,"&gt;="&amp;D60)/SUM($D$5:$D$494)</f>
        <v>0.639822871954113</v>
      </c>
      <c r="J60" s="3" t="str">
        <f aca="false">IF(D60&lt;=0,"C",IF(I60&lt;=Parametros!$B$4,"A",IF(I60&lt;=Parametros!$B$5,"B","C")))</f>
        <v>A</v>
      </c>
      <c r="K60" s="3" t="str">
        <f aca="false">IF(E60&lt;=0,"Z",IF(G60&lt;=Parametros!$B$6,"X",IF(G60&lt;=Parametros!$B$7,"Y","Z")))</f>
        <v>X</v>
      </c>
      <c r="L60" s="3" t="str">
        <f aca="false">J60&amp;K60</f>
        <v>AX</v>
      </c>
      <c r="M60" s="3" t="str">
        <f aca="false">INDEX(Parametros!$B$23:$B$31,MATCH(L60,Parametros!$A$23:$A$31,0))</f>
        <v>Forecast estadístico casi automático. Ajustes mínimos. SS bajo porque la demanda es estable.</v>
      </c>
      <c r="N60" s="3" t="str">
        <f aca="false">INDEX(Parametros!$C$23:$C$31,MATCH(L60,Parametros!$A$23:$A$31,0))</f>
        <v>Mensual</v>
      </c>
      <c r="O60" s="23" t="n">
        <f aca="false">SUM(Datos_Semanales!M60:R60)</f>
        <v>85561.897885074</v>
      </c>
      <c r="P60" s="24" t="n">
        <f aca="false">IF(D60&gt;0,SUMPRODUCT(ABS(Datos_Semanales!F60:K60-Datos_Semanales!M60:R60))/D60,"")</f>
        <v>0.260953581836303</v>
      </c>
      <c r="Q60" s="24" t="n">
        <f aca="false">IF(D60&gt;0,O60/D60-1,"")</f>
        <v>-0.0190330663700213</v>
      </c>
      <c r="R60" s="23" t="n">
        <f aca="false">SQRT(SUMXMY2(Datos_Semanales!F60:K60,Datos_Semanales!M60:R60)/COUNT(Datos_Semanales!F60:K60))</f>
        <v>5634.41803113202</v>
      </c>
    </row>
    <row r="61" customFormat="false" ht="15" hidden="false" customHeight="false" outlineLevel="0" collapsed="false">
      <c r="A61" s="18" t="n">
        <f aca="false">Datos_Semanales!A61</f>
        <v>30002155</v>
      </c>
      <c r="B61" s="18" t="str">
        <f aca="false">Datos_Semanales!B61</f>
        <v>YOGURT CALAN DAMASCO 48X110G</v>
      </c>
      <c r="C61" s="18" t="str">
        <f aca="false">Datos_Semanales!C61</f>
        <v>-</v>
      </c>
      <c r="D61" s="23" t="n">
        <f aca="false">SUM(Datos_Semanales!F61:K61)</f>
        <v>84944.64</v>
      </c>
      <c r="E61" s="23" t="n">
        <f aca="false">AVERAGE(Datos_Semanales!F61:K61)</f>
        <v>14157.44</v>
      </c>
      <c r="F61" s="23" t="n">
        <f aca="false">STDEV(Datos_Semanales!F61:K61)</f>
        <v>2633.97109997813</v>
      </c>
      <c r="G61" s="27" t="n">
        <f aca="false">IF(E61&gt;0,F61/E61,"")</f>
        <v>0.186048544085522</v>
      </c>
      <c r="H61" s="24" t="n">
        <f aca="false">IF(SUM($D$5:$D$494)&gt;0,D61/SUM($D$5:$D$494),0)</f>
        <v>0.00354085686404374</v>
      </c>
      <c r="I61" s="24" t="n">
        <f aca="false">SUMIF($D$5:$D$494,"&gt;="&amp;D61)/SUM($D$5:$D$494)</f>
        <v>0.643363728818156</v>
      </c>
      <c r="J61" s="3" t="str">
        <f aca="false">IF(D61&lt;=0,"C",IF(I61&lt;=Parametros!$B$4,"A",IF(I61&lt;=Parametros!$B$5,"B","C")))</f>
        <v>A</v>
      </c>
      <c r="K61" s="3" t="str">
        <f aca="false">IF(E61&lt;=0,"Z",IF(G61&lt;=Parametros!$B$6,"X",IF(G61&lt;=Parametros!$B$7,"Y","Z")))</f>
        <v>X</v>
      </c>
      <c r="L61" s="3" t="str">
        <f aca="false">J61&amp;K61</f>
        <v>AX</v>
      </c>
      <c r="M61" s="3" t="str">
        <f aca="false">INDEX(Parametros!$B$23:$B$31,MATCH(L61,Parametros!$A$23:$A$31,0))</f>
        <v>Forecast estadístico casi automático. Ajustes mínimos. SS bajo porque la demanda es estable.</v>
      </c>
      <c r="N61" s="3" t="str">
        <f aca="false">INDEX(Parametros!$C$23:$C$31,MATCH(L61,Parametros!$A$23:$A$31,0))</f>
        <v>Mensual</v>
      </c>
      <c r="O61" s="23" t="n">
        <f aca="false">SUM(Datos_Semanales!M61:R61)</f>
        <v>66719.2415852299</v>
      </c>
      <c r="P61" s="24" t="n">
        <f aca="false">IF(D61&gt;0,SUMPRODUCT(ABS(Datos_Semanales!F61:K61-Datos_Semanales!M61:R61))/D61,"")</f>
        <v>0.214556191123655</v>
      </c>
      <c r="Q61" s="24" t="n">
        <f aca="false">IF(D61&gt;0,O61/D61-1,"")</f>
        <v>-0.214556191123656</v>
      </c>
      <c r="R61" s="23" t="n">
        <f aca="false">SQRT(SUMXMY2(Datos_Semanales!F61:K61,Datos_Semanales!M61:R61)/COUNT(Datos_Semanales!F61:K61))</f>
        <v>3797.77836246597</v>
      </c>
    </row>
    <row r="62" customFormat="false" ht="15" hidden="false" customHeight="false" outlineLevel="0" collapsed="false">
      <c r="A62" s="18" t="n">
        <f aca="false">Datos_Semanales!A62</f>
        <v>30001684</v>
      </c>
      <c r="B62" s="18" t="str">
        <f aca="false">Datos_Semanales!B62</f>
        <v>NECTAR W DZNO S/AZUCAR 30X200ML</v>
      </c>
      <c r="C62" s="18" t="str">
        <f aca="false">Datos_Semanales!C62</f>
        <v>JUGOS Y NECTARES</v>
      </c>
      <c r="D62" s="23" t="n">
        <f aca="false">SUM(Datos_Semanales!F62:K62)</f>
        <v>83634</v>
      </c>
      <c r="E62" s="23" t="n">
        <f aca="false">AVERAGE(Datos_Semanales!F62:K62)</f>
        <v>13939</v>
      </c>
      <c r="F62" s="23" t="n">
        <f aca="false">STDEV(Datos_Semanales!F62:K62)</f>
        <v>3619.46023600205</v>
      </c>
      <c r="G62" s="27" t="n">
        <f aca="false">IF(E62&gt;0,F62/E62,"")</f>
        <v>0.259664268312078</v>
      </c>
      <c r="H62" s="24" t="n">
        <f aca="false">IF(SUM($D$5:$D$494)&gt;0,D62/SUM($D$5:$D$494),0)</f>
        <v>0.00348622376841475</v>
      </c>
      <c r="I62" s="24" t="n">
        <f aca="false">SUMIF($D$5:$D$494,"&gt;="&amp;D62)/SUM($D$5:$D$494)</f>
        <v>0.646849952586571</v>
      </c>
      <c r="J62" s="3" t="str">
        <f aca="false">IF(D62&lt;=0,"C",IF(I62&lt;=Parametros!$B$4,"A",IF(I62&lt;=Parametros!$B$5,"B","C")))</f>
        <v>A</v>
      </c>
      <c r="K62" s="3" t="str">
        <f aca="false">IF(E62&lt;=0,"Z",IF(G62&lt;=Parametros!$B$6,"X",IF(G62&lt;=Parametros!$B$7,"Y","Z")))</f>
        <v>X</v>
      </c>
      <c r="L62" s="3" t="str">
        <f aca="false">J62&amp;K62</f>
        <v>AX</v>
      </c>
      <c r="M62" s="3" t="str">
        <f aca="false">INDEX(Parametros!$B$23:$B$31,MATCH(L62,Parametros!$A$23:$A$31,0))</f>
        <v>Forecast estadístico casi automático. Ajustes mínimos. SS bajo porque la demanda es estable.</v>
      </c>
      <c r="N62" s="3" t="str">
        <f aca="false">INDEX(Parametros!$C$23:$C$31,MATCH(L62,Parametros!$A$23:$A$31,0))</f>
        <v>Mensual</v>
      </c>
      <c r="O62" s="23" t="n">
        <f aca="false">SUM(Datos_Semanales!M62:R62)</f>
        <v>91364.7470800718</v>
      </c>
      <c r="P62" s="24" t="n">
        <f aca="false">IF(D62&gt;0,SUMPRODUCT(ABS(Datos_Semanales!F62:K62-Datos_Semanales!M62:R62))/D62,"")</f>
        <v>0.200477641629861</v>
      </c>
      <c r="Q62" s="24" t="n">
        <f aca="false">IF(D62&gt;0,O62/D62-1,"")</f>
        <v>0.0924354578290145</v>
      </c>
      <c r="R62" s="23" t="n">
        <f aca="false">SQRT(SUMXMY2(Datos_Semanales!F62:K62,Datos_Semanales!M62:R62)/COUNT(Datos_Semanales!F62:K62))</f>
        <v>3254.77886393612</v>
      </c>
    </row>
    <row r="63" customFormat="false" ht="15" hidden="false" customHeight="false" outlineLevel="0" collapsed="false">
      <c r="A63" s="18" t="n">
        <f aca="false">Datos_Semanales!A63</f>
        <v>30002330</v>
      </c>
      <c r="B63" s="18" t="str">
        <f aca="false">Datos_Semanales!B63</f>
        <v>LECHE LONCO PROTEIN CHOCOLATE 30X200ML</v>
      </c>
      <c r="C63" s="18" t="str">
        <f aca="false">Datos_Semanales!C63</f>
        <v>-</v>
      </c>
      <c r="D63" s="23" t="n">
        <f aca="false">SUM(Datos_Semanales!F63:K63)</f>
        <v>82662</v>
      </c>
      <c r="E63" s="23" t="n">
        <f aca="false">AVERAGE(Datos_Semanales!F63:K63)</f>
        <v>13777</v>
      </c>
      <c r="F63" s="23" t="n">
        <f aca="false">STDEV(Datos_Semanales!F63:K63)</f>
        <v>5334.47500697116</v>
      </c>
      <c r="G63" s="27" t="n">
        <f aca="false">IF(E63&gt;0,F63/E63,"")</f>
        <v>0.3872014957517</v>
      </c>
      <c r="H63" s="24" t="n">
        <f aca="false">IF(SUM($D$5:$D$494)&gt;0,D63/SUM($D$5:$D$494),0)</f>
        <v>0.00344570664017864</v>
      </c>
      <c r="I63" s="24" t="n">
        <f aca="false">SUMIF($D$5:$D$494,"&gt;="&amp;D63)/SUM($D$5:$D$494)</f>
        <v>0.65029565922675</v>
      </c>
      <c r="J63" s="3" t="str">
        <f aca="false">IF(D63&lt;=0,"C",IF(I63&lt;=Parametros!$B$4,"A",IF(I63&lt;=Parametros!$B$5,"B","C")))</f>
        <v>A</v>
      </c>
      <c r="K63" s="3" t="str">
        <f aca="false">IF(E63&lt;=0,"Z",IF(G63&lt;=Parametros!$B$6,"X",IF(G63&lt;=Parametros!$B$7,"Y","Z")))</f>
        <v>X</v>
      </c>
      <c r="L63" s="3" t="str">
        <f aca="false">J63&amp;K63</f>
        <v>AX</v>
      </c>
      <c r="M63" s="3" t="str">
        <f aca="false">INDEX(Parametros!$B$23:$B$31,MATCH(L63,Parametros!$A$23:$A$31,0))</f>
        <v>Forecast estadístico casi automático. Ajustes mínimos. SS bajo porque la demanda es estable.</v>
      </c>
      <c r="N63" s="3" t="str">
        <f aca="false">INDEX(Parametros!$C$23:$C$31,MATCH(L63,Parametros!$A$23:$A$31,0))</f>
        <v>Mensual</v>
      </c>
      <c r="O63" s="23" t="n">
        <f aca="false">SUM(Datos_Semanales!M63:R63)</f>
        <v>59433.7276297603</v>
      </c>
      <c r="P63" s="24" t="n">
        <f aca="false">IF(D63&gt;0,SUMPRODUCT(ABS(Datos_Semanales!F63:K63-Datos_Semanales!M63:R63))/D63,"")</f>
        <v>0.37017889271685</v>
      </c>
      <c r="Q63" s="24" t="n">
        <f aca="false">IF(D63&gt;0,O63/D63-1,"")</f>
        <v>-0.281003028843238</v>
      </c>
      <c r="R63" s="23" t="n">
        <f aca="false">SQRT(SUMXMY2(Datos_Semanales!F63:K63,Datos_Semanales!M63:R63)/COUNT(Datos_Semanales!F63:K63))</f>
        <v>6164.80235099199</v>
      </c>
    </row>
    <row r="64" customFormat="false" ht="15" hidden="false" customHeight="false" outlineLevel="0" collapsed="false">
      <c r="A64" s="18" t="n">
        <f aca="false">Datos_Semanales!A64</f>
        <v>30002199</v>
      </c>
      <c r="B64" s="18" t="str">
        <f aca="false">Datos_Semanales!B64</f>
        <v>YOG OIKOS NATURAL S/E BALDE 6X800GR</v>
      </c>
      <c r="C64" s="18" t="str">
        <f aca="false">Datos_Semanales!C64</f>
        <v>YOGURT</v>
      </c>
      <c r="D64" s="23" t="n">
        <f aca="false">SUM(Datos_Semanales!F64:K64)</f>
        <v>80740.8</v>
      </c>
      <c r="E64" s="23" t="n">
        <f aca="false">AVERAGE(Datos_Semanales!F64:K64)</f>
        <v>13456.8</v>
      </c>
      <c r="F64" s="23" t="n">
        <f aca="false">STDEV(Datos_Semanales!F64:K64)</f>
        <v>1541.60801243377</v>
      </c>
      <c r="G64" s="27" t="n">
        <f aca="false">IF(E64&gt;0,F64/E64,"")</f>
        <v>0.114559777393866</v>
      </c>
      <c r="H64" s="24" t="n">
        <f aca="false">IF(SUM($D$5:$D$494)&gt;0,D64/SUM($D$5:$D$494),0)</f>
        <v>0.00336562278547985</v>
      </c>
      <c r="I64" s="24" t="n">
        <f aca="false">SUMIF($D$5:$D$494,"&gt;="&amp;D64)/SUM($D$5:$D$494)</f>
        <v>0.65366128201223</v>
      </c>
      <c r="J64" s="3" t="str">
        <f aca="false">IF(D64&lt;=0,"C",IF(I64&lt;=Parametros!$B$4,"A",IF(I64&lt;=Parametros!$B$5,"B","C")))</f>
        <v>A</v>
      </c>
      <c r="K64" s="3" t="str">
        <f aca="false">IF(E64&lt;=0,"Z",IF(G64&lt;=Parametros!$B$6,"X",IF(G64&lt;=Parametros!$B$7,"Y","Z")))</f>
        <v>X</v>
      </c>
      <c r="L64" s="3" t="str">
        <f aca="false">J64&amp;K64</f>
        <v>AX</v>
      </c>
      <c r="M64" s="3" t="str">
        <f aca="false">INDEX(Parametros!$B$23:$B$31,MATCH(L64,Parametros!$A$23:$A$31,0))</f>
        <v>Forecast estadístico casi automático. Ajustes mínimos. SS bajo porque la demanda es estable.</v>
      </c>
      <c r="N64" s="3" t="str">
        <f aca="false">INDEX(Parametros!$C$23:$C$31,MATCH(L64,Parametros!$A$23:$A$31,0))</f>
        <v>Mensual</v>
      </c>
      <c r="O64" s="23" t="n">
        <f aca="false">SUM(Datos_Semanales!M64:R64)</f>
        <v>80004.2301171716</v>
      </c>
      <c r="P64" s="24" t="n">
        <f aca="false">IF(D64&gt;0,SUMPRODUCT(ABS(Datos_Semanales!F64:K64-Datos_Semanales!M64:R64))/D64,"")</f>
        <v>0.168240886399856</v>
      </c>
      <c r="Q64" s="24" t="n">
        <f aca="false">IF(D64&gt;0,O64/D64-1,"")</f>
        <v>-0.00912264781657357</v>
      </c>
      <c r="R64" s="23" t="n">
        <f aca="false">SQRT(SUMXMY2(Datos_Semanales!F64:K64,Datos_Semanales!M64:R64)/COUNT(Datos_Semanales!F64:K64))</f>
        <v>2510.73099551202</v>
      </c>
    </row>
    <row r="65" customFormat="false" ht="15" hidden="false" customHeight="false" outlineLevel="0" collapsed="false">
      <c r="A65" s="18" t="n">
        <f aca="false">Datos_Semanales!A65</f>
        <v>30000638</v>
      </c>
      <c r="B65" s="18" t="str">
        <f aca="false">Datos_Semanales!B65</f>
        <v>LENTEJAS WS 16X380GR</v>
      </c>
      <c r="C65" s="18" t="str">
        <f aca="false">Datos_Semanales!C65</f>
        <v>-</v>
      </c>
      <c r="D65" s="23" t="n">
        <f aca="false">SUM(Datos_Semanales!F65:K65)</f>
        <v>79970.24</v>
      </c>
      <c r="E65" s="23" t="n">
        <f aca="false">AVERAGE(Datos_Semanales!F65:K65)</f>
        <v>13328.3733333333</v>
      </c>
      <c r="F65" s="23" t="n">
        <f aca="false">STDEV(Datos_Semanales!F65:K65)</f>
        <v>3739.23937973843</v>
      </c>
      <c r="G65" s="27" t="n">
        <f aca="false">IF(E65&gt;0,F65/E65,"")</f>
        <v>0.280547317082337</v>
      </c>
      <c r="H65" s="24" t="n">
        <f aca="false">IF(SUM($D$5:$D$494)&gt;0,D65/SUM($D$5:$D$494),0)</f>
        <v>0.00333350254028065</v>
      </c>
      <c r="I65" s="24" t="n">
        <f aca="false">SUMIF($D$5:$D$494,"&gt;="&amp;D65)/SUM($D$5:$D$494)</f>
        <v>0.65699478455251</v>
      </c>
      <c r="J65" s="3" t="str">
        <f aca="false">IF(D65&lt;=0,"C",IF(I65&lt;=Parametros!$B$4,"A",IF(I65&lt;=Parametros!$B$5,"B","C")))</f>
        <v>A</v>
      </c>
      <c r="K65" s="3" t="str">
        <f aca="false">IF(E65&lt;=0,"Z",IF(G65&lt;=Parametros!$B$6,"X",IF(G65&lt;=Parametros!$B$7,"Y","Z")))</f>
        <v>X</v>
      </c>
      <c r="L65" s="3" t="str">
        <f aca="false">J65&amp;K65</f>
        <v>AX</v>
      </c>
      <c r="M65" s="3" t="str">
        <f aca="false">INDEX(Parametros!$B$23:$B$31,MATCH(L65,Parametros!$A$23:$A$31,0))</f>
        <v>Forecast estadístico casi automático. Ajustes mínimos. SS bajo porque la demanda es estable.</v>
      </c>
      <c r="N65" s="3" t="str">
        <f aca="false">INDEX(Parametros!$C$23:$C$31,MATCH(L65,Parametros!$A$23:$A$31,0))</f>
        <v>Mensual</v>
      </c>
      <c r="O65" s="23" t="n">
        <f aca="false">SUM(Datos_Semanales!M65:R65)</f>
        <v>93155.04</v>
      </c>
      <c r="P65" s="24" t="n">
        <f aca="false">IF(D65&gt;0,SUMPRODUCT(ABS(Datos_Semanales!F65:K65-Datos_Semanales!M65:R65))/D65,"")</f>
        <v>0.221120256735506</v>
      </c>
      <c r="Q65" s="24" t="n">
        <f aca="false">IF(D65&gt;0,O65/D65-1,"")</f>
        <v>0.164871332135554</v>
      </c>
      <c r="R65" s="23" t="n">
        <f aca="false">SQRT(SUMXMY2(Datos_Semanales!F65:K65,Datos_Semanales!M65:R65)/COUNT(Datos_Semanales!F65:K65))</f>
        <v>3645.33739877852</v>
      </c>
    </row>
    <row r="66" customFormat="false" ht="15" hidden="false" customHeight="false" outlineLevel="0" collapsed="false">
      <c r="A66" s="18" t="n">
        <f aca="false">Datos_Semanales!A66</f>
        <v>30001080</v>
      </c>
      <c r="B66" s="18" t="str">
        <f aca="false">Datos_Semanales!B66</f>
        <v>YOG GRI OIKOS TZO DZNO 48X110GR</v>
      </c>
      <c r="C66" s="18" t="str">
        <f aca="false">Datos_Semanales!C66</f>
        <v>YOGURT</v>
      </c>
      <c r="D66" s="23" t="n">
        <f aca="false">SUM(Datos_Semanales!F66:K66)</f>
        <v>78703.68</v>
      </c>
      <c r="E66" s="23" t="n">
        <f aca="false">AVERAGE(Datos_Semanales!F66:K66)</f>
        <v>13117.28</v>
      </c>
      <c r="F66" s="23" t="n">
        <f aca="false">STDEV(Datos_Semanales!F66:K66)</f>
        <v>3659.90719882349</v>
      </c>
      <c r="G66" s="27" t="n">
        <f aca="false">IF(E66&gt;0,F66/E66,"")</f>
        <v>0.27901418577811</v>
      </c>
      <c r="H66" s="24" t="n">
        <f aca="false">IF(SUM($D$5:$D$494)&gt;0,D66/SUM($D$5:$D$494),0)</f>
        <v>0.00328070688808031</v>
      </c>
      <c r="I66" s="24" t="n">
        <f aca="false">SUMIF($D$5:$D$494,"&gt;="&amp;D66)/SUM($D$5:$D$494)</f>
        <v>0.660275491440591</v>
      </c>
      <c r="J66" s="3" t="str">
        <f aca="false">IF(D66&lt;=0,"C",IF(I66&lt;=Parametros!$B$4,"A",IF(I66&lt;=Parametros!$B$5,"B","C")))</f>
        <v>A</v>
      </c>
      <c r="K66" s="3" t="str">
        <f aca="false">IF(E66&lt;=0,"Z",IF(G66&lt;=Parametros!$B$6,"X",IF(G66&lt;=Parametros!$B$7,"Y","Z")))</f>
        <v>X</v>
      </c>
      <c r="L66" s="3" t="str">
        <f aca="false">J66&amp;K66</f>
        <v>AX</v>
      </c>
      <c r="M66" s="3" t="str">
        <f aca="false">INDEX(Parametros!$B$23:$B$31,MATCH(L66,Parametros!$A$23:$A$31,0))</f>
        <v>Forecast estadístico casi automático. Ajustes mínimos. SS bajo porque la demanda es estable.</v>
      </c>
      <c r="N66" s="3" t="str">
        <f aca="false">INDEX(Parametros!$C$23:$C$31,MATCH(L66,Parametros!$A$23:$A$31,0))</f>
        <v>Mensual</v>
      </c>
      <c r="O66" s="23" t="n">
        <f aca="false">SUM(Datos_Semanales!M66:R66)</f>
        <v>72906.5729688685</v>
      </c>
      <c r="P66" s="24" t="n">
        <f aca="false">IF(D66&gt;0,SUMPRODUCT(ABS(Datos_Semanales!F66:K66-Datos_Semanales!M66:R66))/D66,"")</f>
        <v>0.20284277529147</v>
      </c>
      <c r="Q66" s="24" t="n">
        <f aca="false">IF(D66&gt;0,O66/D66-1,"")</f>
        <v>-0.0736573821088357</v>
      </c>
      <c r="R66" s="23" t="n">
        <f aca="false">SQRT(SUMXMY2(Datos_Semanales!F66:K66,Datos_Semanales!M66:R66)/COUNT(Datos_Semanales!F66:K66))</f>
        <v>3492.10412257261</v>
      </c>
    </row>
    <row r="67" customFormat="false" ht="15" hidden="false" customHeight="false" outlineLevel="0" collapsed="false">
      <c r="A67" s="18" t="n">
        <f aca="false">Datos_Semanales!A67</f>
        <v>30000615</v>
      </c>
      <c r="B67" s="18" t="str">
        <f aca="false">Datos_Semanales!B67</f>
        <v>PALMITOS RODAJAS WSL 24X400GR</v>
      </c>
      <c r="C67" s="18" t="str">
        <f aca="false">Datos_Semanales!C67</f>
        <v>-</v>
      </c>
      <c r="D67" s="23" t="n">
        <f aca="false">SUM(Datos_Semanales!F67:K67)</f>
        <v>78172.8</v>
      </c>
      <c r="E67" s="23" t="n">
        <f aca="false">AVERAGE(Datos_Semanales!F67:K67)</f>
        <v>13028.8</v>
      </c>
      <c r="F67" s="23" t="n">
        <f aca="false">STDEV(Datos_Semanales!F67:K67)</f>
        <v>4267.71740395261</v>
      </c>
      <c r="G67" s="27" t="n">
        <f aca="false">IF(E67&gt;0,F67/E67,"")</f>
        <v>0.327560282140536</v>
      </c>
      <c r="H67" s="24" t="n">
        <f aca="false">IF(SUM($D$5:$D$494)&gt;0,D67/SUM($D$5:$D$494),0)</f>
        <v>0.00325857753310296</v>
      </c>
      <c r="I67" s="24" t="n">
        <f aca="false">SUMIF($D$5:$D$494,"&gt;="&amp;D67)/SUM($D$5:$D$494)</f>
        <v>0.663534068973694</v>
      </c>
      <c r="J67" s="3" t="str">
        <f aca="false">IF(D67&lt;=0,"C",IF(I67&lt;=Parametros!$B$4,"A",IF(I67&lt;=Parametros!$B$5,"B","C")))</f>
        <v>A</v>
      </c>
      <c r="K67" s="3" t="str">
        <f aca="false">IF(E67&lt;=0,"Z",IF(G67&lt;=Parametros!$B$6,"X",IF(G67&lt;=Parametros!$B$7,"Y","Z")))</f>
        <v>X</v>
      </c>
      <c r="L67" s="3" t="str">
        <f aca="false">J67&amp;K67</f>
        <v>AX</v>
      </c>
      <c r="M67" s="3" t="str">
        <f aca="false">INDEX(Parametros!$B$23:$B$31,MATCH(L67,Parametros!$A$23:$A$31,0))</f>
        <v>Forecast estadístico casi automático. Ajustes mínimos. SS bajo porque la demanda es estable.</v>
      </c>
      <c r="N67" s="3" t="str">
        <f aca="false">INDEX(Parametros!$C$23:$C$31,MATCH(L67,Parametros!$A$23:$A$31,0))</f>
        <v>Mensual</v>
      </c>
      <c r="O67" s="23" t="n">
        <f aca="false">SUM(Datos_Semanales!M67:R67)</f>
        <v>83895.6</v>
      </c>
      <c r="P67" s="24" t="n">
        <f aca="false">IF(D67&gt;0,SUMPRODUCT(ABS(Datos_Semanales!F67:K67-Datos_Semanales!M67:R67))/D67,"")</f>
        <v>0.261528306520938</v>
      </c>
      <c r="Q67" s="24" t="n">
        <f aca="false">IF(D67&gt;0,O67/D67-1,"")</f>
        <v>0.0732070489991405</v>
      </c>
      <c r="R67" s="23" t="n">
        <f aca="false">SQRT(SUMXMY2(Datos_Semanales!F67:K67,Datos_Semanales!M67:R67)/COUNT(Datos_Semanales!F67:K67))</f>
        <v>4132.72644469322</v>
      </c>
    </row>
    <row r="68" customFormat="false" ht="15" hidden="false" customHeight="false" outlineLevel="0" collapsed="false">
      <c r="A68" s="18" t="n">
        <f aca="false">Datos_Semanales!A68</f>
        <v>30000668</v>
      </c>
      <c r="B68" s="18" t="str">
        <f aca="false">Datos_Semanales!B68</f>
        <v>POROTOS ROJOS 16X380GR</v>
      </c>
      <c r="C68" s="18" t="str">
        <f aca="false">Datos_Semanales!C68</f>
        <v>-</v>
      </c>
      <c r="D68" s="23" t="n">
        <f aca="false">SUM(Datos_Semanales!F68:K68)</f>
        <v>78030.72</v>
      </c>
      <c r="E68" s="23" t="n">
        <f aca="false">AVERAGE(Datos_Semanales!F68:K68)</f>
        <v>13005.12</v>
      </c>
      <c r="F68" s="23" t="n">
        <f aca="false">STDEV(Datos_Semanales!F68:K68)</f>
        <v>4143.06207887837</v>
      </c>
      <c r="G68" s="27" t="n">
        <f aca="false">IF(E68&gt;0,F68/E68,"")</f>
        <v>0.318571614785436</v>
      </c>
      <c r="H68" s="24" t="n">
        <f aca="false">IF(SUM($D$5:$D$494)&gt;0,D68/SUM($D$5:$D$494),0)</f>
        <v>0.00325265502942005</v>
      </c>
      <c r="I68" s="24" t="n">
        <f aca="false">SUMIF($D$5:$D$494,"&gt;="&amp;D68)/SUM($D$5:$D$494)</f>
        <v>0.666786724003114</v>
      </c>
      <c r="J68" s="3" t="str">
        <f aca="false">IF(D68&lt;=0,"C",IF(I68&lt;=Parametros!$B$4,"A",IF(I68&lt;=Parametros!$B$5,"B","C")))</f>
        <v>A</v>
      </c>
      <c r="K68" s="3" t="str">
        <f aca="false">IF(E68&lt;=0,"Z",IF(G68&lt;=Parametros!$B$6,"X",IF(G68&lt;=Parametros!$B$7,"Y","Z")))</f>
        <v>X</v>
      </c>
      <c r="L68" s="3" t="str">
        <f aca="false">J68&amp;K68</f>
        <v>AX</v>
      </c>
      <c r="M68" s="3" t="str">
        <f aca="false">INDEX(Parametros!$B$23:$B$31,MATCH(L68,Parametros!$A$23:$A$31,0))</f>
        <v>Forecast estadístico casi automático. Ajustes mínimos. SS bajo porque la demanda es estable.</v>
      </c>
      <c r="N68" s="3" t="str">
        <f aca="false">INDEX(Parametros!$C$23:$C$31,MATCH(L68,Parametros!$A$23:$A$31,0))</f>
        <v>Mensual</v>
      </c>
      <c r="O68" s="23" t="n">
        <f aca="false">SUM(Datos_Semanales!M68:R68)</f>
        <v>79854.8</v>
      </c>
      <c r="P68" s="24" t="n">
        <f aca="false">IF(D68&gt;0,SUMPRODUCT(ABS(Datos_Semanales!F68:K68-Datos_Semanales!M68:R68))/D68,"")</f>
        <v>0.105723489415451</v>
      </c>
      <c r="Q68" s="24" t="n">
        <f aca="false">IF(D68&gt;0,O68/D68-1,"")</f>
        <v>0.0233764343068985</v>
      </c>
      <c r="R68" s="23" t="n">
        <f aca="false">SQRT(SUMXMY2(Datos_Semanales!F68:K68,Datos_Semanales!M68:R68)/COUNT(Datos_Semanales!F68:K68))</f>
        <v>1738.71560534397</v>
      </c>
    </row>
    <row r="69" customFormat="false" ht="15" hidden="false" customHeight="false" outlineLevel="0" collapsed="false">
      <c r="A69" s="18" t="n">
        <f aca="false">Datos_Semanales!A69</f>
        <v>30000516</v>
      </c>
      <c r="B69" s="18" t="str">
        <f aca="false">Datos_Semanales!B69</f>
        <v>LONCO PROTEINMILK CHOCO 12X1LT</v>
      </c>
      <c r="C69" s="18" t="str">
        <f aca="false">Datos_Semanales!C69</f>
        <v>LECHES LIQUIDAS</v>
      </c>
      <c r="D69" s="23" t="n">
        <f aca="false">SUM(Datos_Semanales!F69:K69)</f>
        <v>76896</v>
      </c>
      <c r="E69" s="23" t="n">
        <f aca="false">AVERAGE(Datos_Semanales!F69:K69)</f>
        <v>12816</v>
      </c>
      <c r="F69" s="23" t="n">
        <f aca="false">STDEV(Datos_Semanales!F69:K69)</f>
        <v>1721.43753880296</v>
      </c>
      <c r="G69" s="27" t="n">
        <f aca="false">IF(E69&gt;0,F69/E69,"")</f>
        <v>0.134319408458408</v>
      </c>
      <c r="H69" s="24" t="n">
        <f aca="false">IF(SUM($D$5:$D$494)&gt;0,D69/SUM($D$5:$D$494),0)</f>
        <v>0.00320535503379033</v>
      </c>
      <c r="I69" s="24" t="n">
        <f aca="false">SUMIF($D$5:$D$494,"&gt;="&amp;D69)/SUM($D$5:$D$494)</f>
        <v>0.669992079036904</v>
      </c>
      <c r="J69" s="3" t="str">
        <f aca="false">IF(D69&lt;=0,"C",IF(I69&lt;=Parametros!$B$4,"A",IF(I69&lt;=Parametros!$B$5,"B","C")))</f>
        <v>A</v>
      </c>
      <c r="K69" s="3" t="str">
        <f aca="false">IF(E69&lt;=0,"Z",IF(G69&lt;=Parametros!$B$6,"X",IF(G69&lt;=Parametros!$B$7,"Y","Z")))</f>
        <v>X</v>
      </c>
      <c r="L69" s="3" t="str">
        <f aca="false">J69&amp;K69</f>
        <v>AX</v>
      </c>
      <c r="M69" s="3" t="str">
        <f aca="false">INDEX(Parametros!$B$23:$B$31,MATCH(L69,Parametros!$A$23:$A$31,0))</f>
        <v>Forecast estadístico casi automático. Ajustes mínimos. SS bajo porque la demanda es estable.</v>
      </c>
      <c r="N69" s="3" t="str">
        <f aca="false">INDEX(Parametros!$C$23:$C$31,MATCH(L69,Parametros!$A$23:$A$31,0))</f>
        <v>Mensual</v>
      </c>
      <c r="O69" s="23" t="n">
        <f aca="false">SUM(Datos_Semanales!M69:R69)</f>
        <v>83687.7659017021</v>
      </c>
      <c r="P69" s="24" t="n">
        <f aca="false">IF(D69&gt;0,SUMPRODUCT(ABS(Datos_Semanales!F69:K69-Datos_Semanales!M69:R69))/D69,"")</f>
        <v>0.203794552404574</v>
      </c>
      <c r="Q69" s="24" t="n">
        <f aca="false">IF(D69&gt;0,O69/D69-1,"")</f>
        <v>0.088324046786596</v>
      </c>
      <c r="R69" s="23" t="n">
        <f aca="false">SQRT(SUMXMY2(Datos_Semanales!F69:K69,Datos_Semanales!M69:R69)/COUNT(Datos_Semanales!F69:K69))</f>
        <v>2895.61257519175</v>
      </c>
    </row>
    <row r="70" customFormat="false" ht="15" hidden="false" customHeight="false" outlineLevel="0" collapsed="false">
      <c r="A70" s="18" t="n">
        <f aca="false">Datos_Semanales!A70</f>
        <v>30001079</v>
      </c>
      <c r="B70" s="18" t="str">
        <f aca="false">Datos_Semanales!B70</f>
        <v>YOG GRI OIKOS TROZ PPYA 48X110GR</v>
      </c>
      <c r="C70" s="18" t="str">
        <f aca="false">Datos_Semanales!C70</f>
        <v>YOGURT</v>
      </c>
      <c r="D70" s="23" t="n">
        <f aca="false">SUM(Datos_Semanales!F70:K70)</f>
        <v>76528.32</v>
      </c>
      <c r="E70" s="23" t="n">
        <f aca="false">AVERAGE(Datos_Semanales!F70:K70)</f>
        <v>12754.72</v>
      </c>
      <c r="F70" s="23" t="n">
        <f aca="false">STDEV(Datos_Semanales!F70:K70)</f>
        <v>2370.05706543956</v>
      </c>
      <c r="G70" s="27" t="n">
        <f aca="false">IF(E70&gt;0,F70/E70,"")</f>
        <v>0.185818039552383</v>
      </c>
      <c r="H70" s="24" t="n">
        <f aca="false">IF(SUM($D$5:$D$494)&gt;0,D70/SUM($D$5:$D$494),0)</f>
        <v>0.00319002855466497</v>
      </c>
      <c r="I70" s="24" t="n">
        <f aca="false">SUMIF($D$5:$D$494,"&gt;="&amp;D70)/SUM($D$5:$D$494)</f>
        <v>0.673182107591569</v>
      </c>
      <c r="J70" s="3" t="str">
        <f aca="false">IF(D70&lt;=0,"C",IF(I70&lt;=Parametros!$B$4,"A",IF(I70&lt;=Parametros!$B$5,"B","C")))</f>
        <v>A</v>
      </c>
      <c r="K70" s="3" t="str">
        <f aca="false">IF(E70&lt;=0,"Z",IF(G70&lt;=Parametros!$B$6,"X",IF(G70&lt;=Parametros!$B$7,"Y","Z")))</f>
        <v>X</v>
      </c>
      <c r="L70" s="3" t="str">
        <f aca="false">J70&amp;K70</f>
        <v>AX</v>
      </c>
      <c r="M70" s="3" t="str">
        <f aca="false">INDEX(Parametros!$B$23:$B$31,MATCH(L70,Parametros!$A$23:$A$31,0))</f>
        <v>Forecast estadístico casi automático. Ajustes mínimos. SS bajo porque la demanda es estable.</v>
      </c>
      <c r="N70" s="3" t="str">
        <f aca="false">INDEX(Parametros!$C$23:$C$31,MATCH(L70,Parametros!$A$23:$A$31,0))</f>
        <v>Mensual</v>
      </c>
      <c r="O70" s="23" t="n">
        <f aca="false">SUM(Datos_Semanales!M70:R70)</f>
        <v>58706.7259429205</v>
      </c>
      <c r="P70" s="24" t="n">
        <f aca="false">IF(D70&gt;0,SUMPRODUCT(ABS(Datos_Semanales!F70:K70-Datos_Semanales!M70:R70))/D70,"")</f>
        <v>0.23701398096684</v>
      </c>
      <c r="Q70" s="24" t="n">
        <f aca="false">IF(D70&gt;0,O70/D70-1,"")</f>
        <v>-0.232875804108591</v>
      </c>
      <c r="R70" s="23" t="n">
        <f aca="false">SQRT(SUMXMY2(Datos_Semanales!F70:K70,Datos_Semanales!M70:R70)/COUNT(Datos_Semanales!F70:K70))</f>
        <v>4118.63176164011</v>
      </c>
    </row>
    <row r="71" customFormat="false" ht="15" hidden="false" customHeight="false" outlineLevel="0" collapsed="false">
      <c r="A71" s="18" t="n">
        <f aca="false">Datos_Semanales!A71</f>
        <v>30000115</v>
      </c>
      <c r="B71" s="18" t="str">
        <f aca="false">Datos_Semanales!B71</f>
        <v>MANTECA ASTRA 40X200GR</v>
      </c>
      <c r="C71" s="18" t="str">
        <f aca="false">Datos_Semanales!C71</f>
        <v>MANTECAS</v>
      </c>
      <c r="D71" s="23" t="n">
        <f aca="false">SUM(Datos_Semanales!F71:K71)</f>
        <v>76176</v>
      </c>
      <c r="E71" s="23" t="n">
        <f aca="false">AVERAGE(Datos_Semanales!F71:K71)</f>
        <v>12696</v>
      </c>
      <c r="F71" s="23" t="n">
        <f aca="false">STDEV(Datos_Semanales!F71:K71)</f>
        <v>8040.1743264683</v>
      </c>
      <c r="G71" s="27" t="n">
        <f aca="false">IF(E71&gt;0,F71/E71,"")</f>
        <v>0.633284052179293</v>
      </c>
      <c r="H71" s="24" t="n">
        <f aca="false">IF(SUM($D$5:$D$494)&gt;0,D71/SUM($D$5:$D$494),0)</f>
        <v>0.00317534234620803</v>
      </c>
      <c r="I71" s="24" t="n">
        <f aca="false">SUMIF($D$5:$D$494,"&gt;="&amp;D71)/SUM($D$5:$D$494)</f>
        <v>0.676357449937777</v>
      </c>
      <c r="J71" s="3" t="str">
        <f aca="false">IF(D71&lt;=0,"C",IF(I71&lt;=Parametros!$B$4,"A",IF(I71&lt;=Parametros!$B$5,"B","C")))</f>
        <v>A</v>
      </c>
      <c r="K71" s="3" t="str">
        <f aca="false">IF(E71&lt;=0,"Z",IF(G71&lt;=Parametros!$B$6,"X",IF(G71&lt;=Parametros!$B$7,"Y","Z")))</f>
        <v>Y</v>
      </c>
      <c r="L71" s="3" t="str">
        <f aca="false">J71&amp;K71</f>
        <v>AY</v>
      </c>
      <c r="M71" s="3" t="str">
        <f aca="false">INDEX(Parametros!$B$23:$B$31,MATCH(L71,Parametros!$A$23:$A$31,0))</f>
        <v>Alto volumen con variaciones: entender causas (promos, cadenas). Validar con KAM antes de ajustar.</v>
      </c>
      <c r="N71" s="3" t="str">
        <f aca="false">INDEX(Parametros!$C$23:$C$31,MATCH(L71,Parametros!$A$23:$A$31,0))</f>
        <v>Semanal</v>
      </c>
      <c r="O71" s="23" t="n">
        <f aca="false">SUM(Datos_Semanales!M71:R71)</f>
        <v>94609.1727061337</v>
      </c>
      <c r="P71" s="24" t="n">
        <f aca="false">IF(D71&gt;0,SUMPRODUCT(ABS(Datos_Semanales!F71:K71-Datos_Semanales!M71:R71))/D71,"")</f>
        <v>0.272191538286727</v>
      </c>
      <c r="Q71" s="24" t="n">
        <f aca="false">IF(D71&gt;0,O71/D71-1,"")</f>
        <v>0.241981368227967</v>
      </c>
      <c r="R71" s="23" t="n">
        <f aca="false">SQRT(SUMXMY2(Datos_Semanales!F71:K71,Datos_Semanales!M71:R71)/COUNT(Datos_Semanales!F71:K71))</f>
        <v>5636.24251947329</v>
      </c>
    </row>
    <row r="72" customFormat="false" ht="15" hidden="false" customHeight="false" outlineLevel="0" collapsed="false">
      <c r="A72" s="18" t="n">
        <f aca="false">Datos_Semanales!A72</f>
        <v>30001774</v>
      </c>
      <c r="B72" s="18" t="str">
        <f aca="false">Datos_Semanales!B72</f>
        <v>QUESO CALO GAUDA LAM 4X2,5KG</v>
      </c>
      <c r="C72" s="18" t="str">
        <f aca="false">Datos_Semanales!C72</f>
        <v>QUESOS</v>
      </c>
      <c r="D72" s="23" t="n">
        <f aca="false">SUM(Datos_Semanales!F72:K72)</f>
        <v>74643</v>
      </c>
      <c r="E72" s="23" t="n">
        <f aca="false">AVERAGE(Datos_Semanales!F72:K72)</f>
        <v>12440.5</v>
      </c>
      <c r="F72" s="23" t="n">
        <f aca="false">STDEV(Datos_Semanales!F72:K72)</f>
        <v>10351.676091339</v>
      </c>
      <c r="G72" s="27" t="n">
        <f aca="false">IF(E72&gt;0,F72/E72,"")</f>
        <v>0.832094858835178</v>
      </c>
      <c r="H72" s="24" t="n">
        <f aca="false">IF(SUM($D$5:$D$494)&gt;0,D72/SUM($D$5:$D$494),0)</f>
        <v>0.0031114403322307</v>
      </c>
      <c r="I72" s="24" t="n">
        <f aca="false">SUMIF($D$5:$D$494,"&gt;="&amp;D72)/SUM($D$5:$D$494)</f>
        <v>0.679468890270008</v>
      </c>
      <c r="J72" s="3" t="str">
        <f aca="false">IF(D72&lt;=0,"C",IF(I72&lt;=Parametros!$B$4,"A",IF(I72&lt;=Parametros!$B$5,"B","C")))</f>
        <v>A</v>
      </c>
      <c r="K72" s="3" t="str">
        <f aca="false">IF(E72&lt;=0,"Z",IF(G72&lt;=Parametros!$B$6,"X",IF(G72&lt;=Parametros!$B$7,"Y","Z")))</f>
        <v>Y</v>
      </c>
      <c r="L72" s="3" t="str">
        <f aca="false">J72&amp;K72</f>
        <v>AY</v>
      </c>
      <c r="M72" s="3" t="str">
        <f aca="false">INDEX(Parametros!$B$23:$B$31,MATCH(L72,Parametros!$A$23:$A$31,0))</f>
        <v>Alto volumen con variaciones: entender causas (promos, cadenas). Validar con KAM antes de ajustar.</v>
      </c>
      <c r="N72" s="3" t="str">
        <f aca="false">INDEX(Parametros!$C$23:$C$31,MATCH(L72,Parametros!$A$23:$A$31,0))</f>
        <v>Semanal</v>
      </c>
      <c r="O72" s="23" t="n">
        <f aca="false">SUM(Datos_Semanales!M72:R72)</f>
        <v>95728.6270081913</v>
      </c>
      <c r="P72" s="24" t="n">
        <f aca="false">IF(D72&gt;0,SUMPRODUCT(ABS(Datos_Semanales!F72:K72-Datos_Semanales!M72:R72))/D72,"")</f>
        <v>0.388476993746915</v>
      </c>
      <c r="Q72" s="24" t="n">
        <f aca="false">IF(D72&gt;0,O72/D72-1,"")</f>
        <v>0.28248632836557</v>
      </c>
      <c r="R72" s="23" t="n">
        <f aca="false">SQRT(SUMXMY2(Datos_Semanales!F72:K72,Datos_Semanales!M72:R72)/COUNT(Datos_Semanales!F72:K72))</f>
        <v>7797.36527553246</v>
      </c>
    </row>
    <row r="73" customFormat="false" ht="15" hidden="false" customHeight="false" outlineLevel="0" collapsed="false">
      <c r="A73" s="18" t="n">
        <f aca="false">Datos_Semanales!A73</f>
        <v>30002177</v>
      </c>
      <c r="B73" s="18" t="str">
        <f aca="false">Datos_Semanales!B73</f>
        <v>MANJAR LONCOLECHE BOLSA 10X920GR</v>
      </c>
      <c r="C73" s="18" t="str">
        <f aca="false">Datos_Semanales!C73</f>
        <v>MANJAR</v>
      </c>
      <c r="D73" s="23" t="n">
        <f aca="false">SUM(Datos_Semanales!F73:K73)</f>
        <v>73774.8</v>
      </c>
      <c r="E73" s="23" t="n">
        <f aca="false">AVERAGE(Datos_Semanales!F73:K73)</f>
        <v>12295.8</v>
      </c>
      <c r="F73" s="23" t="n">
        <f aca="false">STDEV(Datos_Semanales!F73:K73)</f>
        <v>3153.50851972846</v>
      </c>
      <c r="G73" s="27" t="n">
        <f aca="false">IF(E73&gt;0,F73/E73,"")</f>
        <v>0.256470381734288</v>
      </c>
      <c r="H73" s="24" t="n">
        <f aca="false">IF(SUM($D$5:$D$494)&gt;0,D73/SUM($D$5:$D$494),0)</f>
        <v>0.00307525003312103</v>
      </c>
      <c r="I73" s="24" t="n">
        <f aca="false">SUMIF($D$5:$D$494,"&gt;="&amp;D73)/SUM($D$5:$D$494)</f>
        <v>0.682544140303129</v>
      </c>
      <c r="J73" s="3" t="str">
        <f aca="false">IF(D73&lt;=0,"C",IF(I73&lt;=Parametros!$B$4,"A",IF(I73&lt;=Parametros!$B$5,"B","C")))</f>
        <v>A</v>
      </c>
      <c r="K73" s="3" t="str">
        <f aca="false">IF(E73&lt;=0,"Z",IF(G73&lt;=Parametros!$B$6,"X",IF(G73&lt;=Parametros!$B$7,"Y","Z")))</f>
        <v>X</v>
      </c>
      <c r="L73" s="3" t="str">
        <f aca="false">J73&amp;K73</f>
        <v>AX</v>
      </c>
      <c r="M73" s="3" t="str">
        <f aca="false">INDEX(Parametros!$B$23:$B$31,MATCH(L73,Parametros!$A$23:$A$31,0))</f>
        <v>Forecast estadístico casi automático. Ajustes mínimos. SS bajo porque la demanda es estable.</v>
      </c>
      <c r="N73" s="3" t="str">
        <f aca="false">INDEX(Parametros!$C$23:$C$31,MATCH(L73,Parametros!$A$23:$A$31,0))</f>
        <v>Mensual</v>
      </c>
      <c r="O73" s="23" t="n">
        <f aca="false">SUM(Datos_Semanales!M73:R73)</f>
        <v>83918.7982926306</v>
      </c>
      <c r="P73" s="24" t="n">
        <f aca="false">IF(D73&gt;0,SUMPRODUCT(ABS(Datos_Semanales!F73:K73-Datos_Semanales!M73:R73))/D73,"")</f>
        <v>0.233380480768915</v>
      </c>
      <c r="Q73" s="24" t="n">
        <f aca="false">IF(D73&gt;0,O73/D73-1,"")</f>
        <v>0.137499502440272</v>
      </c>
      <c r="R73" s="23" t="n">
        <f aca="false">SQRT(SUMXMY2(Datos_Semanales!F73:K73,Datos_Semanales!M73:R73)/COUNT(Datos_Semanales!F73:K73))</f>
        <v>3625.64310127906</v>
      </c>
    </row>
    <row r="74" customFormat="false" ht="15" hidden="false" customHeight="false" outlineLevel="0" collapsed="false">
      <c r="A74" s="18" t="n">
        <f aca="false">Datos_Semanales!A74</f>
        <v>30002336</v>
      </c>
      <c r="B74" s="18" t="str">
        <f aca="false">Datos_Semanales!B74</f>
        <v>QUESO GAUDA CALO 4PIEZA 2,5 KG</v>
      </c>
      <c r="C74" s="18" t="str">
        <f aca="false">Datos_Semanales!C74</f>
        <v>QUESOS</v>
      </c>
      <c r="D74" s="23" t="n">
        <f aca="false">SUM(Datos_Semanales!F74:K74)</f>
        <v>73451</v>
      </c>
      <c r="E74" s="23" t="n">
        <f aca="false">AVERAGE(Datos_Semanales!F74:K74)</f>
        <v>12241.8333333333</v>
      </c>
      <c r="F74" s="23" t="n">
        <f aca="false">STDEV(Datos_Semanales!F74:K74)</f>
        <v>4811.32736016441</v>
      </c>
      <c r="G74" s="27" t="n">
        <f aca="false">IF(E74&gt;0,F74/E74,"")</f>
        <v>0.393023432778131</v>
      </c>
      <c r="H74" s="24" t="n">
        <f aca="false">IF(SUM($D$5:$D$494)&gt;0,D74/SUM($D$5:$D$494),0)</f>
        <v>0.00306175266056666</v>
      </c>
      <c r="I74" s="24" t="n">
        <f aca="false">SUMIF($D$5:$D$494,"&gt;="&amp;D74)/SUM($D$5:$D$494)</f>
        <v>0.685605892963695</v>
      </c>
      <c r="J74" s="3" t="str">
        <f aca="false">IF(D74&lt;=0,"C",IF(I74&lt;=Parametros!$B$4,"A",IF(I74&lt;=Parametros!$B$5,"B","C")))</f>
        <v>A</v>
      </c>
      <c r="K74" s="3" t="str">
        <f aca="false">IF(E74&lt;=0,"Z",IF(G74&lt;=Parametros!$B$6,"X",IF(G74&lt;=Parametros!$B$7,"Y","Z")))</f>
        <v>X</v>
      </c>
      <c r="L74" s="3" t="str">
        <f aca="false">J74&amp;K74</f>
        <v>AX</v>
      </c>
      <c r="M74" s="3" t="str">
        <f aca="false">INDEX(Parametros!$B$23:$B$31,MATCH(L74,Parametros!$A$23:$A$31,0))</f>
        <v>Forecast estadístico casi automático. Ajustes mínimos. SS bajo porque la demanda es estable.</v>
      </c>
      <c r="N74" s="3" t="str">
        <f aca="false">INDEX(Parametros!$C$23:$C$31,MATCH(L74,Parametros!$A$23:$A$31,0))</f>
        <v>Mensual</v>
      </c>
      <c r="O74" s="23" t="n">
        <f aca="false">SUM(Datos_Semanales!M74:R74)</f>
        <v>56569.5162328811</v>
      </c>
      <c r="P74" s="24" t="n">
        <f aca="false">IF(D74&gt;0,SUMPRODUCT(ABS(Datos_Semanales!F74:K74-Datos_Semanales!M74:R74))/D74,"")</f>
        <v>0.257095402677957</v>
      </c>
      <c r="Q74" s="24" t="n">
        <f aca="false">IF(D74&gt;0,O74/D74-1,"")</f>
        <v>-0.229833273435608</v>
      </c>
      <c r="R74" s="23" t="n">
        <f aca="false">SQRT(SUMXMY2(Datos_Semanales!F74:K74,Datos_Semanales!M74:R74)/COUNT(Datos_Semanales!F74:K74))</f>
        <v>4793.48899772283</v>
      </c>
    </row>
    <row r="75" customFormat="false" ht="15" hidden="false" customHeight="false" outlineLevel="0" collapsed="false">
      <c r="A75" s="18" t="n">
        <f aca="false">Datos_Semanales!A75</f>
        <v>30000206</v>
      </c>
      <c r="B75" s="18" t="str">
        <f aca="false">Datos_Semanales!B75</f>
        <v>NECTAR WATTS MZNA LIGHT 30X200ML</v>
      </c>
      <c r="C75" s="18" t="str">
        <f aca="false">Datos_Semanales!C75</f>
        <v>-</v>
      </c>
      <c r="D75" s="23" t="n">
        <f aca="false">SUM(Datos_Semanales!F75:K75)</f>
        <v>72228</v>
      </c>
      <c r="E75" s="23" t="n">
        <f aca="false">AVERAGE(Datos_Semanales!F75:K75)</f>
        <v>12038</v>
      </c>
      <c r="F75" s="23" t="n">
        <f aca="false">STDEV(Datos_Semanales!F75:K75)</f>
        <v>3439.62928235006</v>
      </c>
      <c r="G75" s="27" t="n">
        <f aca="false">IF(E75&gt;0,F75/E75,"")</f>
        <v>0.285730958826222</v>
      </c>
      <c r="H75" s="24" t="n">
        <f aca="false">IF(SUM($D$5:$D$494)&gt;0,D75/SUM($D$5:$D$494),0)</f>
        <v>0.00301077277596505</v>
      </c>
      <c r="I75" s="24" t="n">
        <f aca="false">SUMIF($D$5:$D$494,"&gt;="&amp;D75)/SUM($D$5:$D$494)</f>
        <v>0.68861666573966</v>
      </c>
      <c r="J75" s="3" t="str">
        <f aca="false">IF(D75&lt;=0,"C",IF(I75&lt;=Parametros!$B$4,"A",IF(I75&lt;=Parametros!$B$5,"B","C")))</f>
        <v>A</v>
      </c>
      <c r="K75" s="3" t="str">
        <f aca="false">IF(E75&lt;=0,"Z",IF(G75&lt;=Parametros!$B$6,"X",IF(G75&lt;=Parametros!$B$7,"Y","Z")))</f>
        <v>X</v>
      </c>
      <c r="L75" s="3" t="str">
        <f aca="false">J75&amp;K75</f>
        <v>AX</v>
      </c>
      <c r="M75" s="3" t="str">
        <f aca="false">INDEX(Parametros!$B$23:$B$31,MATCH(L75,Parametros!$A$23:$A$31,0))</f>
        <v>Forecast estadístico casi automático. Ajustes mínimos. SS bajo porque la demanda es estable.</v>
      </c>
      <c r="N75" s="3" t="str">
        <f aca="false">INDEX(Parametros!$C$23:$C$31,MATCH(L75,Parametros!$A$23:$A$31,0))</f>
        <v>Mensual</v>
      </c>
      <c r="O75" s="23" t="n">
        <f aca="false">SUM(Datos_Semanales!M75:R75)</f>
        <v>74903.22746998</v>
      </c>
      <c r="P75" s="24" t="n">
        <f aca="false">IF(D75&gt;0,SUMPRODUCT(ABS(Datos_Semanales!F75:K75-Datos_Semanales!M75:R75))/D75,"")</f>
        <v>0.17167979550839</v>
      </c>
      <c r="Q75" s="24" t="n">
        <f aca="false">IF(D75&gt;0,O75/D75-1,"")</f>
        <v>0.0370386480309575</v>
      </c>
      <c r="R75" s="23" t="n">
        <f aca="false">SQRT(SUMXMY2(Datos_Semanales!F75:K75,Datos_Semanales!M75:R75)/COUNT(Datos_Semanales!F75:K75))</f>
        <v>2654.09041869515</v>
      </c>
    </row>
    <row r="76" customFormat="false" ht="15" hidden="false" customHeight="false" outlineLevel="0" collapsed="false">
      <c r="A76" s="18" t="n">
        <f aca="false">Datos_Semanales!A76</f>
        <v>30001058</v>
      </c>
      <c r="B76" s="18" t="str">
        <f aca="false">Datos_Semanales!B76</f>
        <v>LONCO PROTEIN YOG ARANDA 24X140GR</v>
      </c>
      <c r="C76" s="18" t="str">
        <f aca="false">Datos_Semanales!C76</f>
        <v>YOGURT</v>
      </c>
      <c r="D76" s="23" t="n">
        <f aca="false">SUM(Datos_Semanales!F76:K76)</f>
        <v>72135.84</v>
      </c>
      <c r="E76" s="23" t="n">
        <f aca="false">AVERAGE(Datos_Semanales!F76:K76)</f>
        <v>12022.64</v>
      </c>
      <c r="F76" s="23" t="n">
        <f aca="false">STDEV(Datos_Semanales!F76:K76)</f>
        <v>2207.71117589235</v>
      </c>
      <c r="G76" s="27" t="n">
        <f aca="false">IF(E76&gt;0,F76/E76,"")</f>
        <v>0.183629483698452</v>
      </c>
      <c r="H76" s="24" t="n">
        <f aca="false">IF(SUM($D$5:$D$494)&gt;0,D76/SUM($D$5:$D$494),0)</f>
        <v>0.00300693115195451</v>
      </c>
      <c r="I76" s="24" t="n">
        <f aca="false">SUMIF($D$5:$D$494,"&gt;="&amp;D76)/SUM($D$5:$D$494)</f>
        <v>0.691623596891615</v>
      </c>
      <c r="J76" s="3" t="str">
        <f aca="false">IF(D76&lt;=0,"C",IF(I76&lt;=Parametros!$B$4,"A",IF(I76&lt;=Parametros!$B$5,"B","C")))</f>
        <v>A</v>
      </c>
      <c r="K76" s="3" t="str">
        <f aca="false">IF(E76&lt;=0,"Z",IF(G76&lt;=Parametros!$B$6,"X",IF(G76&lt;=Parametros!$B$7,"Y","Z")))</f>
        <v>X</v>
      </c>
      <c r="L76" s="3" t="str">
        <f aca="false">J76&amp;K76</f>
        <v>AX</v>
      </c>
      <c r="M76" s="3" t="str">
        <f aca="false">INDEX(Parametros!$B$23:$B$31,MATCH(L76,Parametros!$A$23:$A$31,0))</f>
        <v>Forecast estadístico casi automático. Ajustes mínimos. SS bajo porque la demanda es estable.</v>
      </c>
      <c r="N76" s="3" t="str">
        <f aca="false">INDEX(Parametros!$C$23:$C$31,MATCH(L76,Parametros!$A$23:$A$31,0))</f>
        <v>Mensual</v>
      </c>
      <c r="O76" s="23" t="n">
        <f aca="false">SUM(Datos_Semanales!M76:R76)</f>
        <v>60140.3158423007</v>
      </c>
      <c r="P76" s="24" t="n">
        <f aca="false">IF(D76&gt;0,SUMPRODUCT(ABS(Datos_Semanales!F76:K76-Datos_Semanales!M76:R76))/D76,"")</f>
        <v>0.263781372390222</v>
      </c>
      <c r="Q76" s="24" t="n">
        <f aca="false">IF(D76&gt;0,O76/D76-1,"")</f>
        <v>-0.166290766943301</v>
      </c>
      <c r="R76" s="23" t="n">
        <f aca="false">SQRT(SUMXMY2(Datos_Semanales!F76:K76,Datos_Semanales!M76:R76)/COUNT(Datos_Semanales!F76:K76))</f>
        <v>3964.47211709082</v>
      </c>
    </row>
    <row r="77" customFormat="false" ht="15" hidden="false" customHeight="false" outlineLevel="0" collapsed="false">
      <c r="A77" s="18" t="n">
        <f aca="false">Datos_Semanales!A77</f>
        <v>30001489</v>
      </c>
      <c r="B77" s="18" t="str">
        <f aca="false">Datos_Semanales!B77</f>
        <v>YOGURT OIKOS CHOCO CRUNCH 12X142GR</v>
      </c>
      <c r="C77" s="18" t="str">
        <f aca="false">Datos_Semanales!C77</f>
        <v>YOGURT</v>
      </c>
      <c r="D77" s="23" t="n">
        <f aca="false">SUM(Datos_Semanales!F77:K77)</f>
        <v>71172.672</v>
      </c>
      <c r="E77" s="23" t="n">
        <f aca="false">AVERAGE(Datos_Semanales!F77:K77)</f>
        <v>11862.112</v>
      </c>
      <c r="F77" s="23" t="n">
        <f aca="false">STDEV(Datos_Semanales!F77:K77)</f>
        <v>2290.54584632677</v>
      </c>
      <c r="G77" s="27" t="n">
        <f aca="false">IF(E77&gt;0,F77/E77,"")</f>
        <v>0.193097641155872</v>
      </c>
      <c r="H77" s="24" t="n">
        <f aca="false">IF(SUM($D$5:$D$494)&gt;0,D77/SUM($D$5:$D$494),0)</f>
        <v>0.00296678217935274</v>
      </c>
      <c r="I77" s="24" t="n">
        <f aca="false">SUMIF($D$5:$D$494,"&gt;="&amp;D77)/SUM($D$5:$D$494)</f>
        <v>0.694590379070968</v>
      </c>
      <c r="J77" s="3" t="str">
        <f aca="false">IF(D77&lt;=0,"C",IF(I77&lt;=Parametros!$B$4,"A",IF(I77&lt;=Parametros!$B$5,"B","C")))</f>
        <v>A</v>
      </c>
      <c r="K77" s="3" t="str">
        <f aca="false">IF(E77&lt;=0,"Z",IF(G77&lt;=Parametros!$B$6,"X",IF(G77&lt;=Parametros!$B$7,"Y","Z")))</f>
        <v>X</v>
      </c>
      <c r="L77" s="3" t="str">
        <f aca="false">J77&amp;K77</f>
        <v>AX</v>
      </c>
      <c r="M77" s="3" t="str">
        <f aca="false">INDEX(Parametros!$B$23:$B$31,MATCH(L77,Parametros!$A$23:$A$31,0))</f>
        <v>Forecast estadístico casi automático. Ajustes mínimos. SS bajo porque la demanda es estable.</v>
      </c>
      <c r="N77" s="3" t="str">
        <f aca="false">INDEX(Parametros!$C$23:$C$31,MATCH(L77,Parametros!$A$23:$A$31,0))</f>
        <v>Mensual</v>
      </c>
      <c r="O77" s="23" t="n">
        <f aca="false">SUM(Datos_Semanales!M77:R77)</f>
        <v>69603.0429940041</v>
      </c>
      <c r="P77" s="24" t="n">
        <f aca="false">IF(D77&gt;0,SUMPRODUCT(ABS(Datos_Semanales!F77:K77-Datos_Semanales!M77:R77))/D77,"")</f>
        <v>0.122979675463678</v>
      </c>
      <c r="Q77" s="24" t="n">
        <f aca="false">IF(D77&gt;0,O77/D77-1,"")</f>
        <v>-0.0220538159083861</v>
      </c>
      <c r="R77" s="23" t="n">
        <f aca="false">SQRT(SUMXMY2(Datos_Semanales!F77:K77,Datos_Semanales!M77:R77)/COUNT(Datos_Semanales!F77:K77))</f>
        <v>1756.04346897533</v>
      </c>
    </row>
    <row r="78" customFormat="false" ht="15" hidden="false" customHeight="false" outlineLevel="0" collapsed="false">
      <c r="A78" s="18" t="n">
        <f aca="false">Datos_Semanales!A78</f>
        <v>30001043</v>
      </c>
      <c r="B78" s="18" t="str">
        <f aca="false">Datos_Semanales!B78</f>
        <v>YOG CALAN CHIRIMOYA UNIV 48X110GR</v>
      </c>
      <c r="C78" s="18" t="str">
        <f aca="false">Datos_Semanales!C78</f>
        <v>YOGURT</v>
      </c>
      <c r="D78" s="23" t="n">
        <f aca="false">SUM(Datos_Semanales!F78:K78)</f>
        <v>70297.92</v>
      </c>
      <c r="E78" s="23" t="n">
        <f aca="false">AVERAGE(Datos_Semanales!F78:K78)</f>
        <v>11716.32</v>
      </c>
      <c r="F78" s="23" t="n">
        <f aca="false">STDEV(Datos_Semanales!F78:K78)</f>
        <v>4511.26116844503</v>
      </c>
      <c r="G78" s="27" t="n">
        <f aca="false">IF(E78&gt;0,F78/E78,"")</f>
        <v>0.385040795099914</v>
      </c>
      <c r="H78" s="24" t="n">
        <f aca="false">IF(SUM($D$5:$D$494)&gt;0,D78/SUM($D$5:$D$494),0)</f>
        <v>0.00293031876478608</v>
      </c>
      <c r="I78" s="24" t="n">
        <f aca="false">SUMIF($D$5:$D$494,"&gt;="&amp;D78)/SUM($D$5:$D$494)</f>
        <v>0.697520697835754</v>
      </c>
      <c r="J78" s="3" t="str">
        <f aca="false">IF(D78&lt;=0,"C",IF(I78&lt;=Parametros!$B$4,"A",IF(I78&lt;=Parametros!$B$5,"B","C")))</f>
        <v>A</v>
      </c>
      <c r="K78" s="3" t="str">
        <f aca="false">IF(E78&lt;=0,"Z",IF(G78&lt;=Parametros!$B$6,"X",IF(G78&lt;=Parametros!$B$7,"Y","Z")))</f>
        <v>X</v>
      </c>
      <c r="L78" s="3" t="str">
        <f aca="false">J78&amp;K78</f>
        <v>AX</v>
      </c>
      <c r="M78" s="3" t="str">
        <f aca="false">INDEX(Parametros!$B$23:$B$31,MATCH(L78,Parametros!$A$23:$A$31,0))</f>
        <v>Forecast estadístico casi automático. Ajustes mínimos. SS bajo porque la demanda es estable.</v>
      </c>
      <c r="N78" s="3" t="str">
        <f aca="false">INDEX(Parametros!$C$23:$C$31,MATCH(L78,Parametros!$A$23:$A$31,0))</f>
        <v>Mensual</v>
      </c>
      <c r="O78" s="23" t="n">
        <f aca="false">SUM(Datos_Semanales!M78:R78)</f>
        <v>74445.0181103838</v>
      </c>
      <c r="P78" s="24" t="n">
        <f aca="false">IF(D78&gt;0,SUMPRODUCT(ABS(Datos_Semanales!F78:K78-Datos_Semanales!M78:R78))/D78,"")</f>
        <v>0.439130124452164</v>
      </c>
      <c r="Q78" s="24" t="n">
        <f aca="false">IF(D78&gt;0,O78/D78-1,"")</f>
        <v>0.058993183729815</v>
      </c>
      <c r="R78" s="23" t="n">
        <f aca="false">SQRT(SUMXMY2(Datos_Semanales!F78:K78,Datos_Semanales!M78:R78)/COUNT(Datos_Semanales!F78:K78))</f>
        <v>6500.16086002061</v>
      </c>
    </row>
    <row r="79" customFormat="false" ht="15" hidden="false" customHeight="false" outlineLevel="0" collapsed="false">
      <c r="A79" s="18" t="n">
        <f aca="false">Datos_Semanales!A79</f>
        <v>30000300</v>
      </c>
      <c r="B79" s="18" t="str">
        <f aca="false">Datos_Semanales!B79</f>
        <v>LECHE PLATANO LONCO 30X200ML</v>
      </c>
      <c r="C79" s="18" t="str">
        <f aca="false">Datos_Semanales!C79</f>
        <v>LECHES LIQUIDAS</v>
      </c>
      <c r="D79" s="23" t="n">
        <f aca="false">SUM(Datos_Semanales!F79:K79)</f>
        <v>69996</v>
      </c>
      <c r="E79" s="23" t="n">
        <f aca="false">AVERAGE(Datos_Semanales!F79:K79)</f>
        <v>11666</v>
      </c>
      <c r="F79" s="23" t="n">
        <f aca="false">STDEV(Datos_Semanales!F79:K79)</f>
        <v>3104.59891129273</v>
      </c>
      <c r="G79" s="27" t="n">
        <f aca="false">IF(E79&gt;0,F79/E79,"")</f>
        <v>0.26612368517853</v>
      </c>
      <c r="H79" s="24" t="n">
        <f aca="false">IF(SUM($D$5:$D$494)&gt;0,D79/SUM($D$5:$D$494),0)</f>
        <v>0.00291773344445989</v>
      </c>
      <c r="I79" s="24" t="n">
        <f aca="false">SUMIF($D$5:$D$494,"&gt;="&amp;D79)/SUM($D$5:$D$494)</f>
        <v>0.700438431280213</v>
      </c>
      <c r="J79" s="3" t="str">
        <f aca="false">IF(D79&lt;=0,"C",IF(I79&lt;=Parametros!$B$4,"A",IF(I79&lt;=Parametros!$B$5,"B","C")))</f>
        <v>A</v>
      </c>
      <c r="K79" s="3" t="str">
        <f aca="false">IF(E79&lt;=0,"Z",IF(G79&lt;=Parametros!$B$6,"X",IF(G79&lt;=Parametros!$B$7,"Y","Z")))</f>
        <v>X</v>
      </c>
      <c r="L79" s="3" t="str">
        <f aca="false">J79&amp;K79</f>
        <v>AX</v>
      </c>
      <c r="M79" s="3" t="str">
        <f aca="false">INDEX(Parametros!$B$23:$B$31,MATCH(L79,Parametros!$A$23:$A$31,0))</f>
        <v>Forecast estadístico casi automático. Ajustes mínimos. SS bajo porque la demanda es estable.</v>
      </c>
      <c r="N79" s="3" t="str">
        <f aca="false">INDEX(Parametros!$C$23:$C$31,MATCH(L79,Parametros!$A$23:$A$31,0))</f>
        <v>Mensual</v>
      </c>
      <c r="O79" s="23" t="n">
        <f aca="false">SUM(Datos_Semanales!M79:R79)</f>
        <v>57950.7305531949</v>
      </c>
      <c r="P79" s="24" t="n">
        <f aca="false">IF(D79&gt;0,SUMPRODUCT(ABS(Datos_Semanales!F79:K79-Datos_Semanales!M79:R79))/D79,"")</f>
        <v>0.252344373584007</v>
      </c>
      <c r="Q79" s="24" t="n">
        <f aca="false">IF(D79&gt;0,O79/D79-1,"")</f>
        <v>-0.172085111246429</v>
      </c>
      <c r="R79" s="23" t="n">
        <f aca="false">SQRT(SUMXMY2(Datos_Semanales!F79:K79,Datos_Semanales!M79:R79)/COUNT(Datos_Semanales!F79:K79))</f>
        <v>3980.09967834701</v>
      </c>
    </row>
    <row r="80" customFormat="false" ht="15" hidden="false" customHeight="false" outlineLevel="0" collapsed="false">
      <c r="A80" s="18" t="n">
        <f aca="false">Datos_Semanales!A80</f>
        <v>30001977</v>
      </c>
      <c r="B80" s="18" t="str">
        <f aca="false">Datos_Semanales!B80</f>
        <v>BEBIDA LONCOLECHE VEGETAL ALMENDRA 6X1LT</v>
      </c>
      <c r="C80" s="18" t="str">
        <f aca="false">Datos_Semanales!C80</f>
        <v>LECHES LIQUIDAS</v>
      </c>
      <c r="D80" s="23" t="n">
        <f aca="false">SUM(Datos_Semanales!F80:K80)</f>
        <v>69702</v>
      </c>
      <c r="E80" s="23" t="n">
        <f aca="false">AVERAGE(Datos_Semanales!F80:K80)</f>
        <v>11617</v>
      </c>
      <c r="F80" s="23" t="n">
        <f aca="false">STDEV(Datos_Semanales!F80:K80)</f>
        <v>3571.66330999998</v>
      </c>
      <c r="G80" s="27" t="n">
        <f aca="false">IF(E80&gt;0,F80/E80,"")</f>
        <v>0.307451434105189</v>
      </c>
      <c r="H80" s="24" t="n">
        <f aca="false">IF(SUM($D$5:$D$494)&gt;0,D80/SUM($D$5:$D$494),0)</f>
        <v>0.00290547826369712</v>
      </c>
      <c r="I80" s="24" t="n">
        <f aca="false">SUMIF($D$5:$D$494,"&gt;="&amp;D80)/SUM($D$5:$D$494)</f>
        <v>0.703343909543911</v>
      </c>
      <c r="J80" s="3" t="str">
        <f aca="false">IF(D80&lt;=0,"C",IF(I80&lt;=Parametros!$B$4,"A",IF(I80&lt;=Parametros!$B$5,"B","C")))</f>
        <v>A</v>
      </c>
      <c r="K80" s="3" t="str">
        <f aca="false">IF(E80&lt;=0,"Z",IF(G80&lt;=Parametros!$B$6,"X",IF(G80&lt;=Parametros!$B$7,"Y","Z")))</f>
        <v>X</v>
      </c>
      <c r="L80" s="3" t="str">
        <f aca="false">J80&amp;K80</f>
        <v>AX</v>
      </c>
      <c r="M80" s="3" t="str">
        <f aca="false">INDEX(Parametros!$B$23:$B$31,MATCH(L80,Parametros!$A$23:$A$31,0))</f>
        <v>Forecast estadístico casi automático. Ajustes mínimos. SS bajo porque la demanda es estable.</v>
      </c>
      <c r="N80" s="3" t="str">
        <f aca="false">INDEX(Parametros!$C$23:$C$31,MATCH(L80,Parametros!$A$23:$A$31,0))</f>
        <v>Mensual</v>
      </c>
      <c r="O80" s="23" t="n">
        <f aca="false">SUM(Datos_Semanales!M80:R80)</f>
        <v>57313.8953411194</v>
      </c>
      <c r="P80" s="24" t="n">
        <f aca="false">IF(D80&gt;0,SUMPRODUCT(ABS(Datos_Semanales!F80:K80-Datos_Semanales!M80:R80))/D80,"")</f>
        <v>0.419723613972617</v>
      </c>
      <c r="Q80" s="24" t="n">
        <f aca="false">IF(D80&gt;0,O80/D80-1,"")</f>
        <v>-0.177729543755999</v>
      </c>
      <c r="R80" s="23" t="n">
        <f aca="false">SQRT(SUMXMY2(Datos_Semanales!F80:K80,Datos_Semanales!M80:R80)/COUNT(Datos_Semanales!F80:K80))</f>
        <v>5754.82962064391</v>
      </c>
    </row>
    <row r="81" customFormat="false" ht="15" hidden="false" customHeight="false" outlineLevel="0" collapsed="false">
      <c r="A81" s="18" t="n">
        <f aca="false">Datos_Semanales!A81</f>
        <v>30001362</v>
      </c>
      <c r="B81" s="18" t="str">
        <f aca="false">Datos_Semanales!B81</f>
        <v>ACEITE CHEF EXTRAVIRGEN 6X1LT</v>
      </c>
      <c r="C81" s="18" t="str">
        <f aca="false">Datos_Semanales!C81</f>
        <v>ACEITES</v>
      </c>
      <c r="D81" s="23" t="n">
        <f aca="false">SUM(Datos_Semanales!F81:K81)</f>
        <v>69563.04</v>
      </c>
      <c r="E81" s="23" t="n">
        <f aca="false">AVERAGE(Datos_Semanales!F81:K81)</f>
        <v>11593.84</v>
      </c>
      <c r="F81" s="23" t="n">
        <f aca="false">STDEV(Datos_Semanales!F81:K81)</f>
        <v>4495.9899051844</v>
      </c>
      <c r="G81" s="27" t="n">
        <f aca="false">IF(E81&gt;0,F81/E81,"")</f>
        <v>0.387791267188817</v>
      </c>
      <c r="H81" s="24" t="n">
        <f aca="false">IF(SUM($D$5:$D$494)&gt;0,D81/SUM($D$5:$D$494),0)</f>
        <v>0.00289968581499373</v>
      </c>
      <c r="I81" s="24" t="n">
        <f aca="false">SUMIF($D$5:$D$494,"&gt;="&amp;D81)/SUM($D$5:$D$494)</f>
        <v>0.706243595358904</v>
      </c>
      <c r="J81" s="3" t="str">
        <f aca="false">IF(D81&lt;=0,"C",IF(I81&lt;=Parametros!$B$4,"A",IF(I81&lt;=Parametros!$B$5,"B","C")))</f>
        <v>A</v>
      </c>
      <c r="K81" s="3" t="str">
        <f aca="false">IF(E81&lt;=0,"Z",IF(G81&lt;=Parametros!$B$6,"X",IF(G81&lt;=Parametros!$B$7,"Y","Z")))</f>
        <v>X</v>
      </c>
      <c r="L81" s="3" t="str">
        <f aca="false">J81&amp;K81</f>
        <v>AX</v>
      </c>
      <c r="M81" s="3" t="str">
        <f aca="false">INDEX(Parametros!$B$23:$B$31,MATCH(L81,Parametros!$A$23:$A$31,0))</f>
        <v>Forecast estadístico casi automático. Ajustes mínimos. SS bajo porque la demanda es estable.</v>
      </c>
      <c r="N81" s="3" t="str">
        <f aca="false">INDEX(Parametros!$C$23:$C$31,MATCH(L81,Parametros!$A$23:$A$31,0))</f>
        <v>Mensual</v>
      </c>
      <c r="O81" s="23" t="n">
        <f aca="false">SUM(Datos_Semanales!M81:R81)</f>
        <v>64354.72</v>
      </c>
      <c r="P81" s="24" t="n">
        <f aca="false">IF(D81&gt;0,SUMPRODUCT(ABS(Datos_Semanales!F81:K81-Datos_Semanales!M81:R81))/D81,"")</f>
        <v>0.227424218378035</v>
      </c>
      <c r="Q81" s="24" t="n">
        <f aca="false">IF(D81&gt;0,O81/D81-1,"")</f>
        <v>-0.0748719434918314</v>
      </c>
      <c r="R81" s="23" t="n">
        <f aca="false">SQRT(SUMXMY2(Datos_Semanales!F81:K81,Datos_Semanales!M81:R81)/COUNT(Datos_Semanales!F81:K81))</f>
        <v>2752.99806126581</v>
      </c>
    </row>
    <row r="82" customFormat="false" ht="15" hidden="false" customHeight="false" outlineLevel="0" collapsed="false">
      <c r="A82" s="18" t="n">
        <f aca="false">Datos_Semanales!A82</f>
        <v>30001057</v>
      </c>
      <c r="B82" s="18" t="str">
        <f aca="false">Datos_Semanales!B82</f>
        <v>LONCO PROTEIN YOG VLLA 24X140GR</v>
      </c>
      <c r="C82" s="18" t="str">
        <f aca="false">Datos_Semanales!C82</f>
        <v>YOGURT</v>
      </c>
      <c r="D82" s="23" t="n">
        <f aca="false">SUM(Datos_Semanales!F82:K82)</f>
        <v>67472.16</v>
      </c>
      <c r="E82" s="23" t="n">
        <f aca="false">AVERAGE(Datos_Semanales!F82:K82)</f>
        <v>11245.36</v>
      </c>
      <c r="F82" s="23" t="n">
        <f aca="false">STDEV(Datos_Semanales!F82:K82)</f>
        <v>3273.51984066081</v>
      </c>
      <c r="G82" s="27" t="n">
        <f aca="false">IF(E82&gt;0,F82/E82,"")</f>
        <v>0.291099603806442</v>
      </c>
      <c r="H82" s="24" t="n">
        <f aca="false">IF(SUM($D$5:$D$494)&gt;0,D82/SUM($D$5:$D$494),0)</f>
        <v>0.00281252897025472</v>
      </c>
      <c r="I82" s="24" t="n">
        <f aca="false">SUMIF($D$5:$D$494,"&gt;="&amp;D82)/SUM($D$5:$D$494)</f>
        <v>0.709056124329159</v>
      </c>
      <c r="J82" s="3" t="str">
        <f aca="false">IF(D82&lt;=0,"C",IF(I82&lt;=Parametros!$B$4,"A",IF(I82&lt;=Parametros!$B$5,"B","C")))</f>
        <v>A</v>
      </c>
      <c r="K82" s="3" t="str">
        <f aca="false">IF(E82&lt;=0,"Z",IF(G82&lt;=Parametros!$B$6,"X",IF(G82&lt;=Parametros!$B$7,"Y","Z")))</f>
        <v>X</v>
      </c>
      <c r="L82" s="3" t="str">
        <f aca="false">J82&amp;K82</f>
        <v>AX</v>
      </c>
      <c r="M82" s="3" t="str">
        <f aca="false">INDEX(Parametros!$B$23:$B$31,MATCH(L82,Parametros!$A$23:$A$31,0))</f>
        <v>Forecast estadístico casi automático. Ajustes mínimos. SS bajo porque la demanda es estable.</v>
      </c>
      <c r="N82" s="3" t="str">
        <f aca="false">INDEX(Parametros!$C$23:$C$31,MATCH(L82,Parametros!$A$23:$A$31,0))</f>
        <v>Mensual</v>
      </c>
      <c r="O82" s="23" t="n">
        <f aca="false">SUM(Datos_Semanales!M82:R82)</f>
        <v>69790.1506574251</v>
      </c>
      <c r="P82" s="24" t="n">
        <f aca="false">IF(D82&gt;0,SUMPRODUCT(ABS(Datos_Semanales!F82:K82-Datos_Semanales!M82:R82))/D82,"")</f>
        <v>0.194526435008086</v>
      </c>
      <c r="Q82" s="24" t="n">
        <f aca="false">IF(D82&gt;0,O82/D82-1,"")</f>
        <v>0.0343547717669792</v>
      </c>
      <c r="R82" s="23" t="n">
        <f aca="false">SQRT(SUMXMY2(Datos_Semanales!F82:K82,Datos_Semanales!M82:R82)/COUNT(Datos_Semanales!F82:K82))</f>
        <v>2616.82429705235</v>
      </c>
    </row>
    <row r="83" customFormat="false" ht="15" hidden="false" customHeight="false" outlineLevel="0" collapsed="false">
      <c r="A83" s="18" t="n">
        <f aca="false">Datos_Semanales!A83</f>
        <v>30000398</v>
      </c>
      <c r="B83" s="18" t="str">
        <f aca="false">Datos_Semanales!B83</f>
        <v>LECHE S/LACT CHOC LONCO 30X200ML</v>
      </c>
      <c r="C83" s="18" t="str">
        <f aca="false">Datos_Semanales!C83</f>
        <v>LECHES LIQUIDAS</v>
      </c>
      <c r="D83" s="23" t="n">
        <f aca="false">SUM(Datos_Semanales!F83:K83)</f>
        <v>66624</v>
      </c>
      <c r="E83" s="23" t="n">
        <f aca="false">AVERAGE(Datos_Semanales!F83:K83)</f>
        <v>11104</v>
      </c>
      <c r="F83" s="23" t="n">
        <f aca="false">STDEV(Datos_Semanales!F83:K83)</f>
        <v>1938.89948166479</v>
      </c>
      <c r="G83" s="27" t="n">
        <f aca="false">IF(E83&gt;0,F83/E83,"")</f>
        <v>0.174612705481339</v>
      </c>
      <c r="H83" s="24" t="n">
        <f aca="false">IF(SUM($D$5:$D$494)&gt;0,D83/SUM($D$5:$D$494),0)</f>
        <v>0.00277717402428276</v>
      </c>
      <c r="I83" s="24" t="n">
        <f aca="false">SUMIF($D$5:$D$494,"&gt;="&amp;D83)/SUM($D$5:$D$494)</f>
        <v>0.711833298353442</v>
      </c>
      <c r="J83" s="3" t="str">
        <f aca="false">IF(D83&lt;=0,"C",IF(I83&lt;=Parametros!$B$4,"A",IF(I83&lt;=Parametros!$B$5,"B","C")))</f>
        <v>A</v>
      </c>
      <c r="K83" s="3" t="str">
        <f aca="false">IF(E83&lt;=0,"Z",IF(G83&lt;=Parametros!$B$6,"X",IF(G83&lt;=Parametros!$B$7,"Y","Z")))</f>
        <v>X</v>
      </c>
      <c r="L83" s="3" t="str">
        <f aca="false">J83&amp;K83</f>
        <v>AX</v>
      </c>
      <c r="M83" s="3" t="str">
        <f aca="false">INDEX(Parametros!$B$23:$B$31,MATCH(L83,Parametros!$A$23:$A$31,0))</f>
        <v>Forecast estadístico casi automático. Ajustes mínimos. SS bajo porque la demanda es estable.</v>
      </c>
      <c r="N83" s="3" t="str">
        <f aca="false">INDEX(Parametros!$C$23:$C$31,MATCH(L83,Parametros!$A$23:$A$31,0))</f>
        <v>Mensual</v>
      </c>
      <c r="O83" s="23" t="n">
        <f aca="false">SUM(Datos_Semanales!M83:R83)</f>
        <v>55669.817447751</v>
      </c>
      <c r="P83" s="24" t="n">
        <f aca="false">IF(D83&gt;0,SUMPRODUCT(ABS(Datos_Semanales!F83:K83-Datos_Semanales!M83:R83))/D83,"")</f>
        <v>0.221829271017186</v>
      </c>
      <c r="Q83" s="24" t="n">
        <f aca="false">IF(D83&gt;0,O83/D83-1,"")</f>
        <v>-0.164417965781835</v>
      </c>
      <c r="R83" s="23" t="n">
        <f aca="false">SQRT(SUMXMY2(Datos_Semanales!F83:K83,Datos_Semanales!M83:R83)/COUNT(Datos_Semanales!F83:K83))</f>
        <v>2886.73467880028</v>
      </c>
    </row>
    <row r="84" customFormat="false" ht="15" hidden="false" customHeight="false" outlineLevel="0" collapsed="false">
      <c r="A84" s="18" t="n">
        <f aca="false">Datos_Semanales!A84</f>
        <v>30001754</v>
      </c>
      <c r="B84" s="18" t="str">
        <f aca="false">Datos_Semanales!B84</f>
        <v>MERMELADA ALCAYOTA 24X225GR</v>
      </c>
      <c r="C84" s="18" t="str">
        <f aca="false">Datos_Semanales!C84</f>
        <v>MERMELADAS</v>
      </c>
      <c r="D84" s="23" t="n">
        <f aca="false">SUM(Datos_Semanales!F84:K84)</f>
        <v>64497.6</v>
      </c>
      <c r="E84" s="23" t="n">
        <f aca="false">AVERAGE(Datos_Semanales!F84:K84)</f>
        <v>10749.6</v>
      </c>
      <c r="F84" s="23" t="n">
        <f aca="false">STDEV(Datos_Semanales!F84:K84)</f>
        <v>4253.31460769128</v>
      </c>
      <c r="G84" s="27" t="n">
        <f aca="false">IF(E84&gt;0,F84/E84,"")</f>
        <v>0.395671895483672</v>
      </c>
      <c r="H84" s="24" t="n">
        <f aca="false">IF(SUM($D$5:$D$494)&gt;0,D84/SUM($D$5:$D$494),0)</f>
        <v>0.00268853655362301</v>
      </c>
      <c r="I84" s="24" t="n">
        <f aca="false">SUMIF($D$5:$D$494,"&gt;="&amp;D84)/SUM($D$5:$D$494)</f>
        <v>0.714521834907065</v>
      </c>
      <c r="J84" s="3" t="str">
        <f aca="false">IF(D84&lt;=0,"C",IF(I84&lt;=Parametros!$B$4,"A",IF(I84&lt;=Parametros!$B$5,"B","C")))</f>
        <v>A</v>
      </c>
      <c r="K84" s="3" t="str">
        <f aca="false">IF(E84&lt;=0,"Z",IF(G84&lt;=Parametros!$B$6,"X",IF(G84&lt;=Parametros!$B$7,"Y","Z")))</f>
        <v>X</v>
      </c>
      <c r="L84" s="3" t="str">
        <f aca="false">J84&amp;K84</f>
        <v>AX</v>
      </c>
      <c r="M84" s="3" t="str">
        <f aca="false">INDEX(Parametros!$B$23:$B$31,MATCH(L84,Parametros!$A$23:$A$31,0))</f>
        <v>Forecast estadístico casi automático. Ajustes mínimos. SS bajo porque la demanda es estable.</v>
      </c>
      <c r="N84" s="3" t="str">
        <f aca="false">INDEX(Parametros!$C$23:$C$31,MATCH(L84,Parametros!$A$23:$A$31,0))</f>
        <v>Mensual</v>
      </c>
      <c r="O84" s="23" t="n">
        <f aca="false">SUM(Datos_Semanales!M84:R84)</f>
        <v>60978.9239130435</v>
      </c>
      <c r="P84" s="24" t="n">
        <f aca="false">IF(D84&gt;0,SUMPRODUCT(ABS(Datos_Semanales!F84:K84-Datos_Semanales!M84:R84))/D84,"")</f>
        <v>0.237455717934365</v>
      </c>
      <c r="Q84" s="24" t="n">
        <f aca="false">IF(D84&gt;0,O84/D84-1,"")</f>
        <v>-0.0545551475862128</v>
      </c>
      <c r="R84" s="23" t="n">
        <f aca="false">SQRT(SUMXMY2(Datos_Semanales!F84:K84,Datos_Semanales!M84:R84)/COUNT(Datos_Semanales!F84:K84))</f>
        <v>3353.31010605069</v>
      </c>
    </row>
    <row r="85" customFormat="false" ht="15" hidden="false" customHeight="false" outlineLevel="0" collapsed="false">
      <c r="A85" s="18" t="n">
        <f aca="false">Datos_Semanales!A85</f>
        <v>30001075</v>
      </c>
      <c r="B85" s="18" t="str">
        <f aca="false">Datos_Semanales!B85</f>
        <v>YOG GRI OIKOS SABOR FTLLA 48X110GR</v>
      </c>
      <c r="C85" s="18" t="str">
        <f aca="false">Datos_Semanales!C85</f>
        <v>YOGURT</v>
      </c>
      <c r="D85" s="23" t="n">
        <f aca="false">SUM(Datos_Semanales!F85:K85)</f>
        <v>63439.2</v>
      </c>
      <c r="E85" s="23" t="n">
        <f aca="false">AVERAGE(Datos_Semanales!F85:K85)</f>
        <v>10573.2</v>
      </c>
      <c r="F85" s="23" t="n">
        <f aca="false">STDEV(Datos_Semanales!F85:K85)</f>
        <v>3607.29314051409</v>
      </c>
      <c r="G85" s="27" t="n">
        <f aca="false">IF(E85&gt;0,F85/E85,"")</f>
        <v>0.341173262637053</v>
      </c>
      <c r="H85" s="24" t="n">
        <f aca="false">IF(SUM($D$5:$D$494)&gt;0,D85/SUM($D$5:$D$494),0)</f>
        <v>0.00264441790287702</v>
      </c>
      <c r="I85" s="24" t="n">
        <f aca="false">SUMIF($D$5:$D$494,"&gt;="&amp;D85)/SUM($D$5:$D$494)</f>
        <v>0.717166252809942</v>
      </c>
      <c r="J85" s="3" t="str">
        <f aca="false">IF(D85&lt;=0,"C",IF(I85&lt;=Parametros!$B$4,"A",IF(I85&lt;=Parametros!$B$5,"B","C")))</f>
        <v>A</v>
      </c>
      <c r="K85" s="3" t="str">
        <f aca="false">IF(E85&lt;=0,"Z",IF(G85&lt;=Parametros!$B$6,"X",IF(G85&lt;=Parametros!$B$7,"Y","Z")))</f>
        <v>X</v>
      </c>
      <c r="L85" s="3" t="str">
        <f aca="false">J85&amp;K85</f>
        <v>AX</v>
      </c>
      <c r="M85" s="3" t="str">
        <f aca="false">INDEX(Parametros!$B$23:$B$31,MATCH(L85,Parametros!$A$23:$A$31,0))</f>
        <v>Forecast estadístico casi automático. Ajustes mínimos. SS bajo porque la demanda es estable.</v>
      </c>
      <c r="N85" s="3" t="str">
        <f aca="false">INDEX(Parametros!$C$23:$C$31,MATCH(L85,Parametros!$A$23:$A$31,0))</f>
        <v>Mensual</v>
      </c>
      <c r="O85" s="23" t="n">
        <f aca="false">SUM(Datos_Semanales!M85:R85)</f>
        <v>51626.5876183688</v>
      </c>
      <c r="P85" s="24" t="n">
        <f aca="false">IF(D85&gt;0,SUMPRODUCT(ABS(Datos_Semanales!F85:K85-Datos_Semanales!M85:R85))/D85,"")</f>
        <v>0.291766946559696</v>
      </c>
      <c r="Q85" s="24" t="n">
        <f aca="false">IF(D85&gt;0,O85/D85-1,"")</f>
        <v>-0.186203678193155</v>
      </c>
      <c r="R85" s="23" t="n">
        <f aca="false">SQRT(SUMXMY2(Datos_Semanales!F85:K85,Datos_Semanales!M85:R85)/COUNT(Datos_Semanales!F85:K85))</f>
        <v>3643.23288131669</v>
      </c>
    </row>
    <row r="86" customFormat="false" ht="15" hidden="false" customHeight="false" outlineLevel="0" collapsed="false">
      <c r="A86" s="18" t="n">
        <f aca="false">Datos_Semanales!A86</f>
        <v>30001750</v>
      </c>
      <c r="B86" s="18" t="str">
        <f aca="false">Datos_Semanales!B86</f>
        <v>MERMELADA FRAMBUESA 24X225GR</v>
      </c>
      <c r="C86" s="18" t="str">
        <f aca="false">Datos_Semanales!C86</f>
        <v>-</v>
      </c>
      <c r="D86" s="23" t="n">
        <f aca="false">SUM(Datos_Semanales!F86:K86)</f>
        <v>62148.6</v>
      </c>
      <c r="E86" s="23" t="n">
        <f aca="false">AVERAGE(Datos_Semanales!F86:K86)</f>
        <v>10358.1</v>
      </c>
      <c r="F86" s="23" t="n">
        <f aca="false">STDEV(Datos_Semanales!F86:K86)</f>
        <v>3620.53858700608</v>
      </c>
      <c r="G86" s="27" t="n">
        <f aca="false">IF(E86&gt;0,F86/E86,"")</f>
        <v>0.349536940848812</v>
      </c>
      <c r="H86" s="24" t="n">
        <f aca="false">IF(SUM($D$5:$D$494)&gt;0,D86/SUM($D$5:$D$494),0)</f>
        <v>0.00259062016038574</v>
      </c>
      <c r="I86" s="24" t="n">
        <f aca="false">SUMIF($D$5:$D$494,"&gt;="&amp;D86)/SUM($D$5:$D$494)</f>
        <v>0.719756872970328</v>
      </c>
      <c r="J86" s="3" t="str">
        <f aca="false">IF(D86&lt;=0,"C",IF(I86&lt;=Parametros!$B$4,"A",IF(I86&lt;=Parametros!$B$5,"B","C")))</f>
        <v>A</v>
      </c>
      <c r="K86" s="3" t="str">
        <f aca="false">IF(E86&lt;=0,"Z",IF(G86&lt;=Parametros!$B$6,"X",IF(G86&lt;=Parametros!$B$7,"Y","Z")))</f>
        <v>X</v>
      </c>
      <c r="L86" s="3" t="str">
        <f aca="false">J86&amp;K86</f>
        <v>AX</v>
      </c>
      <c r="M86" s="3" t="str">
        <f aca="false">INDEX(Parametros!$B$23:$B$31,MATCH(L86,Parametros!$A$23:$A$31,0))</f>
        <v>Forecast estadístico casi automático. Ajustes mínimos. SS bajo porque la demanda es estable.</v>
      </c>
      <c r="N86" s="3" t="str">
        <f aca="false">INDEX(Parametros!$C$23:$C$31,MATCH(L86,Parametros!$A$23:$A$31,0))</f>
        <v>Mensual</v>
      </c>
      <c r="O86" s="23" t="n">
        <f aca="false">SUM(Datos_Semanales!M86:R86)</f>
        <v>62597.7380434783</v>
      </c>
      <c r="P86" s="24" t="n">
        <f aca="false">IF(D86&gt;0,SUMPRODUCT(ABS(Datos_Semanales!F86:K86-Datos_Semanales!M86:R86))/D86,"")</f>
        <v>0.236007537474348</v>
      </c>
      <c r="Q86" s="24" t="n">
        <f aca="false">IF(D86&gt;0,O86/D86-1,"")</f>
        <v>0.00722684088584846</v>
      </c>
      <c r="R86" s="23" t="n">
        <f aca="false">SQRT(SUMXMY2(Datos_Semanales!F86:K86,Datos_Semanales!M86:R86)/COUNT(Datos_Semanales!F86:K86))</f>
        <v>2779.25763890169</v>
      </c>
    </row>
    <row r="87" customFormat="false" ht="15" hidden="false" customHeight="false" outlineLevel="0" collapsed="false">
      <c r="A87" s="18" t="n">
        <f aca="false">Datos_Semanales!A87</f>
        <v>30001873</v>
      </c>
      <c r="B87" s="18" t="str">
        <f aca="false">Datos_Semanales!B87</f>
        <v>MARG SUREÑA POTE MIX 12X450GR</v>
      </c>
      <c r="C87" s="18" t="str">
        <f aca="false">Datos_Semanales!C87</f>
        <v>MARGARINAS</v>
      </c>
      <c r="D87" s="23" t="n">
        <f aca="false">SUM(Datos_Semanales!F87:K87)</f>
        <v>60496.2</v>
      </c>
      <c r="E87" s="23" t="n">
        <f aca="false">AVERAGE(Datos_Semanales!F87:K87)</f>
        <v>10082.7</v>
      </c>
      <c r="F87" s="23" t="n">
        <f aca="false">STDEV(Datos_Semanales!F87:K87)</f>
        <v>3512.81919090636</v>
      </c>
      <c r="G87" s="27" t="n">
        <f aca="false">IF(E87&gt;0,F87/E87,"")</f>
        <v>0.348400645750281</v>
      </c>
      <c r="H87" s="24" t="n">
        <f aca="false">IF(SUM($D$5:$D$494)&gt;0,D87/SUM($D$5:$D$494),0)</f>
        <v>0.00252174104238435</v>
      </c>
      <c r="I87" s="24" t="n">
        <f aca="false">SUMIF($D$5:$D$494,"&gt;="&amp;D87)/SUM($D$5:$D$494)</f>
        <v>0.722278614012712</v>
      </c>
      <c r="J87" s="3" t="str">
        <f aca="false">IF(D87&lt;=0,"C",IF(I87&lt;=Parametros!$B$4,"A",IF(I87&lt;=Parametros!$B$5,"B","C")))</f>
        <v>A</v>
      </c>
      <c r="K87" s="3" t="str">
        <f aca="false">IF(E87&lt;=0,"Z",IF(G87&lt;=Parametros!$B$6,"X",IF(G87&lt;=Parametros!$B$7,"Y","Z")))</f>
        <v>X</v>
      </c>
      <c r="L87" s="3" t="str">
        <f aca="false">J87&amp;K87</f>
        <v>AX</v>
      </c>
      <c r="M87" s="3" t="str">
        <f aca="false">INDEX(Parametros!$B$23:$B$31,MATCH(L87,Parametros!$A$23:$A$31,0))</f>
        <v>Forecast estadístico casi automático. Ajustes mínimos. SS bajo porque la demanda es estable.</v>
      </c>
      <c r="N87" s="3" t="str">
        <f aca="false">INDEX(Parametros!$C$23:$C$31,MATCH(L87,Parametros!$A$23:$A$31,0))</f>
        <v>Mensual</v>
      </c>
      <c r="O87" s="23" t="n">
        <f aca="false">SUM(Datos_Semanales!M87:R87)</f>
        <v>80605.6446250628</v>
      </c>
      <c r="P87" s="24" t="n">
        <f aca="false">IF(D87&gt;0,SUMPRODUCT(ABS(Datos_Semanales!F87:K87-Datos_Semanales!M87:R87))/D87,"")</f>
        <v>0.398126299527945</v>
      </c>
      <c r="Q87" s="24" t="n">
        <f aca="false">IF(D87&gt;0,O87/D87-1,"")</f>
        <v>0.33240839300754</v>
      </c>
      <c r="R87" s="23" t="n">
        <f aca="false">SQRT(SUMXMY2(Datos_Semanales!F87:K87,Datos_Semanales!M87:R87)/COUNT(Datos_Semanales!F87:K87))</f>
        <v>4962.09625298484</v>
      </c>
    </row>
    <row r="88" customFormat="false" ht="15" hidden="false" customHeight="false" outlineLevel="0" collapsed="false">
      <c r="A88" s="18" t="n">
        <f aca="false">Datos_Semanales!A88</f>
        <v>30000207</v>
      </c>
      <c r="B88" s="18" t="str">
        <f aca="false">Datos_Semanales!B88</f>
        <v>NECTAR WATTS PIÑA LIGHT 30X200ML</v>
      </c>
      <c r="C88" s="18" t="str">
        <f aca="false">Datos_Semanales!C88</f>
        <v>-</v>
      </c>
      <c r="D88" s="23" t="n">
        <f aca="false">SUM(Datos_Semanales!F88:K88)</f>
        <v>59754</v>
      </c>
      <c r="E88" s="23" t="n">
        <f aca="false">AVERAGE(Datos_Semanales!F88:K88)</f>
        <v>9959</v>
      </c>
      <c r="F88" s="23" t="n">
        <f aca="false">STDEV(Datos_Semanales!F88:K88)</f>
        <v>2681.39031101405</v>
      </c>
      <c r="G88" s="27" t="n">
        <f aca="false">IF(E88&gt;0,F88/E88,"")</f>
        <v>0.269242927102525</v>
      </c>
      <c r="H88" s="24" t="n">
        <f aca="false">IF(SUM($D$5:$D$494)&gt;0,D88/SUM($D$5:$D$494),0)</f>
        <v>0.00249080296360159</v>
      </c>
      <c r="I88" s="24" t="n">
        <f aca="false">SUMIF($D$5:$D$494,"&gt;="&amp;D88)/SUM($D$5:$D$494)</f>
        <v>0.724769416976314</v>
      </c>
      <c r="J88" s="3" t="str">
        <f aca="false">IF(D88&lt;=0,"C",IF(I88&lt;=Parametros!$B$4,"A",IF(I88&lt;=Parametros!$B$5,"B","C")))</f>
        <v>A</v>
      </c>
      <c r="K88" s="3" t="str">
        <f aca="false">IF(E88&lt;=0,"Z",IF(G88&lt;=Parametros!$B$6,"X",IF(G88&lt;=Parametros!$B$7,"Y","Z")))</f>
        <v>X</v>
      </c>
      <c r="L88" s="3" t="str">
        <f aca="false">J88&amp;K88</f>
        <v>AX</v>
      </c>
      <c r="M88" s="3" t="str">
        <f aca="false">INDEX(Parametros!$B$23:$B$31,MATCH(L88,Parametros!$A$23:$A$31,0))</f>
        <v>Forecast estadístico casi automático. Ajustes mínimos. SS bajo porque la demanda es estable.</v>
      </c>
      <c r="N88" s="3" t="str">
        <f aca="false">INDEX(Parametros!$C$23:$C$31,MATCH(L88,Parametros!$A$23:$A$31,0))</f>
        <v>Mensual</v>
      </c>
      <c r="O88" s="23" t="n">
        <f aca="false">SUM(Datos_Semanales!M88:R88)</f>
        <v>61367.8486582154</v>
      </c>
      <c r="P88" s="24" t="n">
        <f aca="false">IF(D88&gt;0,SUMPRODUCT(ABS(Datos_Semanales!F88:K88-Datos_Semanales!M88:R88))/D88,"")</f>
        <v>0.145032836058946</v>
      </c>
      <c r="Q88" s="24" t="n">
        <f aca="false">IF(D88&gt;0,O88/D88-1,"")</f>
        <v>0.0270082113032659</v>
      </c>
      <c r="R88" s="23" t="n">
        <f aca="false">SQRT(SUMXMY2(Datos_Semanales!F88:K88,Datos_Semanales!M88:R88)/COUNT(Datos_Semanales!F88:K88))</f>
        <v>1864.73129881278</v>
      </c>
    </row>
    <row r="89" customFormat="false" ht="15" hidden="false" customHeight="false" outlineLevel="0" collapsed="false">
      <c r="A89" s="18" t="n">
        <f aca="false">Datos_Semanales!A89</f>
        <v>30001760</v>
      </c>
      <c r="B89" s="18" t="str">
        <f aca="false">Datos_Semanales!B89</f>
        <v>MERMELADA FRUTILLA 24X225GR</v>
      </c>
      <c r="C89" s="18" t="str">
        <f aca="false">Datos_Semanales!C89</f>
        <v>-</v>
      </c>
      <c r="D89" s="23" t="n">
        <f aca="false">SUM(Datos_Semanales!F89:K89)</f>
        <v>59032.8</v>
      </c>
      <c r="E89" s="23" t="n">
        <f aca="false">AVERAGE(Datos_Semanales!F89:K89)</f>
        <v>9838.8</v>
      </c>
      <c r="F89" s="23" t="n">
        <f aca="false">STDEV(Datos_Semanales!F89:K89)</f>
        <v>2381.90076367593</v>
      </c>
      <c r="G89" s="27" t="n">
        <f aca="false">IF(E89&gt;0,F89/E89,"")</f>
        <v>0.242092609228355</v>
      </c>
      <c r="H89" s="24" t="n">
        <f aca="false">IF(SUM($D$5:$D$494)&gt;0,D89/SUM($D$5:$D$494),0)</f>
        <v>0.00246074025487331</v>
      </c>
      <c r="I89" s="24" t="n">
        <f aca="false">SUMIF($D$5:$D$494,"&gt;="&amp;D89)/SUM($D$5:$D$494)</f>
        <v>0.727230157231187</v>
      </c>
      <c r="J89" s="3" t="str">
        <f aca="false">IF(D89&lt;=0,"C",IF(I89&lt;=Parametros!$B$4,"A",IF(I89&lt;=Parametros!$B$5,"B","C")))</f>
        <v>A</v>
      </c>
      <c r="K89" s="3" t="str">
        <f aca="false">IF(E89&lt;=0,"Z",IF(G89&lt;=Parametros!$B$6,"X",IF(G89&lt;=Parametros!$B$7,"Y","Z")))</f>
        <v>X</v>
      </c>
      <c r="L89" s="3" t="str">
        <f aca="false">J89&amp;K89</f>
        <v>AX</v>
      </c>
      <c r="M89" s="3" t="str">
        <f aca="false">INDEX(Parametros!$B$23:$B$31,MATCH(L89,Parametros!$A$23:$A$31,0))</f>
        <v>Forecast estadístico casi automático. Ajustes mínimos. SS bajo porque la demanda es estable.</v>
      </c>
      <c r="N89" s="3" t="str">
        <f aca="false">INDEX(Parametros!$C$23:$C$31,MATCH(L89,Parametros!$A$23:$A$31,0))</f>
        <v>Mensual</v>
      </c>
      <c r="O89" s="23" t="n">
        <f aca="false">SUM(Datos_Semanales!M89:R89)</f>
        <v>46802.0684782609</v>
      </c>
      <c r="P89" s="24" t="n">
        <f aca="false">IF(D89&gt;0,SUMPRODUCT(ABS(Datos_Semanales!F89:K89-Datos_Semanales!M89:R89))/D89,"")</f>
        <v>0.259016487076013</v>
      </c>
      <c r="Q89" s="24" t="n">
        <f aca="false">IF(D89&gt;0,O89/D89-1,"")</f>
        <v>-0.207185353256819</v>
      </c>
      <c r="R89" s="23" t="n">
        <f aca="false">SQRT(SUMXMY2(Datos_Semanales!F89:K89,Datos_Semanales!M89:R89)/COUNT(Datos_Semanales!F89:K89))</f>
        <v>2879.80995671521</v>
      </c>
    </row>
    <row r="90" customFormat="false" ht="15" hidden="false" customHeight="false" outlineLevel="0" collapsed="false">
      <c r="A90" s="18" t="n">
        <f aca="false">Datos_Semanales!A90</f>
        <v>30001365</v>
      </c>
      <c r="B90" s="18" t="str">
        <f aca="false">Datos_Semanales!B90</f>
        <v>ACEITE CHEF EXTRAVIRGEN 12X500ML</v>
      </c>
      <c r="C90" s="18" t="str">
        <f aca="false">Datos_Semanales!C90</f>
        <v>ACEITES</v>
      </c>
      <c r="D90" s="23" t="n">
        <f aca="false">SUM(Datos_Semanales!F90:K90)</f>
        <v>58624.4</v>
      </c>
      <c r="E90" s="23" t="n">
        <f aca="false">AVERAGE(Datos_Semanales!F90:K90)</f>
        <v>9770.73333333333</v>
      </c>
      <c r="F90" s="23" t="n">
        <f aca="false">STDEV(Datos_Semanales!F90:K90)</f>
        <v>2671.09309809049</v>
      </c>
      <c r="G90" s="27" t="n">
        <f aca="false">IF(E90&gt;0,F90/E90,"")</f>
        <v>0.273376931594062</v>
      </c>
      <c r="H90" s="24" t="n">
        <f aca="false">IF(SUM($D$5:$D$494)&gt;0,D90/SUM($D$5:$D$494),0)</f>
        <v>0.00244371639152801</v>
      </c>
      <c r="I90" s="24" t="n">
        <f aca="false">SUMIF($D$5:$D$494,"&gt;="&amp;D90)/SUM($D$5:$D$494)</f>
        <v>0.729673873622715</v>
      </c>
      <c r="J90" s="3" t="str">
        <f aca="false">IF(D90&lt;=0,"C",IF(I90&lt;=Parametros!$B$4,"A",IF(I90&lt;=Parametros!$B$5,"B","C")))</f>
        <v>A</v>
      </c>
      <c r="K90" s="3" t="str">
        <f aca="false">IF(E90&lt;=0,"Z",IF(G90&lt;=Parametros!$B$6,"X",IF(G90&lt;=Parametros!$B$7,"Y","Z")))</f>
        <v>X</v>
      </c>
      <c r="L90" s="3" t="str">
        <f aca="false">J90&amp;K90</f>
        <v>AX</v>
      </c>
      <c r="M90" s="3" t="str">
        <f aca="false">INDEX(Parametros!$B$23:$B$31,MATCH(L90,Parametros!$A$23:$A$31,0))</f>
        <v>Forecast estadístico casi automático. Ajustes mínimos. SS bajo porque la demanda es estable.</v>
      </c>
      <c r="N90" s="3" t="str">
        <f aca="false">INDEX(Parametros!$C$23:$C$31,MATCH(L90,Parametros!$A$23:$A$31,0))</f>
        <v>Mensual</v>
      </c>
      <c r="O90" s="23" t="n">
        <f aca="false">SUM(Datos_Semanales!M90:R90)</f>
        <v>56642.15</v>
      </c>
      <c r="P90" s="24" t="n">
        <f aca="false">IF(D90&gt;0,SUMPRODUCT(ABS(Datos_Semanales!F90:K90-Datos_Semanales!M90:R90))/D90,"")</f>
        <v>0.281863012670492</v>
      </c>
      <c r="Q90" s="24" t="n">
        <f aca="false">IF(D90&gt;0,O90/D90-1,"")</f>
        <v>-0.0338127127953547</v>
      </c>
      <c r="R90" s="23" t="n">
        <f aca="false">SQRT(SUMXMY2(Datos_Semanales!F90:K90,Datos_Semanales!M90:R90)/COUNT(Datos_Semanales!F90:K90))</f>
        <v>3210.20542443678</v>
      </c>
    </row>
    <row r="91" customFormat="false" ht="15" hidden="false" customHeight="false" outlineLevel="0" collapsed="false">
      <c r="A91" s="18" t="n">
        <f aca="false">Datos_Semanales!A91</f>
        <v>30001091</v>
      </c>
      <c r="B91" s="18" t="str">
        <f aca="false">Datos_Semanales!B91</f>
        <v>YOG GRIEGO OIKOS CF F BOS 48X150GR</v>
      </c>
      <c r="C91" s="18" t="str">
        <f aca="false">Datos_Semanales!C91</f>
        <v>-</v>
      </c>
      <c r="D91" s="23" t="n">
        <f aca="false">SUM(Datos_Semanales!F91:K91)</f>
        <v>58003.344</v>
      </c>
      <c r="E91" s="23" t="n">
        <f aca="false">AVERAGE(Datos_Semanales!F91:K91)</f>
        <v>9667.224</v>
      </c>
      <c r="F91" s="23" t="n">
        <f aca="false">STDEV(Datos_Semanales!F91:K91)</f>
        <v>3312.13903064711</v>
      </c>
      <c r="G91" s="27" t="n">
        <f aca="false">IF(E91&gt;0,F91/E91,"")</f>
        <v>0.342615318590643</v>
      </c>
      <c r="H91" s="24" t="n">
        <f aca="false">IF(SUM($D$5:$D$494)&gt;0,D91/SUM($D$5:$D$494),0)</f>
        <v>0.00241782811416813</v>
      </c>
      <c r="I91" s="24" t="n">
        <f aca="false">SUMIF($D$5:$D$494,"&gt;="&amp;D91)/SUM($D$5:$D$494)</f>
        <v>0.732091701736883</v>
      </c>
      <c r="J91" s="3" t="str">
        <f aca="false">IF(D91&lt;=0,"C",IF(I91&lt;=Parametros!$B$4,"A",IF(I91&lt;=Parametros!$B$5,"B","C")))</f>
        <v>A</v>
      </c>
      <c r="K91" s="3" t="str">
        <f aca="false">IF(E91&lt;=0,"Z",IF(G91&lt;=Parametros!$B$6,"X",IF(G91&lt;=Parametros!$B$7,"Y","Z")))</f>
        <v>X</v>
      </c>
      <c r="L91" s="3" t="str">
        <f aca="false">J91&amp;K91</f>
        <v>AX</v>
      </c>
      <c r="M91" s="3" t="str">
        <f aca="false">INDEX(Parametros!$B$23:$B$31,MATCH(L91,Parametros!$A$23:$A$31,0))</f>
        <v>Forecast estadístico casi automático. Ajustes mínimos. SS bajo porque la demanda es estable.</v>
      </c>
      <c r="N91" s="3" t="str">
        <f aca="false">INDEX(Parametros!$C$23:$C$31,MATCH(L91,Parametros!$A$23:$A$31,0))</f>
        <v>Mensual</v>
      </c>
      <c r="O91" s="23" t="n">
        <f aca="false">SUM(Datos_Semanales!M91:R91)</f>
        <v>57571.2213174602</v>
      </c>
      <c r="P91" s="24" t="n">
        <f aca="false">IF(D91&gt;0,SUMPRODUCT(ABS(Datos_Semanales!F91:K91-Datos_Semanales!M91:R91))/D91,"")</f>
        <v>0.252869044847339</v>
      </c>
      <c r="Q91" s="24" t="n">
        <f aca="false">IF(D91&gt;0,O91/D91-1,"")</f>
        <v>-0.00744996154945465</v>
      </c>
      <c r="R91" s="23" t="n">
        <f aca="false">SQRT(SUMXMY2(Datos_Semanales!F91:K91,Datos_Semanales!M91:R91)/COUNT(Datos_Semanales!F91:K91))</f>
        <v>2959.58979087279</v>
      </c>
    </row>
    <row r="92" customFormat="false" ht="15" hidden="false" customHeight="false" outlineLevel="0" collapsed="false">
      <c r="A92" s="18" t="n">
        <f aca="false">Datos_Semanales!A92</f>
        <v>30001401</v>
      </c>
      <c r="B92" s="18" t="str">
        <f aca="false">Datos_Semanales!B92</f>
        <v>MARGARINA CALO 12X450GR</v>
      </c>
      <c r="C92" s="18" t="str">
        <f aca="false">Datos_Semanales!C92</f>
        <v>MARGARINAS</v>
      </c>
      <c r="D92" s="23" t="n">
        <f aca="false">SUM(Datos_Semanales!F92:K92)</f>
        <v>57909.6</v>
      </c>
      <c r="E92" s="23" t="n">
        <f aca="false">AVERAGE(Datos_Semanales!F92:K92)</f>
        <v>9651.6</v>
      </c>
      <c r="F92" s="23" t="n">
        <f aca="false">STDEV(Datos_Semanales!F92:K92)</f>
        <v>2232.6807026532</v>
      </c>
      <c r="G92" s="27" t="n">
        <f aca="false">IF(E92&gt;0,F92/E92,"")</f>
        <v>0.23132752110046</v>
      </c>
      <c r="H92" s="24" t="n">
        <f aca="false">IF(SUM($D$5:$D$494)&gt;0,D92/SUM($D$5:$D$494),0)</f>
        <v>0.00241392046224491</v>
      </c>
      <c r="I92" s="24" t="n">
        <f aca="false">SUMIF($D$5:$D$494,"&gt;="&amp;D92)/SUM($D$5:$D$494)</f>
        <v>0.734505622199128</v>
      </c>
      <c r="J92" s="3" t="str">
        <f aca="false">IF(D92&lt;=0,"C",IF(I92&lt;=Parametros!$B$4,"A",IF(I92&lt;=Parametros!$B$5,"B","C")))</f>
        <v>A</v>
      </c>
      <c r="K92" s="3" t="str">
        <f aca="false">IF(E92&lt;=0,"Z",IF(G92&lt;=Parametros!$B$6,"X",IF(G92&lt;=Parametros!$B$7,"Y","Z")))</f>
        <v>X</v>
      </c>
      <c r="L92" s="3" t="str">
        <f aca="false">J92&amp;K92</f>
        <v>AX</v>
      </c>
      <c r="M92" s="3" t="str">
        <f aca="false">INDEX(Parametros!$B$23:$B$31,MATCH(L92,Parametros!$A$23:$A$31,0))</f>
        <v>Forecast estadístico casi automático. Ajustes mínimos. SS bajo porque la demanda es estable.</v>
      </c>
      <c r="N92" s="3" t="str">
        <f aca="false">INDEX(Parametros!$C$23:$C$31,MATCH(L92,Parametros!$A$23:$A$31,0))</f>
        <v>Mensual</v>
      </c>
      <c r="O92" s="23" t="n">
        <f aca="false">SUM(Datos_Semanales!M92:R92)</f>
        <v>76879.5650175055</v>
      </c>
      <c r="P92" s="24" t="n">
        <f aca="false">IF(D92&gt;0,SUMPRODUCT(ABS(Datos_Semanales!F92:K92-Datos_Semanales!M92:R92))/D92,"")</f>
        <v>0.327578933674304</v>
      </c>
      <c r="Q92" s="24" t="n">
        <f aca="false">IF(D92&gt;0,O92/D92-1,"")</f>
        <v>0.327578933674304</v>
      </c>
      <c r="R92" s="23" t="n">
        <f aca="false">SQRT(SUMXMY2(Datos_Semanales!F92:K92,Datos_Semanales!M92:R92)/COUNT(Datos_Semanales!F92:K92))</f>
        <v>4113.04554073882</v>
      </c>
    </row>
    <row r="93" customFormat="false" ht="15" hidden="false" customHeight="false" outlineLevel="0" collapsed="false">
      <c r="A93" s="18" t="n">
        <f aca="false">Datos_Semanales!A93</f>
        <v>30001404</v>
      </c>
      <c r="B93" s="18" t="str">
        <f aca="false">Datos_Semanales!B93</f>
        <v>BREAK CAPPUCCINO LONCO 18X250ML</v>
      </c>
      <c r="C93" s="18" t="str">
        <f aca="false">Datos_Semanales!C93</f>
        <v>LECHES LIQUIDAS</v>
      </c>
      <c r="D93" s="23" t="n">
        <f aca="false">SUM(Datos_Semanales!F93:K93)</f>
        <v>57663</v>
      </c>
      <c r="E93" s="23" t="n">
        <f aca="false">AVERAGE(Datos_Semanales!F93:K93)</f>
        <v>9610.5</v>
      </c>
      <c r="F93" s="23" t="n">
        <f aca="false">STDEV(Datos_Semanales!F93:K93)</f>
        <v>1004.57767245744</v>
      </c>
      <c r="G93" s="27" t="n">
        <f aca="false">IF(E93&gt;0,F93/E93,"")</f>
        <v>0.104529178758383</v>
      </c>
      <c r="H93" s="24" t="n">
        <f aca="false">IF(SUM($D$5:$D$494)&gt;0,D93/SUM($D$5:$D$494),0)</f>
        <v>0.00240364111674797</v>
      </c>
      <c r="I93" s="24" t="n">
        <f aca="false">SUMIF($D$5:$D$494,"&gt;="&amp;D93)/SUM($D$5:$D$494)</f>
        <v>0.736909263315876</v>
      </c>
      <c r="J93" s="3" t="str">
        <f aca="false">IF(D93&lt;=0,"C",IF(I93&lt;=Parametros!$B$4,"A",IF(I93&lt;=Parametros!$B$5,"B","C")))</f>
        <v>A</v>
      </c>
      <c r="K93" s="3" t="str">
        <f aca="false">IF(E93&lt;=0,"Z",IF(G93&lt;=Parametros!$B$6,"X",IF(G93&lt;=Parametros!$B$7,"Y","Z")))</f>
        <v>X</v>
      </c>
      <c r="L93" s="3" t="str">
        <f aca="false">J93&amp;K93</f>
        <v>AX</v>
      </c>
      <c r="M93" s="3" t="str">
        <f aca="false">INDEX(Parametros!$B$23:$B$31,MATCH(L93,Parametros!$A$23:$A$31,0))</f>
        <v>Forecast estadístico casi automático. Ajustes mínimos. SS bajo porque la demanda es estable.</v>
      </c>
      <c r="N93" s="3" t="str">
        <f aca="false">INDEX(Parametros!$C$23:$C$31,MATCH(L93,Parametros!$A$23:$A$31,0))</f>
        <v>Mensual</v>
      </c>
      <c r="O93" s="23" t="n">
        <f aca="false">SUM(Datos_Semanales!M93:R93)</f>
        <v>51736.7881404969</v>
      </c>
      <c r="P93" s="24" t="n">
        <f aca="false">IF(D93&gt;0,SUMPRODUCT(ABS(Datos_Semanales!F93:K93-Datos_Semanales!M93:R93))/D93,"")</f>
        <v>0.144088789336369</v>
      </c>
      <c r="Q93" s="24" t="n">
        <f aca="false">IF(D93&gt;0,O93/D93-1,"")</f>
        <v>-0.102773214357613</v>
      </c>
      <c r="R93" s="23" t="n">
        <f aca="false">SQRT(SUMXMY2(Datos_Semanales!F93:K93,Datos_Semanales!M93:R93)/COUNT(Datos_Semanales!F93:K93))</f>
        <v>1608.13593429306</v>
      </c>
    </row>
    <row r="94" customFormat="false" ht="15" hidden="false" customHeight="false" outlineLevel="0" collapsed="false">
      <c r="A94" s="18" t="n">
        <f aca="false">Datos_Semanales!A94</f>
        <v>30000318</v>
      </c>
      <c r="B94" s="18" t="str">
        <f aca="false">Datos_Semanales!B94</f>
        <v>YOGU YOGU CHIRIMOYA 30X200GR</v>
      </c>
      <c r="C94" s="18" t="str">
        <f aca="false">Datos_Semanales!C94</f>
        <v>LECHES LIQUIDAS</v>
      </c>
      <c r="D94" s="23" t="n">
        <f aca="false">SUM(Datos_Semanales!F94:K94)</f>
        <v>57636</v>
      </c>
      <c r="E94" s="23" t="n">
        <f aca="false">AVERAGE(Datos_Semanales!F94:K94)</f>
        <v>9606</v>
      </c>
      <c r="F94" s="23" t="n">
        <f aca="false">STDEV(Datos_Semanales!F94:K94)</f>
        <v>1713.61932762209</v>
      </c>
      <c r="G94" s="27" t="n">
        <f aca="false">IF(E94&gt;0,F94/E94,"")</f>
        <v>0.178390519219456</v>
      </c>
      <c r="H94" s="24" t="n">
        <f aca="false">IF(SUM($D$5:$D$494)&gt;0,D94/SUM($D$5:$D$494),0)</f>
        <v>0.00240251564096363</v>
      </c>
      <c r="I94" s="24" t="n">
        <f aca="false">SUMIF($D$5:$D$494,"&gt;="&amp;D94)/SUM($D$5:$D$494)</f>
        <v>0.73931177895684</v>
      </c>
      <c r="J94" s="3" t="str">
        <f aca="false">IF(D94&lt;=0,"C",IF(I94&lt;=Parametros!$B$4,"A",IF(I94&lt;=Parametros!$B$5,"B","C")))</f>
        <v>A</v>
      </c>
      <c r="K94" s="3" t="str">
        <f aca="false">IF(E94&lt;=0,"Z",IF(G94&lt;=Parametros!$B$6,"X",IF(G94&lt;=Parametros!$B$7,"Y","Z")))</f>
        <v>X</v>
      </c>
      <c r="L94" s="3" t="str">
        <f aca="false">J94&amp;K94</f>
        <v>AX</v>
      </c>
      <c r="M94" s="3" t="str">
        <f aca="false">INDEX(Parametros!$B$23:$B$31,MATCH(L94,Parametros!$A$23:$A$31,0))</f>
        <v>Forecast estadístico casi automático. Ajustes mínimos. SS bajo porque la demanda es estable.</v>
      </c>
      <c r="N94" s="3" t="str">
        <f aca="false">INDEX(Parametros!$C$23:$C$31,MATCH(L94,Parametros!$A$23:$A$31,0))</f>
        <v>Mensual</v>
      </c>
      <c r="O94" s="23" t="n">
        <f aca="false">SUM(Datos_Semanales!M94:R94)</f>
        <v>57271.1423547489</v>
      </c>
      <c r="P94" s="24" t="n">
        <f aca="false">IF(D94&gt;0,SUMPRODUCT(ABS(Datos_Semanales!F94:K94-Datos_Semanales!M94:R94))/D94,"")</f>
        <v>0.241274099132996</v>
      </c>
      <c r="Q94" s="24" t="n">
        <f aca="false">IF(D94&gt;0,O94/D94-1,"")</f>
        <v>-0.00633037763292288</v>
      </c>
      <c r="R94" s="23" t="n">
        <f aca="false">SQRT(SUMXMY2(Datos_Semanales!F94:K94,Datos_Semanales!M94:R94)/COUNT(Datos_Semanales!F94:K94))</f>
        <v>2761.02036781365</v>
      </c>
    </row>
    <row r="95" customFormat="false" ht="15" hidden="false" customHeight="false" outlineLevel="0" collapsed="false">
      <c r="A95" s="18" t="n">
        <f aca="false">Datos_Semanales!A95</f>
        <v>30001749</v>
      </c>
      <c r="B95" s="18" t="str">
        <f aca="false">Datos_Semanales!B95</f>
        <v>MERMELADA DAMASCO 24X225GR</v>
      </c>
      <c r="C95" s="18" t="str">
        <f aca="false">Datos_Semanales!C95</f>
        <v>-</v>
      </c>
      <c r="D95" s="23" t="n">
        <f aca="false">SUM(Datos_Semanales!F95:K95)</f>
        <v>56997</v>
      </c>
      <c r="E95" s="23" t="n">
        <f aca="false">AVERAGE(Datos_Semanales!F95:K95)</f>
        <v>9499.5</v>
      </c>
      <c r="F95" s="23" t="n">
        <f aca="false">STDEV(Datos_Semanales!F95:K95)</f>
        <v>3458.98291582945</v>
      </c>
      <c r="G95" s="27" t="n">
        <f aca="false">IF(E95&gt;0,F95/E95,"")</f>
        <v>0.364122629173056</v>
      </c>
      <c r="H95" s="24" t="n">
        <f aca="false">IF(SUM($D$5:$D$494)&gt;0,D95/SUM($D$5:$D$494),0)</f>
        <v>0.00237587938073434</v>
      </c>
      <c r="I95" s="24" t="n">
        <f aca="false">SUMIF($D$5:$D$494,"&gt;="&amp;D95)/SUM($D$5:$D$494)</f>
        <v>0.741687658337574</v>
      </c>
      <c r="J95" s="3" t="str">
        <f aca="false">IF(D95&lt;=0,"C",IF(I95&lt;=Parametros!$B$4,"A",IF(I95&lt;=Parametros!$B$5,"B","C")))</f>
        <v>A</v>
      </c>
      <c r="K95" s="3" t="str">
        <f aca="false">IF(E95&lt;=0,"Z",IF(G95&lt;=Parametros!$B$6,"X",IF(G95&lt;=Parametros!$B$7,"Y","Z")))</f>
        <v>X</v>
      </c>
      <c r="L95" s="3" t="str">
        <f aca="false">J95&amp;K95</f>
        <v>AX</v>
      </c>
      <c r="M95" s="3" t="str">
        <f aca="false">INDEX(Parametros!$B$23:$B$31,MATCH(L95,Parametros!$A$23:$A$31,0))</f>
        <v>Forecast estadístico casi automático. Ajustes mínimos. SS bajo porque la demanda es estable.</v>
      </c>
      <c r="N95" s="3" t="str">
        <f aca="false">INDEX(Parametros!$C$23:$C$31,MATCH(L95,Parametros!$A$23:$A$31,0))</f>
        <v>Mensual</v>
      </c>
      <c r="O95" s="23" t="n">
        <f aca="false">SUM(Datos_Semanales!M95:R95)</f>
        <v>46151.3391304348</v>
      </c>
      <c r="P95" s="24" t="n">
        <f aca="false">IF(D95&gt;0,SUMPRODUCT(ABS(Datos_Semanales!F95:K95-Datos_Semanales!M95:R95))/D95,"")</f>
        <v>0.307081760977504</v>
      </c>
      <c r="Q95" s="24" t="n">
        <f aca="false">IF(D95&gt;0,O95/D95-1,"")</f>
        <v>-0.190284767085377</v>
      </c>
      <c r="R95" s="23" t="n">
        <f aca="false">SQRT(SUMXMY2(Datos_Semanales!F95:K95,Datos_Semanales!M95:R95)/COUNT(Datos_Semanales!F95:K95))</f>
        <v>3592.3322085867</v>
      </c>
    </row>
    <row r="96" customFormat="false" ht="15" hidden="false" customHeight="false" outlineLevel="0" collapsed="false">
      <c r="A96" s="18" t="n">
        <f aca="false">Datos_Semanales!A96</f>
        <v>30000627</v>
      </c>
      <c r="B96" s="18" t="str">
        <f aca="false">Datos_Semanales!B96</f>
        <v>ARVEJITAS ESPECIALES 16X340GR</v>
      </c>
      <c r="C96" s="18" t="str">
        <f aca="false">Datos_Semanales!C96</f>
        <v>CONSERVAS Y PLATOS LISTOS</v>
      </c>
      <c r="D96" s="23" t="n">
        <f aca="false">SUM(Datos_Semanales!F96:K96)</f>
        <v>56559.68</v>
      </c>
      <c r="E96" s="23" t="n">
        <f aca="false">AVERAGE(Datos_Semanales!F96:K96)</f>
        <v>9426.61333333333</v>
      </c>
      <c r="F96" s="23" t="n">
        <f aca="false">STDEV(Datos_Semanales!F96:K96)</f>
        <v>2852.60947189528</v>
      </c>
      <c r="G96" s="27" t="n">
        <f aca="false">IF(E96&gt;0,F96/E96,"")</f>
        <v>0.30261233499503</v>
      </c>
      <c r="H96" s="24" t="n">
        <f aca="false">IF(SUM($D$5:$D$494)&gt;0,D96/SUM($D$5:$D$494),0)</f>
        <v>0.00235765000777115</v>
      </c>
      <c r="I96" s="24" t="n">
        <f aca="false">SUMIF($D$5:$D$494,"&gt;="&amp;D96)/SUM($D$5:$D$494)</f>
        <v>0.744045308345345</v>
      </c>
      <c r="J96" s="3" t="str">
        <f aca="false">IF(D96&lt;=0,"C",IF(I96&lt;=Parametros!$B$4,"A",IF(I96&lt;=Parametros!$B$5,"B","C")))</f>
        <v>A</v>
      </c>
      <c r="K96" s="3" t="str">
        <f aca="false">IF(E96&lt;=0,"Z",IF(G96&lt;=Parametros!$B$6,"X",IF(G96&lt;=Parametros!$B$7,"Y","Z")))</f>
        <v>X</v>
      </c>
      <c r="L96" s="3" t="str">
        <f aca="false">J96&amp;K96</f>
        <v>AX</v>
      </c>
      <c r="M96" s="3" t="str">
        <f aca="false">INDEX(Parametros!$B$23:$B$31,MATCH(L96,Parametros!$A$23:$A$31,0))</f>
        <v>Forecast estadístico casi automático. Ajustes mínimos. SS bajo porque la demanda es estable.</v>
      </c>
      <c r="N96" s="3" t="str">
        <f aca="false">INDEX(Parametros!$C$23:$C$31,MATCH(L96,Parametros!$A$23:$A$31,0))</f>
        <v>Mensual</v>
      </c>
      <c r="O96" s="23" t="n">
        <f aca="false">SUM(Datos_Semanales!M96:R96)</f>
        <v>62623.28</v>
      </c>
      <c r="P96" s="24" t="n">
        <f aca="false">IF(D96&gt;0,SUMPRODUCT(ABS(Datos_Semanales!F96:K96-Datos_Semanales!M96:R96))/D96,"")</f>
        <v>0.205937515912396</v>
      </c>
      <c r="Q96" s="24" t="n">
        <f aca="false">IF(D96&gt;0,O96/D96-1,"")</f>
        <v>0.10720711291153</v>
      </c>
      <c r="R96" s="23" t="n">
        <f aca="false">SQRT(SUMXMY2(Datos_Semanales!F96:K96,Datos_Semanales!M96:R96)/COUNT(Datos_Semanales!F96:K96))</f>
        <v>2293.029733315</v>
      </c>
    </row>
    <row r="97" customFormat="false" ht="15" hidden="false" customHeight="false" outlineLevel="0" collapsed="false">
      <c r="A97" s="18" t="n">
        <f aca="false">Datos_Semanales!A97</f>
        <v>30001711</v>
      </c>
      <c r="B97" s="18" t="str">
        <f aca="false">Datos_Semanales!B97</f>
        <v>YOG POTE LONCO S/LACT TZO PAPAYA 24X140G</v>
      </c>
      <c r="C97" s="18" t="str">
        <f aca="false">Datos_Semanales!C97</f>
        <v>YOGURT</v>
      </c>
      <c r="D97" s="23" t="n">
        <f aca="false">SUM(Datos_Semanales!F97:K97)</f>
        <v>55920.48</v>
      </c>
      <c r="E97" s="23" t="n">
        <f aca="false">AVERAGE(Datos_Semanales!F97:K97)</f>
        <v>9320.08</v>
      </c>
      <c r="F97" s="23" t="n">
        <f aca="false">STDEV(Datos_Semanales!F97:K97)</f>
        <v>2693.17229369381</v>
      </c>
      <c r="G97" s="27" t="n">
        <f aca="false">IF(E97&gt;0,F97/E97,"")</f>
        <v>0.288964503919903</v>
      </c>
      <c r="H97" s="24" t="n">
        <f aca="false">IF(SUM($D$5:$D$494)&gt;0,D97/SUM($D$5:$D$494),0)</f>
        <v>0.00233100541068419</v>
      </c>
      <c r="I97" s="24" t="n">
        <f aca="false">SUMIF($D$5:$D$494,"&gt;="&amp;D97)/SUM($D$5:$D$494)</f>
        <v>0.746376313756029</v>
      </c>
      <c r="J97" s="3" t="str">
        <f aca="false">IF(D97&lt;=0,"C",IF(I97&lt;=Parametros!$B$4,"A",IF(I97&lt;=Parametros!$B$5,"B","C")))</f>
        <v>A</v>
      </c>
      <c r="K97" s="3" t="str">
        <f aca="false">IF(E97&lt;=0,"Z",IF(G97&lt;=Parametros!$B$6,"X",IF(G97&lt;=Parametros!$B$7,"Y","Z")))</f>
        <v>X</v>
      </c>
      <c r="L97" s="3" t="str">
        <f aca="false">J97&amp;K97</f>
        <v>AX</v>
      </c>
      <c r="M97" s="3" t="str">
        <f aca="false">INDEX(Parametros!$B$23:$B$31,MATCH(L97,Parametros!$A$23:$A$31,0))</f>
        <v>Forecast estadístico casi automático. Ajustes mínimos. SS bajo porque la demanda es estable.</v>
      </c>
      <c r="N97" s="3" t="str">
        <f aca="false">INDEX(Parametros!$C$23:$C$31,MATCH(L97,Parametros!$A$23:$A$31,0))</f>
        <v>Mensual</v>
      </c>
      <c r="O97" s="23" t="n">
        <f aca="false">SUM(Datos_Semanales!M97:R97)</f>
        <v>52246.9655831059</v>
      </c>
      <c r="P97" s="24" t="n">
        <f aca="false">IF(D97&gt;0,SUMPRODUCT(ABS(Datos_Semanales!F97:K97-Datos_Semanales!M97:R97))/D97,"")</f>
        <v>0.508006222377155</v>
      </c>
      <c r="Q97" s="24" t="n">
        <f aca="false">IF(D97&gt;0,O97/D97-1,"")</f>
        <v>-0.0656917540209618</v>
      </c>
      <c r="R97" s="23" t="n">
        <f aca="false">SQRT(SUMXMY2(Datos_Semanales!F97:K97,Datos_Semanales!M97:R97)/COUNT(Datos_Semanales!F97:K97))</f>
        <v>5524.99082839807</v>
      </c>
    </row>
    <row r="98" customFormat="false" ht="15" hidden="false" customHeight="false" outlineLevel="0" collapsed="false">
      <c r="A98" s="18" t="n">
        <f aca="false">Datos_Semanales!A98</f>
        <v>30001887</v>
      </c>
      <c r="B98" s="18" t="str">
        <f aca="false">Datos_Semanales!B98</f>
        <v>MANTEQUIILLA LAS PARCELAS PAN 20X200GR</v>
      </c>
      <c r="C98" s="18" t="str">
        <f aca="false">Datos_Semanales!C98</f>
        <v>MANTEQUILLAS</v>
      </c>
      <c r="D98" s="23" t="n">
        <f aca="false">SUM(Datos_Semanales!F98:K98)</f>
        <v>55828</v>
      </c>
      <c r="E98" s="23" t="n">
        <f aca="false">AVERAGE(Datos_Semanales!F98:K98)</f>
        <v>9304.66666666667</v>
      </c>
      <c r="F98" s="23" t="n">
        <f aca="false">STDEV(Datos_Semanales!F98:K98)</f>
        <v>1605.40968810664</v>
      </c>
      <c r="G98" s="27" t="n">
        <f aca="false">IF(E98&gt;0,F98/E98,"")</f>
        <v>0.172538119378087</v>
      </c>
      <c r="H98" s="24" t="n">
        <f aca="false">IF(SUM($D$5:$D$494)&gt;0,D98/SUM($D$5:$D$494),0)</f>
        <v>0.0023271504477014</v>
      </c>
      <c r="I98" s="24" t="n">
        <f aca="false">SUMIF($D$5:$D$494,"&gt;="&amp;D98)/SUM($D$5:$D$494)</f>
        <v>0.748703464203731</v>
      </c>
      <c r="J98" s="3" t="str">
        <f aca="false">IF(D98&lt;=0,"C",IF(I98&lt;=Parametros!$B$4,"A",IF(I98&lt;=Parametros!$B$5,"B","C")))</f>
        <v>A</v>
      </c>
      <c r="K98" s="3" t="str">
        <f aca="false">IF(E98&lt;=0,"Z",IF(G98&lt;=Parametros!$B$6,"X",IF(G98&lt;=Parametros!$B$7,"Y","Z")))</f>
        <v>X</v>
      </c>
      <c r="L98" s="3" t="str">
        <f aca="false">J98&amp;K98</f>
        <v>AX</v>
      </c>
      <c r="M98" s="3" t="str">
        <f aca="false">INDEX(Parametros!$B$23:$B$31,MATCH(L98,Parametros!$A$23:$A$31,0))</f>
        <v>Forecast estadístico casi automático. Ajustes mínimos. SS bajo porque la demanda es estable.</v>
      </c>
      <c r="N98" s="3" t="str">
        <f aca="false">INDEX(Parametros!$C$23:$C$31,MATCH(L98,Parametros!$A$23:$A$31,0))</f>
        <v>Mensual</v>
      </c>
      <c r="O98" s="23" t="n">
        <f aca="false">SUM(Datos_Semanales!M98:R98)</f>
        <v>64405.887663677</v>
      </c>
      <c r="P98" s="24" t="n">
        <f aca="false">IF(D98&gt;0,SUMPRODUCT(ABS(Datos_Semanales!F98:K98-Datos_Semanales!M98:R98))/D98,"")</f>
        <v>0.217039199109103</v>
      </c>
      <c r="Q98" s="24" t="n">
        <f aca="false">IF(D98&gt;0,O98/D98-1,"")</f>
        <v>0.15364848577196</v>
      </c>
      <c r="R98" s="23" t="n">
        <f aca="false">SQRT(SUMXMY2(Datos_Semanales!F98:K98,Datos_Semanales!M98:R98)/COUNT(Datos_Semanales!F98:K98))</f>
        <v>2378.50715141919</v>
      </c>
    </row>
    <row r="99" customFormat="false" ht="15" hidden="false" customHeight="false" outlineLevel="0" collapsed="false">
      <c r="A99" s="18" t="n">
        <f aca="false">Datos_Semanales!A99</f>
        <v>30000192</v>
      </c>
      <c r="B99" s="18" t="str">
        <f aca="false">Datos_Semanales!B99</f>
        <v>DULCE MEMBRILLO 12X500GR</v>
      </c>
      <c r="C99" s="18" t="str">
        <f aca="false">Datos_Semanales!C99</f>
        <v>-</v>
      </c>
      <c r="D99" s="23" t="n">
        <f aca="false">SUM(Datos_Semanales!F99:K99)</f>
        <v>53424</v>
      </c>
      <c r="E99" s="23" t="n">
        <f aca="false">AVERAGE(Datos_Semanales!F99:K99)</f>
        <v>8904</v>
      </c>
      <c r="F99" s="23" t="n">
        <f aca="false">STDEV(Datos_Semanales!F99:K99)</f>
        <v>1936.98363441718</v>
      </c>
      <c r="G99" s="27" t="n">
        <f aca="false">IF(E99&gt;0,F99/E99,"")</f>
        <v>0.217540839444877</v>
      </c>
      <c r="H99" s="24" t="n">
        <f aca="false">IF(SUM($D$5:$D$494)&gt;0,D99/SUM($D$5:$D$494),0)</f>
        <v>0.00222694141860714</v>
      </c>
      <c r="I99" s="24" t="n">
        <f aca="false">SUMIF($D$5:$D$494,"&gt;="&amp;D99)/SUM($D$5:$D$494)</f>
        <v>0.750930405622338</v>
      </c>
      <c r="J99" s="3" t="str">
        <f aca="false">IF(D99&lt;=0,"C",IF(I99&lt;=Parametros!$B$4,"A",IF(I99&lt;=Parametros!$B$5,"B","C")))</f>
        <v>A</v>
      </c>
      <c r="K99" s="3" t="str">
        <f aca="false">IF(E99&lt;=0,"Z",IF(G99&lt;=Parametros!$B$6,"X",IF(G99&lt;=Parametros!$B$7,"Y","Z")))</f>
        <v>X</v>
      </c>
      <c r="L99" s="3" t="str">
        <f aca="false">J99&amp;K99</f>
        <v>AX</v>
      </c>
      <c r="M99" s="3" t="str">
        <f aca="false">INDEX(Parametros!$B$23:$B$31,MATCH(L99,Parametros!$A$23:$A$31,0))</f>
        <v>Forecast estadístico casi automático. Ajustes mínimos. SS bajo porque la demanda es estable.</v>
      </c>
      <c r="N99" s="3" t="str">
        <f aca="false">INDEX(Parametros!$C$23:$C$31,MATCH(L99,Parametros!$A$23:$A$31,0))</f>
        <v>Mensual</v>
      </c>
      <c r="O99" s="23" t="n">
        <f aca="false">SUM(Datos_Semanales!M99:R99)</f>
        <v>55008</v>
      </c>
      <c r="P99" s="24" t="n">
        <f aca="false">IF(D99&gt;0,SUMPRODUCT(ABS(Datos_Semanales!F99:K99-Datos_Semanales!M99:R99))/D99,"")</f>
        <v>0.138814016172507</v>
      </c>
      <c r="Q99" s="24" t="n">
        <f aca="false">IF(D99&gt;0,O99/D99-1,"")</f>
        <v>0.0296495956873315</v>
      </c>
      <c r="R99" s="23" t="n">
        <f aca="false">SQRT(SUMXMY2(Datos_Semanales!F99:K99,Datos_Semanales!M99:R99)/COUNT(Datos_Semanales!F99:K99))</f>
        <v>1698.8140961663</v>
      </c>
    </row>
    <row r="100" customFormat="false" ht="15" hidden="false" customHeight="false" outlineLevel="0" collapsed="false">
      <c r="A100" s="18" t="n">
        <f aca="false">Datos_Semanales!A100</f>
        <v>30001939</v>
      </c>
      <c r="B100" s="18" t="str">
        <f aca="false">Datos_Semanales!B100</f>
        <v>JUGO FRESCO WATTS NJA MIX 6X1,6LT</v>
      </c>
      <c r="C100" s="18" t="str">
        <f aca="false">Datos_Semanales!C100</f>
        <v>JUGOS Y NECTARES</v>
      </c>
      <c r="D100" s="23" t="n">
        <f aca="false">SUM(Datos_Semanales!F100:K100)</f>
        <v>53222.4</v>
      </c>
      <c r="E100" s="23" t="n">
        <f aca="false">AVERAGE(Datos_Semanales!F100:K100)</f>
        <v>8870.4</v>
      </c>
      <c r="F100" s="23" t="n">
        <f aca="false">STDEV(Datos_Semanales!F100:K100)</f>
        <v>1629.66044070536</v>
      </c>
      <c r="G100" s="27" t="n">
        <f aca="false">IF(E100&gt;0,F100/E100,"")</f>
        <v>0.183718934964079</v>
      </c>
      <c r="H100" s="24" t="n">
        <f aca="false">IF(SUM($D$5:$D$494)&gt;0,D100/SUM($D$5:$D$494),0)</f>
        <v>0.00221853786608409</v>
      </c>
      <c r="I100" s="24" t="n">
        <f aca="false">SUMIF($D$5:$D$494,"&gt;="&amp;D100)/SUM($D$5:$D$494)</f>
        <v>0.753148943488422</v>
      </c>
      <c r="J100" s="3" t="str">
        <f aca="false">IF(D100&lt;=0,"C",IF(I100&lt;=Parametros!$B$4,"A",IF(I100&lt;=Parametros!$B$5,"B","C")))</f>
        <v>A</v>
      </c>
      <c r="K100" s="3" t="str">
        <f aca="false">IF(E100&lt;=0,"Z",IF(G100&lt;=Parametros!$B$6,"X",IF(G100&lt;=Parametros!$B$7,"Y","Z")))</f>
        <v>X</v>
      </c>
      <c r="L100" s="3" t="str">
        <f aca="false">J100&amp;K100</f>
        <v>AX</v>
      </c>
      <c r="M100" s="3" t="str">
        <f aca="false">INDEX(Parametros!$B$23:$B$31,MATCH(L100,Parametros!$A$23:$A$31,0))</f>
        <v>Forecast estadístico casi automático. Ajustes mínimos. SS bajo porque la demanda es estable.</v>
      </c>
      <c r="N100" s="3" t="str">
        <f aca="false">INDEX(Parametros!$C$23:$C$31,MATCH(L100,Parametros!$A$23:$A$31,0))</f>
        <v>Mensual</v>
      </c>
      <c r="O100" s="23" t="n">
        <f aca="false">SUM(Datos_Semanales!M100:R100)</f>
        <v>48659.0804377042</v>
      </c>
      <c r="P100" s="24" t="n">
        <f aca="false">IF(D100&gt;0,SUMPRODUCT(ABS(Datos_Semanales!F100:K100-Datos_Semanales!M100:R100))/D100,"")</f>
        <v>0.197118842194178</v>
      </c>
      <c r="Q100" s="24" t="n">
        <f aca="false">IF(D100&gt;0,O100/D100-1,"")</f>
        <v>-0.0857405822040298</v>
      </c>
      <c r="R100" s="23" t="n">
        <f aca="false">SQRT(SUMXMY2(Datos_Semanales!F100:K100,Datos_Semanales!M100:R100)/COUNT(Datos_Semanales!F100:K100))</f>
        <v>2026.65457995995</v>
      </c>
    </row>
    <row r="101" customFormat="false" ht="15" hidden="false" customHeight="false" outlineLevel="0" collapsed="false">
      <c r="A101" s="18" t="n">
        <f aca="false">Datos_Semanales!A101</f>
        <v>30002065</v>
      </c>
      <c r="B101" s="18" t="str">
        <f aca="false">Datos_Semanales!B101</f>
        <v>LECHE CHOCOLATE LONCOLECHE 12X1LT</v>
      </c>
      <c r="C101" s="18" t="str">
        <f aca="false">Datos_Semanales!C101</f>
        <v>-</v>
      </c>
      <c r="D101" s="23" t="n">
        <f aca="false">SUM(Datos_Semanales!F101:K101)</f>
        <v>52320</v>
      </c>
      <c r="E101" s="23" t="n">
        <f aca="false">AVERAGE(Datos_Semanales!F101:K101)</f>
        <v>8720</v>
      </c>
      <c r="F101" s="23" t="n">
        <f aca="false">STDEV(Datos_Semanales!F101:K101)</f>
        <v>4735.97094585683</v>
      </c>
      <c r="G101" s="27" t="n">
        <f aca="false">IF(E101&gt;0,F101/E101,"")</f>
        <v>0.543115934157893</v>
      </c>
      <c r="H101" s="24" t="n">
        <f aca="false">IF(SUM($D$5:$D$494)&gt;0,D101/SUM($D$5:$D$494),0)</f>
        <v>0.00218092196431427</v>
      </c>
      <c r="I101" s="24" t="n">
        <f aca="false">SUMIF($D$5:$D$494,"&gt;="&amp;D101)/SUM($D$5:$D$494)</f>
        <v>0.755329865452736</v>
      </c>
      <c r="J101" s="3" t="str">
        <f aca="false">IF(D101&lt;=0,"C",IF(I101&lt;=Parametros!$B$4,"A",IF(I101&lt;=Parametros!$B$5,"B","C")))</f>
        <v>A</v>
      </c>
      <c r="K101" s="3" t="str">
        <f aca="false">IF(E101&lt;=0,"Z",IF(G101&lt;=Parametros!$B$6,"X",IF(G101&lt;=Parametros!$B$7,"Y","Z")))</f>
        <v>Y</v>
      </c>
      <c r="L101" s="3" t="str">
        <f aca="false">J101&amp;K101</f>
        <v>AY</v>
      </c>
      <c r="M101" s="3" t="str">
        <f aca="false">INDEX(Parametros!$B$23:$B$31,MATCH(L101,Parametros!$A$23:$A$31,0))</f>
        <v>Alto volumen con variaciones: entender causas (promos, cadenas). Validar con KAM antes de ajustar.</v>
      </c>
      <c r="N101" s="3" t="str">
        <f aca="false">INDEX(Parametros!$C$23:$C$31,MATCH(L101,Parametros!$A$23:$A$31,0))</f>
        <v>Semanal</v>
      </c>
      <c r="O101" s="23" t="n">
        <f aca="false">SUM(Datos_Semanales!M101:R101)</f>
        <v>51361.2349667435</v>
      </c>
      <c r="P101" s="24" t="n">
        <f aca="false">IF(D101&gt;0,SUMPRODUCT(ABS(Datos_Semanales!F101:K101-Datos_Semanales!M101:R101))/D101,"")</f>
        <v>0.456031807468338</v>
      </c>
      <c r="Q101" s="24" t="n">
        <f aca="false">IF(D101&gt;0,O101/D101-1,"")</f>
        <v>-0.0183250197487872</v>
      </c>
      <c r="R101" s="23" t="n">
        <f aca="false">SQRT(SUMXMY2(Datos_Semanales!F101:K101,Datos_Semanales!M101:R101)/COUNT(Datos_Semanales!F101:K101))</f>
        <v>4929.72906703458</v>
      </c>
    </row>
    <row r="102" customFormat="false" ht="15" hidden="false" customHeight="false" outlineLevel="0" collapsed="false">
      <c r="A102" s="18" t="n">
        <f aca="false">Datos_Semanales!A102</f>
        <v>30002165</v>
      </c>
      <c r="B102" s="18" t="str">
        <f aca="false">Datos_Semanales!B102</f>
        <v>YOGURT LONCO PROTEIN NAT N/END 24X140G</v>
      </c>
      <c r="C102" s="18" t="str">
        <f aca="false">Datos_Semanales!C102</f>
        <v>YOGURT</v>
      </c>
      <c r="D102" s="23" t="n">
        <f aca="false">SUM(Datos_Semanales!F102:K102)</f>
        <v>51841.44</v>
      </c>
      <c r="E102" s="23" t="n">
        <f aca="false">AVERAGE(Datos_Semanales!F102:K102)</f>
        <v>8640.24</v>
      </c>
      <c r="F102" s="23" t="n">
        <f aca="false">STDEV(Datos_Semanales!F102:K102)</f>
        <v>1604.42128572267</v>
      </c>
      <c r="G102" s="27" t="n">
        <f aca="false">IF(E102&gt;0,F102/E102,"")</f>
        <v>0.185691749965588</v>
      </c>
      <c r="H102" s="24" t="n">
        <f aca="false">IF(SUM($D$5:$D$494)&gt;0,D102/SUM($D$5:$D$494),0)</f>
        <v>0.00216097353130123</v>
      </c>
      <c r="I102" s="24" t="n">
        <f aca="false">SUMIF($D$5:$D$494,"&gt;="&amp;D102)/SUM($D$5:$D$494)</f>
        <v>0.757490838984037</v>
      </c>
      <c r="J102" s="3" t="str">
        <f aca="false">IF(D102&lt;=0,"C",IF(I102&lt;=Parametros!$B$4,"A",IF(I102&lt;=Parametros!$B$5,"B","C")))</f>
        <v>A</v>
      </c>
      <c r="K102" s="3" t="str">
        <f aca="false">IF(E102&lt;=0,"Z",IF(G102&lt;=Parametros!$B$6,"X",IF(G102&lt;=Parametros!$B$7,"Y","Z")))</f>
        <v>X</v>
      </c>
      <c r="L102" s="3" t="str">
        <f aca="false">J102&amp;K102</f>
        <v>AX</v>
      </c>
      <c r="M102" s="3" t="str">
        <f aca="false">INDEX(Parametros!$B$23:$B$31,MATCH(L102,Parametros!$A$23:$A$31,0))</f>
        <v>Forecast estadístico casi automático. Ajustes mínimos. SS bajo porque la demanda es estable.</v>
      </c>
      <c r="N102" s="3" t="str">
        <f aca="false">INDEX(Parametros!$C$23:$C$31,MATCH(L102,Parametros!$A$23:$A$31,0))</f>
        <v>Mensual</v>
      </c>
      <c r="O102" s="23" t="n">
        <f aca="false">SUM(Datos_Semanales!M102:R102)</f>
        <v>46475.844623155</v>
      </c>
      <c r="P102" s="24" t="n">
        <f aca="false">IF(D102&gt;0,SUMPRODUCT(ABS(Datos_Semanales!F102:K102-Datos_Semanales!M102:R102))/D102,"")</f>
        <v>0.18028751488309</v>
      </c>
      <c r="Q102" s="24" t="n">
        <f aca="false">IF(D102&gt;0,O102/D102-1,"")</f>
        <v>-0.103500122235127</v>
      </c>
      <c r="R102" s="23" t="n">
        <f aca="false">SQRT(SUMXMY2(Datos_Semanales!F102:K102,Datos_Semanales!M102:R102)/COUNT(Datos_Semanales!F102:K102))</f>
        <v>1670.67219847139</v>
      </c>
    </row>
    <row r="103" customFormat="false" ht="15" hidden="false" customHeight="false" outlineLevel="0" collapsed="false">
      <c r="A103" s="18" t="n">
        <f aca="false">Datos_Semanales!A103</f>
        <v>30002230</v>
      </c>
      <c r="B103" s="18" t="str">
        <f aca="false">Datos_Semanales!B103</f>
        <v>NECTAR WATTS MANZANA 5X10X115ML</v>
      </c>
      <c r="C103" s="18" t="str">
        <f aca="false">Datos_Semanales!C103</f>
        <v>JUGOS Y NECTARES</v>
      </c>
      <c r="D103" s="23" t="n">
        <f aca="false">SUM(Datos_Semanales!F103:K103)</f>
        <v>51290</v>
      </c>
      <c r="E103" s="23" t="n">
        <f aca="false">AVERAGE(Datos_Semanales!F103:K103)</f>
        <v>8548.33333333333</v>
      </c>
      <c r="F103" s="23" t="n">
        <f aca="false">STDEV(Datos_Semanales!F103:K103)</f>
        <v>6538.50263184673</v>
      </c>
      <c r="G103" s="27" t="n">
        <f aca="false">IF(E103&gt;0,F103/E103,"")</f>
        <v>0.764886250557231</v>
      </c>
      <c r="H103" s="24" t="n">
        <f aca="false">IF(SUM($D$5:$D$494)&gt;0,D103/SUM($D$5:$D$494),0)</f>
        <v>0.00213798714735625</v>
      </c>
      <c r="I103" s="24" t="n">
        <f aca="false">SUMIF($D$5:$D$494,"&gt;="&amp;D103)/SUM($D$5:$D$494)</f>
        <v>0.759628826131394</v>
      </c>
      <c r="J103" s="3" t="str">
        <f aca="false">IF(D103&lt;=0,"C",IF(I103&lt;=Parametros!$B$4,"A",IF(I103&lt;=Parametros!$B$5,"B","C")))</f>
        <v>A</v>
      </c>
      <c r="K103" s="3" t="str">
        <f aca="false">IF(E103&lt;=0,"Z",IF(G103&lt;=Parametros!$B$6,"X",IF(G103&lt;=Parametros!$B$7,"Y","Z")))</f>
        <v>Y</v>
      </c>
      <c r="L103" s="3" t="str">
        <f aca="false">J103&amp;K103</f>
        <v>AY</v>
      </c>
      <c r="M103" s="3" t="str">
        <f aca="false">INDEX(Parametros!$B$23:$B$31,MATCH(L103,Parametros!$A$23:$A$31,0))</f>
        <v>Alto volumen con variaciones: entender causas (promos, cadenas). Validar con KAM antes de ajustar.</v>
      </c>
      <c r="N103" s="3" t="str">
        <f aca="false">INDEX(Parametros!$C$23:$C$31,MATCH(L103,Parametros!$A$23:$A$31,0))</f>
        <v>Semanal</v>
      </c>
      <c r="O103" s="23" t="n">
        <f aca="false">SUM(Datos_Semanales!M103:R103)</f>
        <v>35095.1270833333</v>
      </c>
      <c r="P103" s="24" t="n">
        <f aca="false">IF(D103&gt;0,SUMPRODUCT(ABS(Datos_Semanales!F103:K103-Datos_Semanales!M103:R103))/D103,"")</f>
        <v>0.520892043608241</v>
      </c>
      <c r="Q103" s="24" t="n">
        <f aca="false">IF(D103&gt;0,O103/D103-1,"")</f>
        <v>-0.315751080457529</v>
      </c>
      <c r="R103" s="23" t="n">
        <f aca="false">SQRT(SUMXMY2(Datos_Semanales!F103:K103,Datos_Semanales!M103:R103)/COUNT(Datos_Semanales!F103:K103))</f>
        <v>5174.95783367242</v>
      </c>
    </row>
    <row r="104" customFormat="false" ht="15" hidden="false" customHeight="false" outlineLevel="0" collapsed="false">
      <c r="A104" s="18" t="n">
        <f aca="false">Datos_Semanales!A104</f>
        <v>30001032</v>
      </c>
      <c r="B104" s="18" t="str">
        <f aca="false">Datos_Semanales!B104</f>
        <v>YOG DAN L&amp;F BOL NAT 12X900GR</v>
      </c>
      <c r="C104" s="18" t="str">
        <f aca="false">Datos_Semanales!C104</f>
        <v>YOGURT</v>
      </c>
      <c r="D104" s="23" t="n">
        <f aca="false">SUM(Datos_Semanales!F104:K104)</f>
        <v>50619.6</v>
      </c>
      <c r="E104" s="23" t="n">
        <f aca="false">AVERAGE(Datos_Semanales!F104:K104)</f>
        <v>8436.6</v>
      </c>
      <c r="F104" s="23" t="n">
        <f aca="false">STDEV(Datos_Semanales!F104:K104)</f>
        <v>1431.53446622846</v>
      </c>
      <c r="G104" s="27" t="n">
        <f aca="false">IF(E104&gt;0,F104/E104,"")</f>
        <v>0.169681443499568</v>
      </c>
      <c r="H104" s="24" t="n">
        <f aca="false">IF(SUM($D$5:$D$494)&gt;0,D104/SUM($D$5:$D$494),0)</f>
        <v>0.00211004200047406</v>
      </c>
      <c r="I104" s="24" t="n">
        <f aca="false">SUMIF($D$5:$D$494,"&gt;="&amp;D104)/SUM($D$5:$D$494)</f>
        <v>0.761738868131868</v>
      </c>
      <c r="J104" s="3" t="str">
        <f aca="false">IF(D104&lt;=0,"C",IF(I104&lt;=Parametros!$B$4,"A",IF(I104&lt;=Parametros!$B$5,"B","C")))</f>
        <v>A</v>
      </c>
      <c r="K104" s="3" t="str">
        <f aca="false">IF(E104&lt;=0,"Z",IF(G104&lt;=Parametros!$B$6,"X",IF(G104&lt;=Parametros!$B$7,"Y","Z")))</f>
        <v>X</v>
      </c>
      <c r="L104" s="3" t="str">
        <f aca="false">J104&amp;K104</f>
        <v>AX</v>
      </c>
      <c r="M104" s="3" t="str">
        <f aca="false">INDEX(Parametros!$B$23:$B$31,MATCH(L104,Parametros!$A$23:$A$31,0))</f>
        <v>Forecast estadístico casi automático. Ajustes mínimos. SS bajo porque la demanda es estable.</v>
      </c>
      <c r="N104" s="3" t="str">
        <f aca="false">INDEX(Parametros!$C$23:$C$31,MATCH(L104,Parametros!$A$23:$A$31,0))</f>
        <v>Mensual</v>
      </c>
      <c r="O104" s="23" t="n">
        <f aca="false">SUM(Datos_Semanales!M104:R104)</f>
        <v>44198.5844529716</v>
      </c>
      <c r="P104" s="24" t="n">
        <f aca="false">IF(D104&gt;0,SUMPRODUCT(ABS(Datos_Semanales!F104:K104-Datos_Semanales!M104:R104))/D104,"")</f>
        <v>0.182026853907815</v>
      </c>
      <c r="Q104" s="24" t="n">
        <f aca="false">IF(D104&gt;0,O104/D104-1,"")</f>
        <v>-0.126848405499618</v>
      </c>
      <c r="R104" s="23" t="n">
        <f aca="false">SQRT(SUMXMY2(Datos_Semanales!F104:K104,Datos_Semanales!M104:R104)/COUNT(Datos_Semanales!F104:K104))</f>
        <v>2164.1939417541</v>
      </c>
    </row>
    <row r="105" customFormat="false" ht="15" hidden="false" customHeight="false" outlineLevel="0" collapsed="false">
      <c r="A105" s="18" t="n">
        <f aca="false">Datos_Semanales!A105</f>
        <v>30002090</v>
      </c>
      <c r="B105" s="18" t="str">
        <f aca="false">Datos_Semanales!B105</f>
        <v>YOG FULL PRO LONCO PROTEIN NAT 12X150GR</v>
      </c>
      <c r="C105" s="18" t="str">
        <f aca="false">Datos_Semanales!C105</f>
        <v>YOGURT</v>
      </c>
      <c r="D105" s="23" t="n">
        <f aca="false">SUM(Datos_Semanales!F105:K105)</f>
        <v>50259.6</v>
      </c>
      <c r="E105" s="23" t="n">
        <f aca="false">AVERAGE(Datos_Semanales!F105:K105)</f>
        <v>8376.6</v>
      </c>
      <c r="F105" s="23" t="n">
        <f aca="false">STDEV(Datos_Semanales!F105:K105)</f>
        <v>1783.52141114145</v>
      </c>
      <c r="G105" s="27" t="n">
        <f aca="false">IF(E105&gt;0,F105/E105,"")</f>
        <v>0.212917103734385</v>
      </c>
      <c r="H105" s="24" t="n">
        <f aca="false">IF(SUM($D$5:$D$494)&gt;0,D105/SUM($D$5:$D$494),0)</f>
        <v>0.0020950356566829</v>
      </c>
      <c r="I105" s="24" t="n">
        <f aca="false">SUMIF($D$5:$D$494,"&gt;="&amp;D105)/SUM($D$5:$D$494)</f>
        <v>0.763833903788551</v>
      </c>
      <c r="J105" s="3" t="str">
        <f aca="false">IF(D105&lt;=0,"C",IF(I105&lt;=Parametros!$B$4,"A",IF(I105&lt;=Parametros!$B$5,"B","C")))</f>
        <v>A</v>
      </c>
      <c r="K105" s="3" t="str">
        <f aca="false">IF(E105&lt;=0,"Z",IF(G105&lt;=Parametros!$B$6,"X",IF(G105&lt;=Parametros!$B$7,"Y","Z")))</f>
        <v>X</v>
      </c>
      <c r="L105" s="3" t="str">
        <f aca="false">J105&amp;K105</f>
        <v>AX</v>
      </c>
      <c r="M105" s="3" t="str">
        <f aca="false">INDEX(Parametros!$B$23:$B$31,MATCH(L105,Parametros!$A$23:$A$31,0))</f>
        <v>Forecast estadístico casi automático. Ajustes mínimos. SS bajo porque la demanda es estable.</v>
      </c>
      <c r="N105" s="3" t="str">
        <f aca="false">INDEX(Parametros!$C$23:$C$31,MATCH(L105,Parametros!$A$23:$A$31,0))</f>
        <v>Mensual</v>
      </c>
      <c r="O105" s="23" t="n">
        <f aca="false">SUM(Datos_Semanales!M105:R105)</f>
        <v>23650.6728339558</v>
      </c>
      <c r="P105" s="24" t="n">
        <f aca="false">IF(D105&gt;0,SUMPRODUCT(ABS(Datos_Semanales!F105:K105-Datos_Semanales!M105:R105))/D105,"")</f>
        <v>0.52942974408957</v>
      </c>
      <c r="Q105" s="24" t="n">
        <f aca="false">IF(D105&gt;0,O105/D105-1,"")</f>
        <v>-0.52942974408957</v>
      </c>
      <c r="R105" s="23" t="n">
        <f aca="false">SQRT(SUMXMY2(Datos_Semanales!F105:K105,Datos_Semanales!M105:R105)/COUNT(Datos_Semanales!F105:K105))</f>
        <v>4698.46876418356</v>
      </c>
    </row>
    <row r="106" customFormat="false" ht="15" hidden="false" customHeight="false" outlineLevel="0" collapsed="false">
      <c r="A106" s="18" t="n">
        <f aca="false">Datos_Semanales!A106</f>
        <v>30001508</v>
      </c>
      <c r="B106" s="18" t="str">
        <f aca="false">Datos_Semanales!B106</f>
        <v>YOGURT YOGU YOGU MORA TETRA 5X6X115GR</v>
      </c>
      <c r="C106" s="18" t="str">
        <f aca="false">Datos_Semanales!C106</f>
        <v>YOGURT</v>
      </c>
      <c r="D106" s="23" t="n">
        <f aca="false">SUM(Datos_Semanales!F106:K106)</f>
        <v>49583.4</v>
      </c>
      <c r="E106" s="23" t="n">
        <f aca="false">AVERAGE(Datos_Semanales!F106:K106)</f>
        <v>8263.9</v>
      </c>
      <c r="F106" s="23" t="n">
        <f aca="false">STDEV(Datos_Semanales!F106:K106)</f>
        <v>2045.53367706327</v>
      </c>
      <c r="G106" s="27" t="n">
        <f aca="false">IF(E106&gt;0,F106/E106,"")</f>
        <v>0.24752643147464</v>
      </c>
      <c r="H106" s="24" t="n">
        <f aca="false">IF(SUM($D$5:$D$494)&gt;0,D106/SUM($D$5:$D$494),0)</f>
        <v>0.00206684874092852</v>
      </c>
      <c r="I106" s="24" t="n">
        <f aca="false">SUMIF($D$5:$D$494,"&gt;="&amp;D106)/SUM($D$5:$D$494)</f>
        <v>0.765900752529479</v>
      </c>
      <c r="J106" s="3" t="str">
        <f aca="false">IF(D106&lt;=0,"C",IF(I106&lt;=Parametros!$B$4,"A",IF(I106&lt;=Parametros!$B$5,"B","C")))</f>
        <v>A</v>
      </c>
      <c r="K106" s="3" t="str">
        <f aca="false">IF(E106&lt;=0,"Z",IF(G106&lt;=Parametros!$B$6,"X",IF(G106&lt;=Parametros!$B$7,"Y","Z")))</f>
        <v>X</v>
      </c>
      <c r="L106" s="3" t="str">
        <f aca="false">J106&amp;K106</f>
        <v>AX</v>
      </c>
      <c r="M106" s="3" t="str">
        <f aca="false">INDEX(Parametros!$B$23:$B$31,MATCH(L106,Parametros!$A$23:$A$31,0))</f>
        <v>Forecast estadístico casi automático. Ajustes mínimos. SS bajo porque la demanda es estable.</v>
      </c>
      <c r="N106" s="3" t="str">
        <f aca="false">INDEX(Parametros!$C$23:$C$31,MATCH(L106,Parametros!$A$23:$A$31,0))</f>
        <v>Mensual</v>
      </c>
      <c r="O106" s="23" t="n">
        <f aca="false">SUM(Datos_Semanales!M106:R106)</f>
        <v>49472.6815272496</v>
      </c>
      <c r="P106" s="24" t="n">
        <f aca="false">IF(D106&gt;0,SUMPRODUCT(ABS(Datos_Semanales!F106:K106-Datos_Semanales!M106:R106))/D106,"")</f>
        <v>0.125704150335963</v>
      </c>
      <c r="Q106" s="24" t="n">
        <f aca="false">IF(D106&gt;0,O106/D106-1,"")</f>
        <v>-0.00223297459936933</v>
      </c>
      <c r="R106" s="23" t="n">
        <f aca="false">SQRT(SUMXMY2(Datos_Semanales!F106:K106,Datos_Semanales!M106:R106)/COUNT(Datos_Semanales!F106:K106))</f>
        <v>1254.74481724033</v>
      </c>
    </row>
    <row r="107" customFormat="false" ht="15" hidden="false" customHeight="false" outlineLevel="0" collapsed="false">
      <c r="A107" s="18" t="n">
        <f aca="false">Datos_Semanales!A107</f>
        <v>30000347</v>
      </c>
      <c r="B107" s="18" t="str">
        <f aca="false">Datos_Semanales!B107</f>
        <v>CREMA LISTA LONCO 30X200ML</v>
      </c>
      <c r="C107" s="18" t="str">
        <f aca="false">Datos_Semanales!C107</f>
        <v>-</v>
      </c>
      <c r="D107" s="23" t="n">
        <f aca="false">SUM(Datos_Semanales!F107:K107)</f>
        <v>49038</v>
      </c>
      <c r="E107" s="23" t="n">
        <f aca="false">AVERAGE(Datos_Semanales!F107:K107)</f>
        <v>8173</v>
      </c>
      <c r="F107" s="23" t="n">
        <f aca="false">STDEV(Datos_Semanales!F107:K107)</f>
        <v>3019.58586564449</v>
      </c>
      <c r="G107" s="27" t="n">
        <f aca="false">IF(E107&gt;0,F107/E107,"")</f>
        <v>0.369458689054753</v>
      </c>
      <c r="H107" s="24" t="n">
        <f aca="false">IF(SUM($D$5:$D$494)&gt;0,D107/SUM($D$5:$D$494),0)</f>
        <v>0.00204411413008492</v>
      </c>
      <c r="I107" s="24" t="n">
        <f aca="false">SUMIF($D$5:$D$494,"&gt;="&amp;D107)/SUM($D$5:$D$494)</f>
        <v>0.767944866659564</v>
      </c>
      <c r="J107" s="3" t="str">
        <f aca="false">IF(D107&lt;=0,"C",IF(I107&lt;=Parametros!$B$4,"A",IF(I107&lt;=Parametros!$B$5,"B","C")))</f>
        <v>A</v>
      </c>
      <c r="K107" s="3" t="str">
        <f aca="false">IF(E107&lt;=0,"Z",IF(G107&lt;=Parametros!$B$6,"X",IF(G107&lt;=Parametros!$B$7,"Y","Z")))</f>
        <v>X</v>
      </c>
      <c r="L107" s="3" t="str">
        <f aca="false">J107&amp;K107</f>
        <v>AX</v>
      </c>
      <c r="M107" s="3" t="str">
        <f aca="false">INDEX(Parametros!$B$23:$B$31,MATCH(L107,Parametros!$A$23:$A$31,0))</f>
        <v>Forecast estadístico casi automático. Ajustes mínimos. SS bajo porque la demanda es estable.</v>
      </c>
      <c r="N107" s="3" t="str">
        <f aca="false">INDEX(Parametros!$C$23:$C$31,MATCH(L107,Parametros!$A$23:$A$31,0))</f>
        <v>Mensual</v>
      </c>
      <c r="O107" s="23" t="n">
        <f aca="false">SUM(Datos_Semanales!M107:R107)</f>
        <v>56455.2440421152</v>
      </c>
      <c r="P107" s="24" t="n">
        <f aca="false">IF(D107&gt;0,SUMPRODUCT(ABS(Datos_Semanales!F107:K107-Datos_Semanales!M107:R107))/D107,"")</f>
        <v>0.333970472737779</v>
      </c>
      <c r="Q107" s="24" t="n">
        <f aca="false">IF(D107&gt;0,O107/D107-1,"")</f>
        <v>0.151255027572805</v>
      </c>
      <c r="R107" s="23" t="n">
        <f aca="false">SQRT(SUMXMY2(Datos_Semanales!F107:K107,Datos_Semanales!M107:R107)/COUNT(Datos_Semanales!F107:K107))</f>
        <v>3019.7257768727</v>
      </c>
    </row>
    <row r="108" customFormat="false" ht="15" hidden="false" customHeight="false" outlineLevel="0" collapsed="false">
      <c r="A108" s="18" t="n">
        <f aca="false">Datos_Semanales!A108</f>
        <v>30002286</v>
      </c>
      <c r="B108" s="18" t="str">
        <f aca="false">Datos_Semanales!B108</f>
        <v>YOGURT DANONE CRUNCH M&amp;M 12X138G</v>
      </c>
      <c r="C108" s="18" t="str">
        <f aca="false">Datos_Semanales!C108</f>
        <v>-</v>
      </c>
      <c r="D108" s="23" t="n">
        <f aca="false">SUM(Datos_Semanales!F108:K108)</f>
        <v>47899.8</v>
      </c>
      <c r="E108" s="23" t="n">
        <f aca="false">AVERAGE(Datos_Semanales!F108:K108)</f>
        <v>7983.3</v>
      </c>
      <c r="F108" s="23" t="n">
        <f aca="false">STDEV(Datos_Semanales!F108:K108)</f>
        <v>1248.25690996429</v>
      </c>
      <c r="G108" s="27" t="n">
        <f aca="false">IF(E108&gt;0,F108/E108,"")</f>
        <v>0.156358512139628</v>
      </c>
      <c r="H108" s="24" t="n">
        <f aca="false">IF(SUM($D$5:$D$494)&gt;0,D108/SUM($D$5:$D$494),0)</f>
        <v>0.00199666907313189</v>
      </c>
      <c r="I108" s="24" t="n">
        <f aca="false">SUMIF($D$5:$D$494,"&gt;="&amp;D108)/SUM($D$5:$D$494)</f>
        <v>0.769941535732696</v>
      </c>
      <c r="J108" s="3" t="str">
        <f aca="false">IF(D108&lt;=0,"C",IF(I108&lt;=Parametros!$B$4,"A",IF(I108&lt;=Parametros!$B$5,"B","C")))</f>
        <v>A</v>
      </c>
      <c r="K108" s="3" t="str">
        <f aca="false">IF(E108&lt;=0,"Z",IF(G108&lt;=Parametros!$B$6,"X",IF(G108&lt;=Parametros!$B$7,"Y","Z")))</f>
        <v>X</v>
      </c>
      <c r="L108" s="3" t="str">
        <f aca="false">J108&amp;K108</f>
        <v>AX</v>
      </c>
      <c r="M108" s="3" t="str">
        <f aca="false">INDEX(Parametros!$B$23:$B$31,MATCH(L108,Parametros!$A$23:$A$31,0))</f>
        <v>Forecast estadístico casi automático. Ajustes mínimos. SS bajo porque la demanda es estable.</v>
      </c>
      <c r="N108" s="3" t="str">
        <f aca="false">INDEX(Parametros!$C$23:$C$31,MATCH(L108,Parametros!$A$23:$A$31,0))</f>
        <v>Mensual</v>
      </c>
      <c r="O108" s="23" t="n">
        <f aca="false">SUM(Datos_Semanales!M108:R108)</f>
        <v>40980.3339712959</v>
      </c>
      <c r="P108" s="24" t="n">
        <f aca="false">IF(D108&gt;0,SUMPRODUCT(ABS(Datos_Semanales!F108:K108-Datos_Semanales!M108:R108))/D108,"")</f>
        <v>0.200723312284433</v>
      </c>
      <c r="Q108" s="24" t="n">
        <f aca="false">IF(D108&gt;0,O108/D108-1,"")</f>
        <v>-0.144457096453515</v>
      </c>
      <c r="R108" s="23" t="n">
        <f aca="false">SQRT(SUMXMY2(Datos_Semanales!F108:K108,Datos_Semanales!M108:R108)/COUNT(Datos_Semanales!F108:K108))</f>
        <v>2357.77965062986</v>
      </c>
    </row>
    <row r="109" customFormat="false" ht="15" hidden="false" customHeight="false" outlineLevel="0" collapsed="false">
      <c r="A109" s="18" t="n">
        <f aca="false">Datos_Semanales!A109</f>
        <v>30001715</v>
      </c>
      <c r="B109" s="18" t="str">
        <f aca="false">Datos_Semanales!B109</f>
        <v>LP LONCO SEMIDESCREMADA 10X760GR</v>
      </c>
      <c r="C109" s="18" t="str">
        <f aca="false">Datos_Semanales!C109</f>
        <v>LECHES EN POLVO</v>
      </c>
      <c r="D109" s="23" t="n">
        <f aca="false">SUM(Datos_Semanales!F109:K109)</f>
        <v>47317.6</v>
      </c>
      <c r="E109" s="23" t="n">
        <f aca="false">AVERAGE(Datos_Semanales!F109:K109)</f>
        <v>7886.26666666667</v>
      </c>
      <c r="F109" s="23" t="n">
        <f aca="false">STDEV(Datos_Semanales!F109:K109)</f>
        <v>3633.99439221728</v>
      </c>
      <c r="G109" s="27" t="n">
        <f aca="false">IF(E109&gt;0,F109/E109,"")</f>
        <v>0.460800343916507</v>
      </c>
      <c r="H109" s="24" t="n">
        <f aca="false">IF(SUM($D$5:$D$494)&gt;0,D109/SUM($D$5:$D$494),0)</f>
        <v>0.00197240048047853</v>
      </c>
      <c r="I109" s="24" t="n">
        <f aca="false">SUMIF($D$5:$D$494,"&gt;="&amp;D109)/SUM($D$5:$D$494)</f>
        <v>0.771913936213174</v>
      </c>
      <c r="J109" s="3" t="str">
        <f aca="false">IF(D109&lt;=0,"C",IF(I109&lt;=Parametros!$B$4,"A",IF(I109&lt;=Parametros!$B$5,"B","C")))</f>
        <v>A</v>
      </c>
      <c r="K109" s="3" t="str">
        <f aca="false">IF(E109&lt;=0,"Z",IF(G109&lt;=Parametros!$B$6,"X",IF(G109&lt;=Parametros!$B$7,"Y","Z")))</f>
        <v>X</v>
      </c>
      <c r="L109" s="3" t="str">
        <f aca="false">J109&amp;K109</f>
        <v>AX</v>
      </c>
      <c r="M109" s="3" t="str">
        <f aca="false">INDEX(Parametros!$B$23:$B$31,MATCH(L109,Parametros!$A$23:$A$31,0))</f>
        <v>Forecast estadístico casi automático. Ajustes mínimos. SS bajo porque la demanda es estable.</v>
      </c>
      <c r="N109" s="3" t="str">
        <f aca="false">INDEX(Parametros!$C$23:$C$31,MATCH(L109,Parametros!$A$23:$A$31,0))</f>
        <v>Mensual</v>
      </c>
      <c r="O109" s="23" t="n">
        <f aca="false">SUM(Datos_Semanales!M109:R109)</f>
        <v>58378.8540381682</v>
      </c>
      <c r="P109" s="24" t="n">
        <f aca="false">IF(D109&gt;0,SUMPRODUCT(ABS(Datos_Semanales!F109:K109-Datos_Semanales!M109:R109))/D109,"")</f>
        <v>0.693956286071817</v>
      </c>
      <c r="Q109" s="24" t="n">
        <f aca="false">IF(D109&gt;0,O109/D109-1,"")</f>
        <v>0.233766168152404</v>
      </c>
      <c r="R109" s="23" t="n">
        <f aca="false">SQRT(SUMXMY2(Datos_Semanales!F109:K109,Datos_Semanales!M109:R109)/COUNT(Datos_Semanales!F109:K109))</f>
        <v>5969.53507635273</v>
      </c>
    </row>
    <row r="110" customFormat="false" ht="15" hidden="false" customHeight="false" outlineLevel="0" collapsed="false">
      <c r="A110" s="18" t="n">
        <f aca="false">Datos_Semanales!A110</f>
        <v>30000658</v>
      </c>
      <c r="B110" s="18" t="str">
        <f aca="false">Datos_Semanales!B110</f>
        <v>JALEA REG FRAMBUESA 6X4X100GR</v>
      </c>
      <c r="C110" s="18" t="str">
        <f aca="false">Datos_Semanales!C110</f>
        <v>POSTRES</v>
      </c>
      <c r="D110" s="23" t="n">
        <f aca="false">SUM(Datos_Semanales!F110:K110)</f>
        <v>46461.6</v>
      </c>
      <c r="E110" s="23" t="n">
        <f aca="false">AVERAGE(Datos_Semanales!F110:K110)</f>
        <v>7743.6</v>
      </c>
      <c r="F110" s="23" t="n">
        <f aca="false">STDEV(Datos_Semanales!F110:K110)</f>
        <v>2000.53597618238</v>
      </c>
      <c r="G110" s="27" t="n">
        <f aca="false">IF(E110&gt;0,F110/E110,"")</f>
        <v>0.258347018981144</v>
      </c>
      <c r="H110" s="24" t="n">
        <f aca="false">IF(SUM($D$5:$D$494)&gt;0,D110/SUM($D$5:$D$494),0)</f>
        <v>0.00193671872968624</v>
      </c>
      <c r="I110" s="24" t="n">
        <f aca="false">SUMIF($D$5:$D$494,"&gt;="&amp;D110)/SUM($D$5:$D$494)</f>
        <v>0.773850654942861</v>
      </c>
      <c r="J110" s="3" t="str">
        <f aca="false">IF(D110&lt;=0,"C",IF(I110&lt;=Parametros!$B$4,"A",IF(I110&lt;=Parametros!$B$5,"B","C")))</f>
        <v>A</v>
      </c>
      <c r="K110" s="3" t="str">
        <f aca="false">IF(E110&lt;=0,"Z",IF(G110&lt;=Parametros!$B$6,"X",IF(G110&lt;=Parametros!$B$7,"Y","Z")))</f>
        <v>X</v>
      </c>
      <c r="L110" s="3" t="str">
        <f aca="false">J110&amp;K110</f>
        <v>AX</v>
      </c>
      <c r="M110" s="3" t="str">
        <f aca="false">INDEX(Parametros!$B$23:$B$31,MATCH(L110,Parametros!$A$23:$A$31,0))</f>
        <v>Forecast estadístico casi automático. Ajustes mínimos. SS bajo porque la demanda es estable.</v>
      </c>
      <c r="N110" s="3" t="str">
        <f aca="false">INDEX(Parametros!$C$23:$C$31,MATCH(L110,Parametros!$A$23:$A$31,0))</f>
        <v>Mensual</v>
      </c>
      <c r="O110" s="23" t="n">
        <f aca="false">SUM(Datos_Semanales!M110:R110)</f>
        <v>48451.9265464353</v>
      </c>
      <c r="P110" s="24" t="n">
        <f aca="false">IF(D110&gt;0,SUMPRODUCT(ABS(Datos_Semanales!F110:K110-Datos_Semanales!M110:R110))/D110,"")</f>
        <v>0.187877620330665</v>
      </c>
      <c r="Q110" s="24" t="n">
        <f aca="false">IF(D110&gt;0,O110/D110-1,"")</f>
        <v>0.0428380974059277</v>
      </c>
      <c r="R110" s="23" t="n">
        <f aca="false">SQRT(SUMXMY2(Datos_Semanales!F110:K110,Datos_Semanales!M110:R110)/COUNT(Datos_Semanales!F110:K110))</f>
        <v>1764.66302358716</v>
      </c>
    </row>
    <row r="111" customFormat="false" ht="15" hidden="false" customHeight="false" outlineLevel="0" collapsed="false">
      <c r="A111" s="18" t="n">
        <f aca="false">Datos_Semanales!A111</f>
        <v>30000301</v>
      </c>
      <c r="B111" s="18" t="str">
        <f aca="false">Datos_Semanales!B111</f>
        <v>MANTEQUILLA CALO 40X125GR</v>
      </c>
      <c r="C111" s="18" t="str">
        <f aca="false">Datos_Semanales!C111</f>
        <v>MANTEQUILLAS</v>
      </c>
      <c r="D111" s="23" t="n">
        <f aca="false">SUM(Datos_Semanales!F111:K111)</f>
        <v>45695</v>
      </c>
      <c r="E111" s="23" t="n">
        <f aca="false">AVERAGE(Datos_Semanales!F111:K111)</f>
        <v>7615.83333333333</v>
      </c>
      <c r="F111" s="23" t="n">
        <f aca="false">STDEV(Datos_Semanales!F111:K111)</f>
        <v>1651.1069519164</v>
      </c>
      <c r="G111" s="27" t="n">
        <f aca="false">IF(E111&gt;0,F111/E111,"")</f>
        <v>0.216799249622462</v>
      </c>
      <c r="H111" s="24" t="n">
        <f aca="false">IF(SUM($D$5:$D$494)&gt;0,D111/SUM($D$5:$D$494),0)</f>
        <v>0.00190476355426874</v>
      </c>
      <c r="I111" s="24" t="n">
        <f aca="false">SUMIF($D$5:$D$494,"&gt;="&amp;D111)/SUM($D$5:$D$494)</f>
        <v>0.775755418497129</v>
      </c>
      <c r="J111" s="3" t="str">
        <f aca="false">IF(D111&lt;=0,"C",IF(I111&lt;=Parametros!$B$4,"A",IF(I111&lt;=Parametros!$B$5,"B","C")))</f>
        <v>A</v>
      </c>
      <c r="K111" s="3" t="str">
        <f aca="false">IF(E111&lt;=0,"Z",IF(G111&lt;=Parametros!$B$6,"X",IF(G111&lt;=Parametros!$B$7,"Y","Z")))</f>
        <v>X</v>
      </c>
      <c r="L111" s="3" t="str">
        <f aca="false">J111&amp;K111</f>
        <v>AX</v>
      </c>
      <c r="M111" s="3" t="str">
        <f aca="false">INDEX(Parametros!$B$23:$B$31,MATCH(L111,Parametros!$A$23:$A$31,0))</f>
        <v>Forecast estadístico casi automático. Ajustes mínimos. SS bajo porque la demanda es estable.</v>
      </c>
      <c r="N111" s="3" t="str">
        <f aca="false">INDEX(Parametros!$C$23:$C$31,MATCH(L111,Parametros!$A$23:$A$31,0))</f>
        <v>Mensual</v>
      </c>
      <c r="O111" s="23" t="n">
        <f aca="false">SUM(Datos_Semanales!M111:R111)</f>
        <v>57021.2334896439</v>
      </c>
      <c r="P111" s="24" t="n">
        <f aca="false">IF(D111&gt;0,SUMPRODUCT(ABS(Datos_Semanales!F111:K111-Datos_Semanales!M111:R111))/D111,"")</f>
        <v>0.269410817431294</v>
      </c>
      <c r="Q111" s="24" t="n">
        <f aca="false">IF(D111&gt;0,O111/D111-1,"")</f>
        <v>0.2478659260235</v>
      </c>
      <c r="R111" s="23" t="n">
        <f aca="false">SQRT(SUMXMY2(Datos_Semanales!F111:K111,Datos_Semanales!M111:R111)/COUNT(Datos_Semanales!F111:K111))</f>
        <v>2405.93943453348</v>
      </c>
    </row>
    <row r="112" customFormat="false" ht="15" hidden="false" customHeight="false" outlineLevel="0" collapsed="false">
      <c r="A112" s="18" t="n">
        <f aca="false">Datos_Semanales!A112</f>
        <v>30001410</v>
      </c>
      <c r="B112" s="18" t="str">
        <f aca="false">Datos_Semanales!B112</f>
        <v>LECHE POLVO CALO 26% INST 6X1,440KG</v>
      </c>
      <c r="C112" s="18" t="str">
        <f aca="false">Datos_Semanales!C112</f>
        <v>LECHES EN POLVO</v>
      </c>
      <c r="D112" s="23" t="n">
        <f aca="false">SUM(Datos_Semanales!F112:K112)</f>
        <v>45014.4</v>
      </c>
      <c r="E112" s="23" t="n">
        <f aca="false">AVERAGE(Datos_Semanales!F112:K112)</f>
        <v>7502.4</v>
      </c>
      <c r="F112" s="23" t="n">
        <f aca="false">STDEV(Datos_Semanales!F112:K112)</f>
        <v>2429.48852217087</v>
      </c>
      <c r="G112" s="27" t="n">
        <f aca="false">IF(E112&gt;0,F112/E112,"")</f>
        <v>0.323828177939176</v>
      </c>
      <c r="H112" s="24" t="n">
        <f aca="false">IF(SUM($D$5:$D$494)&gt;0,D112/SUM($D$5:$D$494),0)</f>
        <v>0.0018763932276458</v>
      </c>
      <c r="I112" s="24" t="n">
        <f aca="false">SUMIF($D$5:$D$494,"&gt;="&amp;D112)/SUM($D$5:$D$494)</f>
        <v>0.777631811724775</v>
      </c>
      <c r="J112" s="3" t="str">
        <f aca="false">IF(D112&lt;=0,"C",IF(I112&lt;=Parametros!$B$4,"A",IF(I112&lt;=Parametros!$B$5,"B","C")))</f>
        <v>A</v>
      </c>
      <c r="K112" s="3" t="str">
        <f aca="false">IF(E112&lt;=0,"Z",IF(G112&lt;=Parametros!$B$6,"X",IF(G112&lt;=Parametros!$B$7,"Y","Z")))</f>
        <v>X</v>
      </c>
      <c r="L112" s="3" t="str">
        <f aca="false">J112&amp;K112</f>
        <v>AX</v>
      </c>
      <c r="M112" s="3" t="str">
        <f aca="false">INDEX(Parametros!$B$23:$B$31,MATCH(L112,Parametros!$A$23:$A$31,0))</f>
        <v>Forecast estadístico casi automático. Ajustes mínimos. SS bajo porque la demanda es estable.</v>
      </c>
      <c r="N112" s="3" t="str">
        <f aca="false">INDEX(Parametros!$C$23:$C$31,MATCH(L112,Parametros!$A$23:$A$31,0))</f>
        <v>Mensual</v>
      </c>
      <c r="O112" s="23" t="n">
        <f aca="false">SUM(Datos_Semanales!M112:R112)</f>
        <v>38952.7506011939</v>
      </c>
      <c r="P112" s="24" t="n">
        <f aca="false">IF(D112&gt;0,SUMPRODUCT(ABS(Datos_Semanales!F112:K112-Datos_Semanales!M112:R112))/D112,"")</f>
        <v>0.276321845924724</v>
      </c>
      <c r="Q112" s="24" t="n">
        <f aca="false">IF(D112&gt;0,O112/D112-1,"")</f>
        <v>-0.134660228700285</v>
      </c>
      <c r="R112" s="23" t="n">
        <f aca="false">SQRT(SUMXMY2(Datos_Semanales!F112:K112,Datos_Semanales!M112:R112)/COUNT(Datos_Semanales!F112:K112))</f>
        <v>2450.59795981961</v>
      </c>
    </row>
    <row r="113" customFormat="false" ht="15" hidden="false" customHeight="false" outlineLevel="0" collapsed="false">
      <c r="A113" s="18" t="n">
        <f aca="false">Datos_Semanales!A113</f>
        <v>30002091</v>
      </c>
      <c r="B113" s="18" t="str">
        <f aca="false">Datos_Semanales!B113</f>
        <v>YOG FULL PRO LONCO PROTEIN FLLA 12X150GR</v>
      </c>
      <c r="C113" s="18" t="str">
        <f aca="false">Datos_Semanales!C113</f>
        <v>YOGURT</v>
      </c>
      <c r="D113" s="23" t="n">
        <f aca="false">SUM(Datos_Semanales!F113:K113)</f>
        <v>44760.6</v>
      </c>
      <c r="E113" s="23" t="n">
        <f aca="false">AVERAGE(Datos_Semanales!F113:K113)</f>
        <v>7460.1</v>
      </c>
      <c r="F113" s="23" t="n">
        <f aca="false">STDEV(Datos_Semanales!F113:K113)</f>
        <v>1720.7807007286</v>
      </c>
      <c r="G113" s="27" t="n">
        <f aca="false">IF(E113&gt;0,F113/E113,"")</f>
        <v>0.230664562234903</v>
      </c>
      <c r="H113" s="24" t="n">
        <f aca="false">IF(SUM($D$5:$D$494)&gt;0,D113/SUM($D$5:$D$494),0)</f>
        <v>0.00186581375527304</v>
      </c>
      <c r="I113" s="24" t="n">
        <f aca="false">SUMIF($D$5:$D$494,"&gt;="&amp;D113)/SUM($D$5:$D$494)</f>
        <v>0.779497625480048</v>
      </c>
      <c r="J113" s="3" t="str">
        <f aca="false">IF(D113&lt;=0,"C",IF(I113&lt;=Parametros!$B$4,"A",IF(I113&lt;=Parametros!$B$5,"B","C")))</f>
        <v>A</v>
      </c>
      <c r="K113" s="3" t="str">
        <f aca="false">IF(E113&lt;=0,"Z",IF(G113&lt;=Parametros!$B$6,"X",IF(G113&lt;=Parametros!$B$7,"Y","Z")))</f>
        <v>X</v>
      </c>
      <c r="L113" s="3" t="str">
        <f aca="false">J113&amp;K113</f>
        <v>AX</v>
      </c>
      <c r="M113" s="3" t="str">
        <f aca="false">INDEX(Parametros!$B$23:$B$31,MATCH(L113,Parametros!$A$23:$A$31,0))</f>
        <v>Forecast estadístico casi automático. Ajustes mínimos. SS bajo porque la demanda es estable.</v>
      </c>
      <c r="N113" s="3" t="str">
        <f aca="false">INDEX(Parametros!$C$23:$C$31,MATCH(L113,Parametros!$A$23:$A$31,0))</f>
        <v>Mensual</v>
      </c>
      <c r="O113" s="23" t="n">
        <f aca="false">SUM(Datos_Semanales!M113:R113)</f>
        <v>22478.5278865982</v>
      </c>
      <c r="P113" s="24" t="n">
        <f aca="false">IF(D113&gt;0,SUMPRODUCT(ABS(Datos_Semanales!F113:K113-Datos_Semanales!M113:R113))/D113,"")</f>
        <v>0.497805483246466</v>
      </c>
      <c r="Q113" s="24" t="n">
        <f aca="false">IF(D113&gt;0,O113/D113-1,"")</f>
        <v>-0.497805483246466</v>
      </c>
      <c r="R113" s="23" t="n">
        <f aca="false">SQRT(SUMXMY2(Datos_Semanales!F113:K113,Datos_Semanales!M113:R113)/COUNT(Datos_Semanales!F113:K113))</f>
        <v>4043.87417018769</v>
      </c>
    </row>
    <row r="114" customFormat="false" ht="15" hidden="false" customHeight="false" outlineLevel="0" collapsed="false">
      <c r="A114" s="18" t="n">
        <f aca="false">Datos_Semanales!A114</f>
        <v>30001094</v>
      </c>
      <c r="B114" s="18" t="str">
        <f aca="false">Datos_Semanales!B114</f>
        <v>YOG GRIGO OIKOS CF FTLLA 48X150GR</v>
      </c>
      <c r="C114" s="18" t="str">
        <f aca="false">Datos_Semanales!C114</f>
        <v>-</v>
      </c>
      <c r="D114" s="23" t="n">
        <f aca="false">SUM(Datos_Semanales!F114:K114)</f>
        <v>44344.8</v>
      </c>
      <c r="E114" s="23" t="n">
        <f aca="false">AVERAGE(Datos_Semanales!F114:K114)</f>
        <v>7390.8</v>
      </c>
      <c r="F114" s="23" t="n">
        <f aca="false">STDEV(Datos_Semanales!F114:K114)</f>
        <v>2389.04527876723</v>
      </c>
      <c r="G114" s="27" t="n">
        <f aca="false">IF(E114&gt;0,F114/E114,"")</f>
        <v>0.323245829783952</v>
      </c>
      <c r="H114" s="24" t="n">
        <f aca="false">IF(SUM($D$5:$D$494)&gt;0,D114/SUM($D$5:$D$494),0)</f>
        <v>0.00184848142819426</v>
      </c>
      <c r="I114" s="24" t="n">
        <f aca="false">SUMIF($D$5:$D$494,"&gt;="&amp;D114)/SUM($D$5:$D$494)</f>
        <v>0.781346106908243</v>
      </c>
      <c r="J114" s="3" t="str">
        <f aca="false">IF(D114&lt;=0,"C",IF(I114&lt;=Parametros!$B$4,"A",IF(I114&lt;=Parametros!$B$5,"B","C")))</f>
        <v>A</v>
      </c>
      <c r="K114" s="3" t="str">
        <f aca="false">IF(E114&lt;=0,"Z",IF(G114&lt;=Parametros!$B$6,"X",IF(G114&lt;=Parametros!$B$7,"Y","Z")))</f>
        <v>X</v>
      </c>
      <c r="L114" s="3" t="str">
        <f aca="false">J114&amp;K114</f>
        <v>AX</v>
      </c>
      <c r="M114" s="3" t="str">
        <f aca="false">INDEX(Parametros!$B$23:$B$31,MATCH(L114,Parametros!$A$23:$A$31,0))</f>
        <v>Forecast estadístico casi automático. Ajustes mínimos. SS bajo porque la demanda es estable.</v>
      </c>
      <c r="N114" s="3" t="str">
        <f aca="false">INDEX(Parametros!$C$23:$C$31,MATCH(L114,Parametros!$A$23:$A$31,0))</f>
        <v>Mensual</v>
      </c>
      <c r="O114" s="23" t="n">
        <f aca="false">SUM(Datos_Semanales!M114:R114)</f>
        <v>49133.1457999053</v>
      </c>
      <c r="P114" s="24" t="n">
        <f aca="false">IF(D114&gt;0,SUMPRODUCT(ABS(Datos_Semanales!F114:K114-Datos_Semanales!M114:R114))/D114,"")</f>
        <v>0.268102299613944</v>
      </c>
      <c r="Q114" s="24" t="n">
        <f aca="false">IF(D114&gt;0,O114/D114-1,"")</f>
        <v>0.10797987136948</v>
      </c>
      <c r="R114" s="23" t="n">
        <f aca="false">SQRT(SUMXMY2(Datos_Semanales!F114:K114,Datos_Semanales!M114:R114)/COUNT(Datos_Semanales!F114:K114))</f>
        <v>2253.85973506856</v>
      </c>
    </row>
    <row r="115" customFormat="false" ht="15" hidden="false" customHeight="false" outlineLevel="0" collapsed="false">
      <c r="A115" s="18" t="n">
        <f aca="false">Datos_Semanales!A115</f>
        <v>30001093</v>
      </c>
      <c r="B115" s="18" t="str">
        <f aca="false">Datos_Semanales!B115</f>
        <v>YOG GRIEGO OIKOS CF PPYA 48X150GR</v>
      </c>
      <c r="C115" s="18" t="str">
        <f aca="false">Datos_Semanales!C115</f>
        <v>YOGURT</v>
      </c>
      <c r="D115" s="23" t="n">
        <f aca="false">SUM(Datos_Semanales!F115:K115)</f>
        <v>43876.8</v>
      </c>
      <c r="E115" s="23" t="n">
        <f aca="false">AVERAGE(Datos_Semanales!F115:K115)</f>
        <v>7312.8</v>
      </c>
      <c r="F115" s="23" t="n">
        <f aca="false">STDEV(Datos_Semanales!F115:K115)</f>
        <v>1291.26869705728</v>
      </c>
      <c r="G115" s="27" t="n">
        <f aca="false">IF(E115&gt;0,F115/E115,"")</f>
        <v>0.176576509279247</v>
      </c>
      <c r="H115" s="24" t="n">
        <f aca="false">IF(SUM($D$5:$D$494)&gt;0,D115/SUM($D$5:$D$494),0)</f>
        <v>0.00182897318126576</v>
      </c>
      <c r="I115" s="24" t="n">
        <f aca="false">SUMIF($D$5:$D$494,"&gt;="&amp;D115)/SUM($D$5:$D$494)</f>
        <v>0.783175080089508</v>
      </c>
      <c r="J115" s="3" t="str">
        <f aca="false">IF(D115&lt;=0,"C",IF(I115&lt;=Parametros!$B$4,"A",IF(I115&lt;=Parametros!$B$5,"B","C")))</f>
        <v>A</v>
      </c>
      <c r="K115" s="3" t="str">
        <f aca="false">IF(E115&lt;=0,"Z",IF(G115&lt;=Parametros!$B$6,"X",IF(G115&lt;=Parametros!$B$7,"Y","Z")))</f>
        <v>X</v>
      </c>
      <c r="L115" s="3" t="str">
        <f aca="false">J115&amp;K115</f>
        <v>AX</v>
      </c>
      <c r="M115" s="3" t="str">
        <f aca="false">INDEX(Parametros!$B$23:$B$31,MATCH(L115,Parametros!$A$23:$A$31,0))</f>
        <v>Forecast estadístico casi automático. Ajustes mínimos. SS bajo porque la demanda es estable.</v>
      </c>
      <c r="N115" s="3" t="str">
        <f aca="false">INDEX(Parametros!$C$23:$C$31,MATCH(L115,Parametros!$A$23:$A$31,0))</f>
        <v>Mensual</v>
      </c>
      <c r="O115" s="23" t="n">
        <f aca="false">SUM(Datos_Semanales!M115:R115)</f>
        <v>41994.3733941747</v>
      </c>
      <c r="P115" s="24" t="n">
        <f aca="false">IF(D115&gt;0,SUMPRODUCT(ABS(Datos_Semanales!F115:K115-Datos_Semanales!M115:R115))/D115,"")</f>
        <v>0.187125446512271</v>
      </c>
      <c r="Q115" s="24" t="n">
        <f aca="false">IF(D115&gt;0,O115/D115-1,"")</f>
        <v>-0.0429025499996651</v>
      </c>
      <c r="R115" s="23" t="n">
        <f aca="false">SQRT(SUMXMY2(Datos_Semanales!F115:K115,Datos_Semanales!M115:R115)/COUNT(Datos_Semanales!F115:K115))</f>
        <v>1428.86425751435</v>
      </c>
    </row>
    <row r="116" customFormat="false" ht="15" hidden="false" customHeight="false" outlineLevel="0" collapsed="false">
      <c r="A116" s="18" t="n">
        <f aca="false">Datos_Semanales!A116</f>
        <v>30001423</v>
      </c>
      <c r="B116" s="18" t="str">
        <f aca="false">Datos_Semanales!B116</f>
        <v>FULL PROTEIN LONCO VAINILLA 18X250ML</v>
      </c>
      <c r="C116" s="18" t="str">
        <f aca="false">Datos_Semanales!C116</f>
        <v>LECHES LIQUIDAS</v>
      </c>
      <c r="D116" s="23" t="n">
        <f aca="false">SUM(Datos_Semanales!F116:K116)</f>
        <v>43281</v>
      </c>
      <c r="E116" s="23" t="n">
        <f aca="false">AVERAGE(Datos_Semanales!F116:K116)</f>
        <v>7213.5</v>
      </c>
      <c r="F116" s="23" t="n">
        <f aca="false">STDEV(Datos_Semanales!F116:K116)</f>
        <v>1161.43596465754</v>
      </c>
      <c r="G116" s="27" t="n">
        <f aca="false">IF(E116&gt;0,F116/E116,"")</f>
        <v>0.161008659410486</v>
      </c>
      <c r="H116" s="24" t="n">
        <f aca="false">IF(SUM($D$5:$D$494)&gt;0,D116/SUM($D$5:$D$494),0)</f>
        <v>0.0018041376822914</v>
      </c>
      <c r="I116" s="24" t="n">
        <f aca="false">SUMIF($D$5:$D$494,"&gt;="&amp;D116)/SUM($D$5:$D$494)</f>
        <v>0.7849792177718</v>
      </c>
      <c r="J116" s="3" t="str">
        <f aca="false">IF(D116&lt;=0,"C",IF(I116&lt;=Parametros!$B$4,"A",IF(I116&lt;=Parametros!$B$5,"B","C")))</f>
        <v>A</v>
      </c>
      <c r="K116" s="3" t="str">
        <f aca="false">IF(E116&lt;=0,"Z",IF(G116&lt;=Parametros!$B$6,"X",IF(G116&lt;=Parametros!$B$7,"Y","Z")))</f>
        <v>X</v>
      </c>
      <c r="L116" s="3" t="str">
        <f aca="false">J116&amp;K116</f>
        <v>AX</v>
      </c>
      <c r="M116" s="3" t="str">
        <f aca="false">INDEX(Parametros!$B$23:$B$31,MATCH(L116,Parametros!$A$23:$A$31,0))</f>
        <v>Forecast estadístico casi automático. Ajustes mínimos. SS bajo porque la demanda es estable.</v>
      </c>
      <c r="N116" s="3" t="str">
        <f aca="false">INDEX(Parametros!$C$23:$C$31,MATCH(L116,Parametros!$A$23:$A$31,0))</f>
        <v>Mensual</v>
      </c>
      <c r="O116" s="23" t="n">
        <f aca="false">SUM(Datos_Semanales!M116:R116)</f>
        <v>42526.1316398683</v>
      </c>
      <c r="P116" s="24" t="n">
        <f aca="false">IF(D116&gt;0,SUMPRODUCT(ABS(Datos_Semanales!F116:K116-Datos_Semanales!M116:R116))/D116,"")</f>
        <v>0.231467194377863</v>
      </c>
      <c r="Q116" s="24" t="n">
        <f aca="false">IF(D116&gt;0,O116/D116-1,"")</f>
        <v>-0.0174411025653684</v>
      </c>
      <c r="R116" s="23" t="n">
        <f aca="false">SQRT(SUMXMY2(Datos_Semanales!F116:K116,Datos_Semanales!M116:R116)/COUNT(Datos_Semanales!F116:K116))</f>
        <v>1926.06601948616</v>
      </c>
    </row>
    <row r="117" customFormat="false" ht="15" hidden="false" customHeight="false" outlineLevel="0" collapsed="false">
      <c r="A117" s="18" t="n">
        <f aca="false">Datos_Semanales!A117</f>
        <v>30000306</v>
      </c>
      <c r="B117" s="18" t="str">
        <f aca="false">Datos_Semanales!B117</f>
        <v>YOGU YOGU DAMASCO 30X200GR</v>
      </c>
      <c r="C117" s="18" t="str">
        <f aca="false">Datos_Semanales!C117</f>
        <v>-</v>
      </c>
      <c r="D117" s="23" t="n">
        <f aca="false">SUM(Datos_Semanales!F117:K117)</f>
        <v>42930</v>
      </c>
      <c r="E117" s="23" t="n">
        <f aca="false">AVERAGE(Datos_Semanales!F117:K117)</f>
        <v>7155</v>
      </c>
      <c r="F117" s="23" t="n">
        <f aca="false">STDEV(Datos_Semanales!F117:K117)</f>
        <v>1061.26245575729</v>
      </c>
      <c r="G117" s="27" t="n">
        <f aca="false">IF(E117&gt;0,F117/E117,"")</f>
        <v>0.148324591999622</v>
      </c>
      <c r="H117" s="24" t="n">
        <f aca="false">IF(SUM($D$5:$D$494)&gt;0,D117/SUM($D$5:$D$494),0)</f>
        <v>0.00178950649709502</v>
      </c>
      <c r="I117" s="24" t="n">
        <f aca="false">SUMIF($D$5:$D$494,"&gt;="&amp;D117)/SUM($D$5:$D$494)</f>
        <v>0.786768724268895</v>
      </c>
      <c r="J117" s="3" t="str">
        <f aca="false">IF(D117&lt;=0,"C",IF(I117&lt;=Parametros!$B$4,"A",IF(I117&lt;=Parametros!$B$5,"B","C")))</f>
        <v>A</v>
      </c>
      <c r="K117" s="3" t="str">
        <f aca="false">IF(E117&lt;=0,"Z",IF(G117&lt;=Parametros!$B$6,"X",IF(G117&lt;=Parametros!$B$7,"Y","Z")))</f>
        <v>X</v>
      </c>
      <c r="L117" s="3" t="str">
        <f aca="false">J117&amp;K117</f>
        <v>AX</v>
      </c>
      <c r="M117" s="3" t="str">
        <f aca="false">INDEX(Parametros!$B$23:$B$31,MATCH(L117,Parametros!$A$23:$A$31,0))</f>
        <v>Forecast estadístico casi automático. Ajustes mínimos. SS bajo porque la demanda es estable.</v>
      </c>
      <c r="N117" s="3" t="str">
        <f aca="false">INDEX(Parametros!$C$23:$C$31,MATCH(L117,Parametros!$A$23:$A$31,0))</f>
        <v>Mensual</v>
      </c>
      <c r="O117" s="23" t="n">
        <f aca="false">SUM(Datos_Semanales!M117:R117)</f>
        <v>47928.4018941655</v>
      </c>
      <c r="P117" s="24" t="n">
        <f aca="false">IF(D117&gt;0,SUMPRODUCT(ABS(Datos_Semanales!F117:K117-Datos_Semanales!M117:R117))/D117,"")</f>
        <v>0.27467566055938</v>
      </c>
      <c r="Q117" s="24" t="n">
        <f aca="false">IF(D117&gt;0,O117/D117-1,"")</f>
        <v>0.1164314440756</v>
      </c>
      <c r="R117" s="23" t="n">
        <f aca="false">SQRT(SUMXMY2(Datos_Semanales!F117:K117,Datos_Semanales!M117:R117)/COUNT(Datos_Semanales!F117:K117))</f>
        <v>2203.79090454783</v>
      </c>
    </row>
    <row r="118" customFormat="false" ht="15" hidden="false" customHeight="false" outlineLevel="0" collapsed="false">
      <c r="A118" s="18" t="n">
        <f aca="false">Datos_Semanales!A118</f>
        <v>30001857</v>
      </c>
      <c r="B118" s="18" t="str">
        <f aca="false">Datos_Semanales!B118</f>
        <v>YOG ACTIVIA TROZ FTOS DEL BOSQUE 24X140G</v>
      </c>
      <c r="C118" s="18" t="str">
        <f aca="false">Datos_Semanales!C118</f>
        <v>YOGURT</v>
      </c>
      <c r="D118" s="23" t="n">
        <f aca="false">SUM(Datos_Semanales!F118:K118)</f>
        <v>42497.28</v>
      </c>
      <c r="E118" s="23" t="n">
        <f aca="false">AVERAGE(Datos_Semanales!F118:K118)</f>
        <v>7082.88</v>
      </c>
      <c r="F118" s="23" t="n">
        <f aca="false">STDEV(Datos_Semanales!F118:K118)</f>
        <v>1455.43937514415</v>
      </c>
      <c r="G118" s="27" t="n">
        <f aca="false">IF(E118&gt;0,F118/E118,"")</f>
        <v>0.205486945302497</v>
      </c>
      <c r="H118" s="24" t="n">
        <f aca="false">IF(SUM($D$5:$D$494)&gt;0,D118/SUM($D$5:$D$494),0)</f>
        <v>0.00177146887185806</v>
      </c>
      <c r="I118" s="24" t="n">
        <f aca="false">SUMIF($D$5:$D$494,"&gt;="&amp;D118)/SUM($D$5:$D$494)</f>
        <v>0.788540193140753</v>
      </c>
      <c r="J118" s="3" t="str">
        <f aca="false">IF(D118&lt;=0,"C",IF(I118&lt;=Parametros!$B$4,"A",IF(I118&lt;=Parametros!$B$5,"B","C")))</f>
        <v>A</v>
      </c>
      <c r="K118" s="3" t="str">
        <f aca="false">IF(E118&lt;=0,"Z",IF(G118&lt;=Parametros!$B$6,"X",IF(G118&lt;=Parametros!$B$7,"Y","Z")))</f>
        <v>X</v>
      </c>
      <c r="L118" s="3" t="str">
        <f aca="false">J118&amp;K118</f>
        <v>AX</v>
      </c>
      <c r="M118" s="3" t="str">
        <f aca="false">INDEX(Parametros!$B$23:$B$31,MATCH(L118,Parametros!$A$23:$A$31,0))</f>
        <v>Forecast estadístico casi automático. Ajustes mínimos. SS bajo porque la demanda es estable.</v>
      </c>
      <c r="N118" s="3" t="str">
        <f aca="false">INDEX(Parametros!$C$23:$C$31,MATCH(L118,Parametros!$A$23:$A$31,0))</f>
        <v>Mensual</v>
      </c>
      <c r="O118" s="23" t="n">
        <f aca="false">SUM(Datos_Semanales!M118:R118)</f>
        <v>35292.220227004</v>
      </c>
      <c r="P118" s="24" t="n">
        <f aca="false">IF(D118&gt;0,SUMPRODUCT(ABS(Datos_Semanales!F118:K118-Datos_Semanales!M118:R118))/D118,"")</f>
        <v>0.262535558487377</v>
      </c>
      <c r="Q118" s="24" t="n">
        <f aca="false">IF(D118&gt;0,O118/D118-1,"")</f>
        <v>-0.169541668854948</v>
      </c>
      <c r="R118" s="23" t="n">
        <f aca="false">SQRT(SUMXMY2(Datos_Semanales!F118:K118,Datos_Semanales!M118:R118)/COUNT(Datos_Semanales!F118:K118))</f>
        <v>2226.24780476806</v>
      </c>
    </row>
    <row r="119" customFormat="false" ht="15" hidden="false" customHeight="false" outlineLevel="0" collapsed="false">
      <c r="A119" s="18" t="n">
        <f aca="false">Datos_Semanales!A119</f>
        <v>30000010</v>
      </c>
      <c r="B119" s="18" t="str">
        <f aca="false">Datos_Semanales!B119</f>
        <v>LS8 L. MOMENTS CAPUCHINO 12X1LT</v>
      </c>
      <c r="C119" s="18" t="str">
        <f aca="false">Datos_Semanales!C119</f>
        <v>LECHES LIQUIDAS</v>
      </c>
      <c r="D119" s="23" t="n">
        <f aca="false">SUM(Datos_Semanales!F119:K119)</f>
        <v>41988</v>
      </c>
      <c r="E119" s="23" t="n">
        <f aca="false">AVERAGE(Datos_Semanales!F119:K119)</f>
        <v>6998</v>
      </c>
      <c r="F119" s="23" t="n">
        <f aca="false">STDEV(Datos_Semanales!F119:K119)</f>
        <v>2735.82543302748</v>
      </c>
      <c r="G119" s="27" t="n">
        <f aca="false">IF(E119&gt;0,F119/E119,"")</f>
        <v>0.390943902976205</v>
      </c>
      <c r="H119" s="24" t="n">
        <f aca="false">IF(SUM($D$5:$D$494)&gt;0,D119/SUM($D$5:$D$494),0)</f>
        <v>0.00175023989750817</v>
      </c>
      <c r="I119" s="24" t="n">
        <f aca="false">SUMIF($D$5:$D$494,"&gt;="&amp;D119)/SUM($D$5:$D$494)</f>
        <v>0.790290433038261</v>
      </c>
      <c r="J119" s="3" t="str">
        <f aca="false">IF(D119&lt;=0,"C",IF(I119&lt;=Parametros!$B$4,"A",IF(I119&lt;=Parametros!$B$5,"B","C")))</f>
        <v>A</v>
      </c>
      <c r="K119" s="3" t="str">
        <f aca="false">IF(E119&lt;=0,"Z",IF(G119&lt;=Parametros!$B$6,"X",IF(G119&lt;=Parametros!$B$7,"Y","Z")))</f>
        <v>X</v>
      </c>
      <c r="L119" s="3" t="str">
        <f aca="false">J119&amp;K119</f>
        <v>AX</v>
      </c>
      <c r="M119" s="3" t="str">
        <f aca="false">INDEX(Parametros!$B$23:$B$31,MATCH(L119,Parametros!$A$23:$A$31,0))</f>
        <v>Forecast estadístico casi automático. Ajustes mínimos. SS bajo porque la demanda es estable.</v>
      </c>
      <c r="N119" s="3" t="str">
        <f aca="false">INDEX(Parametros!$C$23:$C$31,MATCH(L119,Parametros!$A$23:$A$31,0))</f>
        <v>Mensual</v>
      </c>
      <c r="O119" s="23" t="n">
        <f aca="false">SUM(Datos_Semanales!M119:R119)</f>
        <v>48726.7374867612</v>
      </c>
      <c r="P119" s="24" t="n">
        <f aca="false">IF(D119&gt;0,SUMPRODUCT(ABS(Datos_Semanales!F119:K119-Datos_Semanales!M119:R119))/D119,"")</f>
        <v>0.397454927283062</v>
      </c>
      <c r="Q119" s="24" t="n">
        <f aca="false">IF(D119&gt;0,O119/D119-1,"")</f>
        <v>0.160491985490169</v>
      </c>
      <c r="R119" s="23" t="n">
        <f aca="false">SQRT(SUMXMY2(Datos_Semanales!F119:K119,Datos_Semanales!M119:R119)/COUNT(Datos_Semanales!F119:K119))</f>
        <v>3067.755895969</v>
      </c>
    </row>
    <row r="120" customFormat="false" ht="15" hidden="false" customHeight="false" outlineLevel="0" collapsed="false">
      <c r="A120" s="18" t="n">
        <f aca="false">Datos_Semanales!A120</f>
        <v>30001815</v>
      </c>
      <c r="B120" s="18" t="str">
        <f aca="false">Datos_Semanales!B120</f>
        <v>QUESO LAS PARCELAS LAM 4X2,5KG</v>
      </c>
      <c r="C120" s="18" t="str">
        <f aca="false">Datos_Semanales!C120</f>
        <v>QUESOS</v>
      </c>
      <c r="D120" s="23" t="n">
        <f aca="false">SUM(Datos_Semanales!F120:K120)</f>
        <v>41284</v>
      </c>
      <c r="E120" s="23" t="n">
        <f aca="false">AVERAGE(Datos_Semanales!F120:K120)</f>
        <v>6880.66666666667</v>
      </c>
      <c r="F120" s="23" t="n">
        <f aca="false">STDEV(Datos_Semanales!F120:K120)</f>
        <v>1944.17434060494</v>
      </c>
      <c r="G120" s="27" t="n">
        <f aca="false">IF(E120&gt;0,F120/E120,"")</f>
        <v>0.28255610027201</v>
      </c>
      <c r="H120" s="24" t="n">
        <f aca="false">IF(SUM($D$5:$D$494)&gt;0,D120/SUM($D$5:$D$494),0)</f>
        <v>0.00172089415853881</v>
      </c>
      <c r="I120" s="24" t="n">
        <f aca="false">SUMIF($D$5:$D$494,"&gt;="&amp;D120)/SUM($D$5:$D$494)</f>
        <v>0.7920113271968</v>
      </c>
      <c r="J120" s="3" t="str">
        <f aca="false">IF(D120&lt;=0,"C",IF(I120&lt;=Parametros!$B$4,"A",IF(I120&lt;=Parametros!$B$5,"B","C")))</f>
        <v>A</v>
      </c>
      <c r="K120" s="3" t="str">
        <f aca="false">IF(E120&lt;=0,"Z",IF(G120&lt;=Parametros!$B$6,"X",IF(G120&lt;=Parametros!$B$7,"Y","Z")))</f>
        <v>X</v>
      </c>
      <c r="L120" s="3" t="str">
        <f aca="false">J120&amp;K120</f>
        <v>AX</v>
      </c>
      <c r="M120" s="3" t="str">
        <f aca="false">INDEX(Parametros!$B$23:$B$31,MATCH(L120,Parametros!$A$23:$A$31,0))</f>
        <v>Forecast estadístico casi automático. Ajustes mínimos. SS bajo porque la demanda es estable.</v>
      </c>
      <c r="N120" s="3" t="str">
        <f aca="false">INDEX(Parametros!$C$23:$C$31,MATCH(L120,Parametros!$A$23:$A$31,0))</f>
        <v>Mensual</v>
      </c>
      <c r="O120" s="23" t="n">
        <f aca="false">SUM(Datos_Semanales!M120:R120)</f>
        <v>40263.1756311054</v>
      </c>
      <c r="P120" s="24" t="n">
        <f aca="false">IF(D120&gt;0,SUMPRODUCT(ABS(Datos_Semanales!F120:K120-Datos_Semanales!M120:R120))/D120,"")</f>
        <v>0.196237421874509</v>
      </c>
      <c r="Q120" s="24" t="n">
        <f aca="false">IF(D120&gt;0,O120/D120-1,"")</f>
        <v>-0.0247268764871273</v>
      </c>
      <c r="R120" s="23" t="n">
        <f aca="false">SQRT(SUMXMY2(Datos_Semanales!F120:K120,Datos_Semanales!M120:R120)/COUNT(Datos_Semanales!F120:K120))</f>
        <v>1689.35313016907</v>
      </c>
    </row>
    <row r="121" customFormat="false" ht="15" hidden="false" customHeight="false" outlineLevel="0" collapsed="false">
      <c r="A121" s="18" t="n">
        <f aca="false">Datos_Semanales!A121</f>
        <v>30000599</v>
      </c>
      <c r="B121" s="18" t="str">
        <f aca="false">Datos_Semanales!B121</f>
        <v>DURAZNO MITADES WSL 24X590GR</v>
      </c>
      <c r="C121" s="18" t="str">
        <f aca="false">Datos_Semanales!C121</f>
        <v>-</v>
      </c>
      <c r="D121" s="23" t="n">
        <f aca="false">SUM(Datos_Semanales!F121:K121)</f>
        <v>40710</v>
      </c>
      <c r="E121" s="23" t="n">
        <f aca="false">AVERAGE(Datos_Semanales!F121:K121)</f>
        <v>6785</v>
      </c>
      <c r="F121" s="23" t="n">
        <f aca="false">STDEV(Datos_Semanales!F121:K121)</f>
        <v>3993.55599038251</v>
      </c>
      <c r="G121" s="27" t="n">
        <f aca="false">IF(E121&gt;0,F121/E121,"")</f>
        <v>0.588585997108697</v>
      </c>
      <c r="H121" s="24" t="n">
        <f aca="false">IF(SUM($D$5:$D$494)&gt;0,D121/SUM($D$5:$D$494),0)</f>
        <v>0.00169696737704958</v>
      </c>
      <c r="I121" s="24" t="n">
        <f aca="false">SUMIF($D$5:$D$494,"&gt;="&amp;D121)/SUM($D$5:$D$494)</f>
        <v>0.793708294573849</v>
      </c>
      <c r="J121" s="3" t="str">
        <f aca="false">IF(D121&lt;=0,"C",IF(I121&lt;=Parametros!$B$4,"A",IF(I121&lt;=Parametros!$B$5,"B","C")))</f>
        <v>A</v>
      </c>
      <c r="K121" s="3" t="str">
        <f aca="false">IF(E121&lt;=0,"Z",IF(G121&lt;=Parametros!$B$6,"X",IF(G121&lt;=Parametros!$B$7,"Y","Z")))</f>
        <v>Y</v>
      </c>
      <c r="L121" s="3" t="str">
        <f aca="false">J121&amp;K121</f>
        <v>AY</v>
      </c>
      <c r="M121" s="3" t="str">
        <f aca="false">INDEX(Parametros!$B$23:$B$31,MATCH(L121,Parametros!$A$23:$A$31,0))</f>
        <v>Alto volumen con variaciones: entender causas (promos, cadenas). Validar con KAM antes de ajustar.</v>
      </c>
      <c r="N121" s="3" t="str">
        <f aca="false">INDEX(Parametros!$C$23:$C$31,MATCH(L121,Parametros!$A$23:$A$31,0))</f>
        <v>Semanal</v>
      </c>
      <c r="O121" s="23" t="n">
        <f aca="false">SUM(Datos_Semanales!M121:R121)</f>
        <v>35043.76</v>
      </c>
      <c r="P121" s="24" t="n">
        <f aca="false">IF(D121&gt;0,SUMPRODUCT(ABS(Datos_Semanales!F121:K121-Datos_Semanales!M121:R121))/D121,"")</f>
        <v>0.416731024318349</v>
      </c>
      <c r="Q121" s="24" t="n">
        <f aca="false">IF(D121&gt;0,O121/D121-1,"")</f>
        <v>-0.139185458118398</v>
      </c>
      <c r="R121" s="23" t="n">
        <f aca="false">SQRT(SUMXMY2(Datos_Semanales!F121:K121,Datos_Semanales!M121:R121)/COUNT(Datos_Semanales!F121:K121))</f>
        <v>3431.08380840029</v>
      </c>
    </row>
    <row r="122" customFormat="false" ht="15" hidden="false" customHeight="false" outlineLevel="0" collapsed="false">
      <c r="A122" s="18" t="n">
        <f aca="false">Datos_Semanales!A122</f>
        <v>30001031</v>
      </c>
      <c r="B122" s="18" t="str">
        <f aca="false">Datos_Semanales!B122</f>
        <v>YOG DAN L&amp;F BOL FRUT 12X900GR</v>
      </c>
      <c r="C122" s="18" t="str">
        <f aca="false">Datos_Semanales!C122</f>
        <v>YOGURT</v>
      </c>
      <c r="D122" s="23" t="n">
        <f aca="false">SUM(Datos_Semanales!F122:K122)</f>
        <v>40694.4</v>
      </c>
      <c r="E122" s="23" t="n">
        <f aca="false">AVERAGE(Datos_Semanales!F122:K122)</f>
        <v>6782.4</v>
      </c>
      <c r="F122" s="23" t="n">
        <f aca="false">STDEV(Datos_Semanales!F122:K122)</f>
        <v>1227.89873198078</v>
      </c>
      <c r="G122" s="27" t="n">
        <f aca="false">IF(E122&gt;0,F122/E122,"")</f>
        <v>0.181041922030664</v>
      </c>
      <c r="H122" s="24" t="n">
        <f aca="false">IF(SUM($D$5:$D$494)&gt;0,D122/SUM($D$5:$D$494),0)</f>
        <v>0.00169631710215196</v>
      </c>
      <c r="I122" s="24" t="n">
        <f aca="false">SUMIF($D$5:$D$494,"&gt;="&amp;D122)/SUM($D$5:$D$494)</f>
        <v>0.795404611676001</v>
      </c>
      <c r="J122" s="3" t="str">
        <f aca="false">IF(D122&lt;=0,"C",IF(I122&lt;=Parametros!$B$4,"A",IF(I122&lt;=Parametros!$B$5,"B","C")))</f>
        <v>A</v>
      </c>
      <c r="K122" s="3" t="str">
        <f aca="false">IF(E122&lt;=0,"Z",IF(G122&lt;=Parametros!$B$6,"X",IF(G122&lt;=Parametros!$B$7,"Y","Z")))</f>
        <v>X</v>
      </c>
      <c r="L122" s="3" t="str">
        <f aca="false">J122&amp;K122</f>
        <v>AX</v>
      </c>
      <c r="M122" s="3" t="str">
        <f aca="false">INDEX(Parametros!$B$23:$B$31,MATCH(L122,Parametros!$A$23:$A$31,0))</f>
        <v>Forecast estadístico casi automático. Ajustes mínimos. SS bajo porque la demanda es estable.</v>
      </c>
      <c r="N122" s="3" t="str">
        <f aca="false">INDEX(Parametros!$C$23:$C$31,MATCH(L122,Parametros!$A$23:$A$31,0))</f>
        <v>Mensual</v>
      </c>
      <c r="O122" s="23" t="n">
        <f aca="false">SUM(Datos_Semanales!M122:R122)</f>
        <v>36368.2447718418</v>
      </c>
      <c r="P122" s="24" t="n">
        <f aca="false">IF(D122&gt;0,SUMPRODUCT(ABS(Datos_Semanales!F122:K122-Datos_Semanales!M122:R122))/D122,"")</f>
        <v>0.207813318940467</v>
      </c>
      <c r="Q122" s="24" t="n">
        <f aca="false">IF(D122&gt;0,O122/D122-1,"")</f>
        <v>-0.106308367445108</v>
      </c>
      <c r="R122" s="23" t="n">
        <f aca="false">SQRT(SUMXMY2(Datos_Semanales!F122:K122,Datos_Semanales!M122:R122)/COUNT(Datos_Semanales!F122:K122))</f>
        <v>1919.96714980435</v>
      </c>
    </row>
    <row r="123" customFormat="false" ht="15" hidden="false" customHeight="false" outlineLevel="0" collapsed="false">
      <c r="A123" s="18" t="n">
        <f aca="false">Datos_Semanales!A123</f>
        <v>30001710</v>
      </c>
      <c r="B123" s="18" t="str">
        <f aca="false">Datos_Semanales!B123</f>
        <v>YOG POTE LONCO S/LACT TZO DZNO 24X140G</v>
      </c>
      <c r="C123" s="18" t="str">
        <f aca="false">Datos_Semanales!C123</f>
        <v>YOGURT</v>
      </c>
      <c r="D123" s="23" t="n">
        <f aca="false">SUM(Datos_Semanales!F123:K123)</f>
        <v>40531.68</v>
      </c>
      <c r="E123" s="23" t="n">
        <f aca="false">AVERAGE(Datos_Semanales!F123:K123)</f>
        <v>6755.28</v>
      </c>
      <c r="F123" s="23" t="n">
        <f aca="false">STDEV(Datos_Semanales!F123:K123)</f>
        <v>1753.88234442337</v>
      </c>
      <c r="G123" s="27" t="n">
        <f aca="false">IF(E123&gt;0,F123/E123,"")</f>
        <v>0.25963133199858</v>
      </c>
      <c r="H123" s="24" t="n">
        <f aca="false">IF(SUM($D$5:$D$494)&gt;0,D123/SUM($D$5:$D$494),0)</f>
        <v>0.00168953423475836</v>
      </c>
      <c r="I123" s="24" t="n">
        <f aca="false">SUMIF($D$5:$D$494,"&gt;="&amp;D123)/SUM($D$5:$D$494)</f>
        <v>0.79709414591076</v>
      </c>
      <c r="J123" s="3" t="str">
        <f aca="false">IF(D123&lt;=0,"C",IF(I123&lt;=Parametros!$B$4,"A",IF(I123&lt;=Parametros!$B$5,"B","C")))</f>
        <v>A</v>
      </c>
      <c r="K123" s="3" t="str">
        <f aca="false">IF(E123&lt;=0,"Z",IF(G123&lt;=Parametros!$B$6,"X",IF(G123&lt;=Parametros!$B$7,"Y","Z")))</f>
        <v>X</v>
      </c>
      <c r="L123" s="3" t="str">
        <f aca="false">J123&amp;K123</f>
        <v>AX</v>
      </c>
      <c r="M123" s="3" t="str">
        <f aca="false">INDEX(Parametros!$B$23:$B$31,MATCH(L123,Parametros!$A$23:$A$31,0))</f>
        <v>Forecast estadístico casi automático. Ajustes mínimos. SS bajo porque la demanda es estable.</v>
      </c>
      <c r="N123" s="3" t="str">
        <f aca="false">INDEX(Parametros!$C$23:$C$31,MATCH(L123,Parametros!$A$23:$A$31,0))</f>
        <v>Mensual</v>
      </c>
      <c r="O123" s="23" t="n">
        <f aca="false">SUM(Datos_Semanales!M123:R123)</f>
        <v>36370.5569135176</v>
      </c>
      <c r="P123" s="24" t="n">
        <f aca="false">IF(D123&gt;0,SUMPRODUCT(ABS(Datos_Semanales!F123:K123-Datos_Semanales!M123:R123))/D123,"")</f>
        <v>0.306784800226141</v>
      </c>
      <c r="Q123" s="24" t="n">
        <f aca="false">IF(D123&gt;0,O123/D123-1,"")</f>
        <v>-0.102663474262166</v>
      </c>
      <c r="R123" s="23" t="n">
        <f aca="false">SQRT(SUMXMY2(Datos_Semanales!F123:K123,Datos_Semanales!M123:R123)/COUNT(Datos_Semanales!F123:K123))</f>
        <v>2174.47587293941</v>
      </c>
    </row>
    <row r="124" customFormat="false" ht="15" hidden="false" customHeight="false" outlineLevel="0" collapsed="false">
      <c r="A124" s="18" t="n">
        <f aca="false">Datos_Semanales!A124</f>
        <v>30001944</v>
      </c>
      <c r="B124" s="18" t="str">
        <f aca="false">Datos_Semanales!B124</f>
        <v>JUGO FRESCO WATTS NARANJA 6X1,6LT</v>
      </c>
      <c r="C124" s="18" t="str">
        <f aca="false">Datos_Semanales!C124</f>
        <v>JUGOS Y NECTARES</v>
      </c>
      <c r="D124" s="23" t="n">
        <f aca="false">SUM(Datos_Semanales!F124:K124)</f>
        <v>40147.2</v>
      </c>
      <c r="E124" s="23" t="n">
        <f aca="false">AVERAGE(Datos_Semanales!F124:K124)</f>
        <v>6691.2</v>
      </c>
      <c r="F124" s="23" t="n">
        <f aca="false">STDEV(Datos_Semanales!F124:K124)</f>
        <v>1782.67631610453</v>
      </c>
      <c r="G124" s="27" t="n">
        <f aca="false">IF(E124&gt;0,F124/E124,"")</f>
        <v>0.266421018069184</v>
      </c>
      <c r="H124" s="24" t="n">
        <f aca="false">IF(SUM($D$5:$D$494)&gt;0,D124/SUM($D$5:$D$494),0)</f>
        <v>0.00167350745958941</v>
      </c>
      <c r="I124" s="24" t="n">
        <f aca="false">SUMIF($D$5:$D$494,"&gt;="&amp;D124)/SUM($D$5:$D$494)</f>
        <v>0.798767653370349</v>
      </c>
      <c r="J124" s="3" t="str">
        <f aca="false">IF(D124&lt;=0,"C",IF(I124&lt;=Parametros!$B$4,"A",IF(I124&lt;=Parametros!$B$5,"B","C")))</f>
        <v>A</v>
      </c>
      <c r="K124" s="3" t="str">
        <f aca="false">IF(E124&lt;=0,"Z",IF(G124&lt;=Parametros!$B$6,"X",IF(G124&lt;=Parametros!$B$7,"Y","Z")))</f>
        <v>X</v>
      </c>
      <c r="L124" s="3" t="str">
        <f aca="false">J124&amp;K124</f>
        <v>AX</v>
      </c>
      <c r="M124" s="3" t="str">
        <f aca="false">INDEX(Parametros!$B$23:$B$31,MATCH(L124,Parametros!$A$23:$A$31,0))</f>
        <v>Forecast estadístico casi automático. Ajustes mínimos. SS bajo porque la demanda es estable.</v>
      </c>
      <c r="N124" s="3" t="str">
        <f aca="false">INDEX(Parametros!$C$23:$C$31,MATCH(L124,Parametros!$A$23:$A$31,0))</f>
        <v>Mensual</v>
      </c>
      <c r="O124" s="23" t="n">
        <f aca="false">SUM(Datos_Semanales!M124:R124)</f>
        <v>36945.0852056953</v>
      </c>
      <c r="P124" s="24" t="n">
        <f aca="false">IF(D124&gt;0,SUMPRODUCT(ABS(Datos_Semanales!F124:K124-Datos_Semanales!M124:R124))/D124,"")</f>
        <v>0.147062550134029</v>
      </c>
      <c r="Q124" s="24" t="n">
        <f aca="false">IF(D124&gt;0,O124/D124-1,"")</f>
        <v>-0.0797593554296365</v>
      </c>
      <c r="R124" s="23" t="n">
        <f aca="false">SQRT(SUMXMY2(Datos_Semanales!F124:K124,Datos_Semanales!M124:R124)/COUNT(Datos_Semanales!F124:K124))</f>
        <v>1341.83061701095</v>
      </c>
    </row>
    <row r="125" customFormat="false" ht="15" hidden="false" customHeight="false" outlineLevel="0" collapsed="false">
      <c r="A125" s="18" t="n">
        <f aca="false">Datos_Semanales!A125</f>
        <v>30001490</v>
      </c>
      <c r="B125" s="18" t="str">
        <f aca="false">Datos_Semanales!B125</f>
        <v>YOGURT OIKOS NUTS CARAMEL CRUNCH 12X142G</v>
      </c>
      <c r="C125" s="18" t="str">
        <f aca="false">Datos_Semanales!C125</f>
        <v>YOGURT</v>
      </c>
      <c r="D125" s="23" t="n">
        <f aca="false">SUM(Datos_Semanales!F125:K125)</f>
        <v>40024.8</v>
      </c>
      <c r="E125" s="23" t="n">
        <f aca="false">AVERAGE(Datos_Semanales!F125:K125)</f>
        <v>6670.8</v>
      </c>
      <c r="F125" s="23" t="n">
        <f aca="false">STDEV(Datos_Semanales!F125:K125)</f>
        <v>1216.72647213743</v>
      </c>
      <c r="G125" s="27" t="n">
        <f aca="false">IF(E125&gt;0,F125/E125,"")</f>
        <v>0.182395885371684</v>
      </c>
      <c r="H125" s="24" t="n">
        <f aca="false">IF(SUM($D$5:$D$494)&gt;0,D125/SUM($D$5:$D$494),0)</f>
        <v>0.00166840530270042</v>
      </c>
      <c r="I125" s="24" t="n">
        <f aca="false">SUMIF($D$5:$D$494,"&gt;="&amp;D125)/SUM($D$5:$D$494)</f>
        <v>0.800436058673049</v>
      </c>
      <c r="J125" s="3" t="str">
        <f aca="false">IF(D125&lt;=0,"C",IF(I125&lt;=Parametros!$B$4,"A",IF(I125&lt;=Parametros!$B$5,"B","C")))</f>
        <v>B</v>
      </c>
      <c r="K125" s="3" t="str">
        <f aca="false">IF(E125&lt;=0,"Z",IF(G125&lt;=Parametros!$B$6,"X",IF(G125&lt;=Parametros!$B$7,"Y","Z")))</f>
        <v>X</v>
      </c>
      <c r="L125" s="3" t="str">
        <f aca="false">J125&amp;K125</f>
        <v>BX</v>
      </c>
      <c r="M125" s="3" t="str">
        <f aca="false">INDEX(Parametros!$B$23:$B$31,MATCH(L125,Parametros!$A$23:$A$31,0))</f>
        <v>Estadístico + revisión de tendencia.</v>
      </c>
      <c r="N125" s="3" t="str">
        <f aca="false">INDEX(Parametros!$C$23:$C$31,MATCH(L125,Parametros!$A$23:$A$31,0))</f>
        <v>Mensual</v>
      </c>
      <c r="O125" s="23" t="n">
        <f aca="false">SUM(Datos_Semanales!M125:R125)</f>
        <v>38274.7781195347</v>
      </c>
      <c r="P125" s="24" t="n">
        <f aca="false">IF(D125&gt;0,SUMPRODUCT(ABS(Datos_Semanales!F125:K125-Datos_Semanales!M125:R125))/D125,"")</f>
        <v>0.153202866712188</v>
      </c>
      <c r="Q125" s="24" t="n">
        <f aca="false">IF(D125&gt;0,O125/D125-1,"")</f>
        <v>-0.0437234384797747</v>
      </c>
      <c r="R125" s="23" t="n">
        <f aca="false">SQRT(SUMXMY2(Datos_Semanales!F125:K125,Datos_Semanales!M125:R125)/COUNT(Datos_Semanales!F125:K125))</f>
        <v>1161.30895417653</v>
      </c>
    </row>
    <row r="126" customFormat="false" ht="15" hidden="false" customHeight="false" outlineLevel="0" collapsed="false">
      <c r="A126" s="18" t="n">
        <f aca="false">Datos_Semanales!A126</f>
        <v>30000600</v>
      </c>
      <c r="B126" s="18" t="str">
        <f aca="false">Datos_Semanales!B126</f>
        <v>DURAZNO TROCITOS WSL 24X590GR</v>
      </c>
      <c r="C126" s="18" t="str">
        <f aca="false">Datos_Semanales!C126</f>
        <v>CONSERVAS Y PLATOS LISTOS</v>
      </c>
      <c r="D126" s="23" t="n">
        <f aca="false">SUM(Datos_Semanales!F126:K126)</f>
        <v>39931.2</v>
      </c>
      <c r="E126" s="23" t="n">
        <f aca="false">AVERAGE(Datos_Semanales!F126:K126)</f>
        <v>6655.2</v>
      </c>
      <c r="F126" s="23" t="n">
        <f aca="false">STDEV(Datos_Semanales!F126:K126)</f>
        <v>4230.62317928695</v>
      </c>
      <c r="G126" s="27" t="n">
        <f aca="false">IF(E126&gt;0,F126/E126,"")</f>
        <v>0.6356868582893</v>
      </c>
      <c r="H126" s="24" t="n">
        <f aca="false">IF(SUM($D$5:$D$494)&gt;0,D126/SUM($D$5:$D$494),0)</f>
        <v>0.00166450365331472</v>
      </c>
      <c r="I126" s="24" t="n">
        <f aca="false">SUMIF($D$5:$D$494,"&gt;="&amp;D126)/SUM($D$5:$D$494)</f>
        <v>0.802100562326364</v>
      </c>
      <c r="J126" s="3" t="str">
        <f aca="false">IF(D126&lt;=0,"C",IF(I126&lt;=Parametros!$B$4,"A",IF(I126&lt;=Parametros!$B$5,"B","C")))</f>
        <v>B</v>
      </c>
      <c r="K126" s="3" t="str">
        <f aca="false">IF(E126&lt;=0,"Z",IF(G126&lt;=Parametros!$B$6,"X",IF(G126&lt;=Parametros!$B$7,"Y","Z")))</f>
        <v>Y</v>
      </c>
      <c r="L126" s="3" t="str">
        <f aca="false">J126&amp;K126</f>
        <v>BY</v>
      </c>
      <c r="M126" s="3" t="str">
        <f aca="false">INDEX(Parametros!$B$23:$B$31,MATCH(L126,Parametros!$A$23:$A$31,0))</f>
        <v>Validar promociones y eventos con comercial.</v>
      </c>
      <c r="N126" s="3" t="str">
        <f aca="false">INDEX(Parametros!$C$23:$C$31,MATCH(L126,Parametros!$A$23:$A$31,0))</f>
        <v>Quincenal</v>
      </c>
      <c r="O126" s="23" t="n">
        <f aca="false">SUM(Datos_Semanales!M126:R126)</f>
        <v>40779.68</v>
      </c>
      <c r="P126" s="24" t="n">
        <f aca="false">IF(D126&gt;0,SUMPRODUCT(ABS(Datos_Semanales!F126:K126-Datos_Semanales!M126:R126))/D126,"")</f>
        <v>0.252057538967023</v>
      </c>
      <c r="Q126" s="24" t="n">
        <f aca="false">IF(D126&gt;0,O126/D126-1,"")</f>
        <v>0.021248547501703</v>
      </c>
      <c r="R126" s="23" t="n">
        <f aca="false">SQRT(SUMXMY2(Datos_Semanales!F126:K126,Datos_Semanales!M126:R126)/COUNT(Datos_Semanales!F126:K126))</f>
        <v>2192.66161256132</v>
      </c>
    </row>
    <row r="127" customFormat="false" ht="15" hidden="false" customHeight="false" outlineLevel="0" collapsed="false">
      <c r="A127" s="18" t="n">
        <f aca="false">Datos_Semanales!A127</f>
        <v>30002078</v>
      </c>
      <c r="B127" s="18" t="str">
        <f aca="false">Datos_Semanales!B127</f>
        <v>LECHE PLATANO LONCOLECHE 12X1LT</v>
      </c>
      <c r="C127" s="18" t="str">
        <f aca="false">Datos_Semanales!C127</f>
        <v>LECHES LIQUIDAS</v>
      </c>
      <c r="D127" s="23" t="n">
        <f aca="false">SUM(Datos_Semanales!F127:K127)</f>
        <v>39864</v>
      </c>
      <c r="E127" s="23" t="n">
        <f aca="false">AVERAGE(Datos_Semanales!F127:K127)</f>
        <v>6644</v>
      </c>
      <c r="F127" s="23" t="n">
        <f aca="false">STDEV(Datos_Semanales!F127:K127)</f>
        <v>2107.53163677322</v>
      </c>
      <c r="G127" s="27" t="n">
        <f aca="false">IF(E127&gt;0,F127/E127,"")</f>
        <v>0.317208253578148</v>
      </c>
      <c r="H127" s="24" t="n">
        <f aca="false">IF(SUM($D$5:$D$494)&gt;0,D127/SUM($D$5:$D$494),0)</f>
        <v>0.00166170246914037</v>
      </c>
      <c r="I127" s="24" t="n">
        <f aca="false">SUMIF($D$5:$D$494,"&gt;="&amp;D127)/SUM($D$5:$D$494)</f>
        <v>0.803762264795505</v>
      </c>
      <c r="J127" s="3" t="str">
        <f aca="false">IF(D127&lt;=0,"C",IF(I127&lt;=Parametros!$B$4,"A",IF(I127&lt;=Parametros!$B$5,"B","C")))</f>
        <v>B</v>
      </c>
      <c r="K127" s="3" t="str">
        <f aca="false">IF(E127&lt;=0,"Z",IF(G127&lt;=Parametros!$B$6,"X",IF(G127&lt;=Parametros!$B$7,"Y","Z")))</f>
        <v>X</v>
      </c>
      <c r="L127" s="3" t="str">
        <f aca="false">J127&amp;K127</f>
        <v>BX</v>
      </c>
      <c r="M127" s="3" t="str">
        <f aca="false">INDEX(Parametros!$B$23:$B$31,MATCH(L127,Parametros!$A$23:$A$31,0))</f>
        <v>Estadístico + revisión de tendencia.</v>
      </c>
      <c r="N127" s="3" t="str">
        <f aca="false">INDEX(Parametros!$C$23:$C$31,MATCH(L127,Parametros!$A$23:$A$31,0))</f>
        <v>Mensual</v>
      </c>
      <c r="O127" s="23" t="n">
        <f aca="false">SUM(Datos_Semanales!M127:R127)</f>
        <v>45767.8529372825</v>
      </c>
      <c r="P127" s="24" t="n">
        <f aca="false">IF(D127&gt;0,SUMPRODUCT(ABS(Datos_Semanales!F127:K127-Datos_Semanales!M127:R127))/D127,"")</f>
        <v>0.424192494134656</v>
      </c>
      <c r="Q127" s="24" t="n">
        <f aca="false">IF(D127&gt;0,O127/D127-1,"")</f>
        <v>0.148099862966147</v>
      </c>
      <c r="R127" s="23" t="n">
        <f aca="false">SQRT(SUMXMY2(Datos_Semanales!F127:K127,Datos_Semanales!M127:R127)/COUNT(Datos_Semanales!F127:K127))</f>
        <v>3352.22363337893</v>
      </c>
    </row>
    <row r="128" customFormat="false" ht="15" hidden="false" customHeight="false" outlineLevel="0" collapsed="false">
      <c r="A128" s="18" t="n">
        <f aca="false">Datos_Semanales!A128</f>
        <v>30001780</v>
      </c>
      <c r="B128" s="18" t="str">
        <f aca="false">Datos_Semanales!B128</f>
        <v>ACEITE BELMONT CANOLA 12X900ML</v>
      </c>
      <c r="C128" s="18" t="str">
        <f aca="false">Datos_Semanales!C128</f>
        <v>-</v>
      </c>
      <c r="D128" s="23" t="n">
        <f aca="false">SUM(Datos_Semanales!F128:K128)</f>
        <v>39734.064</v>
      </c>
      <c r="E128" s="23" t="n">
        <f aca="false">AVERAGE(Datos_Semanales!F128:K128)</f>
        <v>6622.344</v>
      </c>
      <c r="F128" s="23" t="n">
        <f aca="false">STDEV(Datos_Semanales!F128:K128)</f>
        <v>1741.51466717544</v>
      </c>
      <c r="G128" s="27" t="n">
        <f aca="false">IF(E128&gt;0,F128/E128,"")</f>
        <v>0.262975566834862</v>
      </c>
      <c r="H128" s="24" t="n">
        <f aca="false">IF(SUM($D$5:$D$494)&gt;0,D128/SUM($D$5:$D$494),0)</f>
        <v>0.00165628617945468</v>
      </c>
      <c r="I128" s="24" t="n">
        <f aca="false">SUMIF($D$5:$D$494,"&gt;="&amp;D128)/SUM($D$5:$D$494)</f>
        <v>0.805418550974959</v>
      </c>
      <c r="J128" s="3" t="str">
        <f aca="false">IF(D128&lt;=0,"C",IF(I128&lt;=Parametros!$B$4,"A",IF(I128&lt;=Parametros!$B$5,"B","C")))</f>
        <v>B</v>
      </c>
      <c r="K128" s="3" t="str">
        <f aca="false">IF(E128&lt;=0,"Z",IF(G128&lt;=Parametros!$B$6,"X",IF(G128&lt;=Parametros!$B$7,"Y","Z")))</f>
        <v>X</v>
      </c>
      <c r="L128" s="3" t="str">
        <f aca="false">J128&amp;K128</f>
        <v>BX</v>
      </c>
      <c r="M128" s="3" t="str">
        <f aca="false">INDEX(Parametros!$B$23:$B$31,MATCH(L128,Parametros!$A$23:$A$31,0))</f>
        <v>Estadístico + revisión de tendencia.</v>
      </c>
      <c r="N128" s="3" t="str">
        <f aca="false">INDEX(Parametros!$C$23:$C$31,MATCH(L128,Parametros!$A$23:$A$31,0))</f>
        <v>Mensual</v>
      </c>
      <c r="O128" s="23" t="n">
        <f aca="false">SUM(Datos_Semanales!M128:R128)</f>
        <v>48996.208</v>
      </c>
      <c r="P128" s="24" t="n">
        <f aca="false">IF(D128&gt;0,SUMPRODUCT(ABS(Datos_Semanales!F128:K128-Datos_Semanales!M128:R128))/D128,"")</f>
        <v>0.305866321652877</v>
      </c>
      <c r="Q128" s="24" t="n">
        <f aca="false">IF(D128&gt;0,O128/D128-1,"")</f>
        <v>0.23310336440793</v>
      </c>
      <c r="R128" s="23" t="n">
        <f aca="false">SQRT(SUMXMY2(Datos_Semanales!F128:K128,Datos_Semanales!M128:R128)/COUNT(Datos_Semanales!F128:K128))</f>
        <v>2509.79339382348</v>
      </c>
    </row>
    <row r="129" customFormat="false" ht="15" hidden="false" customHeight="false" outlineLevel="0" collapsed="false">
      <c r="A129" s="18" t="n">
        <f aca="false">Datos_Semanales!A129</f>
        <v>30001895</v>
      </c>
      <c r="B129" s="18" t="str">
        <f aca="false">Datos_Semanales!B129</f>
        <v>LP LONCO DESCREMADA 20X760GR</v>
      </c>
      <c r="C129" s="18" t="str">
        <f aca="false">Datos_Semanales!C129</f>
        <v>LECHES EN POLVO</v>
      </c>
      <c r="D129" s="23" t="n">
        <f aca="false">SUM(Datos_Semanales!F129:K129)</f>
        <v>39626.4</v>
      </c>
      <c r="E129" s="23" t="n">
        <f aca="false">AVERAGE(Datos_Semanales!F129:K129)</f>
        <v>6604.4</v>
      </c>
      <c r="F129" s="23" t="n">
        <f aca="false">STDEV(Datos_Semanales!F129:K129)</f>
        <v>3427.41294389807</v>
      </c>
      <c r="G129" s="27" t="n">
        <f aca="false">IF(E129&gt;0,F129/E129,"")</f>
        <v>0.518959018820493</v>
      </c>
      <c r="H129" s="24" t="n">
        <f aca="false">IF(SUM($D$5:$D$494)&gt;0,D129/SUM($D$5:$D$494),0)</f>
        <v>0.00165179828223821</v>
      </c>
      <c r="I129" s="24" t="n">
        <f aca="false">SUMIF($D$5:$D$494,"&gt;="&amp;D129)/SUM($D$5:$D$494)</f>
        <v>0.807070349257198</v>
      </c>
      <c r="J129" s="3" t="str">
        <f aca="false">IF(D129&lt;=0,"C",IF(I129&lt;=Parametros!$B$4,"A",IF(I129&lt;=Parametros!$B$5,"B","C")))</f>
        <v>B</v>
      </c>
      <c r="K129" s="3" t="str">
        <f aca="false">IF(E129&lt;=0,"Z",IF(G129&lt;=Parametros!$B$6,"X",IF(G129&lt;=Parametros!$B$7,"Y","Z")))</f>
        <v>Y</v>
      </c>
      <c r="L129" s="3" t="str">
        <f aca="false">J129&amp;K129</f>
        <v>BY</v>
      </c>
      <c r="M129" s="3" t="str">
        <f aca="false">INDEX(Parametros!$B$23:$B$31,MATCH(L129,Parametros!$A$23:$A$31,0))</f>
        <v>Validar promociones y eventos con comercial.</v>
      </c>
      <c r="N129" s="3" t="str">
        <f aca="false">INDEX(Parametros!$C$23:$C$31,MATCH(L129,Parametros!$A$23:$A$31,0))</f>
        <v>Quincenal</v>
      </c>
      <c r="O129" s="23" t="n">
        <f aca="false">SUM(Datos_Semanales!M129:R129)</f>
        <v>42285.5143080687</v>
      </c>
      <c r="P129" s="24" t="n">
        <f aca="false">IF(D129&gt;0,SUMPRODUCT(ABS(Datos_Semanales!F129:K129-Datos_Semanales!M129:R129))/D129,"")</f>
        <v>0.32414537550897</v>
      </c>
      <c r="Q129" s="24" t="n">
        <f aca="false">IF(D129&gt;0,O129/D129-1,"")</f>
        <v>0.0671046148039856</v>
      </c>
      <c r="R129" s="23" t="n">
        <f aca="false">SQRT(SUMXMY2(Datos_Semanales!F129:K129,Datos_Semanales!M129:R129)/COUNT(Datos_Semanales!F129:K129))</f>
        <v>2641.02049592992</v>
      </c>
    </row>
    <row r="130" customFormat="false" ht="15" hidden="false" customHeight="false" outlineLevel="0" collapsed="false">
      <c r="A130" s="18" t="n">
        <f aca="false">Datos_Semanales!A130</f>
        <v>30001942</v>
      </c>
      <c r="B130" s="18" t="str">
        <f aca="false">Datos_Semanales!B130</f>
        <v>NECTAR WATTS SELECCION FRAM 6X1.6LT</v>
      </c>
      <c r="C130" s="18" t="str">
        <f aca="false">Datos_Semanales!C130</f>
        <v>JUGOS Y NECTARES</v>
      </c>
      <c r="D130" s="23" t="n">
        <f aca="false">SUM(Datos_Semanales!F130:K130)</f>
        <v>39609.6</v>
      </c>
      <c r="E130" s="23" t="n">
        <f aca="false">AVERAGE(Datos_Semanales!F130:K130)</f>
        <v>6601.6</v>
      </c>
      <c r="F130" s="23" t="n">
        <f aca="false">STDEV(Datos_Semanales!F130:K130)</f>
        <v>1376.89124625004</v>
      </c>
      <c r="G130" s="27" t="n">
        <f aca="false">IF(E130&gt;0,F130/E130,"")</f>
        <v>0.20856932353521</v>
      </c>
      <c r="H130" s="24" t="n">
        <f aca="false">IF(SUM($D$5:$D$494)&gt;0,D130/SUM($D$5:$D$494),0)</f>
        <v>0.00165109798619462</v>
      </c>
      <c r="I130" s="24" t="n">
        <f aca="false">SUMIF($D$5:$D$494,"&gt;="&amp;D130)/SUM($D$5:$D$494)</f>
        <v>0.808721447243392</v>
      </c>
      <c r="J130" s="3" t="str">
        <f aca="false">IF(D130&lt;=0,"C",IF(I130&lt;=Parametros!$B$4,"A",IF(I130&lt;=Parametros!$B$5,"B","C")))</f>
        <v>B</v>
      </c>
      <c r="K130" s="3" t="str">
        <f aca="false">IF(E130&lt;=0,"Z",IF(G130&lt;=Parametros!$B$6,"X",IF(G130&lt;=Parametros!$B$7,"Y","Z")))</f>
        <v>X</v>
      </c>
      <c r="L130" s="3" t="str">
        <f aca="false">J130&amp;K130</f>
        <v>BX</v>
      </c>
      <c r="M130" s="3" t="str">
        <f aca="false">INDEX(Parametros!$B$23:$B$31,MATCH(L130,Parametros!$A$23:$A$31,0))</f>
        <v>Estadístico + revisión de tendencia.</v>
      </c>
      <c r="N130" s="3" t="str">
        <f aca="false">INDEX(Parametros!$C$23:$C$31,MATCH(L130,Parametros!$A$23:$A$31,0))</f>
        <v>Mensual</v>
      </c>
      <c r="O130" s="23" t="n">
        <f aca="false">SUM(Datos_Semanales!M130:R130)</f>
        <v>23547.7992045501</v>
      </c>
      <c r="P130" s="24" t="n">
        <f aca="false">IF(D130&gt;0,SUMPRODUCT(ABS(Datos_Semanales!F130:K130-Datos_Semanales!M130:R130))/D130,"")</f>
        <v>0.405502726496858</v>
      </c>
      <c r="Q130" s="24" t="n">
        <f aca="false">IF(D130&gt;0,O130/D130-1,"")</f>
        <v>-0.405502726496858</v>
      </c>
      <c r="R130" s="23" t="n">
        <f aca="false">SQRT(SUMXMY2(Datos_Semanales!F130:K130,Datos_Semanales!M130:R130)/COUNT(Datos_Semanales!F130:K130))</f>
        <v>2957.17726503182</v>
      </c>
    </row>
    <row r="131" customFormat="false" ht="15" hidden="false" customHeight="false" outlineLevel="0" collapsed="false">
      <c r="A131" s="18" t="n">
        <f aca="false">Datos_Semanales!A131</f>
        <v>30001709</v>
      </c>
      <c r="B131" s="18" t="str">
        <f aca="false">Datos_Semanales!B131</f>
        <v>YOG POTE LONCO S/LAC TZO BERRIES 24X140G</v>
      </c>
      <c r="C131" s="18" t="str">
        <f aca="false">Datos_Semanales!C131</f>
        <v>YOGURT</v>
      </c>
      <c r="D131" s="23" t="n">
        <f aca="false">SUM(Datos_Semanales!F131:K131)</f>
        <v>39503.52</v>
      </c>
      <c r="E131" s="23" t="n">
        <f aca="false">AVERAGE(Datos_Semanales!F131:K131)</f>
        <v>6583.92</v>
      </c>
      <c r="F131" s="23" t="n">
        <f aca="false">STDEV(Datos_Semanales!F131:K131)</f>
        <v>2020.02993213467</v>
      </c>
      <c r="G131" s="27" t="n">
        <f aca="false">IF(E131&gt;0,F131/E131,"")</f>
        <v>0.306812648412294</v>
      </c>
      <c r="H131" s="24" t="n">
        <f aca="false">IF(SUM($D$5:$D$494)&gt;0,D131/SUM($D$5:$D$494),0)</f>
        <v>0.00164667611689083</v>
      </c>
      <c r="I131" s="24" t="n">
        <f aca="false">SUMIF($D$5:$D$494,"&gt;="&amp;D131)/SUM($D$5:$D$494)</f>
        <v>0.810368123360283</v>
      </c>
      <c r="J131" s="3" t="str">
        <f aca="false">IF(D131&lt;=0,"C",IF(I131&lt;=Parametros!$B$4,"A",IF(I131&lt;=Parametros!$B$5,"B","C")))</f>
        <v>B</v>
      </c>
      <c r="K131" s="3" t="str">
        <f aca="false">IF(E131&lt;=0,"Z",IF(G131&lt;=Parametros!$B$6,"X",IF(G131&lt;=Parametros!$B$7,"Y","Z")))</f>
        <v>X</v>
      </c>
      <c r="L131" s="3" t="str">
        <f aca="false">J131&amp;K131</f>
        <v>BX</v>
      </c>
      <c r="M131" s="3" t="str">
        <f aca="false">INDEX(Parametros!$B$23:$B$31,MATCH(L131,Parametros!$A$23:$A$31,0))</f>
        <v>Estadístico + revisión de tendencia.</v>
      </c>
      <c r="N131" s="3" t="str">
        <f aca="false">INDEX(Parametros!$C$23:$C$31,MATCH(L131,Parametros!$A$23:$A$31,0))</f>
        <v>Mensual</v>
      </c>
      <c r="O131" s="23" t="n">
        <f aca="false">SUM(Datos_Semanales!M131:R131)</f>
        <v>40540.4122782858</v>
      </c>
      <c r="P131" s="24" t="n">
        <f aca="false">IF(D131&gt;0,SUMPRODUCT(ABS(Datos_Semanales!F131:K131-Datos_Semanales!M131:R131))/D131,"")</f>
        <v>0.29077693706646</v>
      </c>
      <c r="Q131" s="24" t="n">
        <f aca="false">IF(D131&gt;0,O131/D131-1,"")</f>
        <v>0.0262480983539144</v>
      </c>
      <c r="R131" s="23" t="n">
        <f aca="false">SQRT(SUMXMY2(Datos_Semanales!F131:K131,Datos_Semanales!M131:R131)/COUNT(Datos_Semanales!F131:K131))</f>
        <v>2172.36756119104</v>
      </c>
    </row>
    <row r="132" customFormat="false" ht="15" hidden="false" customHeight="false" outlineLevel="0" collapsed="false">
      <c r="A132" s="18" t="n">
        <f aca="false">Datos_Semanales!A132</f>
        <v>30002229</v>
      </c>
      <c r="B132" s="18" t="str">
        <f aca="false">Datos_Semanales!B132</f>
        <v>NECTAR WATTS DURAZNO 5X10X115ML</v>
      </c>
      <c r="C132" s="18" t="str">
        <f aca="false">Datos_Semanales!C132</f>
        <v>JUGOS Y NECTARES</v>
      </c>
      <c r="D132" s="23" t="n">
        <f aca="false">SUM(Datos_Semanales!F132:K132)</f>
        <v>39215</v>
      </c>
      <c r="E132" s="23" t="n">
        <f aca="false">AVERAGE(Datos_Semanales!F132:K132)</f>
        <v>6535.83333333333</v>
      </c>
      <c r="F132" s="23" t="n">
        <f aca="false">STDEV(Datos_Semanales!F132:K132)</f>
        <v>5648.08854097266</v>
      </c>
      <c r="G132" s="27" t="n">
        <f aca="false">IF(E132&gt;0,F132/E132,"")</f>
        <v>0.864172669790538</v>
      </c>
      <c r="H132" s="24" t="n">
        <f aca="false">IF(SUM($D$5:$D$494)&gt;0,D132/SUM($D$5:$D$494),0)</f>
        <v>0.00163464936602798</v>
      </c>
      <c r="I132" s="24" t="n">
        <f aca="false">SUMIF($D$5:$D$494,"&gt;="&amp;D132)/SUM($D$5:$D$494)</f>
        <v>0.812002772726311</v>
      </c>
      <c r="J132" s="3" t="str">
        <f aca="false">IF(D132&lt;=0,"C",IF(I132&lt;=Parametros!$B$4,"A",IF(I132&lt;=Parametros!$B$5,"B","C")))</f>
        <v>B</v>
      </c>
      <c r="K132" s="3" t="str">
        <f aca="false">IF(E132&lt;=0,"Z",IF(G132&lt;=Parametros!$B$6,"X",IF(G132&lt;=Parametros!$B$7,"Y","Z")))</f>
        <v>Y</v>
      </c>
      <c r="L132" s="3" t="str">
        <f aca="false">J132&amp;K132</f>
        <v>BY</v>
      </c>
      <c r="M132" s="3" t="str">
        <f aca="false">INDEX(Parametros!$B$23:$B$31,MATCH(L132,Parametros!$A$23:$A$31,0))</f>
        <v>Validar promociones y eventos con comercial.</v>
      </c>
      <c r="N132" s="3" t="str">
        <f aca="false">INDEX(Parametros!$C$23:$C$31,MATCH(L132,Parametros!$A$23:$A$31,0))</f>
        <v>Quincenal</v>
      </c>
      <c r="O132" s="23" t="n">
        <f aca="false">SUM(Datos_Semanales!M132:R132)</f>
        <v>29433.8333333333</v>
      </c>
      <c r="P132" s="24" t="n">
        <f aca="false">IF(D132&gt;0,SUMPRODUCT(ABS(Datos_Semanales!F132:K132-Datos_Semanales!M132:R132))/D132,"")</f>
        <v>0.461460325555697</v>
      </c>
      <c r="Q132" s="24" t="n">
        <f aca="false">IF(D132&gt;0,O132/D132-1,"")</f>
        <v>-0.249424114922011</v>
      </c>
      <c r="R132" s="23" t="n">
        <f aca="false">SQRT(SUMXMY2(Datos_Semanales!F132:K132,Datos_Semanales!M132:R132)/COUNT(Datos_Semanales!F132:K132))</f>
        <v>3936.28363281446</v>
      </c>
    </row>
    <row r="133" customFormat="false" ht="15" hidden="false" customHeight="false" outlineLevel="0" collapsed="false">
      <c r="A133" s="18" t="n">
        <f aca="false">Datos_Semanales!A133</f>
        <v>30001773</v>
      </c>
      <c r="B133" s="18" t="str">
        <f aca="false">Datos_Semanales!B133</f>
        <v>QUESO LAS PARCELAS CHANCO 20X233GR</v>
      </c>
      <c r="C133" s="18" t="str">
        <f aca="false">Datos_Semanales!C133</f>
        <v>QUESOS</v>
      </c>
      <c r="D133" s="23" t="n">
        <f aca="false">SUM(Datos_Semanales!F133:K133)</f>
        <v>38389.08</v>
      </c>
      <c r="E133" s="23" t="n">
        <f aca="false">AVERAGE(Datos_Semanales!F133:K133)</f>
        <v>6398.18</v>
      </c>
      <c r="F133" s="23" t="n">
        <f aca="false">STDEV(Datos_Semanales!F133:K133)</f>
        <v>1380.61573921204</v>
      </c>
      <c r="G133" s="27" t="n">
        <f aca="false">IF(E133&gt;0,F133/E133,"")</f>
        <v>0.215782572420913</v>
      </c>
      <c r="H133" s="24" t="n">
        <f aca="false">IF(SUM($D$5:$D$494)&gt;0,D133/SUM($D$5:$D$494),0)</f>
        <v>0.00160022147862801</v>
      </c>
      <c r="I133" s="24" t="n">
        <f aca="false">SUMIF($D$5:$D$494,"&gt;="&amp;D133)/SUM($D$5:$D$494)</f>
        <v>0.813602994204939</v>
      </c>
      <c r="J133" s="3" t="str">
        <f aca="false">IF(D133&lt;=0,"C",IF(I133&lt;=Parametros!$B$4,"A",IF(I133&lt;=Parametros!$B$5,"B","C")))</f>
        <v>B</v>
      </c>
      <c r="K133" s="3" t="str">
        <f aca="false">IF(E133&lt;=0,"Z",IF(G133&lt;=Parametros!$B$6,"X",IF(G133&lt;=Parametros!$B$7,"Y","Z")))</f>
        <v>X</v>
      </c>
      <c r="L133" s="3" t="str">
        <f aca="false">J133&amp;K133</f>
        <v>BX</v>
      </c>
      <c r="M133" s="3" t="str">
        <f aca="false">INDEX(Parametros!$B$23:$B$31,MATCH(L133,Parametros!$A$23:$A$31,0))</f>
        <v>Estadístico + revisión de tendencia.</v>
      </c>
      <c r="N133" s="3" t="str">
        <f aca="false">INDEX(Parametros!$C$23:$C$31,MATCH(L133,Parametros!$A$23:$A$31,0))</f>
        <v>Mensual</v>
      </c>
      <c r="O133" s="23" t="n">
        <f aca="false">SUM(Datos_Semanales!M133:R133)</f>
        <v>31367.5139485461</v>
      </c>
      <c r="P133" s="24" t="n">
        <f aca="false">IF(D133&gt;0,SUMPRODUCT(ABS(Datos_Semanales!F133:K133-Datos_Semanales!M133:R133))/D133,"")</f>
        <v>0.402865764569903</v>
      </c>
      <c r="Q133" s="24" t="n">
        <f aca="false">IF(D133&gt;0,O133/D133-1,"")</f>
        <v>-0.182905296283576</v>
      </c>
      <c r="R133" s="23" t="n">
        <f aca="false">SQRT(SUMXMY2(Datos_Semanales!F133:K133,Datos_Semanales!M133:R133)/COUNT(Datos_Semanales!F133:K133))</f>
        <v>3036.61783490642</v>
      </c>
    </row>
    <row r="134" customFormat="false" ht="15" hidden="false" customHeight="false" outlineLevel="0" collapsed="false">
      <c r="A134" s="18" t="n">
        <f aca="false">Datos_Semanales!A134</f>
        <v>30001923</v>
      </c>
      <c r="B134" s="18" t="str">
        <f aca="false">Datos_Semanales!B134</f>
        <v>JUGO 100% FRUTA WATTS NRJA-MZNA 30X200ML</v>
      </c>
      <c r="C134" s="18" t="str">
        <f aca="false">Datos_Semanales!C134</f>
        <v>JUGOS Y NECTARES</v>
      </c>
      <c r="D134" s="23" t="n">
        <f aca="false">SUM(Datos_Semanales!F134:K134)</f>
        <v>38106</v>
      </c>
      <c r="E134" s="23" t="n">
        <f aca="false">AVERAGE(Datos_Semanales!F134:K134)</f>
        <v>6351</v>
      </c>
      <c r="F134" s="23" t="n">
        <f aca="false">STDEV(Datos_Semanales!F134:K134)</f>
        <v>3639.20403385136</v>
      </c>
      <c r="G134" s="27" t="n">
        <f aca="false">IF(E134&gt;0,F134/E134,"")</f>
        <v>0.573012759227107</v>
      </c>
      <c r="H134" s="24" t="n">
        <f aca="false">IF(SUM($D$5:$D$494)&gt;0,D134/SUM($D$5:$D$494),0)</f>
        <v>0.00158842149029357</v>
      </c>
      <c r="I134" s="24" t="n">
        <f aca="false">SUMIF($D$5:$D$494,"&gt;="&amp;D134)/SUM($D$5:$D$494)</f>
        <v>0.815191415695232</v>
      </c>
      <c r="J134" s="3" t="str">
        <f aca="false">IF(D134&lt;=0,"C",IF(I134&lt;=Parametros!$B$4,"A",IF(I134&lt;=Parametros!$B$5,"B","C")))</f>
        <v>B</v>
      </c>
      <c r="K134" s="3" t="str">
        <f aca="false">IF(E134&lt;=0,"Z",IF(G134&lt;=Parametros!$B$6,"X",IF(G134&lt;=Parametros!$B$7,"Y","Z")))</f>
        <v>Y</v>
      </c>
      <c r="L134" s="3" t="str">
        <f aca="false">J134&amp;K134</f>
        <v>BY</v>
      </c>
      <c r="M134" s="3" t="str">
        <f aca="false">INDEX(Parametros!$B$23:$B$31,MATCH(L134,Parametros!$A$23:$A$31,0))</f>
        <v>Validar promociones y eventos con comercial.</v>
      </c>
      <c r="N134" s="3" t="str">
        <f aca="false">INDEX(Parametros!$C$23:$C$31,MATCH(L134,Parametros!$A$23:$A$31,0))</f>
        <v>Quincenal</v>
      </c>
      <c r="O134" s="23" t="n">
        <f aca="false">SUM(Datos_Semanales!M134:R134)</f>
        <v>40942.6028849725</v>
      </c>
      <c r="P134" s="24" t="n">
        <f aca="false">IF(D134&gt;0,SUMPRODUCT(ABS(Datos_Semanales!F134:K134-Datos_Semanales!M134:R134))/D134,"")</f>
        <v>0.168138275206725</v>
      </c>
      <c r="Q134" s="24" t="n">
        <f aca="false">IF(D134&gt;0,O134/D134-1,"")</f>
        <v>0.0744397964880208</v>
      </c>
      <c r="R134" s="23" t="n">
        <f aca="false">SQRT(SUMXMY2(Datos_Semanales!F134:K134,Datos_Semanales!M134:R134)/COUNT(Datos_Semanales!F134:K134))</f>
        <v>1454.05241822476</v>
      </c>
    </row>
    <row r="135" customFormat="false" ht="15" hidden="false" customHeight="false" outlineLevel="0" collapsed="false">
      <c r="A135" s="18" t="n">
        <f aca="false">Datos_Semanales!A135</f>
        <v>30000629</v>
      </c>
      <c r="B135" s="18" t="str">
        <f aca="false">Datos_Semanales!B135</f>
        <v>DURAZNO CUBITOS REGI 16X380GR</v>
      </c>
      <c r="C135" s="18" t="str">
        <f aca="false">Datos_Semanales!C135</f>
        <v>-</v>
      </c>
      <c r="D135" s="23" t="n">
        <f aca="false">SUM(Datos_Semanales!F135:K135)</f>
        <v>38024.32</v>
      </c>
      <c r="E135" s="23" t="n">
        <f aca="false">AVERAGE(Datos_Semanales!F135:K135)</f>
        <v>6337.38666666667</v>
      </c>
      <c r="F135" s="23" t="n">
        <f aca="false">STDEV(Datos_Semanales!F135:K135)</f>
        <v>2354.03802350486</v>
      </c>
      <c r="G135" s="27" t="n">
        <f aca="false">IF(E135&gt;0,F135/E135,"")</f>
        <v>0.371452484647435</v>
      </c>
      <c r="H135" s="24" t="n">
        <f aca="false">IF(SUM($D$5:$D$494)&gt;0,D135/SUM($D$5:$D$494),0)</f>
        <v>0.00158501671762451</v>
      </c>
      <c r="I135" s="24" t="n">
        <f aca="false">SUMIF($D$5:$D$494,"&gt;="&amp;D135)/SUM($D$5:$D$494)</f>
        <v>0.816776432412857</v>
      </c>
      <c r="J135" s="3" t="str">
        <f aca="false">IF(D135&lt;=0,"C",IF(I135&lt;=Parametros!$B$4,"A",IF(I135&lt;=Parametros!$B$5,"B","C")))</f>
        <v>B</v>
      </c>
      <c r="K135" s="3" t="str">
        <f aca="false">IF(E135&lt;=0,"Z",IF(G135&lt;=Parametros!$B$6,"X",IF(G135&lt;=Parametros!$B$7,"Y","Z")))</f>
        <v>X</v>
      </c>
      <c r="L135" s="3" t="str">
        <f aca="false">J135&amp;K135</f>
        <v>BX</v>
      </c>
      <c r="M135" s="3" t="str">
        <f aca="false">INDEX(Parametros!$B$23:$B$31,MATCH(L135,Parametros!$A$23:$A$31,0))</f>
        <v>Estadístico + revisión de tendencia.</v>
      </c>
      <c r="N135" s="3" t="str">
        <f aca="false">INDEX(Parametros!$C$23:$C$31,MATCH(L135,Parametros!$A$23:$A$31,0))</f>
        <v>Mensual</v>
      </c>
      <c r="O135" s="23" t="n">
        <f aca="false">SUM(Datos_Semanales!M135:R135)</f>
        <v>45809.12</v>
      </c>
      <c r="P135" s="24" t="n">
        <f aca="false">IF(D135&gt;0,SUMPRODUCT(ABS(Datos_Semanales!F135:K135-Datos_Semanales!M135:R135))/D135,"")</f>
        <v>0.33205274939828</v>
      </c>
      <c r="Q135" s="24" t="n">
        <f aca="false">IF(D135&gt;0,O135/D135-1,"")</f>
        <v>0.204732129331964</v>
      </c>
      <c r="R135" s="23" t="n">
        <f aca="false">SQRT(SUMXMY2(Datos_Semanales!F135:K135,Datos_Semanales!M135:R135)/COUNT(Datos_Semanales!F135:K135))</f>
        <v>2512.58148938497</v>
      </c>
    </row>
    <row r="136" customFormat="false" ht="15" hidden="false" customHeight="false" outlineLevel="0" collapsed="false">
      <c r="A136" s="18" t="n">
        <f aca="false">Datos_Semanales!A136</f>
        <v>30000195</v>
      </c>
      <c r="B136" s="18" t="str">
        <f aca="false">Datos_Semanales!B136</f>
        <v>DULCE MEMBRILLO WATT'S 12X1KG</v>
      </c>
      <c r="C136" s="18" t="str">
        <f aca="false">Datos_Semanales!C136</f>
        <v>-</v>
      </c>
      <c r="D136" s="23" t="n">
        <f aca="false">SUM(Datos_Semanales!F136:K136)</f>
        <v>37644</v>
      </c>
      <c r="E136" s="23" t="n">
        <f aca="false">AVERAGE(Datos_Semanales!F136:K136)</f>
        <v>6274</v>
      </c>
      <c r="F136" s="23" t="n">
        <f aca="false">STDEV(Datos_Semanales!F136:K136)</f>
        <v>1558.27134992594</v>
      </c>
      <c r="G136" s="27" t="n">
        <f aca="false">IF(E136&gt;0,F136/E136,"")</f>
        <v>0.248369676430656</v>
      </c>
      <c r="H136" s="24" t="n">
        <f aca="false">IF(SUM($D$5:$D$494)&gt;0,D136/SUM($D$5:$D$494),0)</f>
        <v>0.00156916334909492</v>
      </c>
      <c r="I136" s="24" t="n">
        <f aca="false">SUMIF($D$5:$D$494,"&gt;="&amp;D136)/SUM($D$5:$D$494)</f>
        <v>0.818345595761952</v>
      </c>
      <c r="J136" s="3" t="str">
        <f aca="false">IF(D136&lt;=0,"C",IF(I136&lt;=Parametros!$B$4,"A",IF(I136&lt;=Parametros!$B$5,"B","C")))</f>
        <v>B</v>
      </c>
      <c r="K136" s="3" t="str">
        <f aca="false">IF(E136&lt;=0,"Z",IF(G136&lt;=Parametros!$B$6,"X",IF(G136&lt;=Parametros!$B$7,"Y","Z")))</f>
        <v>X</v>
      </c>
      <c r="L136" s="3" t="str">
        <f aca="false">J136&amp;K136</f>
        <v>BX</v>
      </c>
      <c r="M136" s="3" t="str">
        <f aca="false">INDEX(Parametros!$B$23:$B$31,MATCH(L136,Parametros!$A$23:$A$31,0))</f>
        <v>Estadístico + revisión de tendencia.</v>
      </c>
      <c r="N136" s="3" t="str">
        <f aca="false">INDEX(Parametros!$C$23:$C$31,MATCH(L136,Parametros!$A$23:$A$31,0))</f>
        <v>Mensual</v>
      </c>
      <c r="O136" s="23" t="n">
        <f aca="false">SUM(Datos_Semanales!M136:R136)</f>
        <v>37686</v>
      </c>
      <c r="P136" s="24" t="n">
        <f aca="false">IF(D136&gt;0,SUMPRODUCT(ABS(Datos_Semanales!F136:K136-Datos_Semanales!M136:R136))/D136,"")</f>
        <v>0.16942939113803</v>
      </c>
      <c r="Q136" s="24" t="n">
        <f aca="false">IF(D136&gt;0,O136/D136-1,"")</f>
        <v>0.00111571565189661</v>
      </c>
      <c r="R136" s="23" t="n">
        <f aca="false">SQRT(SUMXMY2(Datos_Semanales!F136:K136,Datos_Semanales!M136:R136)/COUNT(Datos_Semanales!F136:K136))</f>
        <v>1278.77780191348</v>
      </c>
    </row>
    <row r="137" customFormat="false" ht="15" hidden="false" customHeight="false" outlineLevel="0" collapsed="false">
      <c r="A137" s="18" t="n">
        <f aca="false">Datos_Semanales!A137</f>
        <v>30000054</v>
      </c>
      <c r="B137" s="18" t="str">
        <f aca="false">Datos_Semanales!B137</f>
        <v>ACEITE CHEF PEPITA UVA 12X1LT</v>
      </c>
      <c r="C137" s="18" t="str">
        <f aca="false">Datos_Semanales!C137</f>
        <v>-</v>
      </c>
      <c r="D137" s="23" t="n">
        <f aca="false">SUM(Datos_Semanales!F137:K137)</f>
        <v>37480.8</v>
      </c>
      <c r="E137" s="23" t="n">
        <f aca="false">AVERAGE(Datos_Semanales!F137:K137)</f>
        <v>6246.8</v>
      </c>
      <c r="F137" s="23" t="n">
        <f aca="false">STDEV(Datos_Semanales!F137:K137)</f>
        <v>2091.09859830664</v>
      </c>
      <c r="G137" s="27" t="n">
        <f aca="false">IF(E137&gt;0,F137/E137,"")</f>
        <v>0.334747166278197</v>
      </c>
      <c r="H137" s="24" t="n">
        <f aca="false">IF(SUM($D$5:$D$494)&gt;0,D137/SUM($D$5:$D$494),0)</f>
        <v>0.00156236047324293</v>
      </c>
      <c r="I137" s="24" t="n">
        <f aca="false">SUMIF($D$5:$D$494,"&gt;="&amp;D137)/SUM($D$5:$D$494)</f>
        <v>0.819907956235195</v>
      </c>
      <c r="J137" s="3" t="str">
        <f aca="false">IF(D137&lt;=0,"C",IF(I137&lt;=Parametros!$B$4,"A",IF(I137&lt;=Parametros!$B$5,"B","C")))</f>
        <v>B</v>
      </c>
      <c r="K137" s="3" t="str">
        <f aca="false">IF(E137&lt;=0,"Z",IF(G137&lt;=Parametros!$B$6,"X",IF(G137&lt;=Parametros!$B$7,"Y","Z")))</f>
        <v>X</v>
      </c>
      <c r="L137" s="3" t="str">
        <f aca="false">J137&amp;K137</f>
        <v>BX</v>
      </c>
      <c r="M137" s="3" t="str">
        <f aca="false">INDEX(Parametros!$B$23:$B$31,MATCH(L137,Parametros!$A$23:$A$31,0))</f>
        <v>Estadístico + revisión de tendencia.</v>
      </c>
      <c r="N137" s="3" t="str">
        <f aca="false">INDEX(Parametros!$C$23:$C$31,MATCH(L137,Parametros!$A$23:$A$31,0))</f>
        <v>Mensual</v>
      </c>
      <c r="O137" s="23" t="n">
        <f aca="false">SUM(Datos_Semanales!M137:R137)</f>
        <v>32800.08</v>
      </c>
      <c r="P137" s="24" t="n">
        <f aca="false">IF(D137&gt;0,SUMPRODUCT(ABS(Datos_Semanales!F137:K137-Datos_Semanales!M137:R137))/D137,"")</f>
        <v>0.36574886341807</v>
      </c>
      <c r="Q137" s="24" t="n">
        <f aca="false">IF(D137&gt;0,O137/D137-1,"")</f>
        <v>-0.124883140167766</v>
      </c>
      <c r="R137" s="23" t="n">
        <f aca="false">SQRT(SUMXMY2(Datos_Semanales!F137:K137,Datos_Semanales!M137:R137)/COUNT(Datos_Semanales!F137:K137))</f>
        <v>2803.06694223785</v>
      </c>
    </row>
    <row r="138" customFormat="false" ht="15" hidden="false" customHeight="false" outlineLevel="0" collapsed="false">
      <c r="A138" s="18" t="n">
        <f aca="false">Datos_Semanales!A138</f>
        <v>30001656</v>
      </c>
      <c r="B138" s="18" t="str">
        <f aca="false">Datos_Semanales!B138</f>
        <v>MERMELADA WATTS MORA 12X360GR</v>
      </c>
      <c r="C138" s="18" t="str">
        <f aca="false">Datos_Semanales!C138</f>
        <v>MERMELADAS</v>
      </c>
      <c r="D138" s="23" t="n">
        <f aca="false">SUM(Datos_Semanales!F138:K138)</f>
        <v>37074.24</v>
      </c>
      <c r="E138" s="23" t="n">
        <f aca="false">AVERAGE(Datos_Semanales!F138:K138)</f>
        <v>6179.04</v>
      </c>
      <c r="F138" s="23" t="n">
        <f aca="false">STDEV(Datos_Semanales!F138:K138)</f>
        <v>1343.56213438754</v>
      </c>
      <c r="G138" s="27" t="n">
        <f aca="false">IF(E138&gt;0,F138/E138,"")</f>
        <v>0.217438652992623</v>
      </c>
      <c r="H138" s="24" t="n">
        <f aca="false">IF(SUM($D$5:$D$494)&gt;0,D138/SUM($D$5:$D$494),0)</f>
        <v>0.00154541330898813</v>
      </c>
      <c r="I138" s="24" t="n">
        <f aca="false">SUMIF($D$5:$D$494,"&gt;="&amp;D138)/SUM($D$5:$D$494)</f>
        <v>0.821453369544183</v>
      </c>
      <c r="J138" s="3" t="str">
        <f aca="false">IF(D138&lt;=0,"C",IF(I138&lt;=Parametros!$B$4,"A",IF(I138&lt;=Parametros!$B$5,"B","C")))</f>
        <v>B</v>
      </c>
      <c r="K138" s="3" t="str">
        <f aca="false">IF(E138&lt;=0,"Z",IF(G138&lt;=Parametros!$B$6,"X",IF(G138&lt;=Parametros!$B$7,"Y","Z")))</f>
        <v>X</v>
      </c>
      <c r="L138" s="3" t="str">
        <f aca="false">J138&amp;K138</f>
        <v>BX</v>
      </c>
      <c r="M138" s="3" t="str">
        <f aca="false">INDEX(Parametros!$B$23:$B$31,MATCH(L138,Parametros!$A$23:$A$31,0))</f>
        <v>Estadístico + revisión de tendencia.</v>
      </c>
      <c r="N138" s="3" t="str">
        <f aca="false">INDEX(Parametros!$C$23:$C$31,MATCH(L138,Parametros!$A$23:$A$31,0))</f>
        <v>Mensual</v>
      </c>
      <c r="O138" s="23" t="n">
        <f aca="false">SUM(Datos_Semanales!M138:R138)</f>
        <v>32627.7074250576</v>
      </c>
      <c r="P138" s="24" t="n">
        <f aca="false">IF(D138&gt;0,SUMPRODUCT(ABS(Datos_Semanales!F138:K138-Datos_Semanales!M138:R138))/D138,"")</f>
        <v>0.175180733979776</v>
      </c>
      <c r="Q138" s="24" t="n">
        <f aca="false">IF(D138&gt;0,O138/D138-1,"")</f>
        <v>-0.119935906304279</v>
      </c>
      <c r="R138" s="23" t="n">
        <f aca="false">SQRT(SUMXMY2(Datos_Semanales!F138:K138,Datos_Semanales!M138:R138)/COUNT(Datos_Semanales!F138:K138))</f>
        <v>1270.49816931964</v>
      </c>
    </row>
    <row r="139" customFormat="false" ht="15" hidden="false" customHeight="false" outlineLevel="0" collapsed="false">
      <c r="A139" s="18" t="n">
        <f aca="false">Datos_Semanales!A139</f>
        <v>30000321</v>
      </c>
      <c r="B139" s="18" t="str">
        <f aca="false">Datos_Semanales!B139</f>
        <v>L POLVO LONCO S/LACT 10X800GR</v>
      </c>
      <c r="C139" s="18" t="str">
        <f aca="false">Datos_Semanales!C139</f>
        <v>-</v>
      </c>
      <c r="D139" s="23" t="n">
        <f aca="false">SUM(Datos_Semanales!F139:K139)</f>
        <v>36792</v>
      </c>
      <c r="E139" s="23" t="n">
        <f aca="false">AVERAGE(Datos_Semanales!F139:K139)</f>
        <v>6132</v>
      </c>
      <c r="F139" s="23" t="n">
        <f aca="false">STDEV(Datos_Semanales!F139:K139)</f>
        <v>1823.89999725862</v>
      </c>
      <c r="G139" s="27" t="n">
        <f aca="false">IF(E139&gt;0,F139/E139,"")</f>
        <v>0.297439660348764</v>
      </c>
      <c r="H139" s="24" t="n">
        <f aca="false">IF(SUM($D$5:$D$494)&gt;0,D139/SUM($D$5:$D$494),0)</f>
        <v>0.00153364833545586</v>
      </c>
      <c r="I139" s="24" t="n">
        <f aca="false">SUMIF($D$5:$D$494,"&gt;="&amp;D139)/SUM($D$5:$D$494)</f>
        <v>0.822987017879639</v>
      </c>
      <c r="J139" s="3" t="str">
        <f aca="false">IF(D139&lt;=0,"C",IF(I139&lt;=Parametros!$B$4,"A",IF(I139&lt;=Parametros!$B$5,"B","C")))</f>
        <v>B</v>
      </c>
      <c r="K139" s="3" t="str">
        <f aca="false">IF(E139&lt;=0,"Z",IF(G139&lt;=Parametros!$B$6,"X",IF(G139&lt;=Parametros!$B$7,"Y","Z")))</f>
        <v>X</v>
      </c>
      <c r="L139" s="3" t="str">
        <f aca="false">J139&amp;K139</f>
        <v>BX</v>
      </c>
      <c r="M139" s="3" t="str">
        <f aca="false">INDEX(Parametros!$B$23:$B$31,MATCH(L139,Parametros!$A$23:$A$31,0))</f>
        <v>Estadístico + revisión de tendencia.</v>
      </c>
      <c r="N139" s="3" t="str">
        <f aca="false">INDEX(Parametros!$C$23:$C$31,MATCH(L139,Parametros!$A$23:$A$31,0))</f>
        <v>Mensual</v>
      </c>
      <c r="O139" s="23" t="n">
        <f aca="false">SUM(Datos_Semanales!M139:R139)</f>
        <v>35437.3230550219</v>
      </c>
      <c r="P139" s="24" t="n">
        <f aca="false">IF(D139&gt;0,SUMPRODUCT(ABS(Datos_Semanales!F139:K139-Datos_Semanales!M139:R139))/D139,"")</f>
        <v>0.0892660617791396</v>
      </c>
      <c r="Q139" s="24" t="n">
        <f aca="false">IF(D139&gt;0,O139/D139-1,"")</f>
        <v>-0.0368198778261062</v>
      </c>
      <c r="R139" s="23" t="n">
        <f aca="false">SQRT(SUMXMY2(Datos_Semanales!F139:K139,Datos_Semanales!M139:R139)/COUNT(Datos_Semanales!F139:K139))</f>
        <v>689.510700628407</v>
      </c>
    </row>
    <row r="140" customFormat="false" ht="15" hidden="false" customHeight="false" outlineLevel="0" collapsed="false">
      <c r="A140" s="18" t="n">
        <f aca="false">Datos_Semanales!A140</f>
        <v>30001506</v>
      </c>
      <c r="B140" s="18" t="str">
        <f aca="false">Datos_Semanales!B140</f>
        <v>YOGURT YOGU YOGU FLLA TETRA 5X6X115GR</v>
      </c>
      <c r="C140" s="18" t="str">
        <f aca="false">Datos_Semanales!C140</f>
        <v>YOGURT</v>
      </c>
      <c r="D140" s="23" t="n">
        <f aca="false">SUM(Datos_Semanales!F140:K140)</f>
        <v>36673.5</v>
      </c>
      <c r="E140" s="23" t="n">
        <f aca="false">AVERAGE(Datos_Semanales!F140:K140)</f>
        <v>6112.25</v>
      </c>
      <c r="F140" s="23" t="n">
        <f aca="false">STDEV(Datos_Semanales!F140:K140)</f>
        <v>1320.65291011681</v>
      </c>
      <c r="G140" s="27" t="n">
        <f aca="false">IF(E140&gt;0,F140/E140,"")</f>
        <v>0.216066572885077</v>
      </c>
      <c r="H140" s="24" t="n">
        <f aca="false">IF(SUM($D$5:$D$494)&gt;0,D140/SUM($D$5:$D$494),0)</f>
        <v>0.00152870874729127</v>
      </c>
      <c r="I140" s="24" t="n">
        <f aca="false">SUMIF($D$5:$D$494,"&gt;="&amp;D140)/SUM($D$5:$D$494)</f>
        <v>0.82451572662693</v>
      </c>
      <c r="J140" s="3" t="str">
        <f aca="false">IF(D140&lt;=0,"C",IF(I140&lt;=Parametros!$B$4,"A",IF(I140&lt;=Parametros!$B$5,"B","C")))</f>
        <v>B</v>
      </c>
      <c r="K140" s="3" t="str">
        <f aca="false">IF(E140&lt;=0,"Z",IF(G140&lt;=Parametros!$B$6,"X",IF(G140&lt;=Parametros!$B$7,"Y","Z")))</f>
        <v>X</v>
      </c>
      <c r="L140" s="3" t="str">
        <f aca="false">J140&amp;K140</f>
        <v>BX</v>
      </c>
      <c r="M140" s="3" t="str">
        <f aca="false">INDEX(Parametros!$B$23:$B$31,MATCH(L140,Parametros!$A$23:$A$31,0))</f>
        <v>Estadístico + revisión de tendencia.</v>
      </c>
      <c r="N140" s="3" t="str">
        <f aca="false">INDEX(Parametros!$C$23:$C$31,MATCH(L140,Parametros!$A$23:$A$31,0))</f>
        <v>Mensual</v>
      </c>
      <c r="O140" s="23" t="n">
        <f aca="false">SUM(Datos_Semanales!M140:R140)</f>
        <v>32654.4735766663</v>
      </c>
      <c r="P140" s="24" t="n">
        <f aca="false">IF(D140&gt;0,SUMPRODUCT(ABS(Datos_Semanales!F140:K140-Datos_Semanales!M140:R140))/D140,"")</f>
        <v>0.162718128387112</v>
      </c>
      <c r="Q140" s="24" t="n">
        <f aca="false">IF(D140&gt;0,O140/D140-1,"")</f>
        <v>-0.109589388068596</v>
      </c>
      <c r="R140" s="23" t="n">
        <f aca="false">SQRT(SUMXMY2(Datos_Semanales!F140:K140,Datos_Semanales!M140:R140)/COUNT(Datos_Semanales!F140:K140))</f>
        <v>1248.05958881833</v>
      </c>
    </row>
    <row r="141" customFormat="false" ht="15" hidden="false" customHeight="false" outlineLevel="0" collapsed="false">
      <c r="A141" s="18" t="n">
        <f aca="false">Datos_Semanales!A141</f>
        <v>30001487</v>
      </c>
      <c r="B141" s="18" t="str">
        <f aca="false">Datos_Semanales!B141</f>
        <v>JUGO 100% FRUTA LV WATTS MZNA 30X200ML</v>
      </c>
      <c r="C141" s="18" t="str">
        <f aca="false">Datos_Semanales!C141</f>
        <v>JUGOS Y NECTARES</v>
      </c>
      <c r="D141" s="23" t="n">
        <f aca="false">SUM(Datos_Semanales!F141:K141)</f>
        <v>36666</v>
      </c>
      <c r="E141" s="23" t="n">
        <f aca="false">AVERAGE(Datos_Semanales!F141:K141)</f>
        <v>6111</v>
      </c>
      <c r="F141" s="23" t="n">
        <f aca="false">STDEV(Datos_Semanales!F141:K141)</f>
        <v>2894.0252244927</v>
      </c>
      <c r="G141" s="27" t="n">
        <f aca="false">IF(E141&gt;0,F141/E141,"")</f>
        <v>0.473576374487432</v>
      </c>
      <c r="H141" s="24" t="n">
        <f aca="false">IF(SUM($D$5:$D$494)&gt;0,D141/SUM($D$5:$D$494),0)</f>
        <v>0.00152839611512896</v>
      </c>
      <c r="I141" s="24" t="n">
        <f aca="false">SUMIF($D$5:$D$494,"&gt;="&amp;D141)/SUM($D$5:$D$494)</f>
        <v>0.826044122742059</v>
      </c>
      <c r="J141" s="3" t="str">
        <f aca="false">IF(D141&lt;=0,"C",IF(I141&lt;=Parametros!$B$4,"A",IF(I141&lt;=Parametros!$B$5,"B","C")))</f>
        <v>B</v>
      </c>
      <c r="K141" s="3" t="str">
        <f aca="false">IF(E141&lt;=0,"Z",IF(G141&lt;=Parametros!$B$6,"X",IF(G141&lt;=Parametros!$B$7,"Y","Z")))</f>
        <v>X</v>
      </c>
      <c r="L141" s="3" t="str">
        <f aca="false">J141&amp;K141</f>
        <v>BX</v>
      </c>
      <c r="M141" s="3" t="str">
        <f aca="false">INDEX(Parametros!$B$23:$B$31,MATCH(L141,Parametros!$A$23:$A$31,0))</f>
        <v>Estadístico + revisión de tendencia.</v>
      </c>
      <c r="N141" s="3" t="str">
        <f aca="false">INDEX(Parametros!$C$23:$C$31,MATCH(L141,Parametros!$A$23:$A$31,0))</f>
        <v>Mensual</v>
      </c>
      <c r="O141" s="23" t="n">
        <f aca="false">SUM(Datos_Semanales!M141:R141)</f>
        <v>33363.773722626</v>
      </c>
      <c r="P141" s="24" t="n">
        <f aca="false">IF(D141&gt;0,SUMPRODUCT(ABS(Datos_Semanales!F141:K141-Datos_Semanales!M141:R141))/D141,"")</f>
        <v>0.260240721032401</v>
      </c>
      <c r="Q141" s="24" t="n">
        <f aca="false">IF(D141&gt;0,O141/D141-1,"")</f>
        <v>-0.0900623541530028</v>
      </c>
      <c r="R141" s="23" t="n">
        <f aca="false">SQRT(SUMXMY2(Datos_Semanales!F141:K141,Datos_Semanales!M141:R141)/COUNT(Datos_Semanales!F141:K141))</f>
        <v>2216.43960029778</v>
      </c>
    </row>
    <row r="142" customFormat="false" ht="15" hidden="false" customHeight="false" outlineLevel="0" collapsed="false">
      <c r="A142" s="18" t="n">
        <f aca="false">Datos_Semanales!A142</f>
        <v>30000097</v>
      </c>
      <c r="B142" s="18" t="str">
        <f aca="false">Datos_Semanales!B142</f>
        <v>MARGARINA CALO MIX 12X350GR</v>
      </c>
      <c r="C142" s="18" t="str">
        <f aca="false">Datos_Semanales!C142</f>
        <v>MARGARINAS</v>
      </c>
      <c r="D142" s="23" t="n">
        <f aca="false">SUM(Datos_Semanales!F142:K142)</f>
        <v>36086.4</v>
      </c>
      <c r="E142" s="23" t="n">
        <f aca="false">AVERAGE(Datos_Semanales!F142:K142)</f>
        <v>6014.4</v>
      </c>
      <c r="F142" s="23" t="n">
        <f aca="false">STDEV(Datos_Semanales!F142:K142)</f>
        <v>749.508799147815</v>
      </c>
      <c r="G142" s="27" t="n">
        <f aca="false">IF(E142&gt;0,F142/E142,"")</f>
        <v>0.124619047477357</v>
      </c>
      <c r="H142" s="24" t="n">
        <f aca="false">IF(SUM($D$5:$D$494)&gt;0,D142/SUM($D$5:$D$494),0)</f>
        <v>0.0015042359016252</v>
      </c>
      <c r="I142" s="24" t="n">
        <f aca="false">SUMIF($D$5:$D$494,"&gt;="&amp;D142)/SUM($D$5:$D$494)</f>
        <v>0.827548358643684</v>
      </c>
      <c r="J142" s="3" t="str">
        <f aca="false">IF(D142&lt;=0,"C",IF(I142&lt;=Parametros!$B$4,"A",IF(I142&lt;=Parametros!$B$5,"B","C")))</f>
        <v>B</v>
      </c>
      <c r="K142" s="3" t="str">
        <f aca="false">IF(E142&lt;=0,"Z",IF(G142&lt;=Parametros!$B$6,"X",IF(G142&lt;=Parametros!$B$7,"Y","Z")))</f>
        <v>X</v>
      </c>
      <c r="L142" s="3" t="str">
        <f aca="false">J142&amp;K142</f>
        <v>BX</v>
      </c>
      <c r="M142" s="3" t="str">
        <f aca="false">INDEX(Parametros!$B$23:$B$31,MATCH(L142,Parametros!$A$23:$A$31,0))</f>
        <v>Estadístico + revisión de tendencia.</v>
      </c>
      <c r="N142" s="3" t="str">
        <f aca="false">INDEX(Parametros!$C$23:$C$31,MATCH(L142,Parametros!$A$23:$A$31,0))</f>
        <v>Mensual</v>
      </c>
      <c r="O142" s="23" t="n">
        <f aca="false">SUM(Datos_Semanales!M142:R142)</f>
        <v>40704.7458303229</v>
      </c>
      <c r="P142" s="24" t="n">
        <f aca="false">IF(D142&gt;0,SUMPRODUCT(ABS(Datos_Semanales!F142:K142-Datos_Semanales!M142:R142))/D142,"")</f>
        <v>0.142421718112956</v>
      </c>
      <c r="Q142" s="24" t="n">
        <f aca="false">IF(D142&gt;0,O142/D142-1,"")</f>
        <v>0.127980231619749</v>
      </c>
      <c r="R142" s="23" t="n">
        <f aca="false">SQRT(SUMXMY2(Datos_Semanales!F142:K142,Datos_Semanales!M142:R142)/COUNT(Datos_Semanales!F142:K142))</f>
        <v>1061.32542625582</v>
      </c>
    </row>
    <row r="143" customFormat="false" ht="15" hidden="false" customHeight="false" outlineLevel="0" collapsed="false">
      <c r="A143" s="18" t="n">
        <f aca="false">Datos_Semanales!A143</f>
        <v>30001019</v>
      </c>
      <c r="B143" s="18" t="str">
        <f aca="false">Datos_Semanales!B143</f>
        <v>YOG DAN L&amp;F ARÁNDANO 48X115GR</v>
      </c>
      <c r="C143" s="18" t="str">
        <f aca="false">Datos_Semanales!C143</f>
        <v>YOGURT</v>
      </c>
      <c r="D143" s="23" t="n">
        <f aca="false">SUM(Datos_Semanales!F143:K143)</f>
        <v>35791.68</v>
      </c>
      <c r="E143" s="23" t="n">
        <f aca="false">AVERAGE(Datos_Semanales!F143:K143)</f>
        <v>5965.28</v>
      </c>
      <c r="F143" s="23" t="n">
        <f aca="false">STDEV(Datos_Semanales!F143:K143)</f>
        <v>1343.8708023616</v>
      </c>
      <c r="G143" s="27" t="n">
        <f aca="false">IF(E143&gt;0,F143/E143,"")</f>
        <v>0.2252820994759</v>
      </c>
      <c r="H143" s="24" t="n">
        <f aca="false">IF(SUM($D$5:$D$494)&gt;0,D143/SUM($D$5:$D$494),0)</f>
        <v>0.00149195070817484</v>
      </c>
      <c r="I143" s="24" t="n">
        <f aca="false">SUMIF($D$5:$D$494,"&gt;="&amp;D143)/SUM($D$5:$D$494)</f>
        <v>0.829040309351859</v>
      </c>
      <c r="J143" s="3" t="str">
        <f aca="false">IF(D143&lt;=0,"C",IF(I143&lt;=Parametros!$B$4,"A",IF(I143&lt;=Parametros!$B$5,"B","C")))</f>
        <v>B</v>
      </c>
      <c r="K143" s="3" t="str">
        <f aca="false">IF(E143&lt;=0,"Z",IF(G143&lt;=Parametros!$B$6,"X",IF(G143&lt;=Parametros!$B$7,"Y","Z")))</f>
        <v>X</v>
      </c>
      <c r="L143" s="3" t="str">
        <f aca="false">J143&amp;K143</f>
        <v>BX</v>
      </c>
      <c r="M143" s="3" t="str">
        <f aca="false">INDEX(Parametros!$B$23:$B$31,MATCH(L143,Parametros!$A$23:$A$31,0))</f>
        <v>Estadístico + revisión de tendencia.</v>
      </c>
      <c r="N143" s="3" t="str">
        <f aca="false">INDEX(Parametros!$C$23:$C$31,MATCH(L143,Parametros!$A$23:$A$31,0))</f>
        <v>Mensual</v>
      </c>
      <c r="O143" s="23" t="n">
        <f aca="false">SUM(Datos_Semanales!M143:R143)</f>
        <v>24235.7065534985</v>
      </c>
      <c r="P143" s="24" t="n">
        <f aca="false">IF(D143&gt;0,SUMPRODUCT(ABS(Datos_Semanales!F143:K143-Datos_Semanales!M143:R143))/D143,"")</f>
        <v>0.322867589520846</v>
      </c>
      <c r="Q143" s="24" t="n">
        <f aca="false">IF(D143&gt;0,O143/D143-1,"")</f>
        <v>-0.322867589520846</v>
      </c>
      <c r="R143" s="23" t="n">
        <f aca="false">SQRT(SUMXMY2(Datos_Semanales!F143:K143,Datos_Semanales!M143:R143)/COUNT(Datos_Semanales!F143:K143))</f>
        <v>2100.32906928557</v>
      </c>
    </row>
    <row r="144" customFormat="false" ht="15" hidden="false" customHeight="false" outlineLevel="0" collapsed="false">
      <c r="A144" s="18" t="n">
        <f aca="false">Datos_Semanales!A144</f>
        <v>30000630</v>
      </c>
      <c r="B144" s="18" t="str">
        <f aca="false">Datos_Semanales!B144</f>
        <v>CHOCLO DULCE 16X340GR</v>
      </c>
      <c r="C144" s="18" t="str">
        <f aca="false">Datos_Semanales!C144</f>
        <v>-</v>
      </c>
      <c r="D144" s="23" t="n">
        <f aca="false">SUM(Datos_Semanales!F144:K144)</f>
        <v>35550.4</v>
      </c>
      <c r="E144" s="23" t="n">
        <f aca="false">AVERAGE(Datos_Semanales!F144:K144)</f>
        <v>5925.06666666667</v>
      </c>
      <c r="F144" s="23" t="n">
        <f aca="false">STDEV(Datos_Semanales!F144:K144)</f>
        <v>1681.16743488169</v>
      </c>
      <c r="G144" s="27" t="n">
        <f aca="false">IF(E144&gt;0,F144/E144,"")</f>
        <v>0.283738146667551</v>
      </c>
      <c r="H144" s="24" t="n">
        <f aca="false">IF(SUM($D$5:$D$494)&gt;0,D144/SUM($D$5:$D$494),0)</f>
        <v>0.00148189312309171</v>
      </c>
      <c r="I144" s="24" t="n">
        <f aca="false">SUMIF($D$5:$D$494,"&gt;="&amp;D144)/SUM($D$5:$D$494)</f>
        <v>0.830522202474951</v>
      </c>
      <c r="J144" s="3" t="str">
        <f aca="false">IF(D144&lt;=0,"C",IF(I144&lt;=Parametros!$B$4,"A",IF(I144&lt;=Parametros!$B$5,"B","C")))</f>
        <v>B</v>
      </c>
      <c r="K144" s="3" t="str">
        <f aca="false">IF(E144&lt;=0,"Z",IF(G144&lt;=Parametros!$B$6,"X",IF(G144&lt;=Parametros!$B$7,"Y","Z")))</f>
        <v>X</v>
      </c>
      <c r="L144" s="3" t="str">
        <f aca="false">J144&amp;K144</f>
        <v>BX</v>
      </c>
      <c r="M144" s="3" t="str">
        <f aca="false">INDEX(Parametros!$B$23:$B$31,MATCH(L144,Parametros!$A$23:$A$31,0))</f>
        <v>Estadístico + revisión de tendencia.</v>
      </c>
      <c r="N144" s="3" t="str">
        <f aca="false">INDEX(Parametros!$C$23:$C$31,MATCH(L144,Parametros!$A$23:$A$31,0))</f>
        <v>Mensual</v>
      </c>
      <c r="O144" s="23" t="n">
        <f aca="false">SUM(Datos_Semanales!M144:R144)</f>
        <v>37923.2</v>
      </c>
      <c r="P144" s="24" t="n">
        <f aca="false">IF(D144&gt;0,SUMPRODUCT(ABS(Datos_Semanales!F144:K144-Datos_Semanales!M144:R144))/D144,"")</f>
        <v>0.20953913317431</v>
      </c>
      <c r="Q144" s="24" t="n">
        <f aca="false">IF(D144&gt;0,O144/D144-1,"")</f>
        <v>0.0667446779783067</v>
      </c>
      <c r="R144" s="23" t="n">
        <f aca="false">SQRT(SUMXMY2(Datos_Semanales!F144:K144,Datos_Semanales!M144:R144)/COUNT(Datos_Semanales!F144:K144))</f>
        <v>1643.14428516386</v>
      </c>
    </row>
    <row r="145" customFormat="false" ht="15" hidden="false" customHeight="false" outlineLevel="0" collapsed="false">
      <c r="A145" s="18" t="n">
        <f aca="false">Datos_Semanales!A145</f>
        <v>30002200</v>
      </c>
      <c r="B145" s="18" t="str">
        <f aca="false">Datos_Semanales!B145</f>
        <v>YOG LONCO PROTEIN NAT S/E BALDE 6X800GR</v>
      </c>
      <c r="C145" s="18" t="str">
        <f aca="false">Datos_Semanales!C145</f>
        <v>-</v>
      </c>
      <c r="D145" s="23" t="n">
        <f aca="false">SUM(Datos_Semanales!F145:K145)</f>
        <v>35160</v>
      </c>
      <c r="E145" s="23" t="n">
        <f aca="false">AVERAGE(Datos_Semanales!F145:K145)</f>
        <v>5860</v>
      </c>
      <c r="F145" s="23" t="n">
        <f aca="false">STDEV(Datos_Semanales!F145:K145)</f>
        <v>841.112406281111</v>
      </c>
      <c r="G145" s="27" t="n">
        <f aca="false">IF(E145&gt;0,F145/E145,"")</f>
        <v>0.143534540321009</v>
      </c>
      <c r="H145" s="24" t="n">
        <f aca="false">IF(SUM($D$5:$D$494)&gt;0,D145/SUM($D$5:$D$494),0)</f>
        <v>0.00146561957693597</v>
      </c>
      <c r="I145" s="24" t="n">
        <f aca="false">SUMIF($D$5:$D$494,"&gt;="&amp;D145)/SUM($D$5:$D$494)</f>
        <v>0.831987822051887</v>
      </c>
      <c r="J145" s="3" t="str">
        <f aca="false">IF(D145&lt;=0,"C",IF(I145&lt;=Parametros!$B$4,"A",IF(I145&lt;=Parametros!$B$5,"B","C")))</f>
        <v>B</v>
      </c>
      <c r="K145" s="3" t="str">
        <f aca="false">IF(E145&lt;=0,"Z",IF(G145&lt;=Parametros!$B$6,"X",IF(G145&lt;=Parametros!$B$7,"Y","Z")))</f>
        <v>X</v>
      </c>
      <c r="L145" s="3" t="str">
        <f aca="false">J145&amp;K145</f>
        <v>BX</v>
      </c>
      <c r="M145" s="3" t="str">
        <f aca="false">INDEX(Parametros!$B$23:$B$31,MATCH(L145,Parametros!$A$23:$A$31,0))</f>
        <v>Estadístico + revisión de tendencia.</v>
      </c>
      <c r="N145" s="3" t="str">
        <f aca="false">INDEX(Parametros!$C$23:$C$31,MATCH(L145,Parametros!$A$23:$A$31,0))</f>
        <v>Mensual</v>
      </c>
      <c r="O145" s="23" t="n">
        <f aca="false">SUM(Datos_Semanales!M145:R145)</f>
        <v>37314.4618451435</v>
      </c>
      <c r="P145" s="24" t="n">
        <f aca="false">IF(D145&gt;0,SUMPRODUCT(ABS(Datos_Semanales!F145:K145-Datos_Semanales!M145:R145))/D145,"")</f>
        <v>0.352681606184512</v>
      </c>
      <c r="Q145" s="24" t="n">
        <f aca="false">IF(D145&gt;0,O145/D145-1,"")</f>
        <v>0.0612759341622144</v>
      </c>
      <c r="R145" s="23" t="n">
        <f aca="false">SQRT(SUMXMY2(Datos_Semanales!F145:K145,Datos_Semanales!M145:R145)/COUNT(Datos_Semanales!F145:K145))</f>
        <v>2454.14212242912</v>
      </c>
    </row>
    <row r="146" customFormat="false" ht="15" hidden="false" customHeight="false" outlineLevel="0" collapsed="false">
      <c r="A146" s="18" t="n">
        <f aca="false">Datos_Semanales!A146</f>
        <v>30001689</v>
      </c>
      <c r="B146" s="18" t="str">
        <f aca="false">Datos_Semanales!B146</f>
        <v>QUESO LPV CHANCO 12X434 GR</v>
      </c>
      <c r="C146" s="18" t="str">
        <f aca="false">Datos_Semanales!C146</f>
        <v>QUESOS</v>
      </c>
      <c r="D146" s="23" t="n">
        <f aca="false">SUM(Datos_Semanales!F146:K146)</f>
        <v>35084.4</v>
      </c>
      <c r="E146" s="23" t="n">
        <f aca="false">AVERAGE(Datos_Semanales!F146:K146)</f>
        <v>5847.4</v>
      </c>
      <c r="F146" s="23" t="n">
        <f aca="false">STDEV(Datos_Semanales!F146:K146)</f>
        <v>1947.29759410317</v>
      </c>
      <c r="G146" s="27" t="n">
        <f aca="false">IF(E146&gt;0,F146/E146,"")</f>
        <v>0.333019392226147</v>
      </c>
      <c r="H146" s="24" t="n">
        <f aca="false">IF(SUM($D$5:$D$494)&gt;0,D146/SUM($D$5:$D$494),0)</f>
        <v>0.00146246824473982</v>
      </c>
      <c r="I146" s="24" t="n">
        <f aca="false">SUMIF($D$5:$D$494,"&gt;="&amp;D146)/SUM($D$5:$D$494)</f>
        <v>0.833450290296626</v>
      </c>
      <c r="J146" s="3" t="str">
        <f aca="false">IF(D146&lt;=0,"C",IF(I146&lt;=Parametros!$B$4,"A",IF(I146&lt;=Parametros!$B$5,"B","C")))</f>
        <v>B</v>
      </c>
      <c r="K146" s="3" t="str">
        <f aca="false">IF(E146&lt;=0,"Z",IF(G146&lt;=Parametros!$B$6,"X",IF(G146&lt;=Parametros!$B$7,"Y","Z")))</f>
        <v>X</v>
      </c>
      <c r="L146" s="3" t="str">
        <f aca="false">J146&amp;K146</f>
        <v>BX</v>
      </c>
      <c r="M146" s="3" t="str">
        <f aca="false">INDEX(Parametros!$B$23:$B$31,MATCH(L146,Parametros!$A$23:$A$31,0))</f>
        <v>Estadístico + revisión de tendencia.</v>
      </c>
      <c r="N146" s="3" t="str">
        <f aca="false">INDEX(Parametros!$C$23:$C$31,MATCH(L146,Parametros!$A$23:$A$31,0))</f>
        <v>Mensual</v>
      </c>
      <c r="O146" s="23" t="n">
        <f aca="false">SUM(Datos_Semanales!M146:R146)</f>
        <v>41275.8363966923</v>
      </c>
      <c r="P146" s="24" t="n">
        <f aca="false">IF(D146&gt;0,SUMPRODUCT(ABS(Datos_Semanales!F146:K146-Datos_Semanales!M146:R146))/D146,"")</f>
        <v>0.373576594626914</v>
      </c>
      <c r="Q146" s="24" t="n">
        <f aca="false">IF(D146&gt;0,O146/D146-1,"")</f>
        <v>0.17647263161668</v>
      </c>
      <c r="R146" s="23" t="n">
        <f aca="false">SQRT(SUMXMY2(Datos_Semanales!F146:K146,Datos_Semanales!M146:R146)/COUNT(Datos_Semanales!F146:K146))</f>
        <v>2693.49517314179</v>
      </c>
    </row>
    <row r="147" customFormat="false" ht="15" hidden="false" customHeight="false" outlineLevel="0" collapsed="false">
      <c r="A147" s="18" t="n">
        <f aca="false">Datos_Semanales!A147</f>
        <v>30000178</v>
      </c>
      <c r="B147" s="18" t="str">
        <f aca="false">Datos_Semanales!B147</f>
        <v>MERM W S/A SACHET MORA 24X200GR</v>
      </c>
      <c r="C147" s="18" t="str">
        <f aca="false">Datos_Semanales!C147</f>
        <v>MERMELADAS</v>
      </c>
      <c r="D147" s="23" t="n">
        <f aca="false">SUM(Datos_Semanales!F147:K147)</f>
        <v>34459.2</v>
      </c>
      <c r="E147" s="23" t="n">
        <f aca="false">AVERAGE(Datos_Semanales!F147:K147)</f>
        <v>5743.2</v>
      </c>
      <c r="F147" s="23" t="n">
        <f aca="false">STDEV(Datos_Semanales!F147:K147)</f>
        <v>1747.19934065922</v>
      </c>
      <c r="G147" s="27" t="n">
        <f aca="false">IF(E147&gt;0,F147/E147,"")</f>
        <v>0.304220528739939</v>
      </c>
      <c r="H147" s="24" t="n">
        <f aca="false">IF(SUM($D$5:$D$494)&gt;0,D147/SUM($D$5:$D$494),0)</f>
        <v>0.00143640722768919</v>
      </c>
      <c r="I147" s="24" t="n">
        <f aca="false">SUMIF($D$5:$D$494,"&gt;="&amp;D147)/SUM($D$5:$D$494)</f>
        <v>0.834886697524316</v>
      </c>
      <c r="J147" s="3" t="str">
        <f aca="false">IF(D147&lt;=0,"C",IF(I147&lt;=Parametros!$B$4,"A",IF(I147&lt;=Parametros!$B$5,"B","C")))</f>
        <v>B</v>
      </c>
      <c r="K147" s="3" t="str">
        <f aca="false">IF(E147&lt;=0,"Z",IF(G147&lt;=Parametros!$B$6,"X",IF(G147&lt;=Parametros!$B$7,"Y","Z")))</f>
        <v>X</v>
      </c>
      <c r="L147" s="3" t="str">
        <f aca="false">J147&amp;K147</f>
        <v>BX</v>
      </c>
      <c r="M147" s="3" t="str">
        <f aca="false">INDEX(Parametros!$B$23:$B$31,MATCH(L147,Parametros!$A$23:$A$31,0))</f>
        <v>Estadístico + revisión de tendencia.</v>
      </c>
      <c r="N147" s="3" t="str">
        <f aca="false">INDEX(Parametros!$C$23:$C$31,MATCH(L147,Parametros!$A$23:$A$31,0))</f>
        <v>Mensual</v>
      </c>
      <c r="O147" s="23" t="n">
        <f aca="false">SUM(Datos_Semanales!M147:R147)</f>
        <v>39422.9830981239</v>
      </c>
      <c r="P147" s="24" t="n">
        <f aca="false">IF(D147&gt;0,SUMPRODUCT(ABS(Datos_Semanales!F147:K147-Datos_Semanales!M147:R147))/D147,"")</f>
        <v>0.279744831514483</v>
      </c>
      <c r="Q147" s="24" t="n">
        <f aca="false">IF(D147&gt;0,O147/D147-1,"")</f>
        <v>0.144048123523583</v>
      </c>
      <c r="R147" s="23" t="n">
        <f aca="false">SQRT(SUMXMY2(Datos_Semanales!F147:K147,Datos_Semanales!M147:R147)/COUNT(Datos_Semanales!F147:K147))</f>
        <v>1759.80174982756</v>
      </c>
    </row>
    <row r="148" customFormat="false" ht="15" hidden="false" customHeight="false" outlineLevel="0" collapsed="false">
      <c r="A148" s="18" t="n">
        <f aca="false">Datos_Semanales!A148</f>
        <v>30001017</v>
      </c>
      <c r="B148" s="18" t="str">
        <f aca="false">Datos_Semanales!B148</f>
        <v>YOG DAN L&amp;F FRUT 48X115GR</v>
      </c>
      <c r="C148" s="18" t="str">
        <f aca="false">Datos_Semanales!C148</f>
        <v>YOGURT</v>
      </c>
      <c r="D148" s="23" t="n">
        <f aca="false">SUM(Datos_Semanales!F148:K148)</f>
        <v>34124.64</v>
      </c>
      <c r="E148" s="23" t="n">
        <f aca="false">AVERAGE(Datos_Semanales!F148:K148)</f>
        <v>5687.44</v>
      </c>
      <c r="F148" s="23" t="n">
        <f aca="false">STDEV(Datos_Semanales!F148:K148)</f>
        <v>1379.1150442512</v>
      </c>
      <c r="G148" s="27" t="n">
        <f aca="false">IF(E148&gt;0,F148/E148,"")</f>
        <v>0.242484324098576</v>
      </c>
      <c r="H148" s="24" t="n">
        <f aca="false">IF(SUM($D$5:$D$494)&gt;0,D148/SUM($D$5:$D$494),0)</f>
        <v>0.00142246133219261</v>
      </c>
      <c r="I148" s="24" t="n">
        <f aca="false">SUMIF($D$5:$D$494,"&gt;="&amp;D148)/SUM($D$5:$D$494)</f>
        <v>0.836309158856508</v>
      </c>
      <c r="J148" s="3" t="str">
        <f aca="false">IF(D148&lt;=0,"C",IF(I148&lt;=Parametros!$B$4,"A",IF(I148&lt;=Parametros!$B$5,"B","C")))</f>
        <v>B</v>
      </c>
      <c r="K148" s="3" t="str">
        <f aca="false">IF(E148&lt;=0,"Z",IF(G148&lt;=Parametros!$B$6,"X",IF(G148&lt;=Parametros!$B$7,"Y","Z")))</f>
        <v>X</v>
      </c>
      <c r="L148" s="3" t="str">
        <f aca="false">J148&amp;K148</f>
        <v>BX</v>
      </c>
      <c r="M148" s="3" t="str">
        <f aca="false">INDEX(Parametros!$B$23:$B$31,MATCH(L148,Parametros!$A$23:$A$31,0))</f>
        <v>Estadístico + revisión de tendencia.</v>
      </c>
      <c r="N148" s="3" t="str">
        <f aca="false">INDEX(Parametros!$C$23:$C$31,MATCH(L148,Parametros!$A$23:$A$31,0))</f>
        <v>Mensual</v>
      </c>
      <c r="O148" s="23" t="n">
        <f aca="false">SUM(Datos_Semanales!M148:R148)</f>
        <v>34341.0347580133</v>
      </c>
      <c r="P148" s="24" t="n">
        <f aca="false">IF(D148&gt;0,SUMPRODUCT(ABS(Datos_Semanales!F148:K148-Datos_Semanales!M148:R148))/D148,"")</f>
        <v>0.13580030370023</v>
      </c>
      <c r="Q148" s="24" t="n">
        <f aca="false">IF(D148&gt;0,O148/D148-1,"")</f>
        <v>0.00634130522734622</v>
      </c>
      <c r="R148" s="23" t="n">
        <f aca="false">SQRT(SUMXMY2(Datos_Semanales!F148:K148,Datos_Semanales!M148:R148)/COUNT(Datos_Semanales!F148:K148))</f>
        <v>866.850044337868</v>
      </c>
    </row>
    <row r="149" customFormat="false" ht="15" hidden="false" customHeight="false" outlineLevel="0" collapsed="false">
      <c r="A149" s="18" t="n">
        <f aca="false">Datos_Semanales!A149</f>
        <v>30001045</v>
      </c>
      <c r="B149" s="18" t="str">
        <f aca="false">Datos_Semanales!B149</f>
        <v>LS8 CAL PROB FRUT UNV P6 48X90GR</v>
      </c>
      <c r="C149" s="18" t="str">
        <f aca="false">Datos_Semanales!C149</f>
        <v>YOGURT</v>
      </c>
      <c r="D149" s="23" t="n">
        <f aca="false">SUM(Datos_Semanales!F149:K149)</f>
        <v>34067.52</v>
      </c>
      <c r="E149" s="23" t="n">
        <f aca="false">AVERAGE(Datos_Semanales!F149:K149)</f>
        <v>5677.92</v>
      </c>
      <c r="F149" s="23" t="n">
        <f aca="false">STDEV(Datos_Semanales!F149:K149)</f>
        <v>1959.28772821145</v>
      </c>
      <c r="G149" s="27" t="n">
        <f aca="false">IF(E149&gt;0,F149/E149,"")</f>
        <v>0.345071386742232</v>
      </c>
      <c r="H149" s="24" t="n">
        <f aca="false">IF(SUM($D$5:$D$494)&gt;0,D149/SUM($D$5:$D$494),0)</f>
        <v>0.00142008032564441</v>
      </c>
      <c r="I149" s="24" t="n">
        <f aca="false">SUMIF($D$5:$D$494,"&gt;="&amp;D149)/SUM($D$5:$D$494)</f>
        <v>0.837729239182153</v>
      </c>
      <c r="J149" s="3" t="str">
        <f aca="false">IF(D149&lt;=0,"C",IF(I149&lt;=Parametros!$B$4,"A",IF(I149&lt;=Parametros!$B$5,"B","C")))</f>
        <v>B</v>
      </c>
      <c r="K149" s="3" t="str">
        <f aca="false">IF(E149&lt;=0,"Z",IF(G149&lt;=Parametros!$B$6,"X",IF(G149&lt;=Parametros!$B$7,"Y","Z")))</f>
        <v>X</v>
      </c>
      <c r="L149" s="3" t="str">
        <f aca="false">J149&amp;K149</f>
        <v>BX</v>
      </c>
      <c r="M149" s="3" t="str">
        <f aca="false">INDEX(Parametros!$B$23:$B$31,MATCH(L149,Parametros!$A$23:$A$31,0))</f>
        <v>Estadístico + revisión de tendencia.</v>
      </c>
      <c r="N149" s="3" t="str">
        <f aca="false">INDEX(Parametros!$C$23:$C$31,MATCH(L149,Parametros!$A$23:$A$31,0))</f>
        <v>Mensual</v>
      </c>
      <c r="O149" s="23" t="n">
        <f aca="false">SUM(Datos_Semanales!M149:R149)</f>
        <v>34183.0789841671</v>
      </c>
      <c r="P149" s="24" t="n">
        <f aca="false">IF(D149&gt;0,SUMPRODUCT(ABS(Datos_Semanales!F149:K149-Datos_Semanales!M149:R149))/D149,"")</f>
        <v>0.280697716678313</v>
      </c>
      <c r="Q149" s="24" t="n">
        <f aca="false">IF(D149&gt;0,O149/D149-1,"")</f>
        <v>0.00339205742499349</v>
      </c>
      <c r="R149" s="23" t="n">
        <f aca="false">SQRT(SUMXMY2(Datos_Semanales!F149:K149,Datos_Semanales!M149:R149)/COUNT(Datos_Semanales!F149:K149))</f>
        <v>1879.61001690473</v>
      </c>
    </row>
    <row r="150" customFormat="false" ht="15" hidden="false" customHeight="false" outlineLevel="0" collapsed="false">
      <c r="A150" s="18" t="n">
        <f aca="false">Datos_Semanales!A150</f>
        <v>30002198</v>
      </c>
      <c r="B150" s="18" t="str">
        <f aca="false">Datos_Semanales!B150</f>
        <v>YOG BALDE LONCO PROTEIN NAT 6X800GR</v>
      </c>
      <c r="C150" s="18" t="str">
        <f aca="false">Datos_Semanales!C150</f>
        <v>YOGURT</v>
      </c>
      <c r="D150" s="23" t="n">
        <f aca="false">SUM(Datos_Semanales!F150:K150)</f>
        <v>32832</v>
      </c>
      <c r="E150" s="23" t="n">
        <f aca="false">AVERAGE(Datos_Semanales!F150:K150)</f>
        <v>5472</v>
      </c>
      <c r="F150" s="23" t="n">
        <f aca="false">STDEV(Datos_Semanales!F150:K150)</f>
        <v>824.47178726746</v>
      </c>
      <c r="G150" s="27" t="n">
        <f aca="false">IF(E150&gt;0,F150/E150,"")</f>
        <v>0.150671013755018</v>
      </c>
      <c r="H150" s="24" t="n">
        <f aca="false">IF(SUM($D$5:$D$494)&gt;0,D150/SUM($D$5:$D$494),0)</f>
        <v>0.00136857855375318</v>
      </c>
      <c r="I150" s="24" t="n">
        <f aca="false">SUMIF($D$5:$D$494,"&gt;="&amp;D150)/SUM($D$5:$D$494)</f>
        <v>0.839097817735906</v>
      </c>
      <c r="J150" s="3" t="str">
        <f aca="false">IF(D150&lt;=0,"C",IF(I150&lt;=Parametros!$B$4,"A",IF(I150&lt;=Parametros!$B$5,"B","C")))</f>
        <v>B</v>
      </c>
      <c r="K150" s="3" t="str">
        <f aca="false">IF(E150&lt;=0,"Z",IF(G150&lt;=Parametros!$B$6,"X",IF(G150&lt;=Parametros!$B$7,"Y","Z")))</f>
        <v>X</v>
      </c>
      <c r="L150" s="3" t="str">
        <f aca="false">J150&amp;K150</f>
        <v>BX</v>
      </c>
      <c r="M150" s="3" t="str">
        <f aca="false">INDEX(Parametros!$B$23:$B$31,MATCH(L150,Parametros!$A$23:$A$31,0))</f>
        <v>Estadístico + revisión de tendencia.</v>
      </c>
      <c r="N150" s="3" t="str">
        <f aca="false">INDEX(Parametros!$C$23:$C$31,MATCH(L150,Parametros!$A$23:$A$31,0))</f>
        <v>Mensual</v>
      </c>
      <c r="O150" s="23" t="n">
        <f aca="false">SUM(Datos_Semanales!M150:R150)</f>
        <v>38339.5257675303</v>
      </c>
      <c r="P150" s="24" t="n">
        <f aca="false">IF(D150&gt;0,SUMPRODUCT(ABS(Datos_Semanales!F150:K150-Datos_Semanales!M150:R150))/D150,"")</f>
        <v>0.25710135836353</v>
      </c>
      <c r="Q150" s="24" t="n">
        <f aca="false">IF(D150&gt;0,O150/D150-1,"")</f>
        <v>0.167748713679651</v>
      </c>
      <c r="R150" s="23" t="n">
        <f aca="false">SQRT(SUMXMY2(Datos_Semanales!F150:K150,Datos_Semanales!M150:R150)/COUNT(Datos_Semanales!F150:K150))</f>
        <v>1579.50333021277</v>
      </c>
    </row>
    <row r="151" customFormat="false" ht="15" hidden="false" customHeight="false" outlineLevel="0" collapsed="false">
      <c r="A151" s="18" t="n">
        <f aca="false">Datos_Semanales!A151</f>
        <v>30001758</v>
      </c>
      <c r="B151" s="18" t="str">
        <f aca="false">Datos_Semanales!B151</f>
        <v>MERMELADA DURAZNO 12X225GR</v>
      </c>
      <c r="C151" s="18" t="str">
        <f aca="false">Datos_Semanales!C151</f>
        <v>MERMELADAS</v>
      </c>
      <c r="D151" s="23" t="n">
        <f aca="false">SUM(Datos_Semanales!F151:K151)</f>
        <v>32418.9</v>
      </c>
      <c r="E151" s="23" t="n">
        <f aca="false">AVERAGE(Datos_Semanales!F151:K151)</f>
        <v>5403.15</v>
      </c>
      <c r="F151" s="23" t="n">
        <f aca="false">STDEV(Datos_Semanales!F151:K151)</f>
        <v>966.902257211142</v>
      </c>
      <c r="G151" s="27" t="n">
        <f aca="false">IF(E151&gt;0,F151/E151,"")</f>
        <v>0.178951585132958</v>
      </c>
      <c r="H151" s="24" t="n">
        <f aca="false">IF(SUM($D$5:$D$494)&gt;0,D151/SUM($D$5:$D$494),0)</f>
        <v>0.00135135877425283</v>
      </c>
      <c r="I151" s="24" t="n">
        <f aca="false">SUMIF($D$5:$D$494,"&gt;="&amp;D151)/SUM($D$5:$D$494)</f>
        <v>0.840449176510159</v>
      </c>
      <c r="J151" s="3" t="str">
        <f aca="false">IF(D151&lt;=0,"C",IF(I151&lt;=Parametros!$B$4,"A",IF(I151&lt;=Parametros!$B$5,"B","C")))</f>
        <v>B</v>
      </c>
      <c r="K151" s="3" t="str">
        <f aca="false">IF(E151&lt;=0,"Z",IF(G151&lt;=Parametros!$B$6,"X",IF(G151&lt;=Parametros!$B$7,"Y","Z")))</f>
        <v>X</v>
      </c>
      <c r="L151" s="3" t="str">
        <f aca="false">J151&amp;K151</f>
        <v>BX</v>
      </c>
      <c r="M151" s="3" t="str">
        <f aca="false">INDEX(Parametros!$B$23:$B$31,MATCH(L151,Parametros!$A$23:$A$31,0))</f>
        <v>Estadístico + revisión de tendencia.</v>
      </c>
      <c r="N151" s="3" t="str">
        <f aca="false">INDEX(Parametros!$C$23:$C$31,MATCH(L151,Parametros!$A$23:$A$31,0))</f>
        <v>Mensual</v>
      </c>
      <c r="O151" s="23" t="n">
        <f aca="false">SUM(Datos_Semanales!M151:R151)</f>
        <v>25300</v>
      </c>
      <c r="P151" s="24" t="n">
        <f aca="false">IF(D151&gt;0,SUMPRODUCT(ABS(Datos_Semanales!F151:K151-Datos_Semanales!M151:R151))/D151,"")</f>
        <v>0.23585932897168</v>
      </c>
      <c r="Q151" s="24" t="n">
        <f aca="false">IF(D151&gt;0,O151/D151-1,"")</f>
        <v>-0.219591041028536</v>
      </c>
      <c r="R151" s="23" t="n">
        <f aca="false">SQRT(SUMXMY2(Datos_Semanales!F151:K151,Datos_Semanales!M151:R151)/COUNT(Datos_Semanales!F151:K151))</f>
        <v>1468.17002932222</v>
      </c>
    </row>
    <row r="152" customFormat="false" ht="15" hidden="false" customHeight="false" outlineLevel="0" collapsed="false">
      <c r="A152" s="18" t="n">
        <f aca="false">Datos_Semanales!A152</f>
        <v>30002077</v>
      </c>
      <c r="B152" s="18" t="str">
        <f aca="false">Datos_Semanales!B152</f>
        <v>LECHE VAINILLA LONCO  12X1 LT</v>
      </c>
      <c r="C152" s="18" t="str">
        <f aca="false">Datos_Semanales!C152</f>
        <v>-</v>
      </c>
      <c r="D152" s="23" t="n">
        <f aca="false">SUM(Datos_Semanales!F152:K152)</f>
        <v>32304</v>
      </c>
      <c r="E152" s="23" t="n">
        <f aca="false">AVERAGE(Datos_Semanales!F152:K152)</f>
        <v>5384</v>
      </c>
      <c r="F152" s="23" t="n">
        <f aca="false">STDEV(Datos_Semanales!F152:K152)</f>
        <v>3315.04787295749</v>
      </c>
      <c r="G152" s="27" t="n">
        <f aca="false">IF(E152&gt;0,F152/E152,"")</f>
        <v>0.6157221160768</v>
      </c>
      <c r="H152" s="24" t="n">
        <f aca="false">IF(SUM($D$5:$D$494)&gt;0,D152/SUM($D$5:$D$494),0)</f>
        <v>0.00134656924952615</v>
      </c>
      <c r="I152" s="24" t="n">
        <f aca="false">SUMIF($D$5:$D$494,"&gt;="&amp;D152)/SUM($D$5:$D$494)</f>
        <v>0.843142315009211</v>
      </c>
      <c r="J152" s="3" t="str">
        <f aca="false">IF(D152&lt;=0,"C",IF(I152&lt;=Parametros!$B$4,"A",IF(I152&lt;=Parametros!$B$5,"B","C")))</f>
        <v>B</v>
      </c>
      <c r="K152" s="3" t="str">
        <f aca="false">IF(E152&lt;=0,"Z",IF(G152&lt;=Parametros!$B$6,"X",IF(G152&lt;=Parametros!$B$7,"Y","Z")))</f>
        <v>Y</v>
      </c>
      <c r="L152" s="3" t="str">
        <f aca="false">J152&amp;K152</f>
        <v>BY</v>
      </c>
      <c r="M152" s="3" t="str">
        <f aca="false">INDEX(Parametros!$B$23:$B$31,MATCH(L152,Parametros!$A$23:$A$31,0))</f>
        <v>Validar promociones y eventos con comercial.</v>
      </c>
      <c r="N152" s="3" t="str">
        <f aca="false">INDEX(Parametros!$C$23:$C$31,MATCH(L152,Parametros!$A$23:$A$31,0))</f>
        <v>Quincenal</v>
      </c>
      <c r="O152" s="23" t="n">
        <f aca="false">SUM(Datos_Semanales!M152:R152)</f>
        <v>20852.8895677265</v>
      </c>
      <c r="P152" s="24" t="n">
        <f aca="false">IF(D152&gt;0,SUMPRODUCT(ABS(Datos_Semanales!F152:K152-Datos_Semanales!M152:R152))/D152,"")</f>
        <v>0.674051344168836</v>
      </c>
      <c r="Q152" s="24" t="n">
        <f aca="false">IF(D152&gt;0,O152/D152-1,"")</f>
        <v>-0.354479644386871</v>
      </c>
      <c r="R152" s="23" t="n">
        <f aca="false">SQRT(SUMXMY2(Datos_Semanales!F152:K152,Datos_Semanales!M152:R152)/COUNT(Datos_Semanales!F152:K152))</f>
        <v>4189.65607029954</v>
      </c>
    </row>
    <row r="153" customFormat="false" ht="15" hidden="false" customHeight="false" outlineLevel="0" collapsed="false">
      <c r="A153" s="18" t="n">
        <f aca="false">Datos_Semanales!A153</f>
        <v>30001574</v>
      </c>
      <c r="B153" s="18" t="str">
        <f aca="false">Datos_Semanales!B153</f>
        <v>YOGU YOGU ORIGINAL MORA LV 12x1LT</v>
      </c>
      <c r="C153" s="18" t="str">
        <f aca="false">Datos_Semanales!C153</f>
        <v>LECHES LIQUIDAS</v>
      </c>
      <c r="D153" s="23" t="n">
        <f aca="false">SUM(Datos_Semanales!F153:K153)</f>
        <v>32304</v>
      </c>
      <c r="E153" s="23" t="n">
        <f aca="false">AVERAGE(Datos_Semanales!F153:K153)</f>
        <v>5384</v>
      </c>
      <c r="F153" s="23" t="n">
        <f aca="false">STDEV(Datos_Semanales!F153:K153)</f>
        <v>1814.52803781038</v>
      </c>
      <c r="G153" s="27" t="n">
        <f aca="false">IF(E153&gt;0,F153/E153,"")</f>
        <v>0.337022295284247</v>
      </c>
      <c r="H153" s="24" t="n">
        <f aca="false">IF(SUM($D$5:$D$494)&gt;0,D153/SUM($D$5:$D$494),0)</f>
        <v>0.00134656924952615</v>
      </c>
      <c r="I153" s="24" t="n">
        <f aca="false">SUMIF($D$5:$D$494,"&gt;="&amp;D153)/SUM($D$5:$D$494)</f>
        <v>0.843142315009211</v>
      </c>
      <c r="J153" s="3" t="str">
        <f aca="false">IF(D153&lt;=0,"C",IF(I153&lt;=Parametros!$B$4,"A",IF(I153&lt;=Parametros!$B$5,"B","C")))</f>
        <v>B</v>
      </c>
      <c r="K153" s="3" t="str">
        <f aca="false">IF(E153&lt;=0,"Z",IF(G153&lt;=Parametros!$B$6,"X",IF(G153&lt;=Parametros!$B$7,"Y","Z")))</f>
        <v>X</v>
      </c>
      <c r="L153" s="3" t="str">
        <f aca="false">J153&amp;K153</f>
        <v>BX</v>
      </c>
      <c r="M153" s="3" t="str">
        <f aca="false">INDEX(Parametros!$B$23:$B$31,MATCH(L153,Parametros!$A$23:$A$31,0))</f>
        <v>Estadístico + revisión de tendencia.</v>
      </c>
      <c r="N153" s="3" t="str">
        <f aca="false">INDEX(Parametros!$C$23:$C$31,MATCH(L153,Parametros!$A$23:$A$31,0))</f>
        <v>Mensual</v>
      </c>
      <c r="O153" s="23" t="n">
        <f aca="false">SUM(Datos_Semanales!M153:R153)</f>
        <v>39219.0069387273</v>
      </c>
      <c r="P153" s="24" t="n">
        <f aca="false">IF(D153&gt;0,SUMPRODUCT(ABS(Datos_Semanales!F153:K153-Datos_Semanales!M153:R153))/D153,"")</f>
        <v>0.232200131911612</v>
      </c>
      <c r="Q153" s="24" t="n">
        <f aca="false">IF(D153&gt;0,O153/D153-1,"")</f>
        <v>0.214060393100771</v>
      </c>
      <c r="R153" s="23" t="n">
        <f aca="false">SQRT(SUMXMY2(Datos_Semanales!F153:K153,Datos_Semanales!M153:R153)/COUNT(Datos_Semanales!F153:K153))</f>
        <v>2277.13643842327</v>
      </c>
    </row>
    <row r="154" customFormat="false" ht="15" hidden="false" customHeight="false" outlineLevel="0" collapsed="false">
      <c r="A154" s="18" t="n">
        <f aca="false">Datos_Semanales!A154</f>
        <v>30000176</v>
      </c>
      <c r="B154" s="18" t="str">
        <f aca="false">Datos_Semanales!B154</f>
        <v>MERM W S/A SACHET DZNO 24X200GR</v>
      </c>
      <c r="C154" s="18" t="str">
        <f aca="false">Datos_Semanales!C154</f>
        <v>MERMELADAS</v>
      </c>
      <c r="D154" s="23" t="n">
        <f aca="false">SUM(Datos_Semanales!F154:K154)</f>
        <v>32020.8</v>
      </c>
      <c r="E154" s="23" t="n">
        <f aca="false">AVERAGE(Datos_Semanales!F154:K154)</f>
        <v>5336.8</v>
      </c>
      <c r="F154" s="23" t="n">
        <f aca="false">STDEV(Datos_Semanales!F154:K154)</f>
        <v>1492.56512621728</v>
      </c>
      <c r="G154" s="27" t="n">
        <f aca="false">IF(E154&gt;0,F154/E154,"")</f>
        <v>0.27967417295332</v>
      </c>
      <c r="H154" s="24" t="n">
        <f aca="false">IF(SUM($D$5:$D$494)&gt;0,D154/SUM($D$5:$D$494),0)</f>
        <v>0.00133476425907711</v>
      </c>
      <c r="I154" s="24" t="n">
        <f aca="false">SUMIF($D$5:$D$494,"&gt;="&amp;D154)/SUM($D$5:$D$494)</f>
        <v>0.844477079268288</v>
      </c>
      <c r="J154" s="3" t="str">
        <f aca="false">IF(D154&lt;=0,"C",IF(I154&lt;=Parametros!$B$4,"A",IF(I154&lt;=Parametros!$B$5,"B","C")))</f>
        <v>B</v>
      </c>
      <c r="K154" s="3" t="str">
        <f aca="false">IF(E154&lt;=0,"Z",IF(G154&lt;=Parametros!$B$6,"X",IF(G154&lt;=Parametros!$B$7,"Y","Z")))</f>
        <v>X</v>
      </c>
      <c r="L154" s="3" t="str">
        <f aca="false">J154&amp;K154</f>
        <v>BX</v>
      </c>
      <c r="M154" s="3" t="str">
        <f aca="false">INDEX(Parametros!$B$23:$B$31,MATCH(L154,Parametros!$A$23:$A$31,0))</f>
        <v>Estadístico + revisión de tendencia.</v>
      </c>
      <c r="N154" s="3" t="str">
        <f aca="false">INDEX(Parametros!$C$23:$C$31,MATCH(L154,Parametros!$A$23:$A$31,0))</f>
        <v>Mensual</v>
      </c>
      <c r="O154" s="23" t="n">
        <f aca="false">SUM(Datos_Semanales!M154:R154)</f>
        <v>31426.3869168189</v>
      </c>
      <c r="P154" s="24" t="n">
        <f aca="false">IF(D154&gt;0,SUMPRODUCT(ABS(Datos_Semanales!F154:K154-Datos_Semanales!M154:R154))/D154,"")</f>
        <v>0.218307691151341</v>
      </c>
      <c r="Q154" s="24" t="n">
        <f aca="false">IF(D154&gt;0,O154/D154-1,"")</f>
        <v>-0.0185633426766706</v>
      </c>
      <c r="R154" s="23" t="n">
        <f aca="false">SQRT(SUMXMY2(Datos_Semanales!F154:K154,Datos_Semanales!M154:R154)/COUNT(Datos_Semanales!F154:K154))</f>
        <v>1383.69402895769</v>
      </c>
    </row>
    <row r="155" customFormat="false" ht="15" hidden="false" customHeight="false" outlineLevel="0" collapsed="false">
      <c r="A155" s="18" t="n">
        <f aca="false">Datos_Semanales!A155</f>
        <v>30000328</v>
      </c>
      <c r="B155" s="18" t="str">
        <f aca="false">Datos_Semanales!B155</f>
        <v>LECHE LCO S/LACTOSA CHOCO 12X1LT</v>
      </c>
      <c r="C155" s="18" t="str">
        <f aca="false">Datos_Semanales!C155</f>
        <v>LECHES LIQUIDAS</v>
      </c>
      <c r="D155" s="23" t="n">
        <f aca="false">SUM(Datos_Semanales!F155:K155)</f>
        <v>31800</v>
      </c>
      <c r="E155" s="23" t="n">
        <f aca="false">AVERAGE(Datos_Semanales!F155:K155)</f>
        <v>5300</v>
      </c>
      <c r="F155" s="23" t="n">
        <f aca="false">STDEV(Datos_Semanales!F155:K155)</f>
        <v>1148.56153513863</v>
      </c>
      <c r="G155" s="27" t="n">
        <f aca="false">IF(E155&gt;0,F155/E155,"")</f>
        <v>0.216709723611062</v>
      </c>
      <c r="H155" s="24" t="n">
        <f aca="false">IF(SUM($D$5:$D$494)&gt;0,D155/SUM($D$5:$D$494),0)</f>
        <v>0.00132556036821854</v>
      </c>
      <c r="I155" s="24" t="n">
        <f aca="false">SUMIF($D$5:$D$494,"&gt;="&amp;D155)/SUM($D$5:$D$494)</f>
        <v>0.845802639636507</v>
      </c>
      <c r="J155" s="3" t="str">
        <f aca="false">IF(D155&lt;=0,"C",IF(I155&lt;=Parametros!$B$4,"A",IF(I155&lt;=Parametros!$B$5,"B","C")))</f>
        <v>B</v>
      </c>
      <c r="K155" s="3" t="str">
        <f aca="false">IF(E155&lt;=0,"Z",IF(G155&lt;=Parametros!$B$6,"X",IF(G155&lt;=Parametros!$B$7,"Y","Z")))</f>
        <v>X</v>
      </c>
      <c r="L155" s="3" t="str">
        <f aca="false">J155&amp;K155</f>
        <v>BX</v>
      </c>
      <c r="M155" s="3" t="str">
        <f aca="false">INDEX(Parametros!$B$23:$B$31,MATCH(L155,Parametros!$A$23:$A$31,0))</f>
        <v>Estadístico + revisión de tendencia.</v>
      </c>
      <c r="N155" s="3" t="str">
        <f aca="false">INDEX(Parametros!$C$23:$C$31,MATCH(L155,Parametros!$A$23:$A$31,0))</f>
        <v>Mensual</v>
      </c>
      <c r="O155" s="23" t="n">
        <f aca="false">SUM(Datos_Semanales!M155:R155)</f>
        <v>39970.3821005752</v>
      </c>
      <c r="P155" s="24" t="n">
        <f aca="false">IF(D155&gt;0,SUMPRODUCT(ABS(Datos_Semanales!F155:K155-Datos_Semanales!M155:R155))/D155,"")</f>
        <v>0.304563588068403</v>
      </c>
      <c r="Q155" s="24" t="n">
        <f aca="false">IF(D155&gt;0,O155/D155-1,"")</f>
        <v>0.25693025473507</v>
      </c>
      <c r="R155" s="23" t="n">
        <f aca="false">SQRT(SUMXMY2(Datos_Semanales!F155:K155,Datos_Semanales!M155:R155)/COUNT(Datos_Semanales!F155:K155))</f>
        <v>2075.56683362322</v>
      </c>
    </row>
    <row r="156" customFormat="false" ht="15" hidden="false" customHeight="false" outlineLevel="0" collapsed="false">
      <c r="A156" s="18" t="n">
        <f aca="false">Datos_Semanales!A156</f>
        <v>30002272</v>
      </c>
      <c r="B156" s="18" t="str">
        <f aca="false">Datos_Semanales!B156</f>
        <v>LECHE LONCO EXTRAPROTEIN 18X200ML</v>
      </c>
      <c r="C156" s="18" t="str">
        <f aca="false">Datos_Semanales!C156</f>
        <v>-</v>
      </c>
      <c r="D156" s="23" t="n">
        <f aca="false">SUM(Datos_Semanales!F156:K156)</f>
        <v>30846</v>
      </c>
      <c r="E156" s="23" t="n">
        <f aca="false">AVERAGE(Datos_Semanales!F156:K156)</f>
        <v>5141</v>
      </c>
      <c r="F156" s="23" t="n">
        <f aca="false">STDEV(Datos_Semanales!F156:K156)</f>
        <v>2494.0071371189</v>
      </c>
      <c r="G156" s="27" t="n">
        <f aca="false">IF(E156&gt;0,F156/E156,"")</f>
        <v>0.485121014806243</v>
      </c>
      <c r="H156" s="24" t="n">
        <f aca="false">IF(SUM($D$5:$D$494)&gt;0,D156/SUM($D$5:$D$494),0)</f>
        <v>0.00128579355717198</v>
      </c>
      <c r="I156" s="24" t="n">
        <f aca="false">SUMIF($D$5:$D$494,"&gt;="&amp;D156)/SUM($D$5:$D$494)</f>
        <v>0.847088433193679</v>
      </c>
      <c r="J156" s="3" t="str">
        <f aca="false">IF(D156&lt;=0,"C",IF(I156&lt;=Parametros!$B$4,"A",IF(I156&lt;=Parametros!$B$5,"B","C")))</f>
        <v>B</v>
      </c>
      <c r="K156" s="3" t="str">
        <f aca="false">IF(E156&lt;=0,"Z",IF(G156&lt;=Parametros!$B$6,"X",IF(G156&lt;=Parametros!$B$7,"Y","Z")))</f>
        <v>X</v>
      </c>
      <c r="L156" s="3" t="str">
        <f aca="false">J156&amp;K156</f>
        <v>BX</v>
      </c>
      <c r="M156" s="3" t="str">
        <f aca="false">INDEX(Parametros!$B$23:$B$31,MATCH(L156,Parametros!$A$23:$A$31,0))</f>
        <v>Estadístico + revisión de tendencia.</v>
      </c>
      <c r="N156" s="3" t="str">
        <f aca="false">INDEX(Parametros!$C$23:$C$31,MATCH(L156,Parametros!$A$23:$A$31,0))</f>
        <v>Mensual</v>
      </c>
      <c r="O156" s="23" t="n">
        <f aca="false">SUM(Datos_Semanales!M156:R156)</f>
        <v>27887.2109719198</v>
      </c>
      <c r="P156" s="24" t="n">
        <f aca="false">IF(D156&gt;0,SUMPRODUCT(ABS(Datos_Semanales!F156:K156-Datos_Semanales!M156:R156))/D156,"")</f>
        <v>0.318316443885114</v>
      </c>
      <c r="Q156" s="24" t="n">
        <f aca="false">IF(D156&gt;0,O156/D156-1,"")</f>
        <v>-0.0959213197199066</v>
      </c>
      <c r="R156" s="23" t="n">
        <f aca="false">SQRT(SUMXMY2(Datos_Semanales!F156:K156,Datos_Semanales!M156:R156)/COUNT(Datos_Semanales!F156:K156))</f>
        <v>1756.63323609743</v>
      </c>
    </row>
    <row r="157" customFormat="false" ht="15" hidden="false" customHeight="false" outlineLevel="0" collapsed="false">
      <c r="A157" s="18" t="n">
        <f aca="false">Datos_Semanales!A157</f>
        <v>30002183</v>
      </c>
      <c r="B157" s="18" t="str">
        <f aca="false">Datos_Semanales!B157</f>
        <v>JUGO FRUGO NARANJA 6X1,6LT</v>
      </c>
      <c r="C157" s="18" t="str">
        <f aca="false">Datos_Semanales!C157</f>
        <v>JUGOS Y NECTARES</v>
      </c>
      <c r="D157" s="23" t="n">
        <f aca="false">SUM(Datos_Semanales!F157:K157)</f>
        <v>30595.2</v>
      </c>
      <c r="E157" s="23" t="n">
        <f aca="false">AVERAGE(Datos_Semanales!F157:K157)</f>
        <v>5099.2</v>
      </c>
      <c r="F157" s="23" t="n">
        <f aca="false">STDEV(Datos_Semanales!F157:K157)</f>
        <v>1910.81402548757</v>
      </c>
      <c r="G157" s="27" t="n">
        <f aca="false">IF(E157&gt;0,F157/E157,"")</f>
        <v>0.374728197656018</v>
      </c>
      <c r="H157" s="24" t="n">
        <f aca="false">IF(SUM($D$5:$D$494)&gt;0,D157/SUM($D$5:$D$494),0)</f>
        <v>0.00127533913766414</v>
      </c>
      <c r="I157" s="24" t="n">
        <f aca="false">SUMIF($D$5:$D$494,"&gt;="&amp;D157)/SUM($D$5:$D$494)</f>
        <v>0.848363772331343</v>
      </c>
      <c r="J157" s="3" t="str">
        <f aca="false">IF(D157&lt;=0,"C",IF(I157&lt;=Parametros!$B$4,"A",IF(I157&lt;=Parametros!$B$5,"B","C")))</f>
        <v>B</v>
      </c>
      <c r="K157" s="3" t="str">
        <f aca="false">IF(E157&lt;=0,"Z",IF(G157&lt;=Parametros!$B$6,"X",IF(G157&lt;=Parametros!$B$7,"Y","Z")))</f>
        <v>X</v>
      </c>
      <c r="L157" s="3" t="str">
        <f aca="false">J157&amp;K157</f>
        <v>BX</v>
      </c>
      <c r="M157" s="3" t="str">
        <f aca="false">INDEX(Parametros!$B$23:$B$31,MATCH(L157,Parametros!$A$23:$A$31,0))</f>
        <v>Estadístico + revisión de tendencia.</v>
      </c>
      <c r="N157" s="3" t="str">
        <f aca="false">INDEX(Parametros!$C$23:$C$31,MATCH(L157,Parametros!$A$23:$A$31,0))</f>
        <v>Mensual</v>
      </c>
      <c r="O157" s="23" t="n">
        <f aca="false">SUM(Datos_Semanales!M157:R157)</f>
        <v>15805.2190073199</v>
      </c>
      <c r="P157" s="24" t="n">
        <f aca="false">IF(D157&gt;0,SUMPRODUCT(ABS(Datos_Semanales!F157:K157-Datos_Semanales!M157:R157))/D157,"")</f>
        <v>0.483408540969829</v>
      </c>
      <c r="Q157" s="24" t="n">
        <f aca="false">IF(D157&gt;0,O157/D157-1,"")</f>
        <v>-0.483408540969829</v>
      </c>
      <c r="R157" s="23" t="n">
        <f aca="false">SQRT(SUMXMY2(Datos_Semanales!F157:K157,Datos_Semanales!M157:R157)/COUNT(Datos_Semanales!F157:K157))</f>
        <v>3086.61092038828</v>
      </c>
    </row>
    <row r="158" customFormat="false" ht="15" hidden="false" customHeight="false" outlineLevel="0" collapsed="false">
      <c r="A158" s="18" t="n">
        <f aca="false">Datos_Semanales!A158</f>
        <v>30002268</v>
      </c>
      <c r="B158" s="18" t="str">
        <f aca="false">Datos_Semanales!B158</f>
        <v>PIÑA RODAJAS SUD WSL 24X565GR</v>
      </c>
      <c r="C158" s="18" t="str">
        <f aca="false">Datos_Semanales!C158</f>
        <v>CONSERVAS Y PLATOS LISTOS</v>
      </c>
      <c r="D158" s="23" t="n">
        <f aca="false">SUM(Datos_Semanales!F158:K158)</f>
        <v>30442.2</v>
      </c>
      <c r="E158" s="23" t="n">
        <f aca="false">AVERAGE(Datos_Semanales!F158:K158)</f>
        <v>5073.7</v>
      </c>
      <c r="F158" s="23" t="n">
        <f aca="false">STDEV(Datos_Semanales!F158:K158)</f>
        <v>2153.83715139283</v>
      </c>
      <c r="G158" s="27" t="n">
        <f aca="false">IF(E158&gt;0,F158/E158,"")</f>
        <v>0.42451015065787</v>
      </c>
      <c r="H158" s="24" t="n">
        <f aca="false">IF(SUM($D$5:$D$494)&gt;0,D158/SUM($D$5:$D$494),0)</f>
        <v>0.0012689614415529</v>
      </c>
      <c r="I158" s="24" t="n">
        <f aca="false">SUMIF($D$5:$D$494,"&gt;="&amp;D158)/SUM($D$5:$D$494)</f>
        <v>0.849632733772896</v>
      </c>
      <c r="J158" s="3" t="str">
        <f aca="false">IF(D158&lt;=0,"C",IF(I158&lt;=Parametros!$B$4,"A",IF(I158&lt;=Parametros!$B$5,"B","C")))</f>
        <v>B</v>
      </c>
      <c r="K158" s="3" t="str">
        <f aca="false">IF(E158&lt;=0,"Z",IF(G158&lt;=Parametros!$B$6,"X",IF(G158&lt;=Parametros!$B$7,"Y","Z")))</f>
        <v>X</v>
      </c>
      <c r="L158" s="3" t="str">
        <f aca="false">J158&amp;K158</f>
        <v>BX</v>
      </c>
      <c r="M158" s="3" t="str">
        <f aca="false">INDEX(Parametros!$B$23:$B$31,MATCH(L158,Parametros!$A$23:$A$31,0))</f>
        <v>Estadístico + revisión de tendencia.</v>
      </c>
      <c r="N158" s="3" t="str">
        <f aca="false">INDEX(Parametros!$C$23:$C$31,MATCH(L158,Parametros!$A$23:$A$31,0))</f>
        <v>Mensual</v>
      </c>
      <c r="O158" s="23" t="n">
        <f aca="false">SUM(Datos_Semanales!M158:R158)</f>
        <v>28116.96</v>
      </c>
      <c r="P158" s="24" t="n">
        <f aca="false">IF(D158&gt;0,SUMPRODUCT(ABS(Datos_Semanales!F158:K158-Datos_Semanales!M158:R158))/D158,"")</f>
        <v>0.327086741431303</v>
      </c>
      <c r="Q158" s="24" t="n">
        <f aca="false">IF(D158&gt;0,O158/D158-1,"")</f>
        <v>-0.0763821274415121</v>
      </c>
      <c r="R158" s="23" t="n">
        <f aca="false">SQRT(SUMXMY2(Datos_Semanales!F158:K158,Datos_Semanales!M158:R158)/COUNT(Datos_Semanales!F158:K158))</f>
        <v>1852.49083898769</v>
      </c>
    </row>
    <row r="159" customFormat="false" ht="15" hidden="false" customHeight="false" outlineLevel="0" collapsed="false">
      <c r="A159" s="18" t="n">
        <f aca="false">Datos_Semanales!A159</f>
        <v>30001756</v>
      </c>
      <c r="B159" s="18" t="str">
        <f aca="false">Datos_Semanales!B159</f>
        <v>MERMELADA MORA 12X225GR</v>
      </c>
      <c r="C159" s="18" t="str">
        <f aca="false">Datos_Semanales!C159</f>
        <v>MERMELADAS</v>
      </c>
      <c r="D159" s="23" t="n">
        <f aca="false">SUM(Datos_Semanales!F159:K159)</f>
        <v>30364.2</v>
      </c>
      <c r="E159" s="23" t="n">
        <f aca="false">AVERAGE(Datos_Semanales!F159:K159)</f>
        <v>5060.7</v>
      </c>
      <c r="F159" s="23" t="n">
        <f aca="false">STDEV(Datos_Semanales!F159:K159)</f>
        <v>1016.5801788349</v>
      </c>
      <c r="G159" s="27" t="n">
        <f aca="false">IF(E159&gt;0,F159/E159,"")</f>
        <v>0.200877384321319</v>
      </c>
      <c r="H159" s="24" t="n">
        <f aca="false">IF(SUM($D$5:$D$494)&gt;0,D159/SUM($D$5:$D$494),0)</f>
        <v>0.00126571006706482</v>
      </c>
      <c r="I159" s="24" t="n">
        <f aca="false">SUMIF($D$5:$D$494,"&gt;="&amp;D159)/SUM($D$5:$D$494)</f>
        <v>0.850898443839961</v>
      </c>
      <c r="J159" s="3" t="str">
        <f aca="false">IF(D159&lt;=0,"C",IF(I159&lt;=Parametros!$B$4,"A",IF(I159&lt;=Parametros!$B$5,"B","C")))</f>
        <v>B</v>
      </c>
      <c r="K159" s="3" t="str">
        <f aca="false">IF(E159&lt;=0,"Z",IF(G159&lt;=Parametros!$B$6,"X",IF(G159&lt;=Parametros!$B$7,"Y","Z")))</f>
        <v>X</v>
      </c>
      <c r="L159" s="3" t="str">
        <f aca="false">J159&amp;K159</f>
        <v>BX</v>
      </c>
      <c r="M159" s="3" t="str">
        <f aca="false">INDEX(Parametros!$B$23:$B$31,MATCH(L159,Parametros!$A$23:$A$31,0))</f>
        <v>Estadístico + revisión de tendencia.</v>
      </c>
      <c r="N159" s="3" t="str">
        <f aca="false">INDEX(Parametros!$C$23:$C$31,MATCH(L159,Parametros!$A$23:$A$31,0))</f>
        <v>Mensual</v>
      </c>
      <c r="O159" s="23" t="n">
        <f aca="false">SUM(Datos_Semanales!M159:R159)</f>
        <v>27500</v>
      </c>
      <c r="P159" s="24" t="n">
        <f aca="false">IF(D159&gt;0,SUMPRODUCT(ABS(Datos_Semanales!F159:K159-Datos_Semanales!M159:R159))/D159,"")</f>
        <v>0.19439998419191</v>
      </c>
      <c r="Q159" s="24" t="n">
        <f aca="false">IF(D159&gt;0,O159/D159-1,"")</f>
        <v>-0.0943281891174475</v>
      </c>
      <c r="R159" s="23" t="n">
        <f aca="false">SQRT(SUMXMY2(Datos_Semanales!F159:K159,Datos_Semanales!M159:R159)/COUNT(Datos_Semanales!F159:K159))</f>
        <v>1132.42978001581</v>
      </c>
    </row>
    <row r="160" customFormat="false" ht="15" hidden="false" customHeight="false" outlineLevel="0" collapsed="false">
      <c r="A160" s="18" t="n">
        <f aca="false">Datos_Semanales!A160</f>
        <v>30000616</v>
      </c>
      <c r="B160" s="18" t="str">
        <f aca="false">Datos_Semanales!B160</f>
        <v>PALMITOS WSL 24X400GR</v>
      </c>
      <c r="C160" s="18" t="str">
        <f aca="false">Datos_Semanales!C160</f>
        <v>CONSERVAS Y PLATOS LISTOS</v>
      </c>
      <c r="D160" s="23" t="n">
        <f aca="false">SUM(Datos_Semanales!F160:K160)</f>
        <v>30345.6</v>
      </c>
      <c r="E160" s="23" t="n">
        <f aca="false">AVERAGE(Datos_Semanales!F160:K160)</f>
        <v>5057.6</v>
      </c>
      <c r="F160" s="23" t="n">
        <f aca="false">STDEV(Datos_Semanales!F160:K160)</f>
        <v>1532.66538030974</v>
      </c>
      <c r="G160" s="27" t="n">
        <f aca="false">IF(E160&gt;0,F160/E160,"")</f>
        <v>0.303042031854979</v>
      </c>
      <c r="H160" s="24" t="n">
        <f aca="false">IF(SUM($D$5:$D$494)&gt;0,D160/SUM($D$5:$D$494),0)</f>
        <v>0.00126493473930228</v>
      </c>
      <c r="I160" s="24" t="n">
        <f aca="false">SUMIF($D$5:$D$494,"&gt;="&amp;D160)/SUM($D$5:$D$494)</f>
        <v>0.852163378579263</v>
      </c>
      <c r="J160" s="3" t="str">
        <f aca="false">IF(D160&lt;=0,"C",IF(I160&lt;=Parametros!$B$4,"A",IF(I160&lt;=Parametros!$B$5,"B","C")))</f>
        <v>B</v>
      </c>
      <c r="K160" s="3" t="str">
        <f aca="false">IF(E160&lt;=0,"Z",IF(G160&lt;=Parametros!$B$6,"X",IF(G160&lt;=Parametros!$B$7,"Y","Z")))</f>
        <v>X</v>
      </c>
      <c r="L160" s="3" t="str">
        <f aca="false">J160&amp;K160</f>
        <v>BX</v>
      </c>
      <c r="M160" s="3" t="str">
        <f aca="false">INDEX(Parametros!$B$23:$B$31,MATCH(L160,Parametros!$A$23:$A$31,0))</f>
        <v>Estadístico + revisión de tendencia.</v>
      </c>
      <c r="N160" s="3" t="str">
        <f aca="false">INDEX(Parametros!$C$23:$C$31,MATCH(L160,Parametros!$A$23:$A$31,0))</f>
        <v>Mensual</v>
      </c>
      <c r="O160" s="23" t="n">
        <f aca="false">SUM(Datos_Semanales!M160:R160)</f>
        <v>26794.4</v>
      </c>
      <c r="P160" s="24" t="n">
        <f aca="false">IF(D160&gt;0,SUMPRODUCT(ABS(Datos_Semanales!F160:K160-Datos_Semanales!M160:R160))/D160,"")</f>
        <v>0.286802699567647</v>
      </c>
      <c r="Q160" s="24" t="n">
        <f aca="false">IF(D160&gt;0,O160/D160-1,"")</f>
        <v>-0.117025202994833</v>
      </c>
      <c r="R160" s="23" t="n">
        <f aca="false">SQRT(SUMXMY2(Datos_Semanales!F160:K160,Datos_Semanales!M160:R160)/COUNT(Datos_Semanales!F160:K160))</f>
        <v>1657.06094838623</v>
      </c>
    </row>
    <row r="161" customFormat="false" ht="15" hidden="false" customHeight="false" outlineLevel="0" collapsed="false">
      <c r="A161" s="18" t="n">
        <f aca="false">Datos_Semanales!A161</f>
        <v>30001876</v>
      </c>
      <c r="B161" s="18" t="str">
        <f aca="false">Datos_Semanales!B161</f>
        <v>QUESO LAS PARCELAS TROZO 12X450GR</v>
      </c>
      <c r="C161" s="18" t="str">
        <f aca="false">Datos_Semanales!C161</f>
        <v>QUESOS</v>
      </c>
      <c r="D161" s="23" t="n">
        <f aca="false">SUM(Datos_Semanales!F161:K161)</f>
        <v>29916</v>
      </c>
      <c r="E161" s="23" t="n">
        <f aca="false">AVERAGE(Datos_Semanales!F161:K161)</f>
        <v>4986</v>
      </c>
      <c r="F161" s="23" t="n">
        <f aca="false">STDEV(Datos_Semanales!F161:K161)</f>
        <v>1534.40851926728</v>
      </c>
      <c r="G161" s="27" t="n">
        <f aca="false">IF(E161&gt;0,F161/E161,"")</f>
        <v>0.307743385332386</v>
      </c>
      <c r="H161" s="24" t="n">
        <f aca="false">IF(SUM($D$5:$D$494)&gt;0,D161/SUM($D$5:$D$494),0)</f>
        <v>0.00124702716904483</v>
      </c>
      <c r="I161" s="24" t="n">
        <f aca="false">SUMIF($D$5:$D$494,"&gt;="&amp;D161)/SUM($D$5:$D$494)</f>
        <v>0.853410405748308</v>
      </c>
      <c r="J161" s="3" t="str">
        <f aca="false">IF(D161&lt;=0,"C",IF(I161&lt;=Parametros!$B$4,"A",IF(I161&lt;=Parametros!$B$5,"B","C")))</f>
        <v>B</v>
      </c>
      <c r="K161" s="3" t="str">
        <f aca="false">IF(E161&lt;=0,"Z",IF(G161&lt;=Parametros!$B$6,"X",IF(G161&lt;=Parametros!$B$7,"Y","Z")))</f>
        <v>X</v>
      </c>
      <c r="L161" s="3" t="str">
        <f aca="false">J161&amp;K161</f>
        <v>BX</v>
      </c>
      <c r="M161" s="3" t="str">
        <f aca="false">INDEX(Parametros!$B$23:$B$31,MATCH(L161,Parametros!$A$23:$A$31,0))</f>
        <v>Estadístico + revisión de tendencia.</v>
      </c>
      <c r="N161" s="3" t="str">
        <f aca="false">INDEX(Parametros!$C$23:$C$31,MATCH(L161,Parametros!$A$23:$A$31,0))</f>
        <v>Mensual</v>
      </c>
      <c r="O161" s="23" t="n">
        <f aca="false">SUM(Datos_Semanales!M161:R161)</f>
        <v>28500.6164741969</v>
      </c>
      <c r="P161" s="24" t="n">
        <f aca="false">IF(D161&gt;0,SUMPRODUCT(ABS(Datos_Semanales!F161:K161-Datos_Semanales!M161:R161))/D161,"")</f>
        <v>0.340506700122716</v>
      </c>
      <c r="Q161" s="24" t="n">
        <f aca="false">IF(D161&gt;0,O161/D161-1,"")</f>
        <v>-0.0473119242479974</v>
      </c>
      <c r="R161" s="23" t="n">
        <f aca="false">SQRT(SUMXMY2(Datos_Semanales!F161:K161,Datos_Semanales!M161:R161)/COUNT(Datos_Semanales!F161:K161))</f>
        <v>1980.57153390578</v>
      </c>
    </row>
    <row r="162" customFormat="false" ht="15" hidden="false" customHeight="false" outlineLevel="0" collapsed="false">
      <c r="A162" s="18" t="n">
        <f aca="false">Datos_Semanales!A162</f>
        <v>30001047</v>
      </c>
      <c r="B162" s="18" t="str">
        <f aca="false">Datos_Semanales!B162</f>
        <v>LS8 CAL PROB MULT UNV P6 48X90GR</v>
      </c>
      <c r="C162" s="18" t="str">
        <f aca="false">Datos_Semanales!C162</f>
        <v>YOGURT</v>
      </c>
      <c r="D162" s="23" t="n">
        <f aca="false">SUM(Datos_Semanales!F162:K162)</f>
        <v>29799.36</v>
      </c>
      <c r="E162" s="23" t="n">
        <f aca="false">AVERAGE(Datos_Semanales!F162:K162)</f>
        <v>4966.56</v>
      </c>
      <c r="F162" s="23" t="n">
        <f aca="false">STDEV(Datos_Semanales!F162:K162)</f>
        <v>1444.99619664551</v>
      </c>
      <c r="G162" s="27" t="n">
        <f aca="false">IF(E162&gt;0,F162/E162,"")</f>
        <v>0.290945080024305</v>
      </c>
      <c r="H162" s="24" t="n">
        <f aca="false">IF(SUM($D$5:$D$494)&gt;0,D162/SUM($D$5:$D$494),0)</f>
        <v>0.0012421651136565</v>
      </c>
      <c r="I162" s="24" t="n">
        <f aca="false">SUMIF($D$5:$D$494,"&gt;="&amp;D162)/SUM($D$5:$D$494)</f>
        <v>0.854652570861964</v>
      </c>
      <c r="J162" s="3" t="str">
        <f aca="false">IF(D162&lt;=0,"C",IF(I162&lt;=Parametros!$B$4,"A",IF(I162&lt;=Parametros!$B$5,"B","C")))</f>
        <v>B</v>
      </c>
      <c r="K162" s="3" t="str">
        <f aca="false">IF(E162&lt;=0,"Z",IF(G162&lt;=Parametros!$B$6,"X",IF(G162&lt;=Parametros!$B$7,"Y","Z")))</f>
        <v>X</v>
      </c>
      <c r="L162" s="3" t="str">
        <f aca="false">J162&amp;K162</f>
        <v>BX</v>
      </c>
      <c r="M162" s="3" t="str">
        <f aca="false">INDEX(Parametros!$B$23:$B$31,MATCH(L162,Parametros!$A$23:$A$31,0))</f>
        <v>Estadístico + revisión de tendencia.</v>
      </c>
      <c r="N162" s="3" t="str">
        <f aca="false">INDEX(Parametros!$C$23:$C$31,MATCH(L162,Parametros!$A$23:$A$31,0))</f>
        <v>Mensual</v>
      </c>
      <c r="O162" s="23" t="n">
        <f aca="false">SUM(Datos_Semanales!M162:R162)</f>
        <v>23394.5027813167</v>
      </c>
      <c r="P162" s="24" t="n">
        <f aca="false">IF(D162&gt;0,SUMPRODUCT(ABS(Datos_Semanales!F162:K162-Datos_Semanales!M162:R162))/D162,"")</f>
        <v>0.312426023908185</v>
      </c>
      <c r="Q162" s="24" t="n">
        <f aca="false">IF(D162&gt;0,O162/D162-1,"")</f>
        <v>-0.214932710591212</v>
      </c>
      <c r="R162" s="23" t="n">
        <f aca="false">SQRT(SUMXMY2(Datos_Semanales!F162:K162,Datos_Semanales!M162:R162)/COUNT(Datos_Semanales!F162:K162))</f>
        <v>1666.39430455376</v>
      </c>
    </row>
    <row r="163" customFormat="false" ht="15" hidden="false" customHeight="false" outlineLevel="0" collapsed="false">
      <c r="A163" s="18" t="n">
        <f aca="false">Datos_Semanales!A163</f>
        <v>30001746</v>
      </c>
      <c r="B163" s="18" t="str">
        <f aca="false">Datos_Semanales!B163</f>
        <v>POUCH WATTS HALLOWEEN MANZANA 36X90GR</v>
      </c>
      <c r="C163" s="18" t="str">
        <f aca="false">Datos_Semanales!C163</f>
        <v>COLACIONES EN CONSERVA</v>
      </c>
      <c r="D163" s="23" t="n">
        <f aca="false">SUM(Datos_Semanales!F163:K163)</f>
        <v>29603.88</v>
      </c>
      <c r="E163" s="23" t="n">
        <f aca="false">AVERAGE(Datos_Semanales!F163:K163)</f>
        <v>4933.98</v>
      </c>
      <c r="F163" s="23" t="n">
        <f aca="false">STDEV(Datos_Semanales!F163:K163)</f>
        <v>3680.53584887853</v>
      </c>
      <c r="G163" s="27" t="n">
        <f aca="false">IF(E163&gt;0,F163/E163,"")</f>
        <v>0.745956783140291</v>
      </c>
      <c r="H163" s="24" t="n">
        <f aca="false">IF(SUM($D$5:$D$494)&gt;0,D163/SUM($D$5:$D$494),0)</f>
        <v>0.0012340166689779</v>
      </c>
      <c r="I163" s="24" t="n">
        <f aca="false">SUMIF($D$5:$D$494,"&gt;="&amp;D163)/SUM($D$5:$D$494)</f>
        <v>0.855886587530942</v>
      </c>
      <c r="J163" s="3" t="str">
        <f aca="false">IF(D163&lt;=0,"C",IF(I163&lt;=Parametros!$B$4,"A",IF(I163&lt;=Parametros!$B$5,"B","C")))</f>
        <v>B</v>
      </c>
      <c r="K163" s="3" t="str">
        <f aca="false">IF(E163&lt;=0,"Z",IF(G163&lt;=Parametros!$B$6,"X",IF(G163&lt;=Parametros!$B$7,"Y","Z")))</f>
        <v>Y</v>
      </c>
      <c r="L163" s="3" t="str">
        <f aca="false">J163&amp;K163</f>
        <v>BY</v>
      </c>
      <c r="M163" s="3" t="str">
        <f aca="false">INDEX(Parametros!$B$23:$B$31,MATCH(L163,Parametros!$A$23:$A$31,0))</f>
        <v>Validar promociones y eventos con comercial.</v>
      </c>
      <c r="N163" s="3" t="str">
        <f aca="false">INDEX(Parametros!$C$23:$C$31,MATCH(L163,Parametros!$A$23:$A$31,0))</f>
        <v>Quincenal</v>
      </c>
      <c r="O163" s="23" t="n">
        <f aca="false">SUM(Datos_Semanales!M163:R163)</f>
        <v>26016.72</v>
      </c>
      <c r="P163" s="24" t="n">
        <f aca="false">IF(D163&gt;0,SUMPRODUCT(ABS(Datos_Semanales!F163:K163-Datos_Semanales!M163:R163))/D163,"")</f>
        <v>0.440708447676453</v>
      </c>
      <c r="Q163" s="24" t="n">
        <f aca="false">IF(D163&gt;0,O163/D163-1,"")</f>
        <v>-0.121171954487047</v>
      </c>
      <c r="R163" s="23" t="n">
        <f aca="false">SQRT(SUMXMY2(Datos_Semanales!F163:K163,Datos_Semanales!M163:R163)/COUNT(Datos_Semanales!F163:K163))</f>
        <v>2802.49797397488</v>
      </c>
    </row>
    <row r="164" customFormat="false" ht="15" hidden="false" customHeight="false" outlineLevel="0" collapsed="false">
      <c r="A164" s="18" t="n">
        <f aca="false">Datos_Semanales!A164</f>
        <v>30001882</v>
      </c>
      <c r="B164" s="18" t="str">
        <f aca="false">Datos_Semanales!B164</f>
        <v>CREMA BATIR LONCO 12X500ML</v>
      </c>
      <c r="C164" s="18" t="str">
        <f aca="false">Datos_Semanales!C164</f>
        <v>CREMA</v>
      </c>
      <c r="D164" s="23" t="n">
        <f aca="false">SUM(Datos_Semanales!F164:K164)</f>
        <v>29556</v>
      </c>
      <c r="E164" s="23" t="n">
        <f aca="false">AVERAGE(Datos_Semanales!F164:K164)</f>
        <v>4926</v>
      </c>
      <c r="F164" s="23" t="n">
        <f aca="false">STDEV(Datos_Semanales!F164:K164)</f>
        <v>1152.92462893287</v>
      </c>
      <c r="G164" s="27" t="n">
        <f aca="false">IF(E164&gt;0,F164/E164,"")</f>
        <v>0.234048848748045</v>
      </c>
      <c r="H164" s="24" t="n">
        <f aca="false">IF(SUM($D$5:$D$494)&gt;0,D164/SUM($D$5:$D$494),0)</f>
        <v>0.00123202082525368</v>
      </c>
      <c r="I164" s="24" t="n">
        <f aca="false">SUMIF($D$5:$D$494,"&gt;="&amp;D164)/SUM($D$5:$D$494)</f>
        <v>0.857118608356196</v>
      </c>
      <c r="J164" s="3" t="str">
        <f aca="false">IF(D164&lt;=0,"C",IF(I164&lt;=Parametros!$B$4,"A",IF(I164&lt;=Parametros!$B$5,"B","C")))</f>
        <v>B</v>
      </c>
      <c r="K164" s="3" t="str">
        <f aca="false">IF(E164&lt;=0,"Z",IF(G164&lt;=Parametros!$B$6,"X",IF(G164&lt;=Parametros!$B$7,"Y","Z")))</f>
        <v>X</v>
      </c>
      <c r="L164" s="3" t="str">
        <f aca="false">J164&amp;K164</f>
        <v>BX</v>
      </c>
      <c r="M164" s="3" t="str">
        <f aca="false">INDEX(Parametros!$B$23:$B$31,MATCH(L164,Parametros!$A$23:$A$31,0))</f>
        <v>Estadístico + revisión de tendencia.</v>
      </c>
      <c r="N164" s="3" t="str">
        <f aca="false">INDEX(Parametros!$C$23:$C$31,MATCH(L164,Parametros!$A$23:$A$31,0))</f>
        <v>Mensual</v>
      </c>
      <c r="O164" s="23" t="n">
        <f aca="false">SUM(Datos_Semanales!M164:R164)</f>
        <v>31608.3013503147</v>
      </c>
      <c r="P164" s="24" t="n">
        <f aca="false">IF(D164&gt;0,SUMPRODUCT(ABS(Datos_Semanales!F164:K164-Datos_Semanales!M164:R164))/D164,"")</f>
        <v>0.210412144752831</v>
      </c>
      <c r="Q164" s="24" t="n">
        <f aca="false">IF(D164&gt;0,O164/D164-1,"")</f>
        <v>0.0694377233155594</v>
      </c>
      <c r="R164" s="23" t="n">
        <f aca="false">SQRT(SUMXMY2(Datos_Semanales!F164:K164,Datos_Semanales!M164:R164)/COUNT(Datos_Semanales!F164:K164))</f>
        <v>1167.64682241633</v>
      </c>
    </row>
    <row r="165" customFormat="false" ht="15" hidden="false" customHeight="false" outlineLevel="0" collapsed="false">
      <c r="A165" s="18" t="n">
        <f aca="false">Datos_Semanales!A165</f>
        <v>30002169</v>
      </c>
      <c r="B165" s="18" t="str">
        <f aca="false">Datos_Semanales!B165</f>
        <v>MARGARINA SUREÑA LIGHT POTE 12X450G</v>
      </c>
      <c r="C165" s="18" t="str">
        <f aca="false">Datos_Semanales!C165</f>
        <v>MARGARINAS</v>
      </c>
      <c r="D165" s="23" t="n">
        <f aca="false">SUM(Datos_Semanales!F165:K165)</f>
        <v>29489.4</v>
      </c>
      <c r="E165" s="23" t="n">
        <f aca="false">AVERAGE(Datos_Semanales!F165:K165)</f>
        <v>4914.9</v>
      </c>
      <c r="F165" s="23" t="n">
        <f aca="false">STDEV(Datos_Semanales!F165:K165)</f>
        <v>1670.76180348965</v>
      </c>
      <c r="G165" s="27" t="n">
        <f aca="false">IF(E165&gt;0,F165/E165,"")</f>
        <v>0.339938107283903</v>
      </c>
      <c r="H165" s="24" t="n">
        <f aca="false">IF(SUM($D$5:$D$494)&gt;0,D165/SUM($D$5:$D$494),0)</f>
        <v>0.00122924465165232</v>
      </c>
      <c r="I165" s="24" t="n">
        <f aca="false">SUMIF($D$5:$D$494,"&gt;="&amp;D165)/SUM($D$5:$D$494)</f>
        <v>0.858347853007848</v>
      </c>
      <c r="J165" s="3" t="str">
        <f aca="false">IF(D165&lt;=0,"C",IF(I165&lt;=Parametros!$B$4,"A",IF(I165&lt;=Parametros!$B$5,"B","C")))</f>
        <v>B</v>
      </c>
      <c r="K165" s="3" t="str">
        <f aca="false">IF(E165&lt;=0,"Z",IF(G165&lt;=Parametros!$B$6,"X",IF(G165&lt;=Parametros!$B$7,"Y","Z")))</f>
        <v>X</v>
      </c>
      <c r="L165" s="3" t="str">
        <f aca="false">J165&amp;K165</f>
        <v>BX</v>
      </c>
      <c r="M165" s="3" t="str">
        <f aca="false">INDEX(Parametros!$B$23:$B$31,MATCH(L165,Parametros!$A$23:$A$31,0))</f>
        <v>Estadístico + revisión de tendencia.</v>
      </c>
      <c r="N165" s="3" t="str">
        <f aca="false">INDEX(Parametros!$C$23:$C$31,MATCH(L165,Parametros!$A$23:$A$31,0))</f>
        <v>Mensual</v>
      </c>
      <c r="O165" s="23" t="n">
        <f aca="false">SUM(Datos_Semanales!M165:R165)</f>
        <v>21046.5898534128</v>
      </c>
      <c r="P165" s="24" t="n">
        <f aca="false">IF(D165&gt;0,SUMPRODUCT(ABS(Datos_Semanales!F165:K165-Datos_Semanales!M165:R165))/D165,"")</f>
        <v>0.416773316627715</v>
      </c>
      <c r="Q165" s="24" t="n">
        <f aca="false">IF(D165&gt;0,O165/D165-1,"")</f>
        <v>-0.286299827958086</v>
      </c>
      <c r="R165" s="23" t="n">
        <f aca="false">SQRT(SUMXMY2(Datos_Semanales!F165:K165,Datos_Semanales!M165:R165)/COUNT(Datos_Semanales!F165:K165))</f>
        <v>2319.82512598578</v>
      </c>
    </row>
    <row r="166" customFormat="false" ht="15" hidden="false" customHeight="false" outlineLevel="0" collapsed="false">
      <c r="A166" s="18" t="n">
        <f aca="false">Datos_Semanales!A166</f>
        <v>30000354</v>
      </c>
      <c r="B166" s="18" t="str">
        <f aca="false">Datos_Semanales!B166</f>
        <v>LECHE LCO SEMI S/LACTOS 5X6X200ML</v>
      </c>
      <c r="C166" s="18" t="str">
        <f aca="false">Datos_Semanales!C166</f>
        <v>-</v>
      </c>
      <c r="D166" s="23" t="n">
        <f aca="false">SUM(Datos_Semanales!F166:K166)</f>
        <v>29292</v>
      </c>
      <c r="E166" s="23" t="n">
        <f aca="false">AVERAGE(Datos_Semanales!F166:K166)</f>
        <v>4882</v>
      </c>
      <c r="F166" s="23" t="n">
        <f aca="false">STDEV(Datos_Semanales!F166:K166)</f>
        <v>1571.82441767521</v>
      </c>
      <c r="G166" s="27" t="n">
        <f aca="false">IF(E166&gt;0,F166/E166,"")</f>
        <v>0.321963215418928</v>
      </c>
      <c r="H166" s="24" t="n">
        <f aca="false">IF(SUM($D$5:$D$494)&gt;0,D166/SUM($D$5:$D$494),0)</f>
        <v>0.00122101617314017</v>
      </c>
      <c r="I166" s="24" t="n">
        <f aca="false">SUMIF($D$5:$D$494,"&gt;="&amp;D166)/SUM($D$5:$D$494)</f>
        <v>0.859568869180988</v>
      </c>
      <c r="J166" s="3" t="str">
        <f aca="false">IF(D166&lt;=0,"C",IF(I166&lt;=Parametros!$B$4,"A",IF(I166&lt;=Parametros!$B$5,"B","C")))</f>
        <v>B</v>
      </c>
      <c r="K166" s="3" t="str">
        <f aca="false">IF(E166&lt;=0,"Z",IF(G166&lt;=Parametros!$B$6,"X",IF(G166&lt;=Parametros!$B$7,"Y","Z")))</f>
        <v>X</v>
      </c>
      <c r="L166" s="3" t="str">
        <f aca="false">J166&amp;K166</f>
        <v>BX</v>
      </c>
      <c r="M166" s="3" t="str">
        <f aca="false">INDEX(Parametros!$B$23:$B$31,MATCH(L166,Parametros!$A$23:$A$31,0))</f>
        <v>Estadístico + revisión de tendencia.</v>
      </c>
      <c r="N166" s="3" t="str">
        <f aca="false">INDEX(Parametros!$C$23:$C$31,MATCH(L166,Parametros!$A$23:$A$31,0))</f>
        <v>Mensual</v>
      </c>
      <c r="O166" s="23" t="n">
        <f aca="false">SUM(Datos_Semanales!M166:R166)</f>
        <v>31747.3398688968</v>
      </c>
      <c r="P166" s="24" t="n">
        <f aca="false">IF(D166&gt;0,SUMPRODUCT(ABS(Datos_Semanales!F166:K166-Datos_Semanales!M166:R166))/D166,"")</f>
        <v>0.231418767277864</v>
      </c>
      <c r="Q166" s="24" t="n">
        <f aca="false">IF(D166&gt;0,O166/D166-1,"")</f>
        <v>0.0838228823192957</v>
      </c>
      <c r="R166" s="23" t="n">
        <f aca="false">SQRT(SUMXMY2(Datos_Semanales!F166:K166,Datos_Semanales!M166:R166)/COUNT(Datos_Semanales!F166:K166))</f>
        <v>1342.50804004701</v>
      </c>
    </row>
    <row r="167" customFormat="false" ht="15" hidden="false" customHeight="false" outlineLevel="0" collapsed="false">
      <c r="A167" s="18" t="n">
        <f aca="false">Datos_Semanales!A167</f>
        <v>30002184</v>
      </c>
      <c r="B167" s="18" t="str">
        <f aca="false">Datos_Semanales!B167</f>
        <v>JUGO FRUGO MARACUYA 6X1,6LT</v>
      </c>
      <c r="C167" s="18" t="str">
        <f aca="false">Datos_Semanales!C167</f>
        <v>JUGOS Y NECTARES</v>
      </c>
      <c r="D167" s="23" t="n">
        <f aca="false">SUM(Datos_Semanales!F167:K167)</f>
        <v>28502.4</v>
      </c>
      <c r="E167" s="23" t="n">
        <f aca="false">AVERAGE(Datos_Semanales!F167:K167)</f>
        <v>4750.4</v>
      </c>
      <c r="F167" s="23" t="n">
        <f aca="false">STDEV(Datos_Semanales!F167:K167)</f>
        <v>1678.49532617759</v>
      </c>
      <c r="G167" s="27" t="n">
        <f aca="false">IF(E167&gt;0,F167/E167,"")</f>
        <v>0.353337682337821</v>
      </c>
      <c r="H167" s="24" t="n">
        <f aca="false">IF(SUM($D$5:$D$494)&gt;0,D167/SUM($D$5:$D$494),0)</f>
        <v>0.00118810225909157</v>
      </c>
      <c r="I167" s="24" t="n">
        <f aca="false">SUMIF($D$5:$D$494,"&gt;="&amp;D167)/SUM($D$5:$D$494)</f>
        <v>0.86075697144008</v>
      </c>
      <c r="J167" s="3" t="str">
        <f aca="false">IF(D167&lt;=0,"C",IF(I167&lt;=Parametros!$B$4,"A",IF(I167&lt;=Parametros!$B$5,"B","C")))</f>
        <v>B</v>
      </c>
      <c r="K167" s="3" t="str">
        <f aca="false">IF(E167&lt;=0,"Z",IF(G167&lt;=Parametros!$B$6,"X",IF(G167&lt;=Parametros!$B$7,"Y","Z")))</f>
        <v>X</v>
      </c>
      <c r="L167" s="3" t="str">
        <f aca="false">J167&amp;K167</f>
        <v>BX</v>
      </c>
      <c r="M167" s="3" t="str">
        <f aca="false">INDEX(Parametros!$B$23:$B$31,MATCH(L167,Parametros!$A$23:$A$31,0))</f>
        <v>Estadístico + revisión de tendencia.</v>
      </c>
      <c r="N167" s="3" t="str">
        <f aca="false">INDEX(Parametros!$C$23:$C$31,MATCH(L167,Parametros!$A$23:$A$31,0))</f>
        <v>Mensual</v>
      </c>
      <c r="O167" s="23" t="n">
        <f aca="false">SUM(Datos_Semanales!M167:R167)</f>
        <v>17780.7383657779</v>
      </c>
      <c r="P167" s="24" t="n">
        <f aca="false">IF(D167&gt;0,SUMPRODUCT(ABS(Datos_Semanales!F167:K167-Datos_Semanales!M167:R167))/D167,"")</f>
        <v>0.376166976613273</v>
      </c>
      <c r="Q167" s="24" t="n">
        <f aca="false">IF(D167&gt;0,O167/D167-1,"")</f>
        <v>-0.376166976613273</v>
      </c>
      <c r="R167" s="23" t="n">
        <f aca="false">SQRT(SUMXMY2(Datos_Semanales!F167:K167,Datos_Semanales!M167:R167)/COUNT(Datos_Semanales!F167:K167))</f>
        <v>2484.13947550967</v>
      </c>
    </row>
    <row r="168" customFormat="false" ht="15" hidden="false" customHeight="false" outlineLevel="0" collapsed="false">
      <c r="A168" s="18" t="n">
        <f aca="false">Datos_Semanales!A168</f>
        <v>30000075</v>
      </c>
      <c r="B168" s="18" t="str">
        <f aca="false">Datos_Semanales!B168</f>
        <v>MARG CALO CAJA LISTA 6X12X125GR</v>
      </c>
      <c r="C168" s="18" t="str">
        <f aca="false">Datos_Semanales!C168</f>
        <v>MARGARINAS</v>
      </c>
      <c r="D168" s="23" t="n">
        <f aca="false">SUM(Datos_Semanales!F168:K168)</f>
        <v>28242</v>
      </c>
      <c r="E168" s="23" t="n">
        <f aca="false">AVERAGE(Datos_Semanales!F168:K168)</f>
        <v>4707</v>
      </c>
      <c r="F168" s="23" t="n">
        <f aca="false">STDEV(Datos_Semanales!F168:K168)</f>
        <v>2631.40053963664</v>
      </c>
      <c r="G168" s="27" t="n">
        <f aca="false">IF(E168&gt;0,F168/E168,"")</f>
        <v>0.559039842710142</v>
      </c>
      <c r="H168" s="24" t="n">
        <f aca="false">IF(SUM($D$5:$D$494)&gt;0,D168/SUM($D$5:$D$494),0)</f>
        <v>0.00117724767041597</v>
      </c>
      <c r="I168" s="24" t="n">
        <f aca="false">SUMIF($D$5:$D$494,"&gt;="&amp;D168)/SUM($D$5:$D$494)</f>
        <v>0.861934219110496</v>
      </c>
      <c r="J168" s="3" t="str">
        <f aca="false">IF(D168&lt;=0,"C",IF(I168&lt;=Parametros!$B$4,"A",IF(I168&lt;=Parametros!$B$5,"B","C")))</f>
        <v>B</v>
      </c>
      <c r="K168" s="3" t="str">
        <f aca="false">IF(E168&lt;=0,"Z",IF(G168&lt;=Parametros!$B$6,"X",IF(G168&lt;=Parametros!$B$7,"Y","Z")))</f>
        <v>Y</v>
      </c>
      <c r="L168" s="3" t="str">
        <f aca="false">J168&amp;K168</f>
        <v>BY</v>
      </c>
      <c r="M168" s="3" t="str">
        <f aca="false">INDEX(Parametros!$B$23:$B$31,MATCH(L168,Parametros!$A$23:$A$31,0))</f>
        <v>Validar promociones y eventos con comercial.</v>
      </c>
      <c r="N168" s="3" t="str">
        <f aca="false">INDEX(Parametros!$C$23:$C$31,MATCH(L168,Parametros!$A$23:$A$31,0))</f>
        <v>Quincenal</v>
      </c>
      <c r="O168" s="23" t="n">
        <f aca="false">SUM(Datos_Semanales!M168:R168)</f>
        <v>40449.5612137248</v>
      </c>
      <c r="P168" s="24" t="n">
        <f aca="false">IF(D168&gt;0,SUMPRODUCT(ABS(Datos_Semanales!F168:K168-Datos_Semanales!M168:R168))/D168,"")</f>
        <v>0.608055143792109</v>
      </c>
      <c r="Q168" s="24" t="n">
        <f aca="false">IF(D168&gt;0,O168/D168-1,"")</f>
        <v>0.432248467308435</v>
      </c>
      <c r="R168" s="23" t="n">
        <f aca="false">SQRT(SUMXMY2(Datos_Semanales!F168:K168,Datos_Semanales!M168:R168)/COUNT(Datos_Semanales!F168:K168))</f>
        <v>3408.93028140134</v>
      </c>
    </row>
    <row r="169" customFormat="false" ht="15" hidden="false" customHeight="false" outlineLevel="0" collapsed="false">
      <c r="A169" s="18" t="n">
        <f aca="false">Datos_Semanales!A169</f>
        <v>30001747</v>
      </c>
      <c r="B169" s="18" t="str">
        <f aca="false">Datos_Semanales!B169</f>
        <v>POUCH WATTS HALLOWEEN MULTIFRUTA 36X90GR</v>
      </c>
      <c r="C169" s="18" t="str">
        <f aca="false">Datos_Semanales!C169</f>
        <v>COLACIONES EN CONSERVA</v>
      </c>
      <c r="D169" s="23" t="n">
        <f aca="false">SUM(Datos_Semanales!F169:K169)</f>
        <v>28081.08</v>
      </c>
      <c r="E169" s="23" t="n">
        <f aca="false">AVERAGE(Datos_Semanales!F169:K169)</f>
        <v>4680.18</v>
      </c>
      <c r="F169" s="23" t="n">
        <f aca="false">STDEV(Datos_Semanales!F169:K169)</f>
        <v>3443.82143767066</v>
      </c>
      <c r="G169" s="27" t="n">
        <f aca="false">IF(E169&gt;0,F169/E169,"")</f>
        <v>0.735830980362007</v>
      </c>
      <c r="H169" s="24" t="n">
        <f aca="false">IF(SUM($D$5:$D$494)&gt;0,D169/SUM($D$5:$D$494),0)</f>
        <v>0.00117053983474133</v>
      </c>
      <c r="I169" s="24" t="n">
        <f aca="false">SUMIF($D$5:$D$494,"&gt;="&amp;D169)/SUM($D$5:$D$494)</f>
        <v>0.863104758945237</v>
      </c>
      <c r="J169" s="3" t="str">
        <f aca="false">IF(D169&lt;=0,"C",IF(I169&lt;=Parametros!$B$4,"A",IF(I169&lt;=Parametros!$B$5,"B","C")))</f>
        <v>B</v>
      </c>
      <c r="K169" s="3" t="str">
        <f aca="false">IF(E169&lt;=0,"Z",IF(G169&lt;=Parametros!$B$6,"X",IF(G169&lt;=Parametros!$B$7,"Y","Z")))</f>
        <v>Y</v>
      </c>
      <c r="L169" s="3" t="str">
        <f aca="false">J169&amp;K169</f>
        <v>BY</v>
      </c>
      <c r="M169" s="3" t="str">
        <f aca="false">INDEX(Parametros!$B$23:$B$31,MATCH(L169,Parametros!$A$23:$A$31,0))</f>
        <v>Validar promociones y eventos con comercial.</v>
      </c>
      <c r="N169" s="3" t="str">
        <f aca="false">INDEX(Parametros!$C$23:$C$31,MATCH(L169,Parametros!$A$23:$A$31,0))</f>
        <v>Quincenal</v>
      </c>
      <c r="O169" s="23" t="n">
        <f aca="false">SUM(Datos_Semanales!M169:R169)</f>
        <v>24395.6</v>
      </c>
      <c r="P169" s="24" t="n">
        <f aca="false">IF(D169&gt;0,SUMPRODUCT(ABS(Datos_Semanales!F169:K169-Datos_Semanales!M169:R169))/D169,"")</f>
        <v>0.448357399359284</v>
      </c>
      <c r="Q169" s="24" t="n">
        <f aca="false">IF(D169&gt;0,O169/D169-1,"")</f>
        <v>-0.131244239893907</v>
      </c>
      <c r="R169" s="23" t="n">
        <f aca="false">SQRT(SUMXMY2(Datos_Semanales!F169:K169,Datos_Semanales!M169:R169)/COUNT(Datos_Semanales!F169:K169))</f>
        <v>2698.8425635199</v>
      </c>
    </row>
    <row r="170" customFormat="false" ht="15" hidden="false" customHeight="false" outlineLevel="0" collapsed="false">
      <c r="A170" s="18" t="n">
        <f aca="false">Datos_Semanales!A170</f>
        <v>30000360</v>
      </c>
      <c r="B170" s="18" t="str">
        <f aca="false">Datos_Semanales!B170</f>
        <v>LECHE S/LACT EXTRA CALCIO 12X1LT</v>
      </c>
      <c r="C170" s="18" t="str">
        <f aca="false">Datos_Semanales!C170</f>
        <v>LECHES LIQUIDAS</v>
      </c>
      <c r="D170" s="23" t="n">
        <f aca="false">SUM(Datos_Semanales!F170:K170)</f>
        <v>27948</v>
      </c>
      <c r="E170" s="23" t="n">
        <f aca="false">AVERAGE(Datos_Semanales!F170:K170)</f>
        <v>4658</v>
      </c>
      <c r="F170" s="23" t="n">
        <f aca="false">STDEV(Datos_Semanales!F170:K170)</f>
        <v>3029.99801980133</v>
      </c>
      <c r="G170" s="27" t="n">
        <f aca="false">IF(E170&gt;0,F170/E170,"")</f>
        <v>0.650493349034206</v>
      </c>
      <c r="H170" s="24" t="n">
        <f aca="false">IF(SUM($D$5:$D$494)&gt;0,D170/SUM($D$5:$D$494),0)</f>
        <v>0.0011649924896532</v>
      </c>
      <c r="I170" s="24" t="n">
        <f aca="false">SUMIF($D$5:$D$494,"&gt;="&amp;D170)/SUM($D$5:$D$494)</f>
        <v>0.86426975143489</v>
      </c>
      <c r="J170" s="3" t="str">
        <f aca="false">IF(D170&lt;=0,"C",IF(I170&lt;=Parametros!$B$4,"A",IF(I170&lt;=Parametros!$B$5,"B","C")))</f>
        <v>B</v>
      </c>
      <c r="K170" s="3" t="str">
        <f aca="false">IF(E170&lt;=0,"Z",IF(G170&lt;=Parametros!$B$6,"X",IF(G170&lt;=Parametros!$B$7,"Y","Z")))</f>
        <v>Y</v>
      </c>
      <c r="L170" s="3" t="str">
        <f aca="false">J170&amp;K170</f>
        <v>BY</v>
      </c>
      <c r="M170" s="3" t="str">
        <f aca="false">INDEX(Parametros!$B$23:$B$31,MATCH(L170,Parametros!$A$23:$A$31,0))</f>
        <v>Validar promociones y eventos con comercial.</v>
      </c>
      <c r="N170" s="3" t="str">
        <f aca="false">INDEX(Parametros!$C$23:$C$31,MATCH(L170,Parametros!$A$23:$A$31,0))</f>
        <v>Quincenal</v>
      </c>
      <c r="O170" s="23" t="n">
        <f aca="false">SUM(Datos_Semanales!M170:R170)</f>
        <v>26303.2930692532</v>
      </c>
      <c r="P170" s="24" t="n">
        <f aca="false">IF(D170&gt;0,SUMPRODUCT(ABS(Datos_Semanales!F170:K170-Datos_Semanales!M170:R170))/D170,"")</f>
        <v>0.445976346455803</v>
      </c>
      <c r="Q170" s="24" t="n">
        <f aca="false">IF(D170&gt;0,O170/D170-1,"")</f>
        <v>-0.0588488239139395</v>
      </c>
      <c r="R170" s="23" t="n">
        <f aca="false">SQRT(SUMXMY2(Datos_Semanales!F170:K170,Datos_Semanales!M170:R170)/COUNT(Datos_Semanales!F170:K170))</f>
        <v>2673.74620796747</v>
      </c>
    </row>
    <row r="171" customFormat="false" ht="15" hidden="false" customHeight="false" outlineLevel="0" collapsed="false">
      <c r="A171" s="18" t="n">
        <f aca="false">Datos_Semanales!A171</f>
        <v>30001598</v>
      </c>
      <c r="B171" s="18" t="str">
        <f aca="false">Datos_Semanales!B171</f>
        <v>DURAZNOS MITADES WASIL 16X500G</v>
      </c>
      <c r="C171" s="18" t="str">
        <f aca="false">Datos_Semanales!C171</f>
        <v>CONSERVAS Y PLATOS LISTOS</v>
      </c>
      <c r="D171" s="23" t="n">
        <f aca="false">SUM(Datos_Semanales!F171:K171)</f>
        <v>27904</v>
      </c>
      <c r="E171" s="23" t="n">
        <f aca="false">AVERAGE(Datos_Semanales!F171:K171)</f>
        <v>4650.66666666667</v>
      </c>
      <c r="F171" s="23" t="n">
        <f aca="false">STDEV(Datos_Semanales!F171:K171)</f>
        <v>2699.73470301559</v>
      </c>
      <c r="G171" s="27" t="n">
        <f aca="false">IF(E171&gt;0,F171/E171,"")</f>
        <v>0.580504881669063</v>
      </c>
      <c r="H171" s="24" t="n">
        <f aca="false">IF(SUM($D$5:$D$494)&gt;0,D171/SUM($D$5:$D$494),0)</f>
        <v>0.00116315838096761</v>
      </c>
      <c r="I171" s="24" t="n">
        <f aca="false">SUMIF($D$5:$D$494,"&gt;="&amp;D171)/SUM($D$5:$D$494)</f>
        <v>0.865432909815858</v>
      </c>
      <c r="J171" s="3" t="str">
        <f aca="false">IF(D171&lt;=0,"C",IF(I171&lt;=Parametros!$B$4,"A",IF(I171&lt;=Parametros!$B$5,"B","C")))</f>
        <v>B</v>
      </c>
      <c r="K171" s="3" t="str">
        <f aca="false">IF(E171&lt;=0,"Z",IF(G171&lt;=Parametros!$B$6,"X",IF(G171&lt;=Parametros!$B$7,"Y","Z")))</f>
        <v>Y</v>
      </c>
      <c r="L171" s="3" t="str">
        <f aca="false">J171&amp;K171</f>
        <v>BY</v>
      </c>
      <c r="M171" s="3" t="str">
        <f aca="false">INDEX(Parametros!$B$23:$B$31,MATCH(L171,Parametros!$A$23:$A$31,0))</f>
        <v>Validar promociones y eventos con comercial.</v>
      </c>
      <c r="N171" s="3" t="str">
        <f aca="false">INDEX(Parametros!$C$23:$C$31,MATCH(L171,Parametros!$A$23:$A$31,0))</f>
        <v>Quincenal</v>
      </c>
      <c r="O171" s="23" t="n">
        <f aca="false">SUM(Datos_Semanales!M171:R171)</f>
        <v>45644.8</v>
      </c>
      <c r="P171" s="24" t="n">
        <f aca="false">IF(D171&gt;0,SUMPRODUCT(ABS(Datos_Semanales!F171:K171-Datos_Semanales!M171:R171))/D171,"")</f>
        <v>0.635779816513762</v>
      </c>
      <c r="Q171" s="24" t="n">
        <f aca="false">IF(D171&gt;0,O171/D171-1,"")</f>
        <v>0.635779816513762</v>
      </c>
      <c r="R171" s="23" t="n">
        <f aca="false">SQRT(SUMXMY2(Datos_Semanales!F171:K171,Datos_Semanales!M171:R171)/COUNT(Datos_Semanales!F171:K171))</f>
        <v>3601.21928981468</v>
      </c>
    </row>
    <row r="172" customFormat="false" ht="15" hidden="false" customHeight="false" outlineLevel="0" collapsed="false">
      <c r="A172" s="18" t="n">
        <f aca="false">Datos_Semanales!A172</f>
        <v>30000560</v>
      </c>
      <c r="B172" s="18" t="str">
        <f aca="false">Datos_Semanales!B172</f>
        <v>QUESO LAS PARCELAS LAMIN 16X350GR</v>
      </c>
      <c r="C172" s="18" t="str">
        <f aca="false">Datos_Semanales!C172</f>
        <v>QUESOS</v>
      </c>
      <c r="D172" s="23" t="n">
        <f aca="false">SUM(Datos_Semanales!F172:K172)</f>
        <v>27759.2</v>
      </c>
      <c r="E172" s="23" t="n">
        <f aca="false">AVERAGE(Datos_Semanales!F172:K172)</f>
        <v>4626.53333333333</v>
      </c>
      <c r="F172" s="23" t="n">
        <f aca="false">STDEV(Datos_Semanales!F172:K172)</f>
        <v>584.318251183948</v>
      </c>
      <c r="G172" s="27" t="n">
        <f aca="false">IF(E172&gt;0,F172/E172,"")</f>
        <v>0.126297209829667</v>
      </c>
      <c r="H172" s="24" t="n">
        <f aca="false">IF(SUM($D$5:$D$494)&gt;0,D172/SUM($D$5:$D$494),0)</f>
        <v>0.0011571224960205</v>
      </c>
      <c r="I172" s="24" t="n">
        <f aca="false">SUMIF($D$5:$D$494,"&gt;="&amp;D172)/SUM($D$5:$D$494)</f>
        <v>0.866590032311878</v>
      </c>
      <c r="J172" s="3" t="str">
        <f aca="false">IF(D172&lt;=0,"C",IF(I172&lt;=Parametros!$B$4,"A",IF(I172&lt;=Parametros!$B$5,"B","C")))</f>
        <v>B</v>
      </c>
      <c r="K172" s="3" t="str">
        <f aca="false">IF(E172&lt;=0,"Z",IF(G172&lt;=Parametros!$B$6,"X",IF(G172&lt;=Parametros!$B$7,"Y","Z")))</f>
        <v>X</v>
      </c>
      <c r="L172" s="3" t="str">
        <f aca="false">J172&amp;K172</f>
        <v>BX</v>
      </c>
      <c r="M172" s="3" t="str">
        <f aca="false">INDEX(Parametros!$B$23:$B$31,MATCH(L172,Parametros!$A$23:$A$31,0))</f>
        <v>Estadístico + revisión de tendencia.</v>
      </c>
      <c r="N172" s="3" t="str">
        <f aca="false">INDEX(Parametros!$C$23:$C$31,MATCH(L172,Parametros!$A$23:$A$31,0))</f>
        <v>Mensual</v>
      </c>
      <c r="O172" s="23" t="n">
        <f aca="false">SUM(Datos_Semanales!M172:R172)</f>
        <v>26837.2482007668</v>
      </c>
      <c r="P172" s="24" t="n">
        <f aca="false">IF(D172&gt;0,SUMPRODUCT(ABS(Datos_Semanales!F172:K172-Datos_Semanales!M172:R172))/D172,"")</f>
        <v>0.159128234139296</v>
      </c>
      <c r="Q172" s="24" t="n">
        <f aca="false">IF(D172&gt;0,O172/D172-1,"")</f>
        <v>-0.0332124772771992</v>
      </c>
      <c r="R172" s="23" t="n">
        <f aca="false">SQRT(SUMXMY2(Datos_Semanales!F172:K172,Datos_Semanales!M172:R172)/COUNT(Datos_Semanales!F172:K172))</f>
        <v>839.975241127473</v>
      </c>
    </row>
    <row r="173" customFormat="false" ht="15" hidden="false" customHeight="false" outlineLevel="0" collapsed="false">
      <c r="A173" s="18" t="n">
        <f aca="false">Datos_Semanales!A173</f>
        <v>30001018</v>
      </c>
      <c r="B173" s="18" t="str">
        <f aca="false">Datos_Semanales!B173</f>
        <v>YOG DAN L&amp;F NATU 48X115GR</v>
      </c>
      <c r="C173" s="18" t="str">
        <f aca="false">Datos_Semanales!C173</f>
        <v>YOGURT</v>
      </c>
      <c r="D173" s="23" t="n">
        <f aca="false">SUM(Datos_Semanales!F173:K173)</f>
        <v>27715.92</v>
      </c>
      <c r="E173" s="23" t="n">
        <f aca="false">AVERAGE(Datos_Semanales!F173:K173)</f>
        <v>4619.32</v>
      </c>
      <c r="F173" s="23" t="n">
        <f aca="false">STDEV(Datos_Semanales!F173:K173)</f>
        <v>1075.70293326736</v>
      </c>
      <c r="G173" s="27" t="n">
        <f aca="false">IF(E173&gt;0,F173/E173,"")</f>
        <v>0.232870408040006</v>
      </c>
      <c r="H173" s="24" t="n">
        <f aca="false">IF(SUM($D$5:$D$494)&gt;0,D173/SUM($D$5:$D$494),0)</f>
        <v>0.0011553184000225</v>
      </c>
      <c r="I173" s="24" t="n">
        <f aca="false">SUMIF($D$5:$D$494,"&gt;="&amp;D173)/SUM($D$5:$D$494)</f>
        <v>0.867745350711901</v>
      </c>
      <c r="J173" s="3" t="str">
        <f aca="false">IF(D173&lt;=0,"C",IF(I173&lt;=Parametros!$B$4,"A",IF(I173&lt;=Parametros!$B$5,"B","C")))</f>
        <v>B</v>
      </c>
      <c r="K173" s="3" t="str">
        <f aca="false">IF(E173&lt;=0,"Z",IF(G173&lt;=Parametros!$B$6,"X",IF(G173&lt;=Parametros!$B$7,"Y","Z")))</f>
        <v>X</v>
      </c>
      <c r="L173" s="3" t="str">
        <f aca="false">J173&amp;K173</f>
        <v>BX</v>
      </c>
      <c r="M173" s="3" t="str">
        <f aca="false">INDEX(Parametros!$B$23:$B$31,MATCH(L173,Parametros!$A$23:$A$31,0))</f>
        <v>Estadístico + revisión de tendencia.</v>
      </c>
      <c r="N173" s="3" t="str">
        <f aca="false">INDEX(Parametros!$C$23:$C$31,MATCH(L173,Parametros!$A$23:$A$31,0))</f>
        <v>Mensual</v>
      </c>
      <c r="O173" s="23" t="n">
        <f aca="false">SUM(Datos_Semanales!M173:R173)</f>
        <v>25611.9938985997</v>
      </c>
      <c r="P173" s="24" t="n">
        <f aca="false">IF(D173&gt;0,SUMPRODUCT(ABS(Datos_Semanales!F173:K173-Datos_Semanales!M173:R173))/D173,"")</f>
        <v>0.154248807420735</v>
      </c>
      <c r="Q173" s="24" t="n">
        <f aca="false">IF(D173&gt;0,O173/D173-1,"")</f>
        <v>-0.0759103829640263</v>
      </c>
      <c r="R173" s="23" t="n">
        <f aca="false">SQRT(SUMXMY2(Datos_Semanales!F173:K173,Datos_Semanales!M173:R173)/COUNT(Datos_Semanales!F173:K173))</f>
        <v>858.050988850581</v>
      </c>
    </row>
    <row r="174" customFormat="false" ht="15" hidden="false" customHeight="false" outlineLevel="0" collapsed="false">
      <c r="A174" s="18" t="n">
        <f aca="false">Datos_Semanales!A174</f>
        <v>30001405</v>
      </c>
      <c r="B174" s="18" t="str">
        <f aca="false">Datos_Semanales!B174</f>
        <v>BREAK CARAMEL LONCO 18X250ML</v>
      </c>
      <c r="C174" s="18" t="str">
        <f aca="false">Datos_Semanales!C174</f>
        <v>LECHES LIQUIDAS</v>
      </c>
      <c r="D174" s="23" t="n">
        <f aca="false">SUM(Datos_Semanales!F174:K174)</f>
        <v>27688.5</v>
      </c>
      <c r="E174" s="23" t="n">
        <f aca="false">AVERAGE(Datos_Semanales!F174:K174)</f>
        <v>4614.75</v>
      </c>
      <c r="F174" s="23" t="n">
        <f aca="false">STDEV(Datos_Semanales!F174:K174)</f>
        <v>797.66990353153</v>
      </c>
      <c r="G174" s="27" t="n">
        <f aca="false">IF(E174&gt;0,F174/E174,"")</f>
        <v>0.172852246282362</v>
      </c>
      <c r="H174" s="24" t="n">
        <f aca="false">IF(SUM($D$5:$D$494)&gt;0,D174/SUM($D$5:$D$494),0)</f>
        <v>0.00115417541683707</v>
      </c>
      <c r="I174" s="24" t="n">
        <f aca="false">SUMIF($D$5:$D$494,"&gt;="&amp;D174)/SUM($D$5:$D$494)</f>
        <v>0.868899526128738</v>
      </c>
      <c r="J174" s="3" t="str">
        <f aca="false">IF(D174&lt;=0,"C",IF(I174&lt;=Parametros!$B$4,"A",IF(I174&lt;=Parametros!$B$5,"B","C")))</f>
        <v>B</v>
      </c>
      <c r="K174" s="3" t="str">
        <f aca="false">IF(E174&lt;=0,"Z",IF(G174&lt;=Parametros!$B$6,"X",IF(G174&lt;=Parametros!$B$7,"Y","Z")))</f>
        <v>X</v>
      </c>
      <c r="L174" s="3" t="str">
        <f aca="false">J174&amp;K174</f>
        <v>BX</v>
      </c>
      <c r="M174" s="3" t="str">
        <f aca="false">INDEX(Parametros!$B$23:$B$31,MATCH(L174,Parametros!$A$23:$A$31,0))</f>
        <v>Estadístico + revisión de tendencia.</v>
      </c>
      <c r="N174" s="3" t="str">
        <f aca="false">INDEX(Parametros!$C$23:$C$31,MATCH(L174,Parametros!$A$23:$A$31,0))</f>
        <v>Mensual</v>
      </c>
      <c r="O174" s="23" t="n">
        <f aca="false">SUM(Datos_Semanales!M174:R174)</f>
        <v>23879.5899476893</v>
      </c>
      <c r="P174" s="24" t="n">
        <f aca="false">IF(D174&gt;0,SUMPRODUCT(ABS(Datos_Semanales!F174:K174-Datos_Semanales!M174:R174))/D174,"")</f>
        <v>0.2234195623566</v>
      </c>
      <c r="Q174" s="24" t="n">
        <f aca="false">IF(D174&gt;0,O174/D174-1,"")</f>
        <v>-0.137562889008459</v>
      </c>
      <c r="R174" s="23" t="n">
        <f aca="false">SQRT(SUMXMY2(Datos_Semanales!F174:K174,Datos_Semanales!M174:R174)/COUNT(Datos_Semanales!F174:K174))</f>
        <v>1131.57348703454</v>
      </c>
    </row>
    <row r="175" customFormat="false" ht="15" hidden="false" customHeight="false" outlineLevel="0" collapsed="false">
      <c r="A175" s="18" t="n">
        <f aca="false">Datos_Semanales!A175</f>
        <v>30000610</v>
      </c>
      <c r="B175" s="18" t="str">
        <f aca="false">Datos_Semanales!B175</f>
        <v>PIÑA CUBITOS WSL 24X565GR</v>
      </c>
      <c r="C175" s="18" t="str">
        <f aca="false">Datos_Semanales!C175</f>
        <v>CONSERVAS Y PLATOS LISTOS</v>
      </c>
      <c r="D175" s="23" t="n">
        <f aca="false">SUM(Datos_Semanales!F175:K175)</f>
        <v>27525.12</v>
      </c>
      <c r="E175" s="23" t="n">
        <f aca="false">AVERAGE(Datos_Semanales!F175:K175)</f>
        <v>4587.52</v>
      </c>
      <c r="F175" s="23" t="n">
        <f aca="false">STDEV(Datos_Semanales!F175:K175)</f>
        <v>2673.90030054974</v>
      </c>
      <c r="G175" s="27" t="n">
        <f aca="false">IF(E175&gt;0,F175/E175,"")</f>
        <v>0.582864009432055</v>
      </c>
      <c r="H175" s="24" t="n">
        <f aca="false">IF(SUM($D$5:$D$494)&gt;0,D175/SUM($D$5:$D$494),0)</f>
        <v>0.00114736503781319</v>
      </c>
      <c r="I175" s="24" t="n">
        <f aca="false">SUMIF($D$5:$D$494,"&gt;="&amp;D175)/SUM($D$5:$D$494)</f>
        <v>0.870046891166551</v>
      </c>
      <c r="J175" s="3" t="str">
        <f aca="false">IF(D175&lt;=0,"C",IF(I175&lt;=Parametros!$B$4,"A",IF(I175&lt;=Parametros!$B$5,"B","C")))</f>
        <v>B</v>
      </c>
      <c r="K175" s="3" t="str">
        <f aca="false">IF(E175&lt;=0,"Z",IF(G175&lt;=Parametros!$B$6,"X",IF(G175&lt;=Parametros!$B$7,"Y","Z")))</f>
        <v>Y</v>
      </c>
      <c r="L175" s="3" t="str">
        <f aca="false">J175&amp;K175</f>
        <v>BY</v>
      </c>
      <c r="M175" s="3" t="str">
        <f aca="false">INDEX(Parametros!$B$23:$B$31,MATCH(L175,Parametros!$A$23:$A$31,0))</f>
        <v>Validar promociones y eventos con comercial.</v>
      </c>
      <c r="N175" s="3" t="str">
        <f aca="false">INDEX(Parametros!$C$23:$C$31,MATCH(L175,Parametros!$A$23:$A$31,0))</f>
        <v>Quincenal</v>
      </c>
      <c r="O175" s="23" t="n">
        <f aca="false">SUM(Datos_Semanales!M175:R175)</f>
        <v>30794.52</v>
      </c>
      <c r="P175" s="24" t="n">
        <f aca="false">IF(D175&gt;0,SUMPRODUCT(ABS(Datos_Semanales!F175:K175-Datos_Semanales!M175:R175))/D175,"")</f>
        <v>0.405106317429315</v>
      </c>
      <c r="Q175" s="24" t="n">
        <f aca="false">IF(D175&gt;0,O175/D175-1,"")</f>
        <v>0.118778773716518</v>
      </c>
      <c r="R175" s="23" t="n">
        <f aca="false">SQRT(SUMXMY2(Datos_Semanales!F175:K175,Datos_Semanales!M175:R175)/COUNT(Datos_Semanales!F175:K175))</f>
        <v>2177.7445872278</v>
      </c>
    </row>
    <row r="176" customFormat="false" ht="15" hidden="false" customHeight="false" outlineLevel="0" collapsed="false">
      <c r="A176" s="18" t="n">
        <f aca="false">Datos_Semanales!A176</f>
        <v>30000660</v>
      </c>
      <c r="B176" s="18" t="str">
        <f aca="false">Datos_Semanales!B176</f>
        <v>JALEA REG ARANDANO 6X4X100GR</v>
      </c>
      <c r="C176" s="18" t="str">
        <f aca="false">Datos_Semanales!C176</f>
        <v>-</v>
      </c>
      <c r="D176" s="23" t="n">
        <f aca="false">SUM(Datos_Semanales!F176:K176)</f>
        <v>27482.4</v>
      </c>
      <c r="E176" s="23" t="n">
        <f aca="false">AVERAGE(Datos_Semanales!F176:K176)</f>
        <v>4580.4</v>
      </c>
      <c r="F176" s="23" t="n">
        <f aca="false">STDEV(Datos_Semanales!F176:K176)</f>
        <v>1009.89165359458</v>
      </c>
      <c r="G176" s="27" t="n">
        <f aca="false">IF(E176&gt;0,F176/E176,"")</f>
        <v>0.220481105055144</v>
      </c>
      <c r="H176" s="24" t="n">
        <f aca="false">IF(SUM($D$5:$D$494)&gt;0,D176/SUM($D$5:$D$494),0)</f>
        <v>0.00114558428501664</v>
      </c>
      <c r="I176" s="24" t="n">
        <f aca="false">SUMIF($D$5:$D$494,"&gt;="&amp;D176)/SUM($D$5:$D$494)</f>
        <v>0.871192475451568</v>
      </c>
      <c r="J176" s="3" t="str">
        <f aca="false">IF(D176&lt;=0,"C",IF(I176&lt;=Parametros!$B$4,"A",IF(I176&lt;=Parametros!$B$5,"B","C")))</f>
        <v>B</v>
      </c>
      <c r="K176" s="3" t="str">
        <f aca="false">IF(E176&lt;=0,"Z",IF(G176&lt;=Parametros!$B$6,"X",IF(G176&lt;=Parametros!$B$7,"Y","Z")))</f>
        <v>X</v>
      </c>
      <c r="L176" s="3" t="str">
        <f aca="false">J176&amp;K176</f>
        <v>BX</v>
      </c>
      <c r="M176" s="3" t="str">
        <f aca="false">INDEX(Parametros!$B$23:$B$31,MATCH(L176,Parametros!$A$23:$A$31,0))</f>
        <v>Estadístico + revisión de tendencia.</v>
      </c>
      <c r="N176" s="3" t="str">
        <f aca="false">INDEX(Parametros!$C$23:$C$31,MATCH(L176,Parametros!$A$23:$A$31,0))</f>
        <v>Mensual</v>
      </c>
      <c r="O176" s="23" t="n">
        <f aca="false">SUM(Datos_Semanales!M176:R176)</f>
        <v>29417.287919941</v>
      </c>
      <c r="P176" s="24" t="n">
        <f aca="false">IF(D176&gt;0,SUMPRODUCT(ABS(Datos_Semanales!F176:K176-Datos_Semanales!M176:R176))/D176,"")</f>
        <v>0.328240665999749</v>
      </c>
      <c r="Q176" s="24" t="n">
        <f aca="false">IF(D176&gt;0,O176/D176-1,"")</f>
        <v>0.0704046196817247</v>
      </c>
      <c r="R176" s="23" t="n">
        <f aca="false">SQRT(SUMXMY2(Datos_Semanales!F176:K176,Datos_Semanales!M176:R176)/COUNT(Datos_Semanales!F176:K176))</f>
        <v>1821.34766344068</v>
      </c>
    </row>
    <row r="177" customFormat="false" ht="15" hidden="false" customHeight="false" outlineLevel="0" collapsed="false">
      <c r="A177" s="18" t="n">
        <f aca="false">Datos_Semanales!A177</f>
        <v>30001980</v>
      </c>
      <c r="B177" s="18" t="str">
        <f aca="false">Datos_Semanales!B177</f>
        <v>FULL PRO CAPPUCCINO LONCOLECHE 18X250ML</v>
      </c>
      <c r="C177" s="18" t="str">
        <f aca="false">Datos_Semanales!C177</f>
        <v>LECHES LIQUIDAS</v>
      </c>
      <c r="D177" s="23" t="n">
        <f aca="false">SUM(Datos_Semanales!F177:K177)</f>
        <v>27360</v>
      </c>
      <c r="E177" s="23" t="n">
        <f aca="false">AVERAGE(Datos_Semanales!F177:K177)</f>
        <v>4560</v>
      </c>
      <c r="F177" s="23" t="n">
        <f aca="false">STDEV(Datos_Semanales!F177:K177)</f>
        <v>990.055907512298</v>
      </c>
      <c r="G177" s="27" t="n">
        <f aca="false">IF(E177&gt;0,F177/E177,"")</f>
        <v>0.217117523577258</v>
      </c>
      <c r="H177" s="24" t="n">
        <f aca="false">IF(SUM($D$5:$D$494)&gt;0,D177/SUM($D$5:$D$494),0)</f>
        <v>0.00114048212812765</v>
      </c>
      <c r="I177" s="24" t="n">
        <f aca="false">SUMIF($D$5:$D$494,"&gt;="&amp;D177)/SUM($D$5:$D$494)</f>
        <v>0.872332957579695</v>
      </c>
      <c r="J177" s="3" t="str">
        <f aca="false">IF(D177&lt;=0,"C",IF(I177&lt;=Parametros!$B$4,"A",IF(I177&lt;=Parametros!$B$5,"B","C")))</f>
        <v>B</v>
      </c>
      <c r="K177" s="3" t="str">
        <f aca="false">IF(E177&lt;=0,"Z",IF(G177&lt;=Parametros!$B$6,"X",IF(G177&lt;=Parametros!$B$7,"Y","Z")))</f>
        <v>X</v>
      </c>
      <c r="L177" s="3" t="str">
        <f aca="false">J177&amp;K177</f>
        <v>BX</v>
      </c>
      <c r="M177" s="3" t="str">
        <f aca="false">INDEX(Parametros!$B$23:$B$31,MATCH(L177,Parametros!$A$23:$A$31,0))</f>
        <v>Estadístico + revisión de tendencia.</v>
      </c>
      <c r="N177" s="3" t="str">
        <f aca="false">INDEX(Parametros!$C$23:$C$31,MATCH(L177,Parametros!$A$23:$A$31,0))</f>
        <v>Mensual</v>
      </c>
      <c r="O177" s="23" t="n">
        <f aca="false">SUM(Datos_Semanales!M177:R177)</f>
        <v>27630.1580623556</v>
      </c>
      <c r="P177" s="24" t="n">
        <f aca="false">IF(D177&gt;0,SUMPRODUCT(ABS(Datos_Semanales!F177:K177-Datos_Semanales!M177:R177))/D177,"")</f>
        <v>0.194632970115336</v>
      </c>
      <c r="Q177" s="24" t="n">
        <f aca="false">IF(D177&gt;0,O177/D177-1,"")</f>
        <v>0.00987419818551194</v>
      </c>
      <c r="R177" s="23" t="n">
        <f aca="false">SQRT(SUMXMY2(Datos_Semanales!F177:K177,Datos_Semanales!M177:R177)/COUNT(Datos_Semanales!F177:K177))</f>
        <v>1007.98434935443</v>
      </c>
    </row>
    <row r="178" customFormat="false" ht="15" hidden="false" customHeight="false" outlineLevel="0" collapsed="false">
      <c r="A178" s="18" t="n">
        <f aca="false">Datos_Semanales!A178</f>
        <v>30001764</v>
      </c>
      <c r="B178" s="18" t="str">
        <f aca="false">Datos_Semanales!B178</f>
        <v>MERMELADA MORA L L 24X225GR</v>
      </c>
      <c r="C178" s="18" t="str">
        <f aca="false">Datos_Semanales!C178</f>
        <v>MERMELADAS</v>
      </c>
      <c r="D178" s="23" t="n">
        <f aca="false">SUM(Datos_Semanales!F178:K178)</f>
        <v>26805.6</v>
      </c>
      <c r="E178" s="23" t="n">
        <f aca="false">AVERAGE(Datos_Semanales!F178:K178)</f>
        <v>4467.6</v>
      </c>
      <c r="F178" s="23" t="n">
        <f aca="false">STDEV(Datos_Semanales!F178:K178)</f>
        <v>1465.82964358073</v>
      </c>
      <c r="G178" s="27" t="n">
        <f aca="false">IF(E178&gt;0,F178/E178,"")</f>
        <v>0.328102257046452</v>
      </c>
      <c r="H178" s="24" t="n">
        <f aca="false">IF(SUM($D$5:$D$494)&gt;0,D178/SUM($D$5:$D$494),0)</f>
        <v>0.00111737235868927</v>
      </c>
      <c r="I178" s="24" t="n">
        <f aca="false">SUMIF($D$5:$D$494,"&gt;="&amp;D178)/SUM($D$5:$D$494)</f>
        <v>0.873450329938385</v>
      </c>
      <c r="J178" s="3" t="str">
        <f aca="false">IF(D178&lt;=0,"C",IF(I178&lt;=Parametros!$B$4,"A",IF(I178&lt;=Parametros!$B$5,"B","C")))</f>
        <v>B</v>
      </c>
      <c r="K178" s="3" t="str">
        <f aca="false">IF(E178&lt;=0,"Z",IF(G178&lt;=Parametros!$B$6,"X",IF(G178&lt;=Parametros!$B$7,"Y","Z")))</f>
        <v>X</v>
      </c>
      <c r="L178" s="3" t="str">
        <f aca="false">J178&amp;K178</f>
        <v>BX</v>
      </c>
      <c r="M178" s="3" t="str">
        <f aca="false">INDEX(Parametros!$B$23:$B$31,MATCH(L178,Parametros!$A$23:$A$31,0))</f>
        <v>Estadístico + revisión de tendencia.</v>
      </c>
      <c r="N178" s="3" t="str">
        <f aca="false">INDEX(Parametros!$C$23:$C$31,MATCH(L178,Parametros!$A$23:$A$31,0))</f>
        <v>Mensual</v>
      </c>
      <c r="O178" s="23" t="n">
        <f aca="false">SUM(Datos_Semanales!M178:R178)</f>
        <v>26249</v>
      </c>
      <c r="P178" s="24" t="n">
        <f aca="false">IF(D178&gt;0,SUMPRODUCT(ABS(Datos_Semanales!F178:K178-Datos_Semanales!M178:R178))/D178,"")</f>
        <v>0.166077237592145</v>
      </c>
      <c r="Q178" s="24" t="n">
        <f aca="false">IF(D178&gt;0,O178/D178-1,"")</f>
        <v>-0.0207643179037216</v>
      </c>
      <c r="R178" s="23" t="n">
        <f aca="false">SQRT(SUMXMY2(Datos_Semanales!F178:K178,Datos_Semanales!M178:R178)/COUNT(Datos_Semanales!F178:K178))</f>
        <v>1005.95256018032</v>
      </c>
    </row>
    <row r="179" customFormat="false" ht="15" hidden="false" customHeight="false" outlineLevel="0" collapsed="false">
      <c r="A179" s="18" t="n">
        <f aca="false">Datos_Semanales!A179</f>
        <v>30002277</v>
      </c>
      <c r="B179" s="18" t="str">
        <f aca="false">Datos_Semanales!B179</f>
        <v>QUESO LPV CHANCO 8X434 GR</v>
      </c>
      <c r="C179" s="18" t="str">
        <f aca="false">Datos_Semanales!C179</f>
        <v>-</v>
      </c>
      <c r="D179" s="23" t="n">
        <f aca="false">SUM(Datos_Semanales!F179:K179)</f>
        <v>26713.568</v>
      </c>
      <c r="E179" s="23" t="n">
        <f aca="false">AVERAGE(Datos_Semanales!F179:K179)</f>
        <v>4452.26133333333</v>
      </c>
      <c r="F179" s="23" t="n">
        <f aca="false">STDEV(Datos_Semanales!F179:K179)</f>
        <v>2492.60358693561</v>
      </c>
      <c r="G179" s="27" t="n">
        <f aca="false">IF(E179&gt;0,F179/E179,"")</f>
        <v>0.559851140873943</v>
      </c>
      <c r="H179" s="24" t="n">
        <f aca="false">IF(SUM($D$5:$D$494)&gt;0,D179/SUM($D$5:$D$494),0)</f>
        <v>0.00111353607026764</v>
      </c>
      <c r="I179" s="24" t="n">
        <f aca="false">SUMIF($D$5:$D$494,"&gt;="&amp;D179)/SUM($D$5:$D$494)</f>
        <v>0.874563866008652</v>
      </c>
      <c r="J179" s="3" t="str">
        <f aca="false">IF(D179&lt;=0,"C",IF(I179&lt;=Parametros!$B$4,"A",IF(I179&lt;=Parametros!$B$5,"B","C")))</f>
        <v>B</v>
      </c>
      <c r="K179" s="3" t="str">
        <f aca="false">IF(E179&lt;=0,"Z",IF(G179&lt;=Parametros!$B$6,"X",IF(G179&lt;=Parametros!$B$7,"Y","Z")))</f>
        <v>Y</v>
      </c>
      <c r="L179" s="3" t="str">
        <f aca="false">J179&amp;K179</f>
        <v>BY</v>
      </c>
      <c r="M179" s="3" t="str">
        <f aca="false">INDEX(Parametros!$B$23:$B$31,MATCH(L179,Parametros!$A$23:$A$31,0))</f>
        <v>Validar promociones y eventos con comercial.</v>
      </c>
      <c r="N179" s="3" t="str">
        <f aca="false">INDEX(Parametros!$C$23:$C$31,MATCH(L179,Parametros!$A$23:$A$31,0))</f>
        <v>Quincenal</v>
      </c>
      <c r="O179" s="23" t="n">
        <f aca="false">SUM(Datos_Semanales!M179:R179)</f>
        <v>37000</v>
      </c>
      <c r="P179" s="24" t="n">
        <f aca="false">IF(D179&gt;0,SUMPRODUCT(ABS(Datos_Semanales!F179:K179-Datos_Semanales!M179:R179))/D179,"")</f>
        <v>0.445058031933435</v>
      </c>
      <c r="Q179" s="24" t="n">
        <f aca="false">IF(D179&gt;0,O179/D179-1,"")</f>
        <v>0.385063949525575</v>
      </c>
      <c r="R179" s="23" t="n">
        <f aca="false">SQRT(SUMXMY2(Datos_Semanales!F179:K179,Datos_Semanales!M179:R179)/COUNT(Datos_Semanales!F179:K179))</f>
        <v>2552.32067897015</v>
      </c>
    </row>
    <row r="180" customFormat="false" ht="15" hidden="false" customHeight="false" outlineLevel="0" collapsed="false">
      <c r="A180" s="18" t="n">
        <f aca="false">Datos_Semanales!A180</f>
        <v>30000478</v>
      </c>
      <c r="B180" s="18" t="str">
        <f aca="false">Datos_Semanales!B180</f>
        <v>CAPPUCCINO LONCOLECHE 12X1LT</v>
      </c>
      <c r="C180" s="18" t="str">
        <f aca="false">Datos_Semanales!C180</f>
        <v>LECHES LIQUIDAS</v>
      </c>
      <c r="D180" s="23" t="n">
        <f aca="false">SUM(Datos_Semanales!F180:K180)</f>
        <v>26604</v>
      </c>
      <c r="E180" s="23" t="n">
        <f aca="false">AVERAGE(Datos_Semanales!F180:K180)</f>
        <v>4434</v>
      </c>
      <c r="F180" s="23" t="n">
        <f aca="false">STDEV(Datos_Semanales!F180:K180)</f>
        <v>1215.75458049723</v>
      </c>
      <c r="G180" s="27" t="n">
        <f aca="false">IF(E180&gt;0,F180/E180,"")</f>
        <v>0.274189125055758</v>
      </c>
      <c r="H180" s="24" t="n">
        <f aca="false">IF(SUM($D$5:$D$494)&gt;0,D180/SUM($D$5:$D$494),0)</f>
        <v>0.00110896880616622</v>
      </c>
      <c r="I180" s="24" t="n">
        <f aca="false">SUMIF($D$5:$D$494,"&gt;="&amp;D180)/SUM($D$5:$D$494)</f>
        <v>0.875672834814819</v>
      </c>
      <c r="J180" s="3" t="str">
        <f aca="false">IF(D180&lt;=0,"C",IF(I180&lt;=Parametros!$B$4,"A",IF(I180&lt;=Parametros!$B$5,"B","C")))</f>
        <v>B</v>
      </c>
      <c r="K180" s="3" t="str">
        <f aca="false">IF(E180&lt;=0,"Z",IF(G180&lt;=Parametros!$B$6,"X",IF(G180&lt;=Parametros!$B$7,"Y","Z")))</f>
        <v>X</v>
      </c>
      <c r="L180" s="3" t="str">
        <f aca="false">J180&amp;K180</f>
        <v>BX</v>
      </c>
      <c r="M180" s="3" t="str">
        <f aca="false">INDEX(Parametros!$B$23:$B$31,MATCH(L180,Parametros!$A$23:$A$31,0))</f>
        <v>Estadístico + revisión de tendencia.</v>
      </c>
      <c r="N180" s="3" t="str">
        <f aca="false">INDEX(Parametros!$C$23:$C$31,MATCH(L180,Parametros!$A$23:$A$31,0))</f>
        <v>Mensual</v>
      </c>
      <c r="O180" s="23" t="n">
        <f aca="false">SUM(Datos_Semanales!M180:R180)</f>
        <v>27881.0422169855</v>
      </c>
      <c r="P180" s="24" t="n">
        <f aca="false">IF(D180&gt;0,SUMPRODUCT(ABS(Datos_Semanales!F180:K180-Datos_Semanales!M180:R180))/D180,"")</f>
        <v>0.250482550857559</v>
      </c>
      <c r="Q180" s="24" t="n">
        <f aca="false">IF(D180&gt;0,O180/D180-1,"")</f>
        <v>0.0480018875727528</v>
      </c>
      <c r="R180" s="23" t="n">
        <f aca="false">SQRT(SUMXMY2(Datos_Semanales!F180:K180,Datos_Semanales!M180:R180)/COUNT(Datos_Semanales!F180:K180))</f>
        <v>1251.10230060051</v>
      </c>
    </row>
    <row r="181" customFormat="false" ht="15" hidden="false" customHeight="false" outlineLevel="0" collapsed="false">
      <c r="A181" s="18" t="n">
        <f aca="false">Datos_Semanales!A181</f>
        <v>30000351</v>
      </c>
      <c r="B181" s="18" t="str">
        <f aca="false">Datos_Semanales!B181</f>
        <v>LECHE VAINILLA 30X200ML</v>
      </c>
      <c r="C181" s="18" t="str">
        <f aca="false">Datos_Semanales!C181</f>
        <v>-</v>
      </c>
      <c r="D181" s="23" t="n">
        <f aca="false">SUM(Datos_Semanales!F181:K181)</f>
        <v>26544</v>
      </c>
      <c r="E181" s="23" t="n">
        <f aca="false">AVERAGE(Datos_Semanales!F181:K181)</f>
        <v>4424</v>
      </c>
      <c r="F181" s="23" t="n">
        <f aca="false">STDEV(Datos_Semanales!F181:K181)</f>
        <v>803.298201168159</v>
      </c>
      <c r="G181" s="27" t="n">
        <f aca="false">IF(E181&gt;0,F181/E181,"")</f>
        <v>0.181577351077794</v>
      </c>
      <c r="H181" s="24" t="n">
        <f aca="false">IF(SUM($D$5:$D$494)&gt;0,D181/SUM($D$5:$D$494),0)</f>
        <v>0.0011064677488677</v>
      </c>
      <c r="I181" s="24" t="n">
        <f aca="false">SUMIF($D$5:$D$494,"&gt;="&amp;D181)/SUM($D$5:$D$494)</f>
        <v>0.876779302563686</v>
      </c>
      <c r="J181" s="3" t="str">
        <f aca="false">IF(D181&lt;=0,"C",IF(I181&lt;=Parametros!$B$4,"A",IF(I181&lt;=Parametros!$B$5,"B","C")))</f>
        <v>B</v>
      </c>
      <c r="K181" s="3" t="str">
        <f aca="false">IF(E181&lt;=0,"Z",IF(G181&lt;=Parametros!$B$6,"X",IF(G181&lt;=Parametros!$B$7,"Y","Z")))</f>
        <v>X</v>
      </c>
      <c r="L181" s="3" t="str">
        <f aca="false">J181&amp;K181</f>
        <v>BX</v>
      </c>
      <c r="M181" s="3" t="str">
        <f aca="false">INDEX(Parametros!$B$23:$B$31,MATCH(L181,Parametros!$A$23:$A$31,0))</f>
        <v>Estadístico + revisión de tendencia.</v>
      </c>
      <c r="N181" s="3" t="str">
        <f aca="false">INDEX(Parametros!$C$23:$C$31,MATCH(L181,Parametros!$A$23:$A$31,0))</f>
        <v>Mensual</v>
      </c>
      <c r="O181" s="23" t="n">
        <f aca="false">SUM(Datos_Semanales!M181:R181)</f>
        <v>25584.5581483683</v>
      </c>
      <c r="P181" s="24" t="n">
        <f aca="false">IF(D181&gt;0,SUMPRODUCT(ABS(Datos_Semanales!F181:K181-Datos_Semanales!M181:R181))/D181,"")</f>
        <v>0.161415520258606</v>
      </c>
      <c r="Q181" s="24" t="n">
        <f aca="false">IF(D181&gt;0,O181/D181-1,"")</f>
        <v>-0.0361453379909458</v>
      </c>
      <c r="R181" s="23" t="n">
        <f aca="false">SQRT(SUMXMY2(Datos_Semanales!F181:K181,Datos_Semanales!M181:R181)/COUNT(Datos_Semanales!F181:K181))</f>
        <v>896.553569968013</v>
      </c>
    </row>
    <row r="182" customFormat="false" ht="15" hidden="false" customHeight="false" outlineLevel="0" collapsed="false">
      <c r="A182" s="18" t="n">
        <f aca="false">Datos_Semanales!A182</f>
        <v>30001996</v>
      </c>
      <c r="B182" s="18" t="str">
        <f aca="false">Datos_Semanales!B182</f>
        <v>JUGO EXPRIMIDO WATTS NJA 6X1,5LT</v>
      </c>
      <c r="C182" s="18" t="str">
        <f aca="false">Datos_Semanales!C182</f>
        <v>JUGOS Y NECTARES</v>
      </c>
      <c r="D182" s="23" t="n">
        <f aca="false">SUM(Datos_Semanales!F182:K182)</f>
        <v>26352</v>
      </c>
      <c r="E182" s="23" t="n">
        <f aca="false">AVERAGE(Datos_Semanales!F182:K182)</f>
        <v>4392</v>
      </c>
      <c r="F182" s="23" t="n">
        <f aca="false">STDEV(Datos_Semanales!F182:K182)</f>
        <v>1632.09485018488</v>
      </c>
      <c r="G182" s="27" t="n">
        <f aca="false">IF(E182&gt;0,F182/E182,"")</f>
        <v>0.371606295579435</v>
      </c>
      <c r="H182" s="24" t="n">
        <f aca="false">IF(SUM($D$5:$D$494)&gt;0,D182/SUM($D$5:$D$494),0)</f>
        <v>0.00109846436551242</v>
      </c>
      <c r="I182" s="24" t="n">
        <f aca="false">SUMIF($D$5:$D$494,"&gt;="&amp;D182)/SUM($D$5:$D$494)</f>
        <v>0.877877766929199</v>
      </c>
      <c r="J182" s="3" t="str">
        <f aca="false">IF(D182&lt;=0,"C",IF(I182&lt;=Parametros!$B$4,"A",IF(I182&lt;=Parametros!$B$5,"B","C")))</f>
        <v>B</v>
      </c>
      <c r="K182" s="3" t="str">
        <f aca="false">IF(E182&lt;=0,"Z",IF(G182&lt;=Parametros!$B$6,"X",IF(G182&lt;=Parametros!$B$7,"Y","Z")))</f>
        <v>X</v>
      </c>
      <c r="L182" s="3" t="str">
        <f aca="false">J182&amp;K182</f>
        <v>BX</v>
      </c>
      <c r="M182" s="3" t="str">
        <f aca="false">INDEX(Parametros!$B$23:$B$31,MATCH(L182,Parametros!$A$23:$A$31,0))</f>
        <v>Estadístico + revisión de tendencia.</v>
      </c>
      <c r="N182" s="3" t="str">
        <f aca="false">INDEX(Parametros!$C$23:$C$31,MATCH(L182,Parametros!$A$23:$A$31,0))</f>
        <v>Mensual</v>
      </c>
      <c r="O182" s="23" t="n">
        <f aca="false">SUM(Datos_Semanales!M182:R182)</f>
        <v>23235.6254120036</v>
      </c>
      <c r="P182" s="24" t="n">
        <f aca="false">IF(D182&gt;0,SUMPRODUCT(ABS(Datos_Semanales!F182:K182-Datos_Semanales!M182:R182))/D182,"")</f>
        <v>0.335144374638492</v>
      </c>
      <c r="Q182" s="24" t="n">
        <f aca="false">IF(D182&gt;0,O182/D182-1,"")</f>
        <v>-0.118259509259124</v>
      </c>
      <c r="R182" s="23" t="n">
        <f aca="false">SQRT(SUMXMY2(Datos_Semanales!F182:K182,Datos_Semanales!M182:R182)/COUNT(Datos_Semanales!F182:K182))</f>
        <v>1593.00720645733</v>
      </c>
    </row>
    <row r="183" customFormat="false" ht="15" hidden="false" customHeight="false" outlineLevel="0" collapsed="false">
      <c r="A183" s="18" t="n">
        <f aca="false">Datos_Semanales!A183</f>
        <v>30001657</v>
      </c>
      <c r="B183" s="18" t="str">
        <f aca="false">Datos_Semanales!B183</f>
        <v>MERMELADA WATTS FRUTILLA 12X360GR</v>
      </c>
      <c r="C183" s="18" t="str">
        <f aca="false">Datos_Semanales!C183</f>
        <v>MERMELADAS</v>
      </c>
      <c r="D183" s="23" t="n">
        <f aca="false">SUM(Datos_Semanales!F183:K183)</f>
        <v>26274.24</v>
      </c>
      <c r="E183" s="23" t="n">
        <f aca="false">AVERAGE(Datos_Semanales!F183:K183)</f>
        <v>4379.04</v>
      </c>
      <c r="F183" s="23" t="n">
        <f aca="false">STDEV(Datos_Semanales!F183:K183)</f>
        <v>789.091094361101</v>
      </c>
      <c r="G183" s="27" t="n">
        <f aca="false">IF(E183&gt;0,F183/E183,"")</f>
        <v>0.180197279394822</v>
      </c>
      <c r="H183" s="24" t="n">
        <f aca="false">IF(SUM($D$5:$D$494)&gt;0,D183/SUM($D$5:$D$494),0)</f>
        <v>0.00109522299525353</v>
      </c>
      <c r="I183" s="24" t="n">
        <f aca="false">SUMIF($D$5:$D$494,"&gt;="&amp;D183)/SUM($D$5:$D$494)</f>
        <v>0.878972989924452</v>
      </c>
      <c r="J183" s="3" t="str">
        <f aca="false">IF(D183&lt;=0,"C",IF(I183&lt;=Parametros!$B$4,"A",IF(I183&lt;=Parametros!$B$5,"B","C")))</f>
        <v>B</v>
      </c>
      <c r="K183" s="3" t="str">
        <f aca="false">IF(E183&lt;=0,"Z",IF(G183&lt;=Parametros!$B$6,"X",IF(G183&lt;=Parametros!$B$7,"Y","Z")))</f>
        <v>X</v>
      </c>
      <c r="L183" s="3" t="str">
        <f aca="false">J183&amp;K183</f>
        <v>BX</v>
      </c>
      <c r="M183" s="3" t="str">
        <f aca="false">INDEX(Parametros!$B$23:$B$31,MATCH(L183,Parametros!$A$23:$A$31,0))</f>
        <v>Estadístico + revisión de tendencia.</v>
      </c>
      <c r="N183" s="3" t="str">
        <f aca="false">INDEX(Parametros!$C$23:$C$31,MATCH(L183,Parametros!$A$23:$A$31,0))</f>
        <v>Mensual</v>
      </c>
      <c r="O183" s="23" t="n">
        <f aca="false">SUM(Datos_Semanales!M183:R183)</f>
        <v>25078.24</v>
      </c>
      <c r="P183" s="24" t="n">
        <f aca="false">IF(D183&gt;0,SUMPRODUCT(ABS(Datos_Semanales!F183:K183-Datos_Semanales!M183:R183))/D183,"")</f>
        <v>0.109308585138904</v>
      </c>
      <c r="Q183" s="24" t="n">
        <f aca="false">IF(D183&gt;0,O183/D183-1,"")</f>
        <v>-0.0455198704129977</v>
      </c>
      <c r="R183" s="23" t="n">
        <f aca="false">SQRT(SUMXMY2(Datos_Semanales!F183:K183,Datos_Semanales!M183:R183)/COUNT(Datos_Semanales!F183:K183))</f>
        <v>521.090718653352</v>
      </c>
    </row>
    <row r="184" customFormat="false" ht="15" hidden="false" customHeight="false" outlineLevel="0" collapsed="false">
      <c r="A184" s="18" t="n">
        <f aca="false">Datos_Semanales!A184</f>
        <v>30000490</v>
      </c>
      <c r="B184" s="18" t="str">
        <f aca="false">Datos_Semanales!B184</f>
        <v>YOG S/LAC LCO VLLA BOL 12X900GR</v>
      </c>
      <c r="C184" s="18" t="str">
        <f aca="false">Datos_Semanales!C184</f>
        <v>YOGURT</v>
      </c>
      <c r="D184" s="23" t="n">
        <f aca="false">SUM(Datos_Semanales!F184:K184)</f>
        <v>25984.8</v>
      </c>
      <c r="E184" s="23" t="n">
        <f aca="false">AVERAGE(Datos_Semanales!F184:K184)</f>
        <v>4330.8</v>
      </c>
      <c r="F184" s="23" t="n">
        <f aca="false">STDEV(Datos_Semanales!F184:K184)</f>
        <v>1114.2962478623</v>
      </c>
      <c r="G184" s="27" t="n">
        <f aca="false">IF(E184&gt;0,F184/E184,"")</f>
        <v>0.257295706996929</v>
      </c>
      <c r="H184" s="24" t="n">
        <f aca="false">IF(SUM($D$5:$D$494)&gt;0,D184/SUM($D$5:$D$494),0)</f>
        <v>0.00108315789484544</v>
      </c>
      <c r="I184" s="24" t="n">
        <f aca="false">SUMIF($D$5:$D$494,"&gt;="&amp;D184)/SUM($D$5:$D$494)</f>
        <v>0.880056147819298</v>
      </c>
      <c r="J184" s="3" t="str">
        <f aca="false">IF(D184&lt;=0,"C",IF(I184&lt;=Parametros!$B$4,"A",IF(I184&lt;=Parametros!$B$5,"B","C")))</f>
        <v>B</v>
      </c>
      <c r="K184" s="3" t="str">
        <f aca="false">IF(E184&lt;=0,"Z",IF(G184&lt;=Parametros!$B$6,"X",IF(G184&lt;=Parametros!$B$7,"Y","Z")))</f>
        <v>X</v>
      </c>
      <c r="L184" s="3" t="str">
        <f aca="false">J184&amp;K184</f>
        <v>BX</v>
      </c>
      <c r="M184" s="3" t="str">
        <f aca="false">INDEX(Parametros!$B$23:$B$31,MATCH(L184,Parametros!$A$23:$A$31,0))</f>
        <v>Estadístico + revisión de tendencia.</v>
      </c>
      <c r="N184" s="3" t="str">
        <f aca="false">INDEX(Parametros!$C$23:$C$31,MATCH(L184,Parametros!$A$23:$A$31,0))</f>
        <v>Mensual</v>
      </c>
      <c r="O184" s="23" t="n">
        <f aca="false">SUM(Datos_Semanales!M184:R184)</f>
        <v>21179.0813126563</v>
      </c>
      <c r="P184" s="24" t="n">
        <f aca="false">IF(D184&gt;0,SUMPRODUCT(ABS(Datos_Semanales!F184:K184-Datos_Semanales!M184:R184))/D184,"")</f>
        <v>0.184943454917632</v>
      </c>
      <c r="Q184" s="24" t="n">
        <f aca="false">IF(D184&gt;0,O184/D184-1,"")</f>
        <v>-0.184943454917632</v>
      </c>
      <c r="R184" s="23" t="n">
        <f aca="false">SQRT(SUMXMY2(Datos_Semanales!F184:K184,Datos_Semanales!M184:R184)/COUNT(Datos_Semanales!F184:K184))</f>
        <v>995.560150643802</v>
      </c>
    </row>
    <row r="185" customFormat="false" ht="15" hidden="false" customHeight="false" outlineLevel="0" collapsed="false">
      <c r="A185" s="18" t="n">
        <f aca="false">Datos_Semanales!A185</f>
        <v>30001083</v>
      </c>
      <c r="B185" s="18" t="str">
        <f aca="false">Datos_Semanales!B185</f>
        <v>YOG GRI OIKOS TZO COCO 48X110GR</v>
      </c>
      <c r="C185" s="18" t="str">
        <f aca="false">Datos_Semanales!C185</f>
        <v>YOGURT</v>
      </c>
      <c r="D185" s="23" t="n">
        <f aca="false">SUM(Datos_Semanales!F185:K185)</f>
        <v>25808.64</v>
      </c>
      <c r="E185" s="23" t="n">
        <f aca="false">AVERAGE(Datos_Semanales!F185:K185)</f>
        <v>4301.44</v>
      </c>
      <c r="F185" s="23" t="n">
        <f aca="false">STDEV(Datos_Semanales!F185:K185)</f>
        <v>1659.12241747256</v>
      </c>
      <c r="G185" s="27" t="n">
        <f aca="false">IF(E185&gt;0,F185/E185,"")</f>
        <v>0.385713253578467</v>
      </c>
      <c r="H185" s="24" t="n">
        <f aca="false">IF(SUM($D$5:$D$494)&gt;0,D185/SUM($D$5:$D$494),0)</f>
        <v>0.00107581479061697</v>
      </c>
      <c r="I185" s="24" t="n">
        <f aca="false">SUMIF($D$5:$D$494,"&gt;="&amp;D185)/SUM($D$5:$D$494)</f>
        <v>0.881131962609915</v>
      </c>
      <c r="J185" s="3" t="str">
        <f aca="false">IF(D185&lt;=0,"C",IF(I185&lt;=Parametros!$B$4,"A",IF(I185&lt;=Parametros!$B$5,"B","C")))</f>
        <v>B</v>
      </c>
      <c r="K185" s="3" t="str">
        <f aca="false">IF(E185&lt;=0,"Z",IF(G185&lt;=Parametros!$B$6,"X",IF(G185&lt;=Parametros!$B$7,"Y","Z")))</f>
        <v>X</v>
      </c>
      <c r="L185" s="3" t="str">
        <f aca="false">J185&amp;K185</f>
        <v>BX</v>
      </c>
      <c r="M185" s="3" t="str">
        <f aca="false">INDEX(Parametros!$B$23:$B$31,MATCH(L185,Parametros!$A$23:$A$31,0))</f>
        <v>Estadístico + revisión de tendencia.</v>
      </c>
      <c r="N185" s="3" t="str">
        <f aca="false">INDEX(Parametros!$C$23:$C$31,MATCH(L185,Parametros!$A$23:$A$31,0))</f>
        <v>Mensual</v>
      </c>
      <c r="O185" s="23" t="n">
        <f aca="false">SUM(Datos_Semanales!M185:R185)</f>
        <v>20443.3470585265</v>
      </c>
      <c r="P185" s="24" t="n">
        <f aca="false">IF(D185&gt;0,SUMPRODUCT(ABS(Datos_Semanales!F185:K185-Datos_Semanales!M185:R185))/D185,"")</f>
        <v>0.357010586766152</v>
      </c>
      <c r="Q185" s="24" t="n">
        <f aca="false">IF(D185&gt;0,O185/D185-1,"")</f>
        <v>-0.207887472624418</v>
      </c>
      <c r="R185" s="23" t="n">
        <f aca="false">SQRT(SUMXMY2(Datos_Semanales!F185:K185,Datos_Semanales!M185:R185)/COUNT(Datos_Semanales!F185:K185))</f>
        <v>1879.84807913791</v>
      </c>
    </row>
    <row r="186" customFormat="false" ht="15" hidden="false" customHeight="false" outlineLevel="0" collapsed="false">
      <c r="A186" s="18" t="n">
        <f aca="false">Datos_Semanales!A186</f>
        <v>30000245</v>
      </c>
      <c r="B186" s="18" t="str">
        <f aca="false">Datos_Semanales!B186</f>
        <v>NECTAR WATT'S MANZANA 12X1LT</v>
      </c>
      <c r="C186" s="18" t="str">
        <f aca="false">Datos_Semanales!C186</f>
        <v>JUGOS Y NECTARES</v>
      </c>
      <c r="D186" s="23" t="n">
        <f aca="false">SUM(Datos_Semanales!F186:K186)</f>
        <v>25380</v>
      </c>
      <c r="E186" s="23" t="n">
        <f aca="false">AVERAGE(Datos_Semanales!F186:K186)</f>
        <v>4230</v>
      </c>
      <c r="F186" s="23" t="n">
        <f aca="false">STDEV(Datos_Semanales!F186:K186)</f>
        <v>1953.83806903233</v>
      </c>
      <c r="G186" s="27" t="n">
        <f aca="false">IF(E186&gt;0,F186/E186,"")</f>
        <v>0.46190025272632</v>
      </c>
      <c r="H186" s="24" t="n">
        <f aca="false">IF(SUM($D$5:$D$494)&gt;0,D186/SUM($D$5:$D$494),0)</f>
        <v>0.0010579472372763</v>
      </c>
      <c r="I186" s="24" t="n">
        <f aca="false">SUMIF($D$5:$D$494,"&gt;="&amp;D186)/SUM($D$5:$D$494)</f>
        <v>0.882189909847191</v>
      </c>
      <c r="J186" s="3" t="str">
        <f aca="false">IF(D186&lt;=0,"C",IF(I186&lt;=Parametros!$B$4,"A",IF(I186&lt;=Parametros!$B$5,"B","C")))</f>
        <v>B</v>
      </c>
      <c r="K186" s="3" t="str">
        <f aca="false">IF(E186&lt;=0,"Z",IF(G186&lt;=Parametros!$B$6,"X",IF(G186&lt;=Parametros!$B$7,"Y","Z")))</f>
        <v>X</v>
      </c>
      <c r="L186" s="3" t="str">
        <f aca="false">J186&amp;K186</f>
        <v>BX</v>
      </c>
      <c r="M186" s="3" t="str">
        <f aca="false">INDEX(Parametros!$B$23:$B$31,MATCH(L186,Parametros!$A$23:$A$31,0))</f>
        <v>Estadístico + revisión de tendencia.</v>
      </c>
      <c r="N186" s="3" t="str">
        <f aca="false">INDEX(Parametros!$C$23:$C$31,MATCH(L186,Parametros!$A$23:$A$31,0))</f>
        <v>Mensual</v>
      </c>
      <c r="O186" s="23" t="n">
        <f aca="false">SUM(Datos_Semanales!M186:R186)</f>
        <v>20092.0275302319</v>
      </c>
      <c r="P186" s="24" t="n">
        <f aca="false">IF(D186&gt;0,SUMPRODUCT(ABS(Datos_Semanales!F186:K186-Datos_Semanales!M186:R186))/D186,"")</f>
        <v>0.358809001960917</v>
      </c>
      <c r="Q186" s="24" t="n">
        <f aca="false">IF(D186&gt;0,O186/D186-1,"")</f>
        <v>-0.208351949163439</v>
      </c>
      <c r="R186" s="23" t="n">
        <f aca="false">SQRT(SUMXMY2(Datos_Semanales!F186:K186,Datos_Semanales!M186:R186)/COUNT(Datos_Semanales!F186:K186))</f>
        <v>2127.55456668968</v>
      </c>
    </row>
    <row r="187" customFormat="false" ht="15" hidden="false" customHeight="false" outlineLevel="0" collapsed="false">
      <c r="A187" s="18" t="n">
        <f aca="false">Datos_Semanales!A187</f>
        <v>30000559</v>
      </c>
      <c r="B187" s="18" t="str">
        <f aca="false">Datos_Semanales!B187</f>
        <v>QUESO LAS PARCELAS TROZO 16X350GR</v>
      </c>
      <c r="C187" s="18" t="str">
        <f aca="false">Datos_Semanales!C187</f>
        <v>QUESOS</v>
      </c>
      <c r="D187" s="23" t="n">
        <f aca="false">SUM(Datos_Semanales!F187:K187)</f>
        <v>25379.2</v>
      </c>
      <c r="E187" s="23" t="n">
        <f aca="false">AVERAGE(Datos_Semanales!F187:K187)</f>
        <v>4229.86666666667</v>
      </c>
      <c r="F187" s="23" t="n">
        <f aca="false">STDEV(Datos_Semanales!F187:K187)</f>
        <v>1085.62419034704</v>
      </c>
      <c r="G187" s="27" t="n">
        <f aca="false">IF(E187&gt;0,F187/E187,"")</f>
        <v>0.256656834812848</v>
      </c>
      <c r="H187" s="24" t="n">
        <f aca="false">IF(SUM($D$5:$D$494)&gt;0,D187/SUM($D$5:$D$494),0)</f>
        <v>0.00105791388984566</v>
      </c>
      <c r="I187" s="24" t="n">
        <f aca="false">SUMIF($D$5:$D$494,"&gt;="&amp;D187)/SUM($D$5:$D$494)</f>
        <v>0.883247823737037</v>
      </c>
      <c r="J187" s="3" t="str">
        <f aca="false">IF(D187&lt;=0,"C",IF(I187&lt;=Parametros!$B$4,"A",IF(I187&lt;=Parametros!$B$5,"B","C")))</f>
        <v>B</v>
      </c>
      <c r="K187" s="3" t="str">
        <f aca="false">IF(E187&lt;=0,"Z",IF(G187&lt;=Parametros!$B$6,"X",IF(G187&lt;=Parametros!$B$7,"Y","Z")))</f>
        <v>X</v>
      </c>
      <c r="L187" s="3" t="str">
        <f aca="false">J187&amp;K187</f>
        <v>BX</v>
      </c>
      <c r="M187" s="3" t="str">
        <f aca="false">INDEX(Parametros!$B$23:$B$31,MATCH(L187,Parametros!$A$23:$A$31,0))</f>
        <v>Estadístico + revisión de tendencia.</v>
      </c>
      <c r="N187" s="3" t="str">
        <f aca="false">INDEX(Parametros!$C$23:$C$31,MATCH(L187,Parametros!$A$23:$A$31,0))</f>
        <v>Mensual</v>
      </c>
      <c r="O187" s="23" t="n">
        <f aca="false">SUM(Datos_Semanales!M187:R187)</f>
        <v>24909.1440664176</v>
      </c>
      <c r="P187" s="24" t="n">
        <f aca="false">IF(D187&gt;0,SUMPRODUCT(ABS(Datos_Semanales!F187:K187-Datos_Semanales!M187:R187))/D187,"")</f>
        <v>0.221144513958301</v>
      </c>
      <c r="Q187" s="24" t="n">
        <f aca="false">IF(D187&gt;0,O187/D187-1,"")</f>
        <v>-0.0185213061712908</v>
      </c>
      <c r="R187" s="23" t="n">
        <f aca="false">SQRT(SUMXMY2(Datos_Semanales!F187:K187,Datos_Semanales!M187:R187)/COUNT(Datos_Semanales!F187:K187))</f>
        <v>1060.97747559559</v>
      </c>
    </row>
    <row r="188" customFormat="false" ht="15" hidden="false" customHeight="false" outlineLevel="0" collapsed="false">
      <c r="A188" s="18" t="n">
        <f aca="false">Datos_Semanales!A188</f>
        <v>30001946</v>
      </c>
      <c r="B188" s="18" t="str">
        <f aca="false">Datos_Semanales!B188</f>
        <v>NECTAR WATTS SELECCION MGO/MCYA 6X1.6LT</v>
      </c>
      <c r="C188" s="18" t="str">
        <f aca="false">Datos_Semanales!C188</f>
        <v>JUGOS Y NECTARES</v>
      </c>
      <c r="D188" s="23" t="n">
        <f aca="false">SUM(Datos_Semanales!F188:K188)</f>
        <v>25171.2</v>
      </c>
      <c r="E188" s="23" t="n">
        <f aca="false">AVERAGE(Datos_Semanales!F188:K188)</f>
        <v>4195.2</v>
      </c>
      <c r="F188" s="23" t="n">
        <f aca="false">STDEV(Datos_Semanales!F188:K188)</f>
        <v>1040.17229342066</v>
      </c>
      <c r="G188" s="27" t="n">
        <f aca="false">IF(E188&gt;0,F188/E188,"")</f>
        <v>0.24794343378639</v>
      </c>
      <c r="H188" s="24" t="n">
        <f aca="false">IF(SUM($D$5:$D$494)&gt;0,D188/SUM($D$5:$D$494),0)</f>
        <v>0.00104924355787743</v>
      </c>
      <c r="I188" s="24" t="n">
        <f aca="false">SUMIF($D$5:$D$494,"&gt;="&amp;D188)/SUM($D$5:$D$494)</f>
        <v>0.884297067294914</v>
      </c>
      <c r="J188" s="3" t="str">
        <f aca="false">IF(D188&lt;=0,"C",IF(I188&lt;=Parametros!$B$4,"A",IF(I188&lt;=Parametros!$B$5,"B","C")))</f>
        <v>B</v>
      </c>
      <c r="K188" s="3" t="str">
        <f aca="false">IF(E188&lt;=0,"Z",IF(G188&lt;=Parametros!$B$6,"X",IF(G188&lt;=Parametros!$B$7,"Y","Z")))</f>
        <v>X</v>
      </c>
      <c r="L188" s="3" t="str">
        <f aca="false">J188&amp;K188</f>
        <v>BX</v>
      </c>
      <c r="M188" s="3" t="str">
        <f aca="false">INDEX(Parametros!$B$23:$B$31,MATCH(L188,Parametros!$A$23:$A$31,0))</f>
        <v>Estadístico + revisión de tendencia.</v>
      </c>
      <c r="N188" s="3" t="str">
        <f aca="false">INDEX(Parametros!$C$23:$C$31,MATCH(L188,Parametros!$A$23:$A$31,0))</f>
        <v>Mensual</v>
      </c>
      <c r="O188" s="23" t="n">
        <f aca="false">SUM(Datos_Semanales!M188:R188)</f>
        <v>24505.0386878624</v>
      </c>
      <c r="P188" s="24" t="n">
        <f aca="false">IF(D188&gt;0,SUMPRODUCT(ABS(Datos_Semanales!F188:K188-Datos_Semanales!M188:R188))/D188,"")</f>
        <v>0.233328316649153</v>
      </c>
      <c r="Q188" s="24" t="n">
        <f aca="false">IF(D188&gt;0,O188/D188-1,"")</f>
        <v>-0.0264652186680636</v>
      </c>
      <c r="R188" s="23" t="n">
        <f aca="false">SQRT(SUMXMY2(Datos_Semanales!F188:K188,Datos_Semanales!M188:R188)/COUNT(Datos_Semanales!F188:K188))</f>
        <v>1058.19255059771</v>
      </c>
    </row>
    <row r="189" customFormat="false" ht="15" hidden="false" customHeight="false" outlineLevel="0" collapsed="false">
      <c r="A189" s="18" t="n">
        <f aca="false">Datos_Semanales!A189</f>
        <v>30002359</v>
      </c>
      <c r="B189" s="18" t="str">
        <f aca="false">Datos_Semanales!B189</f>
        <v>LECHE BON MOMENT DAN CAPPUCCINO 5X6X200ML</v>
      </c>
      <c r="C189" s="18" t="str">
        <f aca="false">Datos_Semanales!C189</f>
        <v>-</v>
      </c>
      <c r="D189" s="23" t="n">
        <f aca="false">SUM(Datos_Semanales!F189:K189)</f>
        <v>24516</v>
      </c>
      <c r="E189" s="23" t="n">
        <f aca="false">AVERAGE(Datos_Semanales!F189:K189)</f>
        <v>4086</v>
      </c>
      <c r="F189" s="23" t="n">
        <f aca="false">STDEV(Datos_Semanales!F189:K189)</f>
        <v>1330.12300183103</v>
      </c>
      <c r="G189" s="27" t="n">
        <f aca="false">IF(E189&gt;0,F189/E189,"")</f>
        <v>0.32553181640505</v>
      </c>
      <c r="H189" s="24" t="n">
        <f aca="false">IF(SUM($D$5:$D$494)&gt;0,D189/SUM($D$5:$D$494),0)</f>
        <v>0.00102193201217754</v>
      </c>
      <c r="I189" s="24" t="n">
        <f aca="false">SUMIF($D$5:$D$494,"&gt;="&amp;D189)/SUM($D$5:$D$494)</f>
        <v>0.885318999307092</v>
      </c>
      <c r="J189" s="3" t="str">
        <f aca="false">IF(D189&lt;=0,"C",IF(I189&lt;=Parametros!$B$4,"A",IF(I189&lt;=Parametros!$B$5,"B","C")))</f>
        <v>B</v>
      </c>
      <c r="K189" s="3" t="str">
        <f aca="false">IF(E189&lt;=0,"Z",IF(G189&lt;=Parametros!$B$6,"X",IF(G189&lt;=Parametros!$B$7,"Y","Z")))</f>
        <v>X</v>
      </c>
      <c r="L189" s="3" t="str">
        <f aca="false">J189&amp;K189</f>
        <v>BX</v>
      </c>
      <c r="M189" s="3" t="str">
        <f aca="false">INDEX(Parametros!$B$23:$B$31,MATCH(L189,Parametros!$A$23:$A$31,0))</f>
        <v>Estadístico + revisión de tendencia.</v>
      </c>
      <c r="N189" s="3" t="str">
        <f aca="false">INDEX(Parametros!$C$23:$C$31,MATCH(L189,Parametros!$A$23:$A$31,0))</f>
        <v>Mensual</v>
      </c>
      <c r="O189" s="23" t="n">
        <f aca="false">SUM(Datos_Semanales!M189:R189)</f>
        <v>18398.1306136282</v>
      </c>
      <c r="P189" s="24" t="n">
        <f aca="false">IF(D189&gt;0,SUMPRODUCT(ABS(Datos_Semanales!F189:K189-Datos_Semanales!M189:R189))/D189,"")</f>
        <v>0.33318891280681</v>
      </c>
      <c r="Q189" s="24" t="n">
        <f aca="false">IF(D189&gt;0,O189/D189-1,"")</f>
        <v>-0.249545985738773</v>
      </c>
      <c r="R189" s="23" t="n">
        <f aca="false">SQRT(SUMXMY2(Datos_Semanales!F189:K189,Datos_Semanales!M189:R189)/COUNT(Datos_Semanales!F189:K189))</f>
        <v>1563.46497157299</v>
      </c>
    </row>
    <row r="190" customFormat="false" ht="15" hidden="false" customHeight="false" outlineLevel="0" collapsed="false">
      <c r="A190" s="18" t="n">
        <f aca="false">Datos_Semanales!A190</f>
        <v>30000006</v>
      </c>
      <c r="B190" s="18" t="str">
        <f aca="false">Datos_Semanales!B190</f>
        <v>L.UHT MOMENTS MOCA 12X1LT</v>
      </c>
      <c r="C190" s="18" t="str">
        <f aca="false">Datos_Semanales!C190</f>
        <v>LECHES LIQUIDAS</v>
      </c>
      <c r="D190" s="23" t="n">
        <f aca="false">SUM(Datos_Semanales!F190:K190)</f>
        <v>24288</v>
      </c>
      <c r="E190" s="23" t="n">
        <f aca="false">AVERAGE(Datos_Semanales!F190:K190)</f>
        <v>4048</v>
      </c>
      <c r="F190" s="23" t="n">
        <f aca="false">STDEV(Datos_Semanales!F190:K190)</f>
        <v>1260.14094449788</v>
      </c>
      <c r="G190" s="27" t="n">
        <f aca="false">IF(E190&gt;0,F190/E190,"")</f>
        <v>0.311299640439199</v>
      </c>
      <c r="H190" s="24" t="n">
        <f aca="false">IF(SUM($D$5:$D$494)&gt;0,D190/SUM($D$5:$D$494),0)</f>
        <v>0.00101242799444314</v>
      </c>
      <c r="I190" s="24" t="n">
        <f aca="false">SUMIF($D$5:$D$494,"&gt;="&amp;D190)/SUM($D$5:$D$494)</f>
        <v>0.886331427301535</v>
      </c>
      <c r="J190" s="3" t="str">
        <f aca="false">IF(D190&lt;=0,"C",IF(I190&lt;=Parametros!$B$4,"A",IF(I190&lt;=Parametros!$B$5,"B","C")))</f>
        <v>B</v>
      </c>
      <c r="K190" s="3" t="str">
        <f aca="false">IF(E190&lt;=0,"Z",IF(G190&lt;=Parametros!$B$6,"X",IF(G190&lt;=Parametros!$B$7,"Y","Z")))</f>
        <v>X</v>
      </c>
      <c r="L190" s="3" t="str">
        <f aca="false">J190&amp;K190</f>
        <v>BX</v>
      </c>
      <c r="M190" s="3" t="str">
        <f aca="false">INDEX(Parametros!$B$23:$B$31,MATCH(L190,Parametros!$A$23:$A$31,0))</f>
        <v>Estadístico + revisión de tendencia.</v>
      </c>
      <c r="N190" s="3" t="str">
        <f aca="false">INDEX(Parametros!$C$23:$C$31,MATCH(L190,Parametros!$A$23:$A$31,0))</f>
        <v>Mensual</v>
      </c>
      <c r="O190" s="23" t="n">
        <f aca="false">SUM(Datos_Semanales!M190:R190)</f>
        <v>15935.5729418196</v>
      </c>
      <c r="P190" s="24" t="n">
        <f aca="false">IF(D190&gt;0,SUMPRODUCT(ABS(Datos_Semanales!F190:K190-Datos_Semanales!M190:R190))/D190,"")</f>
        <v>0.447038646110625</v>
      </c>
      <c r="Q190" s="24" t="n">
        <f aca="false">IF(D190&gt;0,O190/D190-1,"")</f>
        <v>-0.343891100880286</v>
      </c>
      <c r="R190" s="23" t="n">
        <f aca="false">SQRT(SUMXMY2(Datos_Semanales!F190:K190,Datos_Semanales!M190:R190)/COUNT(Datos_Semanales!F190:K190))</f>
        <v>1954.26402599431</v>
      </c>
    </row>
    <row r="191" customFormat="false" ht="15" hidden="false" customHeight="false" outlineLevel="0" collapsed="false">
      <c r="A191" s="18" t="n">
        <f aca="false">Datos_Semanales!A191</f>
        <v>30000244</v>
      </c>
      <c r="B191" s="18" t="str">
        <f aca="false">Datos_Semanales!B191</f>
        <v>NECTAR WATT'S NARANJA 12X1LT</v>
      </c>
      <c r="C191" s="18" t="str">
        <f aca="false">Datos_Semanales!C191</f>
        <v>-</v>
      </c>
      <c r="D191" s="23" t="n">
        <f aca="false">SUM(Datos_Semanales!F191:K191)</f>
        <v>24252</v>
      </c>
      <c r="E191" s="23" t="n">
        <f aca="false">AVERAGE(Datos_Semanales!F191:K191)</f>
        <v>4042</v>
      </c>
      <c r="F191" s="23" t="n">
        <f aca="false">STDEV(Datos_Semanales!F191:K191)</f>
        <v>924.620570828921</v>
      </c>
      <c r="G191" s="27" t="n">
        <f aca="false">IF(E191&gt;0,F191/E191,"")</f>
        <v>0.228753233752826</v>
      </c>
      <c r="H191" s="24" t="n">
        <f aca="false">IF(SUM($D$5:$D$494)&gt;0,D191/SUM($D$5:$D$494),0)</f>
        <v>0.00101092736006402</v>
      </c>
      <c r="I191" s="24" t="n">
        <f aca="false">SUMIF($D$5:$D$494,"&gt;="&amp;D191)/SUM($D$5:$D$494)</f>
        <v>0.887342354661599</v>
      </c>
      <c r="J191" s="3" t="str">
        <f aca="false">IF(D191&lt;=0,"C",IF(I191&lt;=Parametros!$B$4,"A",IF(I191&lt;=Parametros!$B$5,"B","C")))</f>
        <v>B</v>
      </c>
      <c r="K191" s="3" t="str">
        <f aca="false">IF(E191&lt;=0,"Z",IF(G191&lt;=Parametros!$B$6,"X",IF(G191&lt;=Parametros!$B$7,"Y","Z")))</f>
        <v>X</v>
      </c>
      <c r="L191" s="3" t="str">
        <f aca="false">J191&amp;K191</f>
        <v>BX</v>
      </c>
      <c r="M191" s="3" t="str">
        <f aca="false">INDEX(Parametros!$B$23:$B$31,MATCH(L191,Parametros!$A$23:$A$31,0))</f>
        <v>Estadístico + revisión de tendencia.</v>
      </c>
      <c r="N191" s="3" t="str">
        <f aca="false">INDEX(Parametros!$C$23:$C$31,MATCH(L191,Parametros!$A$23:$A$31,0))</f>
        <v>Mensual</v>
      </c>
      <c r="O191" s="23" t="n">
        <f aca="false">SUM(Datos_Semanales!M191:R191)</f>
        <v>32327.1729276803</v>
      </c>
      <c r="P191" s="24" t="n">
        <f aca="false">IF(D191&gt;0,SUMPRODUCT(ABS(Datos_Semanales!F191:K191-Datos_Semanales!M191:R191))/D191,"")</f>
        <v>0.357379718278093</v>
      </c>
      <c r="Q191" s="24" t="n">
        <f aca="false">IF(D191&gt;0,O191/D191-1,"")</f>
        <v>0.332969360369467</v>
      </c>
      <c r="R191" s="23" t="n">
        <f aca="false">SQRT(SUMXMY2(Datos_Semanales!F191:K191,Datos_Semanales!M191:R191)/COUNT(Datos_Semanales!F191:K191))</f>
        <v>1791.43958761353</v>
      </c>
    </row>
    <row r="192" customFormat="false" ht="15" hidden="false" customHeight="false" outlineLevel="0" collapsed="false">
      <c r="A192" s="18" t="n">
        <f aca="false">Datos_Semanales!A192</f>
        <v>30001376</v>
      </c>
      <c r="B192" s="18" t="str">
        <f aca="false">Datos_Semanales!B192</f>
        <v>FULL PROTEIN LONCO CHOCOLATE 18X250</v>
      </c>
      <c r="C192" s="18" t="str">
        <f aca="false">Datos_Semanales!C192</f>
        <v>LECHES LIQUIDAS</v>
      </c>
      <c r="D192" s="23" t="n">
        <f aca="false">SUM(Datos_Semanales!F192:K192)</f>
        <v>24250.5</v>
      </c>
      <c r="E192" s="23" t="n">
        <f aca="false">AVERAGE(Datos_Semanales!F192:K192)</f>
        <v>4041.75</v>
      </c>
      <c r="F192" s="23" t="n">
        <f aca="false">STDEV(Datos_Semanales!F192:K192)</f>
        <v>307.312991915409</v>
      </c>
      <c r="G192" s="27" t="n">
        <f aca="false">IF(E192&gt;0,F192/E192,"")</f>
        <v>0.0760346364607926</v>
      </c>
      <c r="H192" s="24" t="n">
        <f aca="false">IF(SUM($D$5:$D$494)&gt;0,D192/SUM($D$5:$D$494),0)</f>
        <v>0.00101086483363156</v>
      </c>
      <c r="I192" s="24" t="n">
        <f aca="false">SUMIF($D$5:$D$494,"&gt;="&amp;D192)/SUM($D$5:$D$494)</f>
        <v>0.88835321949523</v>
      </c>
      <c r="J192" s="3" t="str">
        <f aca="false">IF(D192&lt;=0,"C",IF(I192&lt;=Parametros!$B$4,"A",IF(I192&lt;=Parametros!$B$5,"B","C")))</f>
        <v>B</v>
      </c>
      <c r="K192" s="3" t="str">
        <f aca="false">IF(E192&lt;=0,"Z",IF(G192&lt;=Parametros!$B$6,"X",IF(G192&lt;=Parametros!$B$7,"Y","Z")))</f>
        <v>X</v>
      </c>
      <c r="L192" s="3" t="str">
        <f aca="false">J192&amp;K192</f>
        <v>BX</v>
      </c>
      <c r="M192" s="3" t="str">
        <f aca="false">INDEX(Parametros!$B$23:$B$31,MATCH(L192,Parametros!$A$23:$A$31,0))</f>
        <v>Estadístico + revisión de tendencia.</v>
      </c>
      <c r="N192" s="3" t="str">
        <f aca="false">INDEX(Parametros!$C$23:$C$31,MATCH(L192,Parametros!$A$23:$A$31,0))</f>
        <v>Mensual</v>
      </c>
      <c r="O192" s="23" t="n">
        <f aca="false">SUM(Datos_Semanales!M192:R192)</f>
        <v>24873.6183492121</v>
      </c>
      <c r="P192" s="24" t="n">
        <f aca="false">IF(D192&gt;0,SUMPRODUCT(ABS(Datos_Semanales!F192:K192-Datos_Semanales!M192:R192))/D192,"")</f>
        <v>0.136909274003095</v>
      </c>
      <c r="Q192" s="24" t="n">
        <f aca="false">IF(D192&gt;0,O192/D192-1,"")</f>
        <v>0.0256950722340596</v>
      </c>
      <c r="R192" s="23" t="n">
        <f aca="false">SQRT(SUMXMY2(Datos_Semanales!F192:K192,Datos_Semanales!M192:R192)/COUNT(Datos_Semanales!F192:K192))</f>
        <v>796.81424173175</v>
      </c>
    </row>
    <row r="193" customFormat="false" ht="15" hidden="false" customHeight="false" outlineLevel="0" collapsed="false">
      <c r="A193" s="18" t="n">
        <f aca="false">Datos_Semanales!A193</f>
        <v>30000252</v>
      </c>
      <c r="B193" s="18" t="str">
        <f aca="false">Datos_Semanales!B193</f>
        <v>NEC W SELECCION FRAMBUESA 6X1LT</v>
      </c>
      <c r="C193" s="18" t="str">
        <f aca="false">Datos_Semanales!C193</f>
        <v>JUGOS Y NECTARES</v>
      </c>
      <c r="D193" s="23" t="n">
        <f aca="false">SUM(Datos_Semanales!F193:K193)</f>
        <v>23970</v>
      </c>
      <c r="E193" s="23" t="n">
        <f aca="false">AVERAGE(Datos_Semanales!F193:K193)</f>
        <v>3995</v>
      </c>
      <c r="F193" s="23" t="n">
        <f aca="false">STDEV(Datos_Semanales!F193:K193)</f>
        <v>822.332049722009</v>
      </c>
      <c r="G193" s="27" t="n">
        <f aca="false">IF(E193&gt;0,F193/E193,"")</f>
        <v>0.205840312821529</v>
      </c>
      <c r="H193" s="24" t="n">
        <f aca="false">IF(SUM($D$5:$D$494)&gt;0,D193/SUM($D$5:$D$494),0)</f>
        <v>0.000999172390760953</v>
      </c>
      <c r="I193" s="24" t="n">
        <f aca="false">SUMIF($D$5:$D$494,"&gt;="&amp;D193)/SUM($D$5:$D$494)</f>
        <v>0.889352391885991</v>
      </c>
      <c r="J193" s="3" t="str">
        <f aca="false">IF(D193&lt;=0,"C",IF(I193&lt;=Parametros!$B$4,"A",IF(I193&lt;=Parametros!$B$5,"B","C")))</f>
        <v>B</v>
      </c>
      <c r="K193" s="3" t="str">
        <f aca="false">IF(E193&lt;=0,"Z",IF(G193&lt;=Parametros!$B$6,"X",IF(G193&lt;=Parametros!$B$7,"Y","Z")))</f>
        <v>X</v>
      </c>
      <c r="L193" s="3" t="str">
        <f aca="false">J193&amp;K193</f>
        <v>BX</v>
      </c>
      <c r="M193" s="3" t="str">
        <f aca="false">INDEX(Parametros!$B$23:$B$31,MATCH(L193,Parametros!$A$23:$A$31,0))</f>
        <v>Estadístico + revisión de tendencia.</v>
      </c>
      <c r="N193" s="3" t="str">
        <f aca="false">INDEX(Parametros!$C$23:$C$31,MATCH(L193,Parametros!$A$23:$A$31,0))</f>
        <v>Mensual</v>
      </c>
      <c r="O193" s="23" t="n">
        <f aca="false">SUM(Datos_Semanales!M193:R193)</f>
        <v>18457.1880916622</v>
      </c>
      <c r="P193" s="24" t="n">
        <f aca="false">IF(D193&gt;0,SUMPRODUCT(ABS(Datos_Semanales!F193:K193-Datos_Semanales!M193:R193))/D193,"")</f>
        <v>0.275405053654371</v>
      </c>
      <c r="Q193" s="24" t="n">
        <f aca="false">IF(D193&gt;0,O193/D193-1,"")</f>
        <v>-0.22998798115719</v>
      </c>
      <c r="R193" s="23" t="n">
        <f aca="false">SQRT(SUMXMY2(Datos_Semanales!F193:K193,Datos_Semanales!M193:R193)/COUNT(Datos_Semanales!F193:K193))</f>
        <v>1439.64585931004</v>
      </c>
    </row>
    <row r="194" customFormat="false" ht="15" hidden="false" customHeight="false" outlineLevel="0" collapsed="false">
      <c r="A194" s="18" t="n">
        <f aca="false">Datos_Semanales!A194</f>
        <v>30000039</v>
      </c>
      <c r="B194" s="18" t="str">
        <f aca="false">Datos_Semanales!B194</f>
        <v>ACEITE BELMONT 10X250ML</v>
      </c>
      <c r="C194" s="18" t="str">
        <f aca="false">Datos_Semanales!C194</f>
        <v>ACEITES</v>
      </c>
      <c r="D194" s="23" t="n">
        <f aca="false">SUM(Datos_Semanales!F194:K194)</f>
        <v>23657.8</v>
      </c>
      <c r="E194" s="23" t="n">
        <f aca="false">AVERAGE(Datos_Semanales!F194:K194)</f>
        <v>3942.96666666667</v>
      </c>
      <c r="F194" s="23" t="n">
        <f aca="false">STDEV(Datos_Semanales!F194:K194)</f>
        <v>1094.16651139882</v>
      </c>
      <c r="G194" s="27" t="n">
        <f aca="false">IF(E194&gt;0,F194/E194,"")</f>
        <v>0.277498290981956</v>
      </c>
      <c r="H194" s="24" t="n">
        <f aca="false">IF(SUM($D$5:$D$494)&gt;0,D194/SUM($D$5:$D$494),0)</f>
        <v>0.000986158555950958</v>
      </c>
      <c r="I194" s="24" t="n">
        <f aca="false">SUMIF($D$5:$D$494,"&gt;="&amp;D194)/SUM($D$5:$D$494)</f>
        <v>0.890338550441942</v>
      </c>
      <c r="J194" s="3" t="str">
        <f aca="false">IF(D194&lt;=0,"C",IF(I194&lt;=Parametros!$B$4,"A",IF(I194&lt;=Parametros!$B$5,"B","C")))</f>
        <v>B</v>
      </c>
      <c r="K194" s="3" t="str">
        <f aca="false">IF(E194&lt;=0,"Z",IF(G194&lt;=Parametros!$B$6,"X",IF(G194&lt;=Parametros!$B$7,"Y","Z")))</f>
        <v>X</v>
      </c>
      <c r="L194" s="3" t="str">
        <f aca="false">J194&amp;K194</f>
        <v>BX</v>
      </c>
      <c r="M194" s="3" t="str">
        <f aca="false">INDEX(Parametros!$B$23:$B$31,MATCH(L194,Parametros!$A$23:$A$31,0))</f>
        <v>Estadístico + revisión de tendencia.</v>
      </c>
      <c r="N194" s="3" t="str">
        <f aca="false">INDEX(Parametros!$C$23:$C$31,MATCH(L194,Parametros!$A$23:$A$31,0))</f>
        <v>Mensual</v>
      </c>
      <c r="O194" s="23" t="n">
        <f aca="false">SUM(Datos_Semanales!M194:R194)</f>
        <v>24266</v>
      </c>
      <c r="P194" s="24" t="n">
        <f aca="false">IF(D194&gt;0,SUMPRODUCT(ABS(Datos_Semanales!F194:K194-Datos_Semanales!M194:R194))/D194,"")</f>
        <v>0.205716507874781</v>
      </c>
      <c r="Q194" s="24" t="n">
        <f aca="false">IF(D194&gt;0,O194/D194-1,"")</f>
        <v>0.0257082230807599</v>
      </c>
      <c r="R194" s="23" t="n">
        <f aca="false">SQRT(SUMXMY2(Datos_Semanales!F194:K194,Datos_Semanales!M194:R194)/COUNT(Datos_Semanales!F194:K194))</f>
        <v>1129.01482865963</v>
      </c>
    </row>
    <row r="195" customFormat="false" ht="15" hidden="false" customHeight="false" outlineLevel="0" collapsed="false">
      <c r="A195" s="18" t="n">
        <f aca="false">Datos_Semanales!A195</f>
        <v>30002228</v>
      </c>
      <c r="B195" s="18" t="str">
        <f aca="false">Datos_Semanales!B195</f>
        <v>NECTAR WATTS DAMASCO 5X10X115ML</v>
      </c>
      <c r="C195" s="18" t="str">
        <f aca="false">Datos_Semanales!C195</f>
        <v>JUGOS Y NECTARES</v>
      </c>
      <c r="D195" s="23" t="n">
        <f aca="false">SUM(Datos_Semanales!F195:K195)</f>
        <v>23575</v>
      </c>
      <c r="E195" s="23" t="n">
        <f aca="false">AVERAGE(Datos_Semanales!F195:K195)</f>
        <v>3929.16666666667</v>
      </c>
      <c r="F195" s="23" t="n">
        <f aca="false">STDEV(Datos_Semanales!F195:K195)</f>
        <v>2396.21663600491</v>
      </c>
      <c r="G195" s="27" t="n">
        <f aca="false">IF(E195&gt;0,F195/E195,"")</f>
        <v>0.609853650732956</v>
      </c>
      <c r="H195" s="24" t="n">
        <f aca="false">IF(SUM($D$5:$D$494)&gt;0,D195/SUM($D$5:$D$494),0)</f>
        <v>0.000982707096878993</v>
      </c>
      <c r="I195" s="24" t="n">
        <f aca="false">SUMIF($D$5:$D$494,"&gt;="&amp;D195)/SUM($D$5:$D$494)</f>
        <v>0.891321257538821</v>
      </c>
      <c r="J195" s="3" t="str">
        <f aca="false">IF(D195&lt;=0,"C",IF(I195&lt;=Parametros!$B$4,"A",IF(I195&lt;=Parametros!$B$5,"B","C")))</f>
        <v>B</v>
      </c>
      <c r="K195" s="3" t="str">
        <f aca="false">IF(E195&lt;=0,"Z",IF(G195&lt;=Parametros!$B$6,"X",IF(G195&lt;=Parametros!$B$7,"Y","Z")))</f>
        <v>Y</v>
      </c>
      <c r="L195" s="3" t="str">
        <f aca="false">J195&amp;K195</f>
        <v>BY</v>
      </c>
      <c r="M195" s="3" t="str">
        <f aca="false">INDEX(Parametros!$B$23:$B$31,MATCH(L195,Parametros!$A$23:$A$31,0))</f>
        <v>Validar promociones y eventos con comercial.</v>
      </c>
      <c r="N195" s="3" t="str">
        <f aca="false">INDEX(Parametros!$C$23:$C$31,MATCH(L195,Parametros!$A$23:$A$31,0))</f>
        <v>Quincenal</v>
      </c>
      <c r="O195" s="23" t="n">
        <f aca="false">SUM(Datos_Semanales!M195:R195)</f>
        <v>18802.1145833333</v>
      </c>
      <c r="P195" s="24" t="n">
        <f aca="false">IF(D195&gt;0,SUMPRODUCT(ABS(Datos_Semanales!F195:K195-Datos_Semanales!M195:R195))/D195,"")</f>
        <v>0.480249646518204</v>
      </c>
      <c r="Q195" s="24" t="n">
        <f aca="false">IF(D195&gt;0,O195/D195-1,"")</f>
        <v>-0.202455372923295</v>
      </c>
      <c r="R195" s="23" t="n">
        <f aca="false">SQRT(SUMXMY2(Datos_Semanales!F195:K195,Datos_Semanales!M195:R195)/COUNT(Datos_Semanales!F195:K195))</f>
        <v>2174.97394032138</v>
      </c>
    </row>
    <row r="196" customFormat="false" ht="15" hidden="false" customHeight="false" outlineLevel="0" collapsed="false">
      <c r="A196" s="18" t="n">
        <f aca="false">Datos_Semanales!A196</f>
        <v>30000238</v>
      </c>
      <c r="B196" s="18" t="str">
        <f aca="false">Datos_Semanales!B196</f>
        <v>JUGO FRESCO NARANJA 6X1LT</v>
      </c>
      <c r="C196" s="18" t="str">
        <f aca="false">Datos_Semanales!C196</f>
        <v>JUGOS Y NECTARES</v>
      </c>
      <c r="D196" s="23" t="n">
        <f aca="false">SUM(Datos_Semanales!F196:K196)</f>
        <v>22596</v>
      </c>
      <c r="E196" s="23" t="n">
        <f aca="false">AVERAGE(Datos_Semanales!F196:K196)</f>
        <v>3766</v>
      </c>
      <c r="F196" s="23" t="n">
        <f aca="false">STDEV(Datos_Semanales!F196:K196)</f>
        <v>862.996639622658</v>
      </c>
      <c r="G196" s="27" t="n">
        <f aca="false">IF(E196&gt;0,F196/E196,"")</f>
        <v>0.229154710468045</v>
      </c>
      <c r="H196" s="24" t="n">
        <f aca="false">IF(SUM($D$5:$D$494)&gt;0,D196/SUM($D$5:$D$494),0)</f>
        <v>0.000941898178624718</v>
      </c>
      <c r="I196" s="24" t="n">
        <f aca="false">SUMIF($D$5:$D$494,"&gt;="&amp;D196)/SUM($D$5:$D$494)</f>
        <v>0.892263155717446</v>
      </c>
      <c r="J196" s="3" t="str">
        <f aca="false">IF(D196&lt;=0,"C",IF(I196&lt;=Parametros!$B$4,"A",IF(I196&lt;=Parametros!$B$5,"B","C")))</f>
        <v>B</v>
      </c>
      <c r="K196" s="3" t="str">
        <f aca="false">IF(E196&lt;=0,"Z",IF(G196&lt;=Parametros!$B$6,"X",IF(G196&lt;=Parametros!$B$7,"Y","Z")))</f>
        <v>X</v>
      </c>
      <c r="L196" s="3" t="str">
        <f aca="false">J196&amp;K196</f>
        <v>BX</v>
      </c>
      <c r="M196" s="3" t="str">
        <f aca="false">INDEX(Parametros!$B$23:$B$31,MATCH(L196,Parametros!$A$23:$A$31,0))</f>
        <v>Estadístico + revisión de tendencia.</v>
      </c>
      <c r="N196" s="3" t="str">
        <f aca="false">INDEX(Parametros!$C$23:$C$31,MATCH(L196,Parametros!$A$23:$A$31,0))</f>
        <v>Mensual</v>
      </c>
      <c r="O196" s="23" t="n">
        <f aca="false">SUM(Datos_Semanales!M196:R196)</f>
        <v>23405.2350218749</v>
      </c>
      <c r="P196" s="24" t="n">
        <f aca="false">IF(D196&gt;0,SUMPRODUCT(ABS(Datos_Semanales!F196:K196-Datos_Semanales!M196:R196))/D196,"")</f>
        <v>0.159687193004958</v>
      </c>
      <c r="Q196" s="24" t="n">
        <f aca="false">IF(D196&gt;0,O196/D196-1,"")</f>
        <v>0.0358131979941112</v>
      </c>
      <c r="R196" s="23" t="n">
        <f aca="false">SQRT(SUMXMY2(Datos_Semanales!F196:K196,Datos_Semanales!M196:R196)/COUNT(Datos_Semanales!F196:K196))</f>
        <v>714.199402440568</v>
      </c>
    </row>
    <row r="197" customFormat="false" ht="15" hidden="false" customHeight="false" outlineLevel="0" collapsed="false">
      <c r="A197" s="18" t="n">
        <f aca="false">Datos_Semanales!A197</f>
        <v>30001897</v>
      </c>
      <c r="B197" s="18" t="str">
        <f aca="false">Datos_Semanales!B197</f>
        <v>JALEA LONCO PROTEIN GUINDA 6X4X100GR</v>
      </c>
      <c r="C197" s="18" t="str">
        <f aca="false">Datos_Semanales!C197</f>
        <v>POSTRES</v>
      </c>
      <c r="D197" s="23" t="n">
        <f aca="false">SUM(Datos_Semanales!F197:K197)</f>
        <v>22372.8</v>
      </c>
      <c r="E197" s="23" t="n">
        <f aca="false">AVERAGE(Datos_Semanales!F197:K197)</f>
        <v>3728.8</v>
      </c>
      <c r="F197" s="23" t="n">
        <f aca="false">STDEV(Datos_Semanales!F197:K197)</f>
        <v>714.050082277147</v>
      </c>
      <c r="G197" s="27" t="n">
        <f aca="false">IF(E197&gt;0,F197/E197,"")</f>
        <v>0.191495945686856</v>
      </c>
      <c r="H197" s="24" t="n">
        <f aca="false">IF(SUM($D$5:$D$494)&gt;0,D197/SUM($D$5:$D$494),0)</f>
        <v>0.000932594245474203</v>
      </c>
      <c r="I197" s="24" t="n">
        <f aca="false">SUMIF($D$5:$D$494,"&gt;="&amp;D197)/SUM($D$5:$D$494)</f>
        <v>0.89319574996292</v>
      </c>
      <c r="J197" s="3" t="str">
        <f aca="false">IF(D197&lt;=0,"C",IF(I197&lt;=Parametros!$B$4,"A",IF(I197&lt;=Parametros!$B$5,"B","C")))</f>
        <v>B</v>
      </c>
      <c r="K197" s="3" t="str">
        <f aca="false">IF(E197&lt;=0,"Z",IF(G197&lt;=Parametros!$B$6,"X",IF(G197&lt;=Parametros!$B$7,"Y","Z")))</f>
        <v>X</v>
      </c>
      <c r="L197" s="3" t="str">
        <f aca="false">J197&amp;K197</f>
        <v>BX</v>
      </c>
      <c r="M197" s="3" t="str">
        <f aca="false">INDEX(Parametros!$B$23:$B$31,MATCH(L197,Parametros!$A$23:$A$31,0))</f>
        <v>Estadístico + revisión de tendencia.</v>
      </c>
      <c r="N197" s="3" t="str">
        <f aca="false">INDEX(Parametros!$C$23:$C$31,MATCH(L197,Parametros!$A$23:$A$31,0))</f>
        <v>Mensual</v>
      </c>
      <c r="O197" s="23" t="n">
        <f aca="false">SUM(Datos_Semanales!M197:R197)</f>
        <v>22493.6303981714</v>
      </c>
      <c r="P197" s="24" t="n">
        <f aca="false">IF(D197&gt;0,SUMPRODUCT(ABS(Datos_Semanales!F197:K197-Datos_Semanales!M197:R197))/D197,"")</f>
        <v>0.112448062834301</v>
      </c>
      <c r="Q197" s="24" t="n">
        <f aca="false">IF(D197&gt;0,O197/D197-1,"")</f>
        <v>0.00540077228471092</v>
      </c>
      <c r="R197" s="23" t="n">
        <f aca="false">SQRT(SUMXMY2(Datos_Semanales!F197:K197,Datos_Semanales!M197:R197)/COUNT(Datos_Semanales!F197:K197))</f>
        <v>511.333560075567</v>
      </c>
    </row>
    <row r="198" customFormat="false" ht="15" hidden="false" customHeight="false" outlineLevel="0" collapsed="false">
      <c r="A198" s="18" t="n">
        <f aca="false">Datos_Semanales!A198</f>
        <v>30000307</v>
      </c>
      <c r="B198" s="18" t="str">
        <f aca="false">Datos_Semanales!B198</f>
        <v>YOGU YOGU PINA 30X200GR</v>
      </c>
      <c r="C198" s="18" t="str">
        <f aca="false">Datos_Semanales!C198</f>
        <v>LECHES LIQUIDAS</v>
      </c>
      <c r="D198" s="23" t="n">
        <f aca="false">SUM(Datos_Semanales!F198:K198)</f>
        <v>22242</v>
      </c>
      <c r="E198" s="23" t="n">
        <f aca="false">AVERAGE(Datos_Semanales!F198:K198)</f>
        <v>3707</v>
      </c>
      <c r="F198" s="23" t="n">
        <f aca="false">STDEV(Datos_Semanales!F198:K198)</f>
        <v>582.468883289056</v>
      </c>
      <c r="G198" s="27" t="n">
        <f aca="false">IF(E198&gt;0,F198/E198,"")</f>
        <v>0.157126755675494</v>
      </c>
      <c r="H198" s="24" t="n">
        <f aca="false">IF(SUM($D$5:$D$494)&gt;0,D198/SUM($D$5:$D$494),0)</f>
        <v>0.000927141940563418</v>
      </c>
      <c r="I198" s="24" t="n">
        <f aca="false">SUMIF($D$5:$D$494,"&gt;="&amp;D198)/SUM($D$5:$D$494)</f>
        <v>0.894122891903484</v>
      </c>
      <c r="J198" s="3" t="str">
        <f aca="false">IF(D198&lt;=0,"C",IF(I198&lt;=Parametros!$B$4,"A",IF(I198&lt;=Parametros!$B$5,"B","C")))</f>
        <v>B</v>
      </c>
      <c r="K198" s="3" t="str">
        <f aca="false">IF(E198&lt;=0,"Z",IF(G198&lt;=Parametros!$B$6,"X",IF(G198&lt;=Parametros!$B$7,"Y","Z")))</f>
        <v>X</v>
      </c>
      <c r="L198" s="3" t="str">
        <f aca="false">J198&amp;K198</f>
        <v>BX</v>
      </c>
      <c r="M198" s="3" t="str">
        <f aca="false">INDEX(Parametros!$B$23:$B$31,MATCH(L198,Parametros!$A$23:$A$31,0))</f>
        <v>Estadístico + revisión de tendencia.</v>
      </c>
      <c r="N198" s="3" t="str">
        <f aca="false">INDEX(Parametros!$C$23:$C$31,MATCH(L198,Parametros!$A$23:$A$31,0))</f>
        <v>Mensual</v>
      </c>
      <c r="O198" s="23" t="n">
        <f aca="false">SUM(Datos_Semanales!M198:R198)</f>
        <v>26413.7859967699</v>
      </c>
      <c r="P198" s="24" t="n">
        <f aca="false">IF(D198&gt;0,SUMPRODUCT(ABS(Datos_Semanales!F198:K198-Datos_Semanales!M198:R198))/D198,"")</f>
        <v>0.284640409889842</v>
      </c>
      <c r="Q198" s="24" t="n">
        <f aca="false">IF(D198&gt;0,O198/D198-1,"")</f>
        <v>0.187563438394473</v>
      </c>
      <c r="R198" s="23" t="n">
        <f aca="false">SQRT(SUMXMY2(Datos_Semanales!F198:K198,Datos_Semanales!M198:R198)/COUNT(Datos_Semanales!F198:K198))</f>
        <v>1165.11883278349</v>
      </c>
    </row>
    <row r="199" customFormat="false" ht="15" hidden="false" customHeight="false" outlineLevel="0" collapsed="false">
      <c r="A199" s="18" t="n">
        <f aca="false">Datos_Semanales!A199</f>
        <v>30001494</v>
      </c>
      <c r="B199" s="18" t="str">
        <f aca="false">Datos_Semanales!B199</f>
        <v>LONCO PROTEIN YOG CAP GRAN 12X142G</v>
      </c>
      <c r="C199" s="18" t="str">
        <f aca="false">Datos_Semanales!C199</f>
        <v>YOGURT</v>
      </c>
      <c r="D199" s="23" t="n">
        <f aca="false">SUM(Datos_Semanales!F199:K199)</f>
        <v>21935.1</v>
      </c>
      <c r="E199" s="23" t="n">
        <f aca="false">AVERAGE(Datos_Semanales!F199:K199)</f>
        <v>3655.85</v>
      </c>
      <c r="F199" s="23" t="n">
        <f aca="false">STDEV(Datos_Semanales!F199:K199)</f>
        <v>798.784215542596</v>
      </c>
      <c r="G199" s="27" t="n">
        <f aca="false">IF(E199&gt;0,F199/E199,"")</f>
        <v>0.218494800263303</v>
      </c>
      <c r="H199" s="24" t="n">
        <f aca="false">IF(SUM($D$5:$D$494)&gt;0,D199/SUM($D$5:$D$494),0)</f>
        <v>0.00091434903248146</v>
      </c>
      <c r="I199" s="24" t="n">
        <f aca="false">SUMIF($D$5:$D$494,"&gt;="&amp;D199)/SUM($D$5:$D$494)</f>
        <v>0.895037240935965</v>
      </c>
      <c r="J199" s="3" t="str">
        <f aca="false">IF(D199&lt;=0,"C",IF(I199&lt;=Parametros!$B$4,"A",IF(I199&lt;=Parametros!$B$5,"B","C")))</f>
        <v>B</v>
      </c>
      <c r="K199" s="3" t="str">
        <f aca="false">IF(E199&lt;=0,"Z",IF(G199&lt;=Parametros!$B$6,"X",IF(G199&lt;=Parametros!$B$7,"Y","Z")))</f>
        <v>X</v>
      </c>
      <c r="L199" s="3" t="str">
        <f aca="false">J199&amp;K199</f>
        <v>BX</v>
      </c>
      <c r="M199" s="3" t="str">
        <f aca="false">INDEX(Parametros!$B$23:$B$31,MATCH(L199,Parametros!$A$23:$A$31,0))</f>
        <v>Estadístico + revisión de tendencia.</v>
      </c>
      <c r="N199" s="3" t="str">
        <f aca="false">INDEX(Parametros!$C$23:$C$31,MATCH(L199,Parametros!$A$23:$A$31,0))</f>
        <v>Mensual</v>
      </c>
      <c r="O199" s="23" t="n">
        <f aca="false">SUM(Datos_Semanales!M199:R199)</f>
        <v>19648.8526795538</v>
      </c>
      <c r="P199" s="24" t="n">
        <f aca="false">IF(D199&gt;0,SUMPRODUCT(ABS(Datos_Semanales!F199:K199-Datos_Semanales!M199:R199))/D199,"")</f>
        <v>0.126767391943145</v>
      </c>
      <c r="Q199" s="24" t="n">
        <f aca="false">IF(D199&gt;0,O199/D199-1,"")</f>
        <v>-0.104227804771633</v>
      </c>
      <c r="R199" s="23" t="n">
        <f aca="false">SQRT(SUMXMY2(Datos_Semanales!F199:K199,Datos_Semanales!M199:R199)/COUNT(Datos_Semanales!F199:K199))</f>
        <v>597.143520578937</v>
      </c>
    </row>
    <row r="200" customFormat="false" ht="15" hidden="false" customHeight="false" outlineLevel="0" collapsed="false">
      <c r="A200" s="18" t="n">
        <f aca="false">Datos_Semanales!A200</f>
        <v>30001935</v>
      </c>
      <c r="B200" s="18" t="str">
        <f aca="false">Datos_Semanales!B200</f>
        <v>LONCO PROTEIN YOG TRZ FLLA 24X140GR</v>
      </c>
      <c r="C200" s="18" t="str">
        <f aca="false">Datos_Semanales!C200</f>
        <v>YOGURT</v>
      </c>
      <c r="D200" s="23" t="n">
        <f aca="false">SUM(Datos_Semanales!F200:K200)</f>
        <v>21876.96</v>
      </c>
      <c r="E200" s="23" t="n">
        <f aca="false">AVERAGE(Datos_Semanales!F200:K200)</f>
        <v>3646.16</v>
      </c>
      <c r="F200" s="23" t="n">
        <f aca="false">STDEV(Datos_Semanales!F200:K200)</f>
        <v>1659.14121323051</v>
      </c>
      <c r="G200" s="27" t="n">
        <f aca="false">IF(E200&gt;0,F200/E200,"")</f>
        <v>0.455037961370458</v>
      </c>
      <c r="H200" s="24" t="n">
        <f aca="false">IF(SUM($D$5:$D$494)&gt;0,D200/SUM($D$5:$D$494),0)</f>
        <v>0.000911925507959188</v>
      </c>
      <c r="I200" s="24" t="n">
        <f aca="false">SUMIF($D$5:$D$494,"&gt;="&amp;D200)/SUM($D$5:$D$494)</f>
        <v>0.895949166443924</v>
      </c>
      <c r="J200" s="3" t="str">
        <f aca="false">IF(D200&lt;=0,"C",IF(I200&lt;=Parametros!$B$4,"A",IF(I200&lt;=Parametros!$B$5,"B","C")))</f>
        <v>B</v>
      </c>
      <c r="K200" s="3" t="str">
        <f aca="false">IF(E200&lt;=0,"Z",IF(G200&lt;=Parametros!$B$6,"X",IF(G200&lt;=Parametros!$B$7,"Y","Z")))</f>
        <v>X</v>
      </c>
      <c r="L200" s="3" t="str">
        <f aca="false">J200&amp;K200</f>
        <v>BX</v>
      </c>
      <c r="M200" s="3" t="str">
        <f aca="false">INDEX(Parametros!$B$23:$B$31,MATCH(L200,Parametros!$A$23:$A$31,0))</f>
        <v>Estadístico + revisión de tendencia.</v>
      </c>
      <c r="N200" s="3" t="str">
        <f aca="false">INDEX(Parametros!$C$23:$C$31,MATCH(L200,Parametros!$A$23:$A$31,0))</f>
        <v>Mensual</v>
      </c>
      <c r="O200" s="23" t="n">
        <f aca="false">SUM(Datos_Semanales!M200:R200)</f>
        <v>24336.8872858942</v>
      </c>
      <c r="P200" s="24" t="n">
        <f aca="false">IF(D200&gt;0,SUMPRODUCT(ABS(Datos_Semanales!F200:K200-Datos_Semanales!M200:R200))/D200,"")</f>
        <v>0.474624331034869</v>
      </c>
      <c r="Q200" s="24" t="n">
        <f aca="false">IF(D200&gt;0,O200/D200-1,"")</f>
        <v>0.112443743824289</v>
      </c>
      <c r="R200" s="23" t="n">
        <f aca="false">SQRT(SUMXMY2(Datos_Semanales!F200:K200,Datos_Semanales!M200:R200)/COUNT(Datos_Semanales!F200:K200))</f>
        <v>2123.68817730323</v>
      </c>
    </row>
    <row r="201" customFormat="false" ht="15" hidden="false" customHeight="false" outlineLevel="0" collapsed="false">
      <c r="A201" s="18" t="n">
        <f aca="false">Datos_Semanales!A201</f>
        <v>30000246</v>
      </c>
      <c r="B201" s="18" t="str">
        <f aca="false">Datos_Semanales!B201</f>
        <v>NECTAR WATT'S DURAZNO 12X1LT</v>
      </c>
      <c r="C201" s="18" t="str">
        <f aca="false">Datos_Semanales!C201</f>
        <v>-</v>
      </c>
      <c r="D201" s="23" t="n">
        <f aca="false">SUM(Datos_Semanales!F201:K201)</f>
        <v>21540</v>
      </c>
      <c r="E201" s="23" t="n">
        <f aca="false">AVERAGE(Datos_Semanales!F201:K201)</f>
        <v>3590</v>
      </c>
      <c r="F201" s="23" t="n">
        <f aca="false">STDEV(Datos_Semanales!F201:K201)</f>
        <v>875.635540621782</v>
      </c>
      <c r="G201" s="27" t="n">
        <f aca="false">IF(E201&gt;0,F201/E201,"")</f>
        <v>0.243909621343115</v>
      </c>
      <c r="H201" s="24" t="n">
        <f aca="false">IF(SUM($D$5:$D$494)&gt;0,D201/SUM($D$5:$D$494),0)</f>
        <v>0.000897879570170669</v>
      </c>
      <c r="I201" s="24" t="n">
        <f aca="false">SUMIF($D$5:$D$494,"&gt;="&amp;D201)/SUM($D$5:$D$494)</f>
        <v>0.896847046014095</v>
      </c>
      <c r="J201" s="3" t="str">
        <f aca="false">IF(D201&lt;=0,"C",IF(I201&lt;=Parametros!$B$4,"A",IF(I201&lt;=Parametros!$B$5,"B","C")))</f>
        <v>B</v>
      </c>
      <c r="K201" s="3" t="str">
        <f aca="false">IF(E201&lt;=0,"Z",IF(G201&lt;=Parametros!$B$6,"X",IF(G201&lt;=Parametros!$B$7,"Y","Z")))</f>
        <v>X</v>
      </c>
      <c r="L201" s="3" t="str">
        <f aca="false">J201&amp;K201</f>
        <v>BX</v>
      </c>
      <c r="M201" s="3" t="str">
        <f aca="false">INDEX(Parametros!$B$23:$B$31,MATCH(L201,Parametros!$A$23:$A$31,0))</f>
        <v>Estadístico + revisión de tendencia.</v>
      </c>
      <c r="N201" s="3" t="str">
        <f aca="false">INDEX(Parametros!$C$23:$C$31,MATCH(L201,Parametros!$A$23:$A$31,0))</f>
        <v>Mensual</v>
      </c>
      <c r="O201" s="23" t="n">
        <f aca="false">SUM(Datos_Semanales!M201:R201)</f>
        <v>23816.1004354085</v>
      </c>
      <c r="P201" s="24" t="n">
        <f aca="false">IF(D201&gt;0,SUMPRODUCT(ABS(Datos_Semanales!F201:K201-Datos_Semanales!M201:R201))/D201,"")</f>
        <v>0.261591582422536</v>
      </c>
      <c r="Q201" s="24" t="n">
        <f aca="false">IF(D201&gt;0,O201/D201-1,"")</f>
        <v>0.105668543890831</v>
      </c>
      <c r="R201" s="23" t="n">
        <f aca="false">SQRT(SUMXMY2(Datos_Semanales!F201:K201,Datos_Semanales!M201:R201)/COUNT(Datos_Semanales!F201:K201))</f>
        <v>1011.68609560337</v>
      </c>
    </row>
    <row r="202" customFormat="false" ht="15" hidden="false" customHeight="false" outlineLevel="0" collapsed="false">
      <c r="A202" s="18" t="n">
        <f aca="false">Datos_Semanales!A202</f>
        <v>30001766</v>
      </c>
      <c r="B202" s="18" t="str">
        <f aca="false">Datos_Semanales!B202</f>
        <v>MERMELADA DURAZNO L L 24X225GR</v>
      </c>
      <c r="C202" s="18" t="str">
        <f aca="false">Datos_Semanales!C202</f>
        <v>MERMELADAS</v>
      </c>
      <c r="D202" s="23" t="n">
        <f aca="false">SUM(Datos_Semanales!F202:K202)</f>
        <v>21405.6</v>
      </c>
      <c r="E202" s="23" t="n">
        <f aca="false">AVERAGE(Datos_Semanales!F202:K202)</f>
        <v>3567.6</v>
      </c>
      <c r="F202" s="23" t="n">
        <f aca="false">STDEV(Datos_Semanales!F202:K202)</f>
        <v>452.411299593633</v>
      </c>
      <c r="G202" s="27" t="n">
        <f aca="false">IF(E202&gt;0,F202/E202,"")</f>
        <v>0.126811105391197</v>
      </c>
      <c r="H202" s="24" t="n">
        <f aca="false">IF(SUM($D$5:$D$494)&gt;0,D202/SUM($D$5:$D$494),0)</f>
        <v>0.000892277201821972</v>
      </c>
      <c r="I202" s="24" t="n">
        <f aca="false">SUMIF($D$5:$D$494,"&gt;="&amp;D202)/SUM($D$5:$D$494)</f>
        <v>0.897739323215917</v>
      </c>
      <c r="J202" s="3" t="str">
        <f aca="false">IF(D202&lt;=0,"C",IF(I202&lt;=Parametros!$B$4,"A",IF(I202&lt;=Parametros!$B$5,"B","C")))</f>
        <v>B</v>
      </c>
      <c r="K202" s="3" t="str">
        <f aca="false">IF(E202&lt;=0,"Z",IF(G202&lt;=Parametros!$B$6,"X",IF(G202&lt;=Parametros!$B$7,"Y","Z")))</f>
        <v>X</v>
      </c>
      <c r="L202" s="3" t="str">
        <f aca="false">J202&amp;K202</f>
        <v>BX</v>
      </c>
      <c r="M202" s="3" t="str">
        <f aca="false">INDEX(Parametros!$B$23:$B$31,MATCH(L202,Parametros!$A$23:$A$31,0))</f>
        <v>Estadístico + revisión de tendencia.</v>
      </c>
      <c r="N202" s="3" t="str">
        <f aca="false">INDEX(Parametros!$C$23:$C$31,MATCH(L202,Parametros!$A$23:$A$31,0))</f>
        <v>Mensual</v>
      </c>
      <c r="O202" s="23" t="n">
        <f aca="false">SUM(Datos_Semanales!M202:R202)</f>
        <v>22006.6</v>
      </c>
      <c r="P202" s="24" t="n">
        <f aca="false">IF(D202&gt;0,SUMPRODUCT(ABS(Datos_Semanales!F202:K202-Datos_Semanales!M202:R202))/D202,"")</f>
        <v>0.124126396830736</v>
      </c>
      <c r="Q202" s="24" t="n">
        <f aca="false">IF(D202&gt;0,O202/D202-1,"")</f>
        <v>0.0280767649587026</v>
      </c>
      <c r="R202" s="23" t="n">
        <f aca="false">SQRT(SUMXMY2(Datos_Semanales!F202:K202,Datos_Semanales!M202:R202)/COUNT(Datos_Semanales!F202:K202))</f>
        <v>622.328396695293</v>
      </c>
    </row>
    <row r="203" customFormat="false" ht="15" hidden="false" customHeight="false" outlineLevel="0" collapsed="false">
      <c r="A203" s="18" t="n">
        <f aca="false">Datos_Semanales!A203</f>
        <v>30000489</v>
      </c>
      <c r="B203" s="18" t="str">
        <f aca="false">Datos_Semanales!B203</f>
        <v>YOG S/LAC LCO FLLA BOL 12X900GR</v>
      </c>
      <c r="C203" s="18" t="str">
        <f aca="false">Datos_Semanales!C203</f>
        <v>YOGURT</v>
      </c>
      <c r="D203" s="23" t="n">
        <f aca="false">SUM(Datos_Semanales!F203:K203)</f>
        <v>21124.8</v>
      </c>
      <c r="E203" s="23" t="n">
        <f aca="false">AVERAGE(Datos_Semanales!F203:K203)</f>
        <v>3520.8</v>
      </c>
      <c r="F203" s="23" t="n">
        <f aca="false">STDEV(Datos_Semanales!F203:K203)</f>
        <v>1060.6017914373</v>
      </c>
      <c r="G203" s="27" t="n">
        <f aca="false">IF(E203&gt;0,F203/E203,"")</f>
        <v>0.301238863734747</v>
      </c>
      <c r="H203" s="24" t="n">
        <f aca="false">IF(SUM($D$5:$D$494)&gt;0,D203/SUM($D$5:$D$494),0)</f>
        <v>0.000880572253664872</v>
      </c>
      <c r="I203" s="24" t="n">
        <f aca="false">SUMIF($D$5:$D$494,"&gt;="&amp;D203)/SUM($D$5:$D$494)</f>
        <v>0.898619895469582</v>
      </c>
      <c r="J203" s="3" t="str">
        <f aca="false">IF(D203&lt;=0,"C",IF(I203&lt;=Parametros!$B$4,"A",IF(I203&lt;=Parametros!$B$5,"B","C")))</f>
        <v>B</v>
      </c>
      <c r="K203" s="3" t="str">
        <f aca="false">IF(E203&lt;=0,"Z",IF(G203&lt;=Parametros!$B$6,"X",IF(G203&lt;=Parametros!$B$7,"Y","Z")))</f>
        <v>X</v>
      </c>
      <c r="L203" s="3" t="str">
        <f aca="false">J203&amp;K203</f>
        <v>BX</v>
      </c>
      <c r="M203" s="3" t="str">
        <f aca="false">INDEX(Parametros!$B$23:$B$31,MATCH(L203,Parametros!$A$23:$A$31,0))</f>
        <v>Estadístico + revisión de tendencia.</v>
      </c>
      <c r="N203" s="3" t="str">
        <f aca="false">INDEX(Parametros!$C$23:$C$31,MATCH(L203,Parametros!$A$23:$A$31,0))</f>
        <v>Mensual</v>
      </c>
      <c r="O203" s="23" t="n">
        <f aca="false">SUM(Datos_Semanales!M203:R203)</f>
        <v>25616.4693690935</v>
      </c>
      <c r="P203" s="24" t="n">
        <f aca="false">IF(D203&gt;0,SUMPRODUCT(ABS(Datos_Semanales!F203:K203-Datos_Semanales!M203:R203))/D203,"")</f>
        <v>0.242625679973092</v>
      </c>
      <c r="Q203" s="24" t="n">
        <f aca="false">IF(D203&gt;0,O203/D203-1,"")</f>
        <v>0.212625415108946</v>
      </c>
      <c r="R203" s="23" t="n">
        <f aca="false">SQRT(SUMXMY2(Datos_Semanales!F203:K203,Datos_Semanales!M203:R203)/COUNT(Datos_Semanales!F203:K203))</f>
        <v>1117.07796702379</v>
      </c>
    </row>
    <row r="204" customFormat="false" ht="15" hidden="false" customHeight="false" outlineLevel="0" collapsed="false">
      <c r="A204" s="18" t="n">
        <f aca="false">Datos_Semanales!A204</f>
        <v>30000608</v>
      </c>
      <c r="B204" s="18" t="str">
        <f aca="false">Datos_Semanales!B204</f>
        <v>COCTEL DE FRUT WSL 24X560GR</v>
      </c>
      <c r="C204" s="18" t="str">
        <f aca="false">Datos_Semanales!C204</f>
        <v>-</v>
      </c>
      <c r="D204" s="23" t="n">
        <f aca="false">SUM(Datos_Semanales!F204:K204)</f>
        <v>21087.36</v>
      </c>
      <c r="E204" s="23" t="n">
        <f aca="false">AVERAGE(Datos_Semanales!F204:K204)</f>
        <v>3514.56</v>
      </c>
      <c r="F204" s="23" t="n">
        <f aca="false">STDEV(Datos_Semanales!F204:K204)</f>
        <v>1502.46336479796</v>
      </c>
      <c r="G204" s="27" t="n">
        <f aca="false">IF(E204&gt;0,F204/E204,"")</f>
        <v>0.42749686014692</v>
      </c>
      <c r="H204" s="24" t="n">
        <f aca="false">IF(SUM($D$5:$D$494)&gt;0,D204/SUM($D$5:$D$494),0)</f>
        <v>0.000879011593910592</v>
      </c>
      <c r="I204" s="24" t="n">
        <f aca="false">SUMIF($D$5:$D$494,"&gt;="&amp;D204)/SUM($D$5:$D$494)</f>
        <v>0.899498907063492</v>
      </c>
      <c r="J204" s="3" t="str">
        <f aca="false">IF(D204&lt;=0,"C",IF(I204&lt;=Parametros!$B$4,"A",IF(I204&lt;=Parametros!$B$5,"B","C")))</f>
        <v>B</v>
      </c>
      <c r="K204" s="3" t="str">
        <f aca="false">IF(E204&lt;=0,"Z",IF(G204&lt;=Parametros!$B$6,"X",IF(G204&lt;=Parametros!$B$7,"Y","Z")))</f>
        <v>X</v>
      </c>
      <c r="L204" s="3" t="str">
        <f aca="false">J204&amp;K204</f>
        <v>BX</v>
      </c>
      <c r="M204" s="3" t="str">
        <f aca="false">INDEX(Parametros!$B$23:$B$31,MATCH(L204,Parametros!$A$23:$A$31,0))</f>
        <v>Estadístico + revisión de tendencia.</v>
      </c>
      <c r="N204" s="3" t="str">
        <f aca="false">INDEX(Parametros!$C$23:$C$31,MATCH(L204,Parametros!$A$23:$A$31,0))</f>
        <v>Mensual</v>
      </c>
      <c r="O204" s="23" t="n">
        <f aca="false">SUM(Datos_Semanales!M204:R204)</f>
        <v>16141.36</v>
      </c>
      <c r="P204" s="24" t="n">
        <f aca="false">IF(D204&gt;0,SUMPRODUCT(ABS(Datos_Semanales!F204:K204-Datos_Semanales!M204:R204))/D204,"")</f>
        <v>0.544178123767034</v>
      </c>
      <c r="Q204" s="24" t="n">
        <f aca="false">IF(D204&gt;0,O204/D204-1,"")</f>
        <v>-0.234548089471608</v>
      </c>
      <c r="R204" s="23" t="n">
        <f aca="false">SQRT(SUMXMY2(Datos_Semanales!F204:K204,Datos_Semanales!M204:R204)/COUNT(Datos_Semanales!F204:K204))</f>
        <v>2104.73622733745</v>
      </c>
    </row>
    <row r="205" customFormat="false" ht="15" hidden="false" customHeight="false" outlineLevel="0" collapsed="false">
      <c r="A205" s="18" t="n">
        <f aca="false">Datos_Semanales!A205</f>
        <v>30000055</v>
      </c>
      <c r="B205" s="18" t="str">
        <f aca="false">Datos_Semanales!B205</f>
        <v>ACEITE CHEF PEPITA UVA 30X500ML</v>
      </c>
      <c r="C205" s="18" t="str">
        <f aca="false">Datos_Semanales!C205</f>
        <v>-</v>
      </c>
      <c r="D205" s="23" t="n">
        <f aca="false">SUM(Datos_Semanales!F205:K205)</f>
        <v>20948.4</v>
      </c>
      <c r="E205" s="23" t="n">
        <f aca="false">AVERAGE(Datos_Semanales!F205:K205)</f>
        <v>3491.4</v>
      </c>
      <c r="F205" s="23" t="n">
        <f aca="false">STDEV(Datos_Semanales!F205:K205)</f>
        <v>1425.48055055129</v>
      </c>
      <c r="G205" s="27" t="n">
        <f aca="false">IF(E205&gt;0,F205/E205,"")</f>
        <v>0.408283367861399</v>
      </c>
      <c r="H205" s="24" t="n">
        <f aca="false">IF(SUM($D$5:$D$494)&gt;0,D205/SUM($D$5:$D$494),0)</f>
        <v>0.000873219145207207</v>
      </c>
      <c r="I205" s="24" t="n">
        <f aca="false">SUMIF($D$5:$D$494,"&gt;="&amp;D205)/SUM($D$5:$D$494)</f>
        <v>0.9003721262087</v>
      </c>
      <c r="J205" s="3" t="str">
        <f aca="false">IF(D205&lt;=0,"C",IF(I205&lt;=Parametros!$B$4,"A",IF(I205&lt;=Parametros!$B$5,"B","C")))</f>
        <v>B</v>
      </c>
      <c r="K205" s="3" t="str">
        <f aca="false">IF(E205&lt;=0,"Z",IF(G205&lt;=Parametros!$B$6,"X",IF(G205&lt;=Parametros!$B$7,"Y","Z")))</f>
        <v>X</v>
      </c>
      <c r="L205" s="3" t="str">
        <f aca="false">J205&amp;K205</f>
        <v>BX</v>
      </c>
      <c r="M205" s="3" t="str">
        <f aca="false">INDEX(Parametros!$B$23:$B$31,MATCH(L205,Parametros!$A$23:$A$31,0))</f>
        <v>Estadístico + revisión de tendencia.</v>
      </c>
      <c r="N205" s="3" t="str">
        <f aca="false">INDEX(Parametros!$C$23:$C$31,MATCH(L205,Parametros!$A$23:$A$31,0))</f>
        <v>Mensual</v>
      </c>
      <c r="O205" s="23" t="n">
        <f aca="false">SUM(Datos_Semanales!M205:R205)</f>
        <v>15319.6</v>
      </c>
      <c r="P205" s="24" t="n">
        <f aca="false">IF(D205&gt;0,SUMPRODUCT(ABS(Datos_Semanales!F205:K205-Datos_Semanales!M205:R205))/D205,"")</f>
        <v>0.52651276469802</v>
      </c>
      <c r="Q205" s="24" t="n">
        <f aca="false">IF(D205&gt;0,O205/D205-1,"")</f>
        <v>-0.2686983254091</v>
      </c>
      <c r="R205" s="23" t="n">
        <f aca="false">SQRT(SUMXMY2(Datos_Semanales!F205:K205,Datos_Semanales!M205:R205)/COUNT(Datos_Semanales!F205:K205))</f>
        <v>2054.37805024619</v>
      </c>
    </row>
    <row r="206" customFormat="false" ht="15" hidden="false" customHeight="false" outlineLevel="0" collapsed="false">
      <c r="A206" s="18" t="n">
        <f aca="false">Datos_Semanales!A206</f>
        <v>30000188</v>
      </c>
      <c r="B206" s="18" t="str">
        <f aca="false">Datos_Semanales!B206</f>
        <v>DULCE MEMBRILLO POTE 12X500GR</v>
      </c>
      <c r="C206" s="18" t="str">
        <f aca="false">Datos_Semanales!C206</f>
        <v>DULCES</v>
      </c>
      <c r="D206" s="23" t="n">
        <f aca="false">SUM(Datos_Semanales!F206:K206)</f>
        <v>20850</v>
      </c>
      <c r="E206" s="23" t="n">
        <f aca="false">AVERAGE(Datos_Semanales!F206:K206)</f>
        <v>3475</v>
      </c>
      <c r="F206" s="23" t="n">
        <f aca="false">STDEV(Datos_Semanales!F206:K206)</f>
        <v>1375.56024949836</v>
      </c>
      <c r="G206" s="27" t="n">
        <f aca="false">IF(E206&gt;0,F206/E206,"")</f>
        <v>0.395844676114637</v>
      </c>
      <c r="H206" s="24" t="n">
        <f aca="false">IF(SUM($D$5:$D$494)&gt;0,D206/SUM($D$5:$D$494),0)</f>
        <v>0.000869117411237625</v>
      </c>
      <c r="I206" s="24" t="n">
        <f aca="false">SUMIF($D$5:$D$494,"&gt;="&amp;D206)/SUM($D$5:$D$494)</f>
        <v>0.901241243619937</v>
      </c>
      <c r="J206" s="3" t="str">
        <f aca="false">IF(D206&lt;=0,"C",IF(I206&lt;=Parametros!$B$4,"A",IF(I206&lt;=Parametros!$B$5,"B","C")))</f>
        <v>B</v>
      </c>
      <c r="K206" s="3" t="str">
        <f aca="false">IF(E206&lt;=0,"Z",IF(G206&lt;=Parametros!$B$6,"X",IF(G206&lt;=Parametros!$B$7,"Y","Z")))</f>
        <v>X</v>
      </c>
      <c r="L206" s="3" t="str">
        <f aca="false">J206&amp;K206</f>
        <v>BX</v>
      </c>
      <c r="M206" s="3" t="str">
        <f aca="false">INDEX(Parametros!$B$23:$B$31,MATCH(L206,Parametros!$A$23:$A$31,0))</f>
        <v>Estadístico + revisión de tendencia.</v>
      </c>
      <c r="N206" s="3" t="str">
        <f aca="false">INDEX(Parametros!$C$23:$C$31,MATCH(L206,Parametros!$A$23:$A$31,0))</f>
        <v>Mensual</v>
      </c>
      <c r="O206" s="23" t="n">
        <f aca="false">SUM(Datos_Semanales!M206:R206)</f>
        <v>27394</v>
      </c>
      <c r="P206" s="24" t="n">
        <f aca="false">IF(D206&gt;0,SUMPRODUCT(ABS(Datos_Semanales!F206:K206-Datos_Semanales!M206:R206))/D206,"")</f>
        <v>0.378896882494005</v>
      </c>
      <c r="Q206" s="24" t="n">
        <f aca="false">IF(D206&gt;0,O206/D206-1,"")</f>
        <v>0.313860911270983</v>
      </c>
      <c r="R206" s="23" t="n">
        <f aca="false">SQRT(SUMXMY2(Datos_Semanales!F206:K206,Datos_Semanales!M206:R206)/COUNT(Datos_Semanales!F206:K206))</f>
        <v>1699.60309092054</v>
      </c>
    </row>
    <row r="207" customFormat="false" ht="15" hidden="false" customHeight="false" outlineLevel="0" collapsed="false">
      <c r="A207" s="18" t="n">
        <f aca="false">Datos_Semanales!A207</f>
        <v>30000041</v>
      </c>
      <c r="B207" s="18" t="str">
        <f aca="false">Datos_Semanales!B207</f>
        <v>ACEITE BELMONT 4X5LT</v>
      </c>
      <c r="C207" s="18" t="str">
        <f aca="false">Datos_Semanales!C207</f>
        <v>-</v>
      </c>
      <c r="D207" s="23" t="n">
        <f aca="false">SUM(Datos_Semanales!F207:K207)</f>
        <v>20847.2</v>
      </c>
      <c r="E207" s="23" t="n">
        <f aca="false">AVERAGE(Datos_Semanales!F207:K207)</f>
        <v>3474.53333333333</v>
      </c>
      <c r="F207" s="23" t="n">
        <f aca="false">STDEV(Datos_Semanales!F207:K207)</f>
        <v>2297.14008860293</v>
      </c>
      <c r="G207" s="27" t="n">
        <f aca="false">IF(E207&gt;0,F207/E207,"")</f>
        <v>0.661136293200889</v>
      </c>
      <c r="H207" s="24" t="n">
        <f aca="false">IF(SUM($D$5:$D$494)&gt;0,D207/SUM($D$5:$D$494),0)</f>
        <v>0.000869000695230361</v>
      </c>
      <c r="I207" s="24" t="n">
        <f aca="false">SUMIF($D$5:$D$494,"&gt;="&amp;D207)/SUM($D$5:$D$494)</f>
        <v>0.902110244315168</v>
      </c>
      <c r="J207" s="3" t="str">
        <f aca="false">IF(D207&lt;=0,"C",IF(I207&lt;=Parametros!$B$4,"A",IF(I207&lt;=Parametros!$B$5,"B","C")))</f>
        <v>B</v>
      </c>
      <c r="K207" s="3" t="str">
        <f aca="false">IF(E207&lt;=0,"Z",IF(G207&lt;=Parametros!$B$6,"X",IF(G207&lt;=Parametros!$B$7,"Y","Z")))</f>
        <v>Y</v>
      </c>
      <c r="L207" s="3" t="str">
        <f aca="false">J207&amp;K207</f>
        <v>BY</v>
      </c>
      <c r="M207" s="3" t="str">
        <f aca="false">INDEX(Parametros!$B$23:$B$31,MATCH(L207,Parametros!$A$23:$A$31,0))</f>
        <v>Validar promociones y eventos con comercial.</v>
      </c>
      <c r="N207" s="3" t="str">
        <f aca="false">INDEX(Parametros!$C$23:$C$31,MATCH(L207,Parametros!$A$23:$A$31,0))</f>
        <v>Quincenal</v>
      </c>
      <c r="O207" s="23" t="n">
        <f aca="false">SUM(Datos_Semanales!M207:R207)</f>
        <v>17971.2</v>
      </c>
      <c r="P207" s="24" t="n">
        <f aca="false">IF(D207&gt;0,SUMPRODUCT(ABS(Datos_Semanales!F207:K207-Datos_Semanales!M207:R207))/D207,"")</f>
        <v>0.514601481254077</v>
      </c>
      <c r="Q207" s="24" t="n">
        <f aca="false">IF(D207&gt;0,O207/D207-1,"")</f>
        <v>-0.137956176369009</v>
      </c>
      <c r="R207" s="23" t="n">
        <f aca="false">SQRT(SUMXMY2(Datos_Semanales!F207:K207,Datos_Semanales!M207:R207)/COUNT(Datos_Semanales!F207:K207))</f>
        <v>2243.09376828819</v>
      </c>
    </row>
    <row r="208" customFormat="false" ht="15" hidden="false" customHeight="false" outlineLevel="0" collapsed="false">
      <c r="A208" s="18" t="n">
        <f aca="false">Datos_Semanales!A208</f>
        <v>30001854</v>
      </c>
      <c r="B208" s="18" t="str">
        <f aca="false">Datos_Semanales!B208</f>
        <v>YOG POTE ACTIVIA SEMILLA FLLA 24X140GR</v>
      </c>
      <c r="C208" s="18" t="str">
        <f aca="false">Datos_Semanales!C208</f>
        <v>YOGURT</v>
      </c>
      <c r="D208" s="23" t="n">
        <f aca="false">SUM(Datos_Semanales!F208:K208)</f>
        <v>20758.08</v>
      </c>
      <c r="E208" s="23" t="n">
        <f aca="false">AVERAGE(Datos_Semanales!F208:K208)</f>
        <v>3459.68</v>
      </c>
      <c r="F208" s="23" t="n">
        <f aca="false">STDEV(Datos_Semanales!F208:K208)</f>
        <v>788.639074862513</v>
      </c>
      <c r="G208" s="27" t="n">
        <f aca="false">IF(E208&gt;0,F208/E208,"")</f>
        <v>0.227951450672465</v>
      </c>
      <c r="H208" s="24" t="n">
        <f aca="false">IF(SUM($D$5:$D$494)&gt;0,D208/SUM($D$5:$D$494),0)</f>
        <v>0.000865285791456284</v>
      </c>
      <c r="I208" s="24" t="n">
        <f aca="false">SUMIF($D$5:$D$494,"&gt;="&amp;D208)/SUM($D$5:$D$494)</f>
        <v>0.902975530106624</v>
      </c>
      <c r="J208" s="3" t="str">
        <f aca="false">IF(D208&lt;=0,"C",IF(I208&lt;=Parametros!$B$4,"A",IF(I208&lt;=Parametros!$B$5,"B","C")))</f>
        <v>B</v>
      </c>
      <c r="K208" s="3" t="str">
        <f aca="false">IF(E208&lt;=0,"Z",IF(G208&lt;=Parametros!$B$6,"X",IF(G208&lt;=Parametros!$B$7,"Y","Z")))</f>
        <v>X</v>
      </c>
      <c r="L208" s="3" t="str">
        <f aca="false">J208&amp;K208</f>
        <v>BX</v>
      </c>
      <c r="M208" s="3" t="str">
        <f aca="false">INDEX(Parametros!$B$23:$B$31,MATCH(L208,Parametros!$A$23:$A$31,0))</f>
        <v>Estadístico + revisión de tendencia.</v>
      </c>
      <c r="N208" s="3" t="str">
        <f aca="false">INDEX(Parametros!$C$23:$C$31,MATCH(L208,Parametros!$A$23:$A$31,0))</f>
        <v>Mensual</v>
      </c>
      <c r="O208" s="23" t="n">
        <f aca="false">SUM(Datos_Semanales!M208:R208)</f>
        <v>13620.0490826123</v>
      </c>
      <c r="P208" s="24" t="n">
        <f aca="false">IF(D208&gt;0,SUMPRODUCT(ABS(Datos_Semanales!F208:K208-Datos_Semanales!M208:R208))/D208,"")</f>
        <v>0.369193954448152</v>
      </c>
      <c r="Q208" s="24" t="n">
        <f aca="false">IF(D208&gt;0,O208/D208-1,"")</f>
        <v>-0.343867588784113</v>
      </c>
      <c r="R208" s="23" t="n">
        <f aca="false">SQRT(SUMXMY2(Datos_Semanales!F208:K208,Datos_Semanales!M208:R208)/COUNT(Datos_Semanales!F208:K208))</f>
        <v>1637.03212095513</v>
      </c>
    </row>
    <row r="209" customFormat="false" ht="15" hidden="false" customHeight="false" outlineLevel="0" collapsed="false">
      <c r="A209" s="18" t="n">
        <f aca="false">Datos_Semanales!A209</f>
        <v>30001816</v>
      </c>
      <c r="B209" s="18" t="str">
        <f aca="false">Datos_Semanales!B209</f>
        <v>YOG CALAN PACK 6X8X90GR</v>
      </c>
      <c r="C209" s="18" t="str">
        <f aca="false">Datos_Semanales!C209</f>
        <v>YOGURT</v>
      </c>
      <c r="D209" s="23" t="n">
        <f aca="false">SUM(Datos_Semanales!F209:K209)</f>
        <v>20571.84</v>
      </c>
      <c r="E209" s="23" t="n">
        <f aca="false">AVERAGE(Datos_Semanales!F209:K209)</f>
        <v>3428.64</v>
      </c>
      <c r="F209" s="23" t="n">
        <f aca="false">STDEV(Datos_Semanales!F209:K209)</f>
        <v>1508.71487692009</v>
      </c>
      <c r="G209" s="27" t="n">
        <f aca="false">IF(E209&gt;0,F209/E209,"")</f>
        <v>0.440033038440924</v>
      </c>
      <c r="H209" s="24" t="n">
        <f aca="false">IF(SUM($D$5:$D$494)&gt;0,D209/SUM($D$5:$D$494),0)</f>
        <v>0.000857522509601661</v>
      </c>
      <c r="I209" s="24" t="n">
        <f aca="false">SUMIF($D$5:$D$494,"&gt;="&amp;D209)/SUM($D$5:$D$494)</f>
        <v>0.903833052616225</v>
      </c>
      <c r="J209" s="3" t="str">
        <f aca="false">IF(D209&lt;=0,"C",IF(I209&lt;=Parametros!$B$4,"A",IF(I209&lt;=Parametros!$B$5,"B","C")))</f>
        <v>B</v>
      </c>
      <c r="K209" s="3" t="str">
        <f aca="false">IF(E209&lt;=0,"Z",IF(G209&lt;=Parametros!$B$6,"X",IF(G209&lt;=Parametros!$B$7,"Y","Z")))</f>
        <v>X</v>
      </c>
      <c r="L209" s="3" t="str">
        <f aca="false">J209&amp;K209</f>
        <v>BX</v>
      </c>
      <c r="M209" s="3" t="str">
        <f aca="false">INDEX(Parametros!$B$23:$B$31,MATCH(L209,Parametros!$A$23:$A$31,0))</f>
        <v>Estadístico + revisión de tendencia.</v>
      </c>
      <c r="N209" s="3" t="str">
        <f aca="false">INDEX(Parametros!$C$23:$C$31,MATCH(L209,Parametros!$A$23:$A$31,0))</f>
        <v>Mensual</v>
      </c>
      <c r="O209" s="23" t="n">
        <f aca="false">SUM(Datos_Semanales!M209:R209)</f>
        <v>15214.551963422</v>
      </c>
      <c r="P209" s="24" t="n">
        <f aca="false">IF(D209&gt;0,SUMPRODUCT(ABS(Datos_Semanales!F209:K209-Datos_Semanales!M209:R209))/D209,"")</f>
        <v>0.328881931644422</v>
      </c>
      <c r="Q209" s="24" t="n">
        <f aca="false">IF(D209&gt;0,O209/D209-1,"")</f>
        <v>-0.260418515630006</v>
      </c>
      <c r="R209" s="23" t="n">
        <f aca="false">SQRT(SUMXMY2(Datos_Semanales!F209:K209,Datos_Semanales!M209:R209)/COUNT(Datos_Semanales!F209:K209))</f>
        <v>1597.54773893893</v>
      </c>
    </row>
    <row r="210" customFormat="false" ht="15" hidden="false" customHeight="false" outlineLevel="0" collapsed="false">
      <c r="A210" s="18" t="n">
        <f aca="false">Datos_Semanales!A210</f>
        <v>30000543</v>
      </c>
      <c r="B210" s="18" t="str">
        <f aca="false">Datos_Semanales!B210</f>
        <v>BEBIDA VEGETAL AVENA LCO 6X1LT</v>
      </c>
      <c r="C210" s="18" t="str">
        <f aca="false">Datos_Semanales!C210</f>
        <v>LECHES LIQUIDAS</v>
      </c>
      <c r="D210" s="23" t="n">
        <f aca="false">SUM(Datos_Semanales!F210:K210)</f>
        <v>20460</v>
      </c>
      <c r="E210" s="23" t="n">
        <f aca="false">AVERAGE(Datos_Semanales!F210:K210)</f>
        <v>3410</v>
      </c>
      <c r="F210" s="23" t="n">
        <f aca="false">STDEV(Datos_Semanales!F210:K210)</f>
        <v>1249.84287012408</v>
      </c>
      <c r="G210" s="27" t="n">
        <f aca="false">IF(E210&gt;0,F210/E210,"")</f>
        <v>0.366522835813513</v>
      </c>
      <c r="H210" s="24" t="n">
        <f aca="false">IF(SUM($D$5:$D$494)&gt;0,D210/SUM($D$5:$D$494),0)</f>
        <v>0.000852860538797209</v>
      </c>
      <c r="I210" s="24" t="n">
        <f aca="false">SUMIF($D$5:$D$494,"&gt;="&amp;D210)/SUM($D$5:$D$494)</f>
        <v>0.904685913155023</v>
      </c>
      <c r="J210" s="3" t="str">
        <f aca="false">IF(D210&lt;=0,"C",IF(I210&lt;=Parametros!$B$4,"A",IF(I210&lt;=Parametros!$B$5,"B","C")))</f>
        <v>B</v>
      </c>
      <c r="K210" s="3" t="str">
        <f aca="false">IF(E210&lt;=0,"Z",IF(G210&lt;=Parametros!$B$6,"X",IF(G210&lt;=Parametros!$B$7,"Y","Z")))</f>
        <v>X</v>
      </c>
      <c r="L210" s="3" t="str">
        <f aca="false">J210&amp;K210</f>
        <v>BX</v>
      </c>
      <c r="M210" s="3" t="str">
        <f aca="false">INDEX(Parametros!$B$23:$B$31,MATCH(L210,Parametros!$A$23:$A$31,0))</f>
        <v>Estadístico + revisión de tendencia.</v>
      </c>
      <c r="N210" s="3" t="str">
        <f aca="false">INDEX(Parametros!$C$23:$C$31,MATCH(L210,Parametros!$A$23:$A$31,0))</f>
        <v>Mensual</v>
      </c>
      <c r="O210" s="23" t="n">
        <f aca="false">SUM(Datos_Semanales!M210:R210)</f>
        <v>25767.5209315898</v>
      </c>
      <c r="P210" s="24" t="n">
        <f aca="false">IF(D210&gt;0,SUMPRODUCT(ABS(Datos_Semanales!F210:K210-Datos_Semanales!M210:R210))/D210,"")</f>
        <v>0.388939348407145</v>
      </c>
      <c r="Q210" s="24" t="n">
        <f aca="false">IF(D210&gt;0,O210/D210-1,"")</f>
        <v>0.259409625199893</v>
      </c>
      <c r="R210" s="23" t="n">
        <f aca="false">SQRT(SUMXMY2(Datos_Semanales!F210:K210,Datos_Semanales!M210:R210)/COUNT(Datos_Semanales!F210:K210))</f>
        <v>2059.45409713188</v>
      </c>
    </row>
    <row r="211" customFormat="false" ht="15" hidden="false" customHeight="false" outlineLevel="0" collapsed="false">
      <c r="A211" s="18" t="n">
        <f aca="false">Datos_Semanales!A211</f>
        <v>30000327</v>
      </c>
      <c r="B211" s="18" t="str">
        <f aca="false">Datos_Semanales!B211</f>
        <v>LECHE LCO S/LACTOSA FRUTIL 12X1LT</v>
      </c>
      <c r="C211" s="18" t="str">
        <f aca="false">Datos_Semanales!C211</f>
        <v>LECHES LIQUIDAS</v>
      </c>
      <c r="D211" s="23" t="n">
        <f aca="false">SUM(Datos_Semanales!F211:K211)</f>
        <v>20292</v>
      </c>
      <c r="E211" s="23" t="n">
        <f aca="false">AVERAGE(Datos_Semanales!F211:K211)</f>
        <v>3382</v>
      </c>
      <c r="F211" s="23" t="n">
        <f aca="false">STDEV(Datos_Semanales!F211:K211)</f>
        <v>2704.80550132537</v>
      </c>
      <c r="G211" s="27" t="n">
        <f aca="false">IF(E211&gt;0,F211/E211,"")</f>
        <v>0.799765080226308</v>
      </c>
      <c r="H211" s="24" t="n">
        <f aca="false">IF(SUM($D$5:$D$494)&gt;0,D211/SUM($D$5:$D$494),0)</f>
        <v>0.000845857578361338</v>
      </c>
      <c r="I211" s="24" t="n">
        <f aca="false">SUMIF($D$5:$D$494,"&gt;="&amp;D211)/SUM($D$5:$D$494)</f>
        <v>0.905531770733384</v>
      </c>
      <c r="J211" s="3" t="str">
        <f aca="false">IF(D211&lt;=0,"C",IF(I211&lt;=Parametros!$B$4,"A",IF(I211&lt;=Parametros!$B$5,"B","C")))</f>
        <v>B</v>
      </c>
      <c r="K211" s="3" t="str">
        <f aca="false">IF(E211&lt;=0,"Z",IF(G211&lt;=Parametros!$B$6,"X",IF(G211&lt;=Parametros!$B$7,"Y","Z")))</f>
        <v>Y</v>
      </c>
      <c r="L211" s="3" t="str">
        <f aca="false">J211&amp;K211</f>
        <v>BY</v>
      </c>
      <c r="M211" s="3" t="str">
        <f aca="false">INDEX(Parametros!$B$23:$B$31,MATCH(L211,Parametros!$A$23:$A$31,0))</f>
        <v>Validar promociones y eventos con comercial.</v>
      </c>
      <c r="N211" s="3" t="str">
        <f aca="false">INDEX(Parametros!$C$23:$C$31,MATCH(L211,Parametros!$A$23:$A$31,0))</f>
        <v>Quincenal</v>
      </c>
      <c r="O211" s="23" t="n">
        <f aca="false">SUM(Datos_Semanales!M211:R211)</f>
        <v>16833.4311875589</v>
      </c>
      <c r="P211" s="24" t="n">
        <f aca="false">IF(D211&gt;0,SUMPRODUCT(ABS(Datos_Semanales!F211:K211-Datos_Semanales!M211:R211))/D211,"")</f>
        <v>0.820852118448596</v>
      </c>
      <c r="Q211" s="24" t="n">
        <f aca="false">IF(D211&gt;0,O211/D211-1,"")</f>
        <v>-0.170440016382865</v>
      </c>
      <c r="R211" s="23" t="n">
        <f aca="false">SQRT(SUMXMY2(Datos_Semanales!F211:K211,Datos_Semanales!M211:R211)/COUNT(Datos_Semanales!F211:K211))</f>
        <v>3094.29174473467</v>
      </c>
    </row>
    <row r="212" customFormat="false" ht="15" hidden="false" customHeight="false" outlineLevel="0" collapsed="false">
      <c r="A212" s="18" t="n">
        <f aca="false">Datos_Semanales!A212</f>
        <v>30000116</v>
      </c>
      <c r="B212" s="18" t="str">
        <f aca="false">Datos_Semanales!B212</f>
        <v>MANTECA ASTRA 6X12X100GR</v>
      </c>
      <c r="C212" s="18" t="str">
        <f aca="false">Datos_Semanales!C212</f>
        <v>MANTECAS</v>
      </c>
      <c r="D212" s="23" t="n">
        <f aca="false">SUM(Datos_Semanales!F212:K212)</f>
        <v>20260.8</v>
      </c>
      <c r="E212" s="23" t="n">
        <f aca="false">AVERAGE(Datos_Semanales!F212:K212)</f>
        <v>3376.8</v>
      </c>
      <c r="F212" s="23" t="n">
        <f aca="false">STDEV(Datos_Semanales!F212:K212)</f>
        <v>1062.45264929784</v>
      </c>
      <c r="G212" s="27" t="n">
        <f aca="false">IF(E212&gt;0,F212/E212,"")</f>
        <v>0.314632980720754</v>
      </c>
      <c r="H212" s="24" t="n">
        <f aca="false">IF(SUM($D$5:$D$494)&gt;0,D212/SUM($D$5:$D$494),0)</f>
        <v>0.000844557028566104</v>
      </c>
      <c r="I212" s="24" t="n">
        <f aca="false">SUMIF($D$5:$D$494,"&gt;="&amp;D212)/SUM($D$5:$D$494)</f>
        <v>0.90637632776195</v>
      </c>
      <c r="J212" s="3" t="str">
        <f aca="false">IF(D212&lt;=0,"C",IF(I212&lt;=Parametros!$B$4,"A",IF(I212&lt;=Parametros!$B$5,"B","C")))</f>
        <v>B</v>
      </c>
      <c r="K212" s="3" t="str">
        <f aca="false">IF(E212&lt;=0,"Z",IF(G212&lt;=Parametros!$B$6,"X",IF(G212&lt;=Parametros!$B$7,"Y","Z")))</f>
        <v>X</v>
      </c>
      <c r="L212" s="3" t="str">
        <f aca="false">J212&amp;K212</f>
        <v>BX</v>
      </c>
      <c r="M212" s="3" t="str">
        <f aca="false">INDEX(Parametros!$B$23:$B$31,MATCH(L212,Parametros!$A$23:$A$31,0))</f>
        <v>Estadístico + revisión de tendencia.</v>
      </c>
      <c r="N212" s="3" t="str">
        <f aca="false">INDEX(Parametros!$C$23:$C$31,MATCH(L212,Parametros!$A$23:$A$31,0))</f>
        <v>Mensual</v>
      </c>
      <c r="O212" s="23" t="n">
        <f aca="false">SUM(Datos_Semanales!M212:R212)</f>
        <v>24862.2254545394</v>
      </c>
      <c r="P212" s="24" t="n">
        <f aca="false">IF(D212&gt;0,SUMPRODUCT(ABS(Datos_Semanales!F212:K212-Datos_Semanales!M212:R212))/D212,"")</f>
        <v>0.397997489936895</v>
      </c>
      <c r="Q212" s="24" t="n">
        <f aca="false">IF(D212&gt;0,O212/D212-1,"")</f>
        <v>0.227109761437819</v>
      </c>
      <c r="R212" s="23" t="n">
        <f aca="false">SQRT(SUMXMY2(Datos_Semanales!F212:K212,Datos_Semanales!M212:R212)/COUNT(Datos_Semanales!F212:K212))</f>
        <v>1555.81828538866</v>
      </c>
    </row>
    <row r="213" customFormat="false" ht="15" hidden="false" customHeight="false" outlineLevel="0" collapsed="false">
      <c r="A213" s="18" t="n">
        <f aca="false">Datos_Semanales!A213</f>
        <v>30001901</v>
      </c>
      <c r="B213" s="18" t="str">
        <f aca="false">Datos_Semanales!B213</f>
        <v>YOGURT YOGU YOGU MORA BOT 6X900GR</v>
      </c>
      <c r="C213" s="18" t="str">
        <f aca="false">Datos_Semanales!C213</f>
        <v>YOGURT</v>
      </c>
      <c r="D213" s="23" t="n">
        <f aca="false">SUM(Datos_Semanales!F213:K213)</f>
        <v>20217.6</v>
      </c>
      <c r="E213" s="23" t="n">
        <f aca="false">AVERAGE(Datos_Semanales!F213:K213)</f>
        <v>3369.6</v>
      </c>
      <c r="F213" s="23" t="n">
        <f aca="false">STDEV(Datos_Semanales!F213:K213)</f>
        <v>527.389556210587</v>
      </c>
      <c r="G213" s="27" t="n">
        <f aca="false">IF(E213&gt;0,F213/E213,"")</f>
        <v>0.156513994601907</v>
      </c>
      <c r="H213" s="24" t="n">
        <f aca="false">IF(SUM($D$5:$D$494)&gt;0,D213/SUM($D$5:$D$494),0)</f>
        <v>0.000842756267311166</v>
      </c>
      <c r="I213" s="24" t="n">
        <f aca="false">SUMIF($D$5:$D$494,"&gt;="&amp;D213)/SUM($D$5:$D$494)</f>
        <v>0.907219084029261</v>
      </c>
      <c r="J213" s="3" t="str">
        <f aca="false">IF(D213&lt;=0,"C",IF(I213&lt;=Parametros!$B$4,"A",IF(I213&lt;=Parametros!$B$5,"B","C")))</f>
        <v>B</v>
      </c>
      <c r="K213" s="3" t="str">
        <f aca="false">IF(E213&lt;=0,"Z",IF(G213&lt;=Parametros!$B$6,"X",IF(G213&lt;=Parametros!$B$7,"Y","Z")))</f>
        <v>X</v>
      </c>
      <c r="L213" s="3" t="str">
        <f aca="false">J213&amp;K213</f>
        <v>BX</v>
      </c>
      <c r="M213" s="3" t="str">
        <f aca="false">INDEX(Parametros!$B$23:$B$31,MATCH(L213,Parametros!$A$23:$A$31,0))</f>
        <v>Estadístico + revisión de tendencia.</v>
      </c>
      <c r="N213" s="3" t="str">
        <f aca="false">INDEX(Parametros!$C$23:$C$31,MATCH(L213,Parametros!$A$23:$A$31,0))</f>
        <v>Mensual</v>
      </c>
      <c r="O213" s="23" t="n">
        <f aca="false">SUM(Datos_Semanales!M213:R213)</f>
        <v>17260.3918660654</v>
      </c>
      <c r="P213" s="24" t="n">
        <f aca="false">IF(D213&gt;0,SUMPRODUCT(ABS(Datos_Semanales!F213:K213-Datos_Semanales!M213:R213))/D213,"")</f>
        <v>0.210111405999362</v>
      </c>
      <c r="Q213" s="24" t="n">
        <f aca="false">IF(D213&gt;0,O213/D213-1,"")</f>
        <v>-0.146268999976981</v>
      </c>
      <c r="R213" s="23" t="n">
        <f aca="false">SQRT(SUMXMY2(Datos_Semanales!F213:K213,Datos_Semanales!M213:R213)/COUNT(Datos_Semanales!F213:K213))</f>
        <v>780.163620773964</v>
      </c>
    </row>
    <row r="214" customFormat="false" ht="15" hidden="false" customHeight="false" outlineLevel="0" collapsed="false">
      <c r="A214" s="18" t="n">
        <f aca="false">Datos_Semanales!A214</f>
        <v>30002180</v>
      </c>
      <c r="B214" s="18" t="str">
        <f aca="false">Datos_Semanales!B214</f>
        <v>SHAKE SHAKE MANJAR 30X190ML</v>
      </c>
      <c r="C214" s="18" t="str">
        <f aca="false">Datos_Semanales!C214</f>
        <v>LECHES LIQUIDAS</v>
      </c>
      <c r="D214" s="23" t="n">
        <f aca="false">SUM(Datos_Semanales!F214:K214)</f>
        <v>20149.5</v>
      </c>
      <c r="E214" s="23" t="n">
        <f aca="false">AVERAGE(Datos_Semanales!F214:K214)</f>
        <v>3358.25</v>
      </c>
      <c r="F214" s="23" t="n">
        <f aca="false">STDEV(Datos_Semanales!F214:K214)</f>
        <v>1446.48623463896</v>
      </c>
      <c r="G214" s="27" t="n">
        <f aca="false">IF(E214&gt;0,F214/E214,"")</f>
        <v>0.430726192105698</v>
      </c>
      <c r="H214" s="24" t="n">
        <f aca="false">IF(SUM($D$5:$D$494)&gt;0,D214/SUM($D$5:$D$494),0)</f>
        <v>0.000839917567277339</v>
      </c>
      <c r="I214" s="24" t="n">
        <f aca="false">SUMIF($D$5:$D$494,"&gt;="&amp;D214)/SUM($D$5:$D$494)</f>
        <v>0.908059001596539</v>
      </c>
      <c r="J214" s="3" t="str">
        <f aca="false">IF(D214&lt;=0,"C",IF(I214&lt;=Parametros!$B$4,"A",IF(I214&lt;=Parametros!$B$5,"B","C")))</f>
        <v>B</v>
      </c>
      <c r="K214" s="3" t="str">
        <f aca="false">IF(E214&lt;=0,"Z",IF(G214&lt;=Parametros!$B$6,"X",IF(G214&lt;=Parametros!$B$7,"Y","Z")))</f>
        <v>X</v>
      </c>
      <c r="L214" s="3" t="str">
        <f aca="false">J214&amp;K214</f>
        <v>BX</v>
      </c>
      <c r="M214" s="3" t="str">
        <f aca="false">INDEX(Parametros!$B$23:$B$31,MATCH(L214,Parametros!$A$23:$A$31,0))</f>
        <v>Estadístico + revisión de tendencia.</v>
      </c>
      <c r="N214" s="3" t="str">
        <f aca="false">INDEX(Parametros!$C$23:$C$31,MATCH(L214,Parametros!$A$23:$A$31,0))</f>
        <v>Mensual</v>
      </c>
      <c r="O214" s="23" t="n">
        <f aca="false">SUM(Datos_Semanales!M214:R214)</f>
        <v>25100.5860590093</v>
      </c>
      <c r="P214" s="24" t="n">
        <f aca="false">IF(D214&gt;0,SUMPRODUCT(ABS(Datos_Semanales!F214:K214-Datos_Semanales!M214:R214))/D214,"")</f>
        <v>0.411379243108231</v>
      </c>
      <c r="Q214" s="24" t="n">
        <f aca="false">IF(D214&gt;0,O214/D214-1,"")</f>
        <v>0.245717564158381</v>
      </c>
      <c r="R214" s="23" t="n">
        <f aca="false">SQRT(SUMXMY2(Datos_Semanales!F214:K214,Datos_Semanales!M214:R214)/COUNT(Datos_Semanales!F214:K214))</f>
        <v>1470.1980475724</v>
      </c>
    </row>
    <row r="215" customFormat="false" ht="15" hidden="false" customHeight="false" outlineLevel="0" collapsed="false">
      <c r="A215" s="18" t="n">
        <f aca="false">Datos_Semanales!A215</f>
        <v>30002098</v>
      </c>
      <c r="B215" s="18" t="str">
        <f aca="false">Datos_Semanales!B215</f>
        <v>MANJAR LONCOLECHE DOYPACK 12X750GR</v>
      </c>
      <c r="C215" s="18" t="str">
        <f aca="false">Datos_Semanales!C215</f>
        <v>MANJAR</v>
      </c>
      <c r="D215" s="23" t="n">
        <f aca="false">SUM(Datos_Semanales!F215:K215)</f>
        <v>20133</v>
      </c>
      <c r="E215" s="23" t="n">
        <f aca="false">AVERAGE(Datos_Semanales!F215:K215)</f>
        <v>3355.5</v>
      </c>
      <c r="F215" s="23" t="n">
        <f aca="false">STDEV(Datos_Semanales!F215:K215)</f>
        <v>1436.36635298938</v>
      </c>
      <c r="G215" s="27" t="n">
        <f aca="false">IF(E215&gt;0,F215/E215,"")</f>
        <v>0.428063285051222</v>
      </c>
      <c r="H215" s="24" t="n">
        <f aca="false">IF(SUM($D$5:$D$494)&gt;0,D215/SUM($D$5:$D$494),0)</f>
        <v>0.000839229776520245</v>
      </c>
      <c r="I215" s="24" t="n">
        <f aca="false">SUMIF($D$5:$D$494,"&gt;="&amp;D215)/SUM($D$5:$D$494)</f>
        <v>0.908898231373059</v>
      </c>
      <c r="J215" s="3" t="str">
        <f aca="false">IF(D215&lt;=0,"C",IF(I215&lt;=Parametros!$B$4,"A",IF(I215&lt;=Parametros!$B$5,"B","C")))</f>
        <v>B</v>
      </c>
      <c r="K215" s="3" t="str">
        <f aca="false">IF(E215&lt;=0,"Z",IF(G215&lt;=Parametros!$B$6,"X",IF(G215&lt;=Parametros!$B$7,"Y","Z")))</f>
        <v>X</v>
      </c>
      <c r="L215" s="3" t="str">
        <f aca="false">J215&amp;K215</f>
        <v>BX</v>
      </c>
      <c r="M215" s="3" t="str">
        <f aca="false">INDEX(Parametros!$B$23:$B$31,MATCH(L215,Parametros!$A$23:$A$31,0))</f>
        <v>Estadístico + revisión de tendencia.</v>
      </c>
      <c r="N215" s="3" t="str">
        <f aca="false">INDEX(Parametros!$C$23:$C$31,MATCH(L215,Parametros!$A$23:$A$31,0))</f>
        <v>Mensual</v>
      </c>
      <c r="O215" s="23" t="n">
        <f aca="false">SUM(Datos_Semanales!M215:R215)</f>
        <v>24895.6915907113</v>
      </c>
      <c r="P215" s="24" t="n">
        <f aca="false">IF(D215&gt;0,SUMPRODUCT(ABS(Datos_Semanales!F215:K215-Datos_Semanales!M215:R215))/D215,"")</f>
        <v>0.349410996409441</v>
      </c>
      <c r="Q215" s="24" t="n">
        <f aca="false">IF(D215&gt;0,O215/D215-1,"")</f>
        <v>0.236561445920194</v>
      </c>
      <c r="R215" s="23" t="n">
        <f aca="false">SQRT(SUMXMY2(Datos_Semanales!F215:K215,Datos_Semanales!M215:R215)/COUNT(Datos_Semanales!F215:K215))</f>
        <v>1323.87552952231</v>
      </c>
    </row>
    <row r="216" customFormat="false" ht="15" hidden="false" customHeight="false" outlineLevel="0" collapsed="false">
      <c r="A216" s="18" t="n">
        <f aca="false">Datos_Semanales!A216</f>
        <v>30000469</v>
      </c>
      <c r="B216" s="18" t="str">
        <f aca="false">Datos_Semanales!B216</f>
        <v>MANTEQUILLA CALO UNTAB 12X350GR</v>
      </c>
      <c r="C216" s="18" t="str">
        <f aca="false">Datos_Semanales!C216</f>
        <v>MANTEQUILLAS</v>
      </c>
      <c r="D216" s="23" t="n">
        <f aca="false">SUM(Datos_Semanales!F216:K216)</f>
        <v>20004.6</v>
      </c>
      <c r="E216" s="23" t="n">
        <f aca="false">AVERAGE(Datos_Semanales!F216:K216)</f>
        <v>3334.1</v>
      </c>
      <c r="F216" s="23" t="n">
        <f aca="false">STDEV(Datos_Semanales!F216:K216)</f>
        <v>781.865469246468</v>
      </c>
      <c r="G216" s="27" t="n">
        <f aca="false">IF(E216&gt;0,F216/E216,"")</f>
        <v>0.234505704461914</v>
      </c>
      <c r="H216" s="24" t="n">
        <f aca="false">IF(SUM($D$5:$D$494)&gt;0,D216/SUM($D$5:$D$494),0)</f>
        <v>0.0008338775139014</v>
      </c>
      <c r="I216" s="24" t="n">
        <f aca="false">SUMIF($D$5:$D$494,"&gt;="&amp;D216)/SUM($D$5:$D$494)</f>
        <v>0.90973210888696</v>
      </c>
      <c r="J216" s="3" t="str">
        <f aca="false">IF(D216&lt;=0,"C",IF(I216&lt;=Parametros!$B$4,"A",IF(I216&lt;=Parametros!$B$5,"B","C")))</f>
        <v>B</v>
      </c>
      <c r="K216" s="3" t="str">
        <f aca="false">IF(E216&lt;=0,"Z",IF(G216&lt;=Parametros!$B$6,"X",IF(G216&lt;=Parametros!$B$7,"Y","Z")))</f>
        <v>X</v>
      </c>
      <c r="L216" s="3" t="str">
        <f aca="false">J216&amp;K216</f>
        <v>BX</v>
      </c>
      <c r="M216" s="3" t="str">
        <f aca="false">INDEX(Parametros!$B$23:$B$31,MATCH(L216,Parametros!$A$23:$A$31,0))</f>
        <v>Estadístico + revisión de tendencia.</v>
      </c>
      <c r="N216" s="3" t="str">
        <f aca="false">INDEX(Parametros!$C$23:$C$31,MATCH(L216,Parametros!$A$23:$A$31,0))</f>
        <v>Mensual</v>
      </c>
      <c r="O216" s="23" t="n">
        <f aca="false">SUM(Datos_Semanales!M216:R216)</f>
        <v>25498.2073041906</v>
      </c>
      <c r="P216" s="24" t="n">
        <f aca="false">IF(D216&gt;0,SUMPRODUCT(ABS(Datos_Semanales!F216:K216-Datos_Semanales!M216:R216))/D216,"")</f>
        <v>0.303130639031657</v>
      </c>
      <c r="Q216" s="24" t="n">
        <f aca="false">IF(D216&gt;0,O216/D216-1,"")</f>
        <v>0.27461720325278</v>
      </c>
      <c r="R216" s="23" t="n">
        <f aca="false">SQRT(SUMXMY2(Datos_Semanales!F216:K216,Datos_Semanales!M216:R216)/COUNT(Datos_Semanales!F216:K216))</f>
        <v>1295.57857592927</v>
      </c>
    </row>
    <row r="217" customFormat="false" ht="15" hidden="false" customHeight="false" outlineLevel="0" collapsed="false">
      <c r="A217" s="18" t="n">
        <f aca="false">Datos_Semanales!A217</f>
        <v>30001739</v>
      </c>
      <c r="B217" s="18" t="str">
        <f aca="false">Datos_Semanales!B217</f>
        <v>QUESO LAS PARCELAS CHANCO LAM 4X2,5KG</v>
      </c>
      <c r="C217" s="18" t="str">
        <f aca="false">Datos_Semanales!C217</f>
        <v>QUESOS</v>
      </c>
      <c r="D217" s="23" t="n">
        <f aca="false">SUM(Datos_Semanales!F217:K217)</f>
        <v>19980</v>
      </c>
      <c r="E217" s="23" t="n">
        <f aca="false">AVERAGE(Datos_Semanales!F217:K217)</f>
        <v>3330</v>
      </c>
      <c r="F217" s="23" t="n">
        <f aca="false">STDEV(Datos_Semanales!F217:K217)</f>
        <v>1653.15988337487</v>
      </c>
      <c r="G217" s="27" t="n">
        <f aca="false">IF(E217&gt;0,F217/E217,"")</f>
        <v>0.496444409421882</v>
      </c>
      <c r="H217" s="24" t="n">
        <f aca="false">IF(SUM($D$5:$D$494)&gt;0,D217/SUM($D$5:$D$494),0)</f>
        <v>0.000832852080409005</v>
      </c>
      <c r="I217" s="24" t="n">
        <f aca="false">SUMIF($D$5:$D$494,"&gt;="&amp;D217)/SUM($D$5:$D$494)</f>
        <v>0.910564960967369</v>
      </c>
      <c r="J217" s="3" t="str">
        <f aca="false">IF(D217&lt;=0,"C",IF(I217&lt;=Parametros!$B$4,"A",IF(I217&lt;=Parametros!$B$5,"B","C")))</f>
        <v>B</v>
      </c>
      <c r="K217" s="3" t="str">
        <f aca="false">IF(E217&lt;=0,"Z",IF(G217&lt;=Parametros!$B$6,"X",IF(G217&lt;=Parametros!$B$7,"Y","Z")))</f>
        <v>X</v>
      </c>
      <c r="L217" s="3" t="str">
        <f aca="false">J217&amp;K217</f>
        <v>BX</v>
      </c>
      <c r="M217" s="3" t="str">
        <f aca="false">INDEX(Parametros!$B$23:$B$31,MATCH(L217,Parametros!$A$23:$A$31,0))</f>
        <v>Estadístico + revisión de tendencia.</v>
      </c>
      <c r="N217" s="3" t="str">
        <f aca="false">INDEX(Parametros!$C$23:$C$31,MATCH(L217,Parametros!$A$23:$A$31,0))</f>
        <v>Mensual</v>
      </c>
      <c r="O217" s="23" t="n">
        <f aca="false">SUM(Datos_Semanales!M217:R217)</f>
        <v>20102.6426721689</v>
      </c>
      <c r="P217" s="24" t="n">
        <f aca="false">IF(D217&gt;0,SUMPRODUCT(ABS(Datos_Semanales!F217:K217-Datos_Semanales!M217:R217))/D217,"")</f>
        <v>0.356754956392697</v>
      </c>
      <c r="Q217" s="24" t="n">
        <f aca="false">IF(D217&gt;0,O217/D217-1,"")</f>
        <v>0.00613827188032756</v>
      </c>
      <c r="R217" s="23" t="n">
        <f aca="false">SQRT(SUMXMY2(Datos_Semanales!F217:K217,Datos_Semanales!M217:R217)/COUNT(Datos_Semanales!F217:K217))</f>
        <v>1405.6838837702</v>
      </c>
    </row>
    <row r="218" customFormat="false" ht="15" hidden="false" customHeight="false" outlineLevel="0" collapsed="false">
      <c r="A218" s="18" t="n">
        <f aca="false">Datos_Semanales!A218</f>
        <v>30002125</v>
      </c>
      <c r="B218" s="18" t="str">
        <f aca="false">Datos_Semanales!B218</f>
        <v>LECHE POLVO LONCO ENTERA 20X760GR</v>
      </c>
      <c r="C218" s="18" t="str">
        <f aca="false">Datos_Semanales!C218</f>
        <v>LECHES EN POLVO</v>
      </c>
      <c r="D218" s="23" t="n">
        <f aca="false">SUM(Datos_Semanales!F218:K218)</f>
        <v>19881.6</v>
      </c>
      <c r="E218" s="23" t="n">
        <f aca="false">AVERAGE(Datos_Semanales!F218:K218)</f>
        <v>3313.6</v>
      </c>
      <c r="F218" s="23" t="n">
        <f aca="false">STDEV(Datos_Semanales!F218:K218)</f>
        <v>2326.80178098608</v>
      </c>
      <c r="G218" s="27" t="n">
        <f aca="false">IF(E218&gt;0,F218/E218,"")</f>
        <v>0.702197543754853</v>
      </c>
      <c r="H218" s="24" t="n">
        <f aca="false">IF(SUM($D$5:$D$494)&gt;0,D218/SUM($D$5:$D$494),0)</f>
        <v>0.000828750346439423</v>
      </c>
      <c r="I218" s="24" t="n">
        <f aca="false">SUMIF($D$5:$D$494,"&gt;="&amp;D218)/SUM($D$5:$D$494)</f>
        <v>0.911393711313809</v>
      </c>
      <c r="J218" s="3" t="str">
        <f aca="false">IF(D218&lt;=0,"C",IF(I218&lt;=Parametros!$B$4,"A",IF(I218&lt;=Parametros!$B$5,"B","C")))</f>
        <v>B</v>
      </c>
      <c r="K218" s="3" t="str">
        <f aca="false">IF(E218&lt;=0,"Z",IF(G218&lt;=Parametros!$B$6,"X",IF(G218&lt;=Parametros!$B$7,"Y","Z")))</f>
        <v>Y</v>
      </c>
      <c r="L218" s="3" t="str">
        <f aca="false">J218&amp;K218</f>
        <v>BY</v>
      </c>
      <c r="M218" s="3" t="str">
        <f aca="false">INDEX(Parametros!$B$23:$B$31,MATCH(L218,Parametros!$A$23:$A$31,0))</f>
        <v>Validar promociones y eventos con comercial.</v>
      </c>
      <c r="N218" s="3" t="str">
        <f aca="false">INDEX(Parametros!$C$23:$C$31,MATCH(L218,Parametros!$A$23:$A$31,0))</f>
        <v>Quincenal</v>
      </c>
      <c r="O218" s="23" t="n">
        <f aca="false">SUM(Datos_Semanales!M218:R218)</f>
        <v>21718.5254048861</v>
      </c>
      <c r="P218" s="24" t="n">
        <f aca="false">IF(D218&gt;0,SUMPRODUCT(ABS(Datos_Semanales!F218:K218-Datos_Semanales!M218:R218))/D218,"")</f>
        <v>0.143173859492502</v>
      </c>
      <c r="Q218" s="24" t="n">
        <f aca="false">IF(D218&gt;0,O218/D218-1,"")</f>
        <v>0.092393238214536</v>
      </c>
      <c r="R218" s="23" t="n">
        <f aca="false">SQRT(SUMXMY2(Datos_Semanales!F218:K218,Datos_Semanales!M218:R218)/COUNT(Datos_Semanales!F218:K218))</f>
        <v>544.925611984479</v>
      </c>
    </row>
    <row r="219" customFormat="false" ht="15" hidden="false" customHeight="false" outlineLevel="0" collapsed="false">
      <c r="A219" s="18" t="n">
        <f aca="false">Datos_Semanales!A219</f>
        <v>30001661</v>
      </c>
      <c r="B219" s="18" t="str">
        <f aca="false">Datos_Semanales!B219</f>
        <v>MERMELADA WATTS DAMASCO 12X360GR</v>
      </c>
      <c r="C219" s="18" t="str">
        <f aca="false">Datos_Semanales!C219</f>
        <v>-</v>
      </c>
      <c r="D219" s="23" t="n">
        <f aca="false">SUM(Datos_Semanales!F219:K219)</f>
        <v>19815.84</v>
      </c>
      <c r="E219" s="23" t="n">
        <f aca="false">AVERAGE(Datos_Semanales!F219:K219)</f>
        <v>3302.64</v>
      </c>
      <c r="F219" s="23" t="n">
        <f aca="false">STDEV(Datos_Semanales!F219:K219)</f>
        <v>1070.09373555778</v>
      </c>
      <c r="G219" s="27" t="n">
        <f aca="false">IF(E219&gt;0,F219/E219,"")</f>
        <v>0.324011619661173</v>
      </c>
      <c r="H219" s="24" t="n">
        <f aca="false">IF(SUM($D$5:$D$494)&gt;0,D219/SUM($D$5:$D$494),0)</f>
        <v>0.000826009187640239</v>
      </c>
      <c r="I219" s="24" t="n">
        <f aca="false">SUMIF($D$5:$D$494,"&gt;="&amp;D219)/SUM($D$5:$D$494)</f>
        <v>0.912219720501449</v>
      </c>
      <c r="J219" s="3" t="str">
        <f aca="false">IF(D219&lt;=0,"C",IF(I219&lt;=Parametros!$B$4,"A",IF(I219&lt;=Parametros!$B$5,"B","C")))</f>
        <v>B</v>
      </c>
      <c r="K219" s="3" t="str">
        <f aca="false">IF(E219&lt;=0,"Z",IF(G219&lt;=Parametros!$B$6,"X",IF(G219&lt;=Parametros!$B$7,"Y","Z")))</f>
        <v>X</v>
      </c>
      <c r="L219" s="3" t="str">
        <f aca="false">J219&amp;K219</f>
        <v>BX</v>
      </c>
      <c r="M219" s="3" t="str">
        <f aca="false">INDEX(Parametros!$B$23:$B$31,MATCH(L219,Parametros!$A$23:$A$31,0))</f>
        <v>Estadístico + revisión de tendencia.</v>
      </c>
      <c r="N219" s="3" t="str">
        <f aca="false">INDEX(Parametros!$C$23:$C$31,MATCH(L219,Parametros!$A$23:$A$31,0))</f>
        <v>Mensual</v>
      </c>
      <c r="O219" s="23" t="n">
        <f aca="false">SUM(Datos_Semanales!M219:R219)</f>
        <v>19637.12</v>
      </c>
      <c r="P219" s="24" t="n">
        <f aca="false">IF(D219&gt;0,SUMPRODUCT(ABS(Datos_Semanales!F219:K219-Datos_Semanales!M219:R219))/D219,"")</f>
        <v>0.174527045030642</v>
      </c>
      <c r="Q219" s="24" t="n">
        <f aca="false">IF(D219&gt;0,O219/D219-1,"")</f>
        <v>-0.0090190473883518</v>
      </c>
      <c r="R219" s="23" t="n">
        <f aca="false">SQRT(SUMXMY2(Datos_Semanales!F219:K219,Datos_Semanales!M219:R219)/COUNT(Datos_Semanales!F219:K219))</f>
        <v>647.187039013194</v>
      </c>
    </row>
    <row r="220" customFormat="false" ht="15" hidden="false" customHeight="false" outlineLevel="0" collapsed="false">
      <c r="A220" s="18" t="n">
        <f aca="false">Datos_Semanales!A220</f>
        <v>30001976</v>
      </c>
      <c r="B220" s="18" t="str">
        <f aca="false">Datos_Semanales!B220</f>
        <v>BEBIDA LONCOLECHE VEGETAL SOYA 6X1LT</v>
      </c>
      <c r="C220" s="18" t="str">
        <f aca="false">Datos_Semanales!C220</f>
        <v>LECHES LIQUIDAS</v>
      </c>
      <c r="D220" s="23" t="n">
        <f aca="false">SUM(Datos_Semanales!F220:K220)</f>
        <v>19794</v>
      </c>
      <c r="E220" s="23" t="n">
        <f aca="false">AVERAGE(Datos_Semanales!F220:K220)</f>
        <v>3299</v>
      </c>
      <c r="F220" s="23" t="n">
        <f aca="false">STDEV(Datos_Semanales!F220:K220)</f>
        <v>1161.97814093037</v>
      </c>
      <c r="G220" s="27" t="n">
        <f aca="false">IF(E220&gt;0,F220/E220,"")</f>
        <v>0.352221321894626</v>
      </c>
      <c r="H220" s="24" t="n">
        <f aca="false">IF(SUM($D$5:$D$494)&gt;0,D220/SUM($D$5:$D$494),0)</f>
        <v>0.000825098802783576</v>
      </c>
      <c r="I220" s="24" t="n">
        <f aca="false">SUMIF($D$5:$D$494,"&gt;="&amp;D220)/SUM($D$5:$D$494)</f>
        <v>0.913044819304232</v>
      </c>
      <c r="J220" s="3" t="str">
        <f aca="false">IF(D220&lt;=0,"C",IF(I220&lt;=Parametros!$B$4,"A",IF(I220&lt;=Parametros!$B$5,"B","C")))</f>
        <v>B</v>
      </c>
      <c r="K220" s="3" t="str">
        <f aca="false">IF(E220&lt;=0,"Z",IF(G220&lt;=Parametros!$B$6,"X",IF(G220&lt;=Parametros!$B$7,"Y","Z")))</f>
        <v>X</v>
      </c>
      <c r="L220" s="3" t="str">
        <f aca="false">J220&amp;K220</f>
        <v>BX</v>
      </c>
      <c r="M220" s="3" t="str">
        <f aca="false">INDEX(Parametros!$B$23:$B$31,MATCH(L220,Parametros!$A$23:$A$31,0))</f>
        <v>Estadístico + revisión de tendencia.</v>
      </c>
      <c r="N220" s="3" t="str">
        <f aca="false">INDEX(Parametros!$C$23:$C$31,MATCH(L220,Parametros!$A$23:$A$31,0))</f>
        <v>Mensual</v>
      </c>
      <c r="O220" s="23" t="n">
        <f aca="false">SUM(Datos_Semanales!M220:R220)</f>
        <v>17744.6778794002</v>
      </c>
      <c r="P220" s="24" t="n">
        <f aca="false">IF(D220&gt;0,SUMPRODUCT(ABS(Datos_Semanales!F220:K220-Datos_Semanales!M220:R220))/D220,"")</f>
        <v>0.411908766323119</v>
      </c>
      <c r="Q220" s="24" t="n">
        <f aca="false">IF(D220&gt;0,O220/D220-1,"")</f>
        <v>-0.103532490684036</v>
      </c>
      <c r="R220" s="23" t="n">
        <f aca="false">SQRT(SUMXMY2(Datos_Semanales!F220:K220,Datos_Semanales!M220:R220)/COUNT(Datos_Semanales!F220:K220))</f>
        <v>1682.54432266297</v>
      </c>
    </row>
    <row r="221" customFormat="false" ht="15" hidden="false" customHeight="false" outlineLevel="0" collapsed="false">
      <c r="A221" s="18" t="n">
        <f aca="false">Datos_Semanales!A221</f>
        <v>30000069</v>
      </c>
      <c r="B221" s="18" t="str">
        <f aca="false">Datos_Semanales!B221</f>
        <v>MARGARINA SUREÑA 6X12X125GR</v>
      </c>
      <c r="C221" s="18" t="str">
        <f aca="false">Datos_Semanales!C221</f>
        <v>MARGARINAS</v>
      </c>
      <c r="D221" s="23" t="n">
        <f aca="false">SUM(Datos_Semanales!F221:K221)</f>
        <v>19791</v>
      </c>
      <c r="E221" s="23" t="n">
        <f aca="false">AVERAGE(Datos_Semanales!F221:K221)</f>
        <v>3298.5</v>
      </c>
      <c r="F221" s="23" t="n">
        <f aca="false">STDEV(Datos_Semanales!F221:K221)</f>
        <v>1049.05800602255</v>
      </c>
      <c r="G221" s="27" t="n">
        <f aca="false">IF(E221&gt;0,F221/E221,"")</f>
        <v>0.31804092952025</v>
      </c>
      <c r="H221" s="24" t="n">
        <f aca="false">IF(SUM($D$5:$D$494)&gt;0,D221/SUM($D$5:$D$494),0)</f>
        <v>0.000824973749918649</v>
      </c>
      <c r="I221" s="24" t="n">
        <f aca="false">SUMIF($D$5:$D$494,"&gt;="&amp;D221)/SUM($D$5:$D$494)</f>
        <v>0.913869793054151</v>
      </c>
      <c r="J221" s="3" t="str">
        <f aca="false">IF(D221&lt;=0,"C",IF(I221&lt;=Parametros!$B$4,"A",IF(I221&lt;=Parametros!$B$5,"B","C")))</f>
        <v>B</v>
      </c>
      <c r="K221" s="3" t="str">
        <f aca="false">IF(E221&lt;=0,"Z",IF(G221&lt;=Parametros!$B$6,"X",IF(G221&lt;=Parametros!$B$7,"Y","Z")))</f>
        <v>X</v>
      </c>
      <c r="L221" s="3" t="str">
        <f aca="false">J221&amp;K221</f>
        <v>BX</v>
      </c>
      <c r="M221" s="3" t="str">
        <f aca="false">INDEX(Parametros!$B$23:$B$31,MATCH(L221,Parametros!$A$23:$A$31,0))</f>
        <v>Estadístico + revisión de tendencia.</v>
      </c>
      <c r="N221" s="3" t="str">
        <f aca="false">INDEX(Parametros!$C$23:$C$31,MATCH(L221,Parametros!$A$23:$A$31,0))</f>
        <v>Mensual</v>
      </c>
      <c r="O221" s="23" t="n">
        <f aca="false">SUM(Datos_Semanales!M221:R221)</f>
        <v>21688.6204680025</v>
      </c>
      <c r="P221" s="24" t="n">
        <f aca="false">IF(D221&gt;0,SUMPRODUCT(ABS(Datos_Semanales!F221:K221-Datos_Semanales!M221:R221))/D221,"")</f>
        <v>0.274940967781154</v>
      </c>
      <c r="Q221" s="24" t="n">
        <f aca="false">IF(D221&gt;0,O221/D221-1,"")</f>
        <v>0.095883000758046</v>
      </c>
      <c r="R221" s="23" t="n">
        <f aca="false">SQRT(SUMXMY2(Datos_Semanales!F221:K221,Datos_Semanales!M221:R221)/COUNT(Datos_Semanales!F221:K221))</f>
        <v>992.881722789883</v>
      </c>
    </row>
    <row r="222" customFormat="false" ht="15" hidden="false" customHeight="false" outlineLevel="0" collapsed="false">
      <c r="A222" s="18" t="n">
        <f aca="false">Datos_Semanales!A222</f>
        <v>30000248</v>
      </c>
      <c r="B222" s="18" t="str">
        <f aca="false">Datos_Semanales!B222</f>
        <v>NECTAR WATT'S PIÑA 12X1LT</v>
      </c>
      <c r="C222" s="18" t="str">
        <f aca="false">Datos_Semanales!C222</f>
        <v>-</v>
      </c>
      <c r="D222" s="23" t="n">
        <f aca="false">SUM(Datos_Semanales!F222:K222)</f>
        <v>19716</v>
      </c>
      <c r="E222" s="23" t="n">
        <f aca="false">AVERAGE(Datos_Semanales!F222:K222)</f>
        <v>3286</v>
      </c>
      <c r="F222" s="23" t="n">
        <f aca="false">STDEV(Datos_Semanales!F222:K222)</f>
        <v>791.833315793166</v>
      </c>
      <c r="G222" s="27" t="n">
        <f aca="false">IF(E222&gt;0,F222/E222,"")</f>
        <v>0.240971794215814</v>
      </c>
      <c r="H222" s="24" t="n">
        <f aca="false">IF(SUM($D$5:$D$494)&gt;0,D222/SUM($D$5:$D$494),0)</f>
        <v>0.000821847428295492</v>
      </c>
      <c r="I222" s="24" t="n">
        <f aca="false">SUMIF($D$5:$D$494,"&gt;="&amp;D222)/SUM($D$5:$D$494)</f>
        <v>0.914691640482447</v>
      </c>
      <c r="J222" s="3" t="str">
        <f aca="false">IF(D222&lt;=0,"C",IF(I222&lt;=Parametros!$B$4,"A",IF(I222&lt;=Parametros!$B$5,"B","C")))</f>
        <v>B</v>
      </c>
      <c r="K222" s="3" t="str">
        <f aca="false">IF(E222&lt;=0,"Z",IF(G222&lt;=Parametros!$B$6,"X",IF(G222&lt;=Parametros!$B$7,"Y","Z")))</f>
        <v>X</v>
      </c>
      <c r="L222" s="3" t="str">
        <f aca="false">J222&amp;K222</f>
        <v>BX</v>
      </c>
      <c r="M222" s="3" t="str">
        <f aca="false">INDEX(Parametros!$B$23:$B$31,MATCH(L222,Parametros!$A$23:$A$31,0))</f>
        <v>Estadístico + revisión de tendencia.</v>
      </c>
      <c r="N222" s="3" t="str">
        <f aca="false">INDEX(Parametros!$C$23:$C$31,MATCH(L222,Parametros!$A$23:$A$31,0))</f>
        <v>Mensual</v>
      </c>
      <c r="O222" s="23" t="n">
        <f aca="false">SUM(Datos_Semanales!M222:R222)</f>
        <v>19043.8222517439</v>
      </c>
      <c r="P222" s="24" t="n">
        <f aca="false">IF(D222&gt;0,SUMPRODUCT(ABS(Datos_Semanales!F222:K222-Datos_Semanales!M222:R222))/D222,"")</f>
        <v>0.214490974739767</v>
      </c>
      <c r="Q222" s="24" t="n">
        <f aca="false">IF(D222&gt;0,O222/D222-1,"")</f>
        <v>-0.0340930081282259</v>
      </c>
      <c r="R222" s="23" t="n">
        <f aca="false">SQRT(SUMXMY2(Datos_Semanales!F222:K222,Datos_Semanales!M222:R222)/COUNT(Datos_Semanales!F222:K222))</f>
        <v>821.834454304876</v>
      </c>
    </row>
    <row r="223" customFormat="false" ht="15" hidden="false" customHeight="false" outlineLevel="0" collapsed="false">
      <c r="A223" s="18" t="n">
        <f aca="false">Datos_Semanales!A223</f>
        <v>30000079</v>
      </c>
      <c r="B223" s="18" t="str">
        <f aca="false">Datos_Semanales!B223</f>
        <v>MANTECA CRUCINA 40X200GR</v>
      </c>
      <c r="C223" s="18" t="str">
        <f aca="false">Datos_Semanales!C223</f>
        <v>MANTECAS</v>
      </c>
      <c r="D223" s="23" t="n">
        <f aca="false">SUM(Datos_Semanales!F223:K223)</f>
        <v>19680</v>
      </c>
      <c r="E223" s="23" t="n">
        <f aca="false">AVERAGE(Datos_Semanales!F223:K223)</f>
        <v>3280</v>
      </c>
      <c r="F223" s="23" t="n">
        <f aca="false">STDEV(Datos_Semanales!F223:K223)</f>
        <v>1233.73384487903</v>
      </c>
      <c r="G223" s="27" t="n">
        <f aca="false">IF(E223&gt;0,F223/E223,"")</f>
        <v>0.376138367341168</v>
      </c>
      <c r="H223" s="24" t="n">
        <f aca="false">IF(SUM($D$5:$D$494)&gt;0,D223/SUM($D$5:$D$494),0)</f>
        <v>0.000820346793916377</v>
      </c>
      <c r="I223" s="24" t="n">
        <f aca="false">SUMIF($D$5:$D$494,"&gt;="&amp;D223)/SUM($D$5:$D$494)</f>
        <v>0.915511987276363</v>
      </c>
      <c r="J223" s="3" t="str">
        <f aca="false">IF(D223&lt;=0,"C",IF(I223&lt;=Parametros!$B$4,"A",IF(I223&lt;=Parametros!$B$5,"B","C")))</f>
        <v>B</v>
      </c>
      <c r="K223" s="3" t="str">
        <f aca="false">IF(E223&lt;=0,"Z",IF(G223&lt;=Parametros!$B$6,"X",IF(G223&lt;=Parametros!$B$7,"Y","Z")))</f>
        <v>X</v>
      </c>
      <c r="L223" s="3" t="str">
        <f aca="false">J223&amp;K223</f>
        <v>BX</v>
      </c>
      <c r="M223" s="3" t="str">
        <f aca="false">INDEX(Parametros!$B$23:$B$31,MATCH(L223,Parametros!$A$23:$A$31,0))</f>
        <v>Estadístico + revisión de tendencia.</v>
      </c>
      <c r="N223" s="3" t="str">
        <f aca="false">INDEX(Parametros!$C$23:$C$31,MATCH(L223,Parametros!$A$23:$A$31,0))</f>
        <v>Mensual</v>
      </c>
      <c r="O223" s="23" t="n">
        <f aca="false">SUM(Datos_Semanales!M223:R223)</f>
        <v>22290.0816180664</v>
      </c>
      <c r="P223" s="24" t="n">
        <f aca="false">IF(D223&gt;0,SUMPRODUCT(ABS(Datos_Semanales!F223:K223-Datos_Semanales!M223:R223))/D223,"")</f>
        <v>0.334207140509611</v>
      </c>
      <c r="Q223" s="24" t="n">
        <f aca="false">IF(D223&gt;0,O223/D223-1,"")</f>
        <v>0.132626098478985</v>
      </c>
      <c r="R223" s="23" t="n">
        <f aca="false">SQRT(SUMXMY2(Datos_Semanales!F223:K223,Datos_Semanales!M223:R223)/COUNT(Datos_Semanales!F223:K223))</f>
        <v>1284.24015862201</v>
      </c>
    </row>
    <row r="224" customFormat="false" ht="15" hidden="false" customHeight="false" outlineLevel="0" collapsed="false">
      <c r="A224" s="18" t="n">
        <f aca="false">Datos_Semanales!A224</f>
        <v>30002278</v>
      </c>
      <c r="B224" s="18" t="str">
        <f aca="false">Datos_Semanales!B224</f>
        <v>QUESO LAS PARCELAS CHANCO 12X233GR</v>
      </c>
      <c r="C224" s="18" t="str">
        <f aca="false">Datos_Semanales!C224</f>
        <v>-</v>
      </c>
      <c r="D224" s="23" t="n">
        <f aca="false">SUM(Datos_Semanales!F224:K224)</f>
        <v>19616.49</v>
      </c>
      <c r="E224" s="23" t="n">
        <f aca="false">AVERAGE(Datos_Semanales!F224:K224)</f>
        <v>3269.415</v>
      </c>
      <c r="F224" s="23" t="n">
        <f aca="false">STDEV(Datos_Semanales!F224:K224)</f>
        <v>1659.18315434734</v>
      </c>
      <c r="G224" s="27" t="n">
        <f aca="false">IF(E224&gt;0,F224/E224,"")</f>
        <v>0.507486248869398</v>
      </c>
      <c r="H224" s="24" t="n">
        <f aca="false">IF(SUM($D$5:$D$494)&gt;0,D224/SUM($D$5:$D$494),0)</f>
        <v>0.000817699424765888</v>
      </c>
      <c r="I224" s="24" t="n">
        <f aca="false">SUMIF($D$5:$D$494,"&gt;="&amp;D224)/SUM($D$5:$D$494)</f>
        <v>0.916329686701129</v>
      </c>
      <c r="J224" s="3" t="str">
        <f aca="false">IF(D224&lt;=0,"C",IF(I224&lt;=Parametros!$B$4,"A",IF(I224&lt;=Parametros!$B$5,"B","C")))</f>
        <v>B</v>
      </c>
      <c r="K224" s="3" t="str">
        <f aca="false">IF(E224&lt;=0,"Z",IF(G224&lt;=Parametros!$B$6,"X",IF(G224&lt;=Parametros!$B$7,"Y","Z")))</f>
        <v>Y</v>
      </c>
      <c r="L224" s="3" t="str">
        <f aca="false">J224&amp;K224</f>
        <v>BY</v>
      </c>
      <c r="M224" s="3" t="str">
        <f aca="false">INDEX(Parametros!$B$23:$B$31,MATCH(L224,Parametros!$A$23:$A$31,0))</f>
        <v>Validar promociones y eventos con comercial.</v>
      </c>
      <c r="N224" s="3" t="str">
        <f aca="false">INDEX(Parametros!$C$23:$C$31,MATCH(L224,Parametros!$A$23:$A$31,0))</f>
        <v>Quincenal</v>
      </c>
      <c r="O224" s="23" t="n">
        <f aca="false">SUM(Datos_Semanales!M224:R224)</f>
        <v>23500</v>
      </c>
      <c r="P224" s="24" t="n">
        <f aca="false">IF(D224&gt;0,SUMPRODUCT(ABS(Datos_Semanales!F224:K224-Datos_Semanales!M224:R224))/D224,"")</f>
        <v>0.36150045191571</v>
      </c>
      <c r="Q224" s="24" t="n">
        <f aca="false">IF(D224&gt;0,O224/D224-1,"")</f>
        <v>0.197971706457169</v>
      </c>
      <c r="R224" s="23" t="n">
        <f aca="false">SQRT(SUMXMY2(Datos_Semanales!F224:K224,Datos_Semanales!M224:R224)/COUNT(Datos_Semanales!F224:K224))</f>
        <v>1266.87149780473</v>
      </c>
    </row>
    <row r="225" customFormat="false" ht="15" hidden="false" customHeight="false" outlineLevel="0" collapsed="false">
      <c r="A225" s="18" t="n">
        <f aca="false">Datos_Semanales!A225</f>
        <v>30001744</v>
      </c>
      <c r="B225" s="18" t="str">
        <f aca="false">Datos_Semanales!B225</f>
        <v>POUCH WATTS HALLOWEEN PERA 36X90GR</v>
      </c>
      <c r="C225" s="18" t="str">
        <f aca="false">Datos_Semanales!C225</f>
        <v>COLACIONES EN CONSERVA</v>
      </c>
      <c r="D225" s="23" t="n">
        <f aca="false">SUM(Datos_Semanales!F225:K225)</f>
        <v>19602</v>
      </c>
      <c r="E225" s="23" t="n">
        <f aca="false">AVERAGE(Datos_Semanales!F225:K225)</f>
        <v>3267</v>
      </c>
      <c r="F225" s="23" t="n">
        <f aca="false">STDEV(Datos_Semanales!F225:K225)</f>
        <v>2471.80673768804</v>
      </c>
      <c r="G225" s="27" t="n">
        <f aca="false">IF(E225&gt;0,F225/E225,"")</f>
        <v>0.756598328034295</v>
      </c>
      <c r="H225" s="24" t="n">
        <f aca="false">IF(SUM($D$5:$D$494)&gt;0,D225/SUM($D$5:$D$494),0)</f>
        <v>0.000817095419428294</v>
      </c>
      <c r="I225" s="24" t="n">
        <f aca="false">SUMIF($D$5:$D$494,"&gt;="&amp;D225)/SUM($D$5:$D$494)</f>
        <v>0.917146782120557</v>
      </c>
      <c r="J225" s="3" t="str">
        <f aca="false">IF(D225&lt;=0,"C",IF(I225&lt;=Parametros!$B$4,"A",IF(I225&lt;=Parametros!$B$5,"B","C")))</f>
        <v>B</v>
      </c>
      <c r="K225" s="3" t="str">
        <f aca="false">IF(E225&lt;=0,"Z",IF(G225&lt;=Parametros!$B$6,"X",IF(G225&lt;=Parametros!$B$7,"Y","Z")))</f>
        <v>Y</v>
      </c>
      <c r="L225" s="3" t="str">
        <f aca="false">J225&amp;K225</f>
        <v>BY</v>
      </c>
      <c r="M225" s="3" t="str">
        <f aca="false">INDEX(Parametros!$B$23:$B$31,MATCH(L225,Parametros!$A$23:$A$31,0))</f>
        <v>Validar promociones y eventos con comercial.</v>
      </c>
      <c r="N225" s="3" t="str">
        <f aca="false">INDEX(Parametros!$C$23:$C$31,MATCH(L225,Parametros!$A$23:$A$31,0))</f>
        <v>Quincenal</v>
      </c>
      <c r="O225" s="23" t="n">
        <f aca="false">SUM(Datos_Semanales!M225:R225)</f>
        <v>17024.48</v>
      </c>
      <c r="P225" s="24" t="n">
        <f aca="false">IF(D225&gt;0,SUMPRODUCT(ABS(Datos_Semanales!F225:K225-Datos_Semanales!M225:R225))/D225,"")</f>
        <v>0.439453117028875</v>
      </c>
      <c r="Q225" s="24" t="n">
        <f aca="false">IF(D225&gt;0,O225/D225-1,"")</f>
        <v>-0.131492704826038</v>
      </c>
      <c r="R225" s="23" t="n">
        <f aca="false">SQRT(SUMXMY2(Datos_Semanales!F225:K225,Datos_Semanales!M225:R225)/COUNT(Datos_Semanales!F225:K225))</f>
        <v>1715.49282481741</v>
      </c>
    </row>
    <row r="226" customFormat="false" ht="15" hidden="false" customHeight="false" outlineLevel="0" collapsed="false">
      <c r="A226" s="18" t="n">
        <f aca="false">Datos_Semanales!A226</f>
        <v>30001765</v>
      </c>
      <c r="B226" s="18" t="str">
        <f aca="false">Datos_Semanales!B226</f>
        <v>MERMELADA FRUTILLA L L 24X225GR</v>
      </c>
      <c r="C226" s="18" t="str">
        <f aca="false">Datos_Semanales!C226</f>
        <v>MERMELADAS</v>
      </c>
      <c r="D226" s="23" t="n">
        <f aca="false">SUM(Datos_Semanales!F226:K226)</f>
        <v>19553.4</v>
      </c>
      <c r="E226" s="23" t="n">
        <f aca="false">AVERAGE(Datos_Semanales!F226:K226)</f>
        <v>3258.9</v>
      </c>
      <c r="F226" s="23" t="n">
        <f aca="false">STDEV(Datos_Semanales!F226:K226)</f>
        <v>985.761088702531</v>
      </c>
      <c r="G226" s="27" t="n">
        <f aca="false">IF(E226&gt;0,F226/E226,"")</f>
        <v>0.302482766793253</v>
      </c>
      <c r="H226" s="24" t="n">
        <f aca="false">IF(SUM($D$5:$D$494)&gt;0,D226/SUM($D$5:$D$494),0)</f>
        <v>0.000815069563016488</v>
      </c>
      <c r="I226" s="24" t="n">
        <f aca="false">SUMIF($D$5:$D$494,"&gt;="&amp;D226)/SUM($D$5:$D$494)</f>
        <v>0.917961851683574</v>
      </c>
      <c r="J226" s="3" t="str">
        <f aca="false">IF(D226&lt;=0,"C",IF(I226&lt;=Parametros!$B$4,"A",IF(I226&lt;=Parametros!$B$5,"B","C")))</f>
        <v>B</v>
      </c>
      <c r="K226" s="3" t="str">
        <f aca="false">IF(E226&lt;=0,"Z",IF(G226&lt;=Parametros!$B$6,"X",IF(G226&lt;=Parametros!$B$7,"Y","Z")))</f>
        <v>X</v>
      </c>
      <c r="L226" s="3" t="str">
        <f aca="false">J226&amp;K226</f>
        <v>BX</v>
      </c>
      <c r="M226" s="3" t="str">
        <f aca="false">INDEX(Parametros!$B$23:$B$31,MATCH(L226,Parametros!$A$23:$A$31,0))</f>
        <v>Estadístico + revisión de tendencia.</v>
      </c>
      <c r="N226" s="3" t="str">
        <f aca="false">INDEX(Parametros!$C$23:$C$31,MATCH(L226,Parametros!$A$23:$A$31,0))</f>
        <v>Mensual</v>
      </c>
      <c r="O226" s="23" t="n">
        <f aca="false">SUM(Datos_Semanales!M226:R226)</f>
        <v>20239.8</v>
      </c>
      <c r="P226" s="24" t="n">
        <f aca="false">IF(D226&gt;0,SUMPRODUCT(ABS(Datos_Semanales!F226:K226-Datos_Semanales!M226:R226))/D226,"")</f>
        <v>0.218192232552906</v>
      </c>
      <c r="Q226" s="24" t="n">
        <f aca="false">IF(D226&gt;0,O226/D226-1,"")</f>
        <v>0.0351038694037864</v>
      </c>
      <c r="R226" s="23" t="n">
        <f aca="false">SQRT(SUMXMY2(Datos_Semanales!F226:K226,Datos_Semanales!M226:R226)/COUNT(Datos_Semanales!F226:K226))</f>
        <v>1034.10246429774</v>
      </c>
    </row>
    <row r="227" customFormat="false" ht="15" hidden="false" customHeight="false" outlineLevel="0" collapsed="false">
      <c r="A227" s="18" t="n">
        <f aca="false">Datos_Semanales!A227</f>
        <v>30000177</v>
      </c>
      <c r="B227" s="18" t="str">
        <f aca="false">Datos_Semanales!B227</f>
        <v>MERM W S/A SACHET DSCO 24X200GR</v>
      </c>
      <c r="C227" s="18" t="str">
        <f aca="false">Datos_Semanales!C227</f>
        <v>MERMELADAS</v>
      </c>
      <c r="D227" s="23" t="n">
        <f aca="false">SUM(Datos_Semanales!F227:K227)</f>
        <v>19468.8</v>
      </c>
      <c r="E227" s="23" t="n">
        <f aca="false">AVERAGE(Datos_Semanales!F227:K227)</f>
        <v>3244.8</v>
      </c>
      <c r="F227" s="23" t="n">
        <f aca="false">STDEV(Datos_Semanales!F227:K227)</f>
        <v>611.113711186388</v>
      </c>
      <c r="G227" s="27" t="n">
        <f aca="false">IF(E227&gt;0,F227/E227,"")</f>
        <v>0.188336326179237</v>
      </c>
      <c r="H227" s="24" t="n">
        <f aca="false">IF(SUM($D$5:$D$494)&gt;0,D227/SUM($D$5:$D$494),0)</f>
        <v>0.000811543072225567</v>
      </c>
      <c r="I227" s="24" t="n">
        <f aca="false">SUMIF($D$5:$D$494,"&gt;="&amp;D227)/SUM($D$5:$D$494)</f>
        <v>0.918773394755799</v>
      </c>
      <c r="J227" s="3" t="str">
        <f aca="false">IF(D227&lt;=0,"C",IF(I227&lt;=Parametros!$B$4,"A",IF(I227&lt;=Parametros!$B$5,"B","C")))</f>
        <v>B</v>
      </c>
      <c r="K227" s="3" t="str">
        <f aca="false">IF(E227&lt;=0,"Z",IF(G227&lt;=Parametros!$B$6,"X",IF(G227&lt;=Parametros!$B$7,"Y","Z")))</f>
        <v>X</v>
      </c>
      <c r="L227" s="3" t="str">
        <f aca="false">J227&amp;K227</f>
        <v>BX</v>
      </c>
      <c r="M227" s="3" t="str">
        <f aca="false">INDEX(Parametros!$B$23:$B$31,MATCH(L227,Parametros!$A$23:$A$31,0))</f>
        <v>Estadístico + revisión de tendencia.</v>
      </c>
      <c r="N227" s="3" t="str">
        <f aca="false">INDEX(Parametros!$C$23:$C$31,MATCH(L227,Parametros!$A$23:$A$31,0))</f>
        <v>Mensual</v>
      </c>
      <c r="O227" s="23" t="n">
        <f aca="false">SUM(Datos_Semanales!M227:R227)</f>
        <v>23384.9563672588</v>
      </c>
      <c r="P227" s="24" t="n">
        <f aca="false">IF(D227&gt;0,SUMPRODUCT(ABS(Datos_Semanales!F227:K227-Datos_Semanales!M227:R227))/D227,"")</f>
        <v>0.291962338061865</v>
      </c>
      <c r="Q227" s="24" t="n">
        <f aca="false">IF(D227&gt;0,O227/D227-1,"")</f>
        <v>0.2011503722499</v>
      </c>
      <c r="R227" s="23" t="n">
        <f aca="false">SQRT(SUMXMY2(Datos_Semanales!F227:K227,Datos_Semanales!M227:R227)/COUNT(Datos_Semanales!F227:K227))</f>
        <v>1033.06207650293</v>
      </c>
    </row>
    <row r="228" customFormat="false" ht="15" hidden="false" customHeight="false" outlineLevel="0" collapsed="false">
      <c r="A228" s="18" t="n">
        <f aca="false">Datos_Semanales!A228</f>
        <v>30001536</v>
      </c>
      <c r="B228" s="18" t="str">
        <f aca="false">Datos_Semanales!B228</f>
        <v>YOG DAN L&amp;F TROZOS PAPAYA 24X145GR</v>
      </c>
      <c r="C228" s="18" t="str">
        <f aca="false">Datos_Semanales!C228</f>
        <v>YOGURT</v>
      </c>
      <c r="D228" s="23" t="n">
        <f aca="false">SUM(Datos_Semanales!F228:K228)</f>
        <v>19432.32</v>
      </c>
      <c r="E228" s="23" t="n">
        <f aca="false">AVERAGE(Datos_Semanales!F228:K228)</f>
        <v>3238.72</v>
      </c>
      <c r="F228" s="23" t="n">
        <f aca="false">STDEV(Datos_Semanales!F228:K228)</f>
        <v>673.603120657855</v>
      </c>
      <c r="G228" s="27" t="n">
        <f aca="false">IF(E228&gt;0,F228/E228,"")</f>
        <v>0.207984364396383</v>
      </c>
      <c r="H228" s="24" t="n">
        <f aca="false">IF(SUM($D$5:$D$494)&gt;0,D228/SUM($D$5:$D$494),0)</f>
        <v>0.000810022429388064</v>
      </c>
      <c r="I228" s="24" t="n">
        <f aca="false">SUMIF($D$5:$D$494,"&gt;="&amp;D228)/SUM($D$5:$D$494)</f>
        <v>0.919583417185187</v>
      </c>
      <c r="J228" s="3" t="str">
        <f aca="false">IF(D228&lt;=0,"C",IF(I228&lt;=Parametros!$B$4,"A",IF(I228&lt;=Parametros!$B$5,"B","C")))</f>
        <v>B</v>
      </c>
      <c r="K228" s="3" t="str">
        <f aca="false">IF(E228&lt;=0,"Z",IF(G228&lt;=Parametros!$B$6,"X",IF(G228&lt;=Parametros!$B$7,"Y","Z")))</f>
        <v>X</v>
      </c>
      <c r="L228" s="3" t="str">
        <f aca="false">J228&amp;K228</f>
        <v>BX</v>
      </c>
      <c r="M228" s="3" t="str">
        <f aca="false">INDEX(Parametros!$B$23:$B$31,MATCH(L228,Parametros!$A$23:$A$31,0))</f>
        <v>Estadístico + revisión de tendencia.</v>
      </c>
      <c r="N228" s="3" t="str">
        <f aca="false">INDEX(Parametros!$C$23:$C$31,MATCH(L228,Parametros!$A$23:$A$31,0))</f>
        <v>Mensual</v>
      </c>
      <c r="O228" s="23" t="n">
        <f aca="false">SUM(Datos_Semanales!M228:R228)</f>
        <v>14867.6379923336</v>
      </c>
      <c r="P228" s="24" t="n">
        <f aca="false">IF(D228&gt;0,SUMPRODUCT(ABS(Datos_Semanales!F228:K228-Datos_Semanales!M228:R228))/D228,"")</f>
        <v>0.26762719585786</v>
      </c>
      <c r="Q228" s="24" t="n">
        <f aca="false">IF(D228&gt;0,O228/D228-1,"")</f>
        <v>-0.234901545861038</v>
      </c>
      <c r="R228" s="23" t="n">
        <f aca="false">SQRT(SUMXMY2(Datos_Semanales!F228:K228,Datos_Semanales!M228:R228)/COUNT(Datos_Semanales!F228:K228))</f>
        <v>1219.18289009718</v>
      </c>
    </row>
    <row r="229" customFormat="false" ht="15" hidden="false" customHeight="false" outlineLevel="0" collapsed="false">
      <c r="A229" s="18" t="n">
        <f aca="false">Datos_Semanales!A229</f>
        <v>30001755</v>
      </c>
      <c r="B229" s="18" t="str">
        <f aca="false">Datos_Semanales!B229</f>
        <v>MERMELADA FRUTILLA 12X225GR</v>
      </c>
      <c r="C229" s="18" t="str">
        <f aca="false">Datos_Semanales!C229</f>
        <v>MERMELADAS</v>
      </c>
      <c r="D229" s="23" t="n">
        <f aca="false">SUM(Datos_Semanales!F229:K229)</f>
        <v>19329.3</v>
      </c>
      <c r="E229" s="23" t="n">
        <f aca="false">AVERAGE(Datos_Semanales!F229:K229)</f>
        <v>3221.55</v>
      </c>
      <c r="F229" s="23" t="n">
        <f aca="false">STDEV(Datos_Semanales!F229:K229)</f>
        <v>1042.68031677979</v>
      </c>
      <c r="G229" s="27" t="n">
        <f aca="false">IF(E229&gt;0,F229/E229,"")</f>
        <v>0.323657964886402</v>
      </c>
      <c r="H229" s="24" t="n">
        <f aca="false">IF(SUM($D$5:$D$494)&gt;0,D229/SUM($D$5:$D$494),0)</f>
        <v>0.000805728114006495</v>
      </c>
      <c r="I229" s="24" t="n">
        <f aca="false">SUMIF($D$5:$D$494,"&gt;="&amp;D229)/SUM($D$5:$D$494)</f>
        <v>0.920389145299194</v>
      </c>
      <c r="J229" s="3" t="str">
        <f aca="false">IF(D229&lt;=0,"C",IF(I229&lt;=Parametros!$B$4,"A",IF(I229&lt;=Parametros!$B$5,"B","C")))</f>
        <v>B</v>
      </c>
      <c r="K229" s="3" t="str">
        <f aca="false">IF(E229&lt;=0,"Z",IF(G229&lt;=Parametros!$B$6,"X",IF(G229&lt;=Parametros!$B$7,"Y","Z")))</f>
        <v>X</v>
      </c>
      <c r="L229" s="3" t="str">
        <f aca="false">J229&amp;K229</f>
        <v>BX</v>
      </c>
      <c r="M229" s="3" t="str">
        <f aca="false">INDEX(Parametros!$B$23:$B$31,MATCH(L229,Parametros!$A$23:$A$31,0))</f>
        <v>Estadístico + revisión de tendencia.</v>
      </c>
      <c r="N229" s="3" t="str">
        <f aca="false">INDEX(Parametros!$C$23:$C$31,MATCH(L229,Parametros!$A$23:$A$31,0))</f>
        <v>Mensual</v>
      </c>
      <c r="O229" s="23" t="n">
        <f aca="false">SUM(Datos_Semanales!M229:R229)</f>
        <v>14600</v>
      </c>
      <c r="P229" s="24" t="n">
        <f aca="false">IF(D229&gt;0,SUMPRODUCT(ABS(Datos_Semanales!F229:K229-Datos_Semanales!M229:R229))/D229,"")</f>
        <v>0.366733404727538</v>
      </c>
      <c r="Q229" s="24" t="n">
        <f aca="false">IF(D229&gt;0,O229/D229-1,"")</f>
        <v>-0.244670008743203</v>
      </c>
      <c r="R229" s="23" t="n">
        <f aca="false">SQRT(SUMXMY2(Datos_Semanales!F229:K229,Datos_Semanales!M229:R229)/COUNT(Datos_Semanales!F229:K229))</f>
        <v>1250.55438572925</v>
      </c>
    </row>
    <row r="230" customFormat="false" ht="15" hidden="false" customHeight="false" outlineLevel="0" collapsed="false">
      <c r="A230" s="18" t="n">
        <f aca="false">Datos_Semanales!A230</f>
        <v>30000066</v>
      </c>
      <c r="B230" s="18" t="str">
        <f aca="false">Datos_Semanales!B230</f>
        <v>MARGARINA PAMPERITA 6X12X100GR</v>
      </c>
      <c r="C230" s="18" t="str">
        <f aca="false">Datos_Semanales!C230</f>
        <v>MARGARINAS</v>
      </c>
      <c r="D230" s="23" t="n">
        <f aca="false">SUM(Datos_Semanales!F230:K230)</f>
        <v>19288.8</v>
      </c>
      <c r="E230" s="23" t="n">
        <f aca="false">AVERAGE(Datos_Semanales!F230:K230)</f>
        <v>3214.8</v>
      </c>
      <c r="F230" s="23" t="n">
        <f aca="false">STDEV(Datos_Semanales!F230:K230)</f>
        <v>979.080875106853</v>
      </c>
      <c r="G230" s="27" t="n">
        <f aca="false">IF(E230&gt;0,F230/E230,"")</f>
        <v>0.304554210248492</v>
      </c>
      <c r="H230" s="24" t="n">
        <f aca="false">IF(SUM($D$5:$D$494)&gt;0,D230/SUM($D$5:$D$494),0)</f>
        <v>0.000804039900329991</v>
      </c>
      <c r="I230" s="24" t="n">
        <f aca="false">SUMIF($D$5:$D$494,"&gt;="&amp;D230)/SUM($D$5:$D$494)</f>
        <v>0.921193185199524</v>
      </c>
      <c r="J230" s="3" t="str">
        <f aca="false">IF(D230&lt;=0,"C",IF(I230&lt;=Parametros!$B$4,"A",IF(I230&lt;=Parametros!$B$5,"B","C")))</f>
        <v>B</v>
      </c>
      <c r="K230" s="3" t="str">
        <f aca="false">IF(E230&lt;=0,"Z",IF(G230&lt;=Parametros!$B$6,"X",IF(G230&lt;=Parametros!$B$7,"Y","Z")))</f>
        <v>X</v>
      </c>
      <c r="L230" s="3" t="str">
        <f aca="false">J230&amp;K230</f>
        <v>BX</v>
      </c>
      <c r="M230" s="3" t="str">
        <f aca="false">INDEX(Parametros!$B$23:$B$31,MATCH(L230,Parametros!$A$23:$A$31,0))</f>
        <v>Estadístico + revisión de tendencia.</v>
      </c>
      <c r="N230" s="3" t="str">
        <f aca="false">INDEX(Parametros!$C$23:$C$31,MATCH(L230,Parametros!$A$23:$A$31,0))</f>
        <v>Mensual</v>
      </c>
      <c r="O230" s="23" t="n">
        <f aca="false">SUM(Datos_Semanales!M230:R230)</f>
        <v>10178.27893102</v>
      </c>
      <c r="P230" s="24" t="n">
        <f aca="false">IF(D230&gt;0,SUMPRODUCT(ABS(Datos_Semanales!F230:K230-Datos_Semanales!M230:R230))/D230,"")</f>
        <v>0.472321817271161</v>
      </c>
      <c r="Q230" s="24" t="n">
        <f aca="false">IF(D230&gt;0,O230/D230-1,"")</f>
        <v>-0.472321817271161</v>
      </c>
      <c r="R230" s="23" t="n">
        <f aca="false">SQRT(SUMXMY2(Datos_Semanales!F230:K230,Datos_Semanales!M230:R230)/COUNT(Datos_Semanales!F230:K230))</f>
        <v>1638.81847081084</v>
      </c>
    </row>
    <row r="231" customFormat="false" ht="15" hidden="false" customHeight="false" outlineLevel="0" collapsed="false">
      <c r="A231" s="18" t="n">
        <f aca="false">Datos_Semanales!A231</f>
        <v>30002292</v>
      </c>
      <c r="B231" s="18" t="str">
        <f aca="false">Datos_Semanales!B231</f>
        <v>JUGO 100% WATTS TUTTIMANGO LV 30X200ML</v>
      </c>
      <c r="C231" s="18" t="str">
        <f aca="false">Datos_Semanales!C231</f>
        <v>-</v>
      </c>
      <c r="D231" s="23" t="n">
        <f aca="false">SUM(Datos_Semanales!F231:K231)</f>
        <v>19248</v>
      </c>
      <c r="E231" s="23" t="n">
        <f aca="false">AVERAGE(Datos_Semanales!F231:K231)</f>
        <v>3208</v>
      </c>
      <c r="F231" s="23" t="n">
        <f aca="false">STDEV(Datos_Semanales!F231:K231)</f>
        <v>1168.96672322184</v>
      </c>
      <c r="G231" s="27" t="n">
        <f aca="false">IF(E231&gt;0,F231/E231,"")</f>
        <v>0.364391123198827</v>
      </c>
      <c r="H231" s="24" t="n">
        <f aca="false">IF(SUM($D$5:$D$494)&gt;0,D231/SUM($D$5:$D$494),0)</f>
        <v>0.000802339181366993</v>
      </c>
      <c r="I231" s="24" t="n">
        <f aca="false">SUMIF($D$5:$D$494,"&gt;="&amp;D231)/SUM($D$5:$D$494)</f>
        <v>0.921995524380891</v>
      </c>
      <c r="J231" s="3" t="str">
        <f aca="false">IF(D231&lt;=0,"C",IF(I231&lt;=Parametros!$B$4,"A",IF(I231&lt;=Parametros!$B$5,"B","C")))</f>
        <v>B</v>
      </c>
      <c r="K231" s="3" t="str">
        <f aca="false">IF(E231&lt;=0,"Z",IF(G231&lt;=Parametros!$B$6,"X",IF(G231&lt;=Parametros!$B$7,"Y","Z")))</f>
        <v>X</v>
      </c>
      <c r="L231" s="3" t="str">
        <f aca="false">J231&amp;K231</f>
        <v>BX</v>
      </c>
      <c r="M231" s="3" t="str">
        <f aca="false">INDEX(Parametros!$B$23:$B$31,MATCH(L231,Parametros!$A$23:$A$31,0))</f>
        <v>Estadístico + revisión de tendencia.</v>
      </c>
      <c r="N231" s="3" t="str">
        <f aca="false">INDEX(Parametros!$C$23:$C$31,MATCH(L231,Parametros!$A$23:$A$31,0))</f>
        <v>Mensual</v>
      </c>
      <c r="O231" s="23" t="n">
        <f aca="false">SUM(Datos_Semanales!M231:R231)</f>
        <v>15919.3388841109</v>
      </c>
      <c r="P231" s="24" t="n">
        <f aca="false">IF(D231&gt;0,SUMPRODUCT(ABS(Datos_Semanales!F231:K231-Datos_Semanales!M231:R231))/D231,"")</f>
        <v>0.299036841016683</v>
      </c>
      <c r="Q231" s="24" t="n">
        <f aca="false">IF(D231&gt;0,O231/D231-1,"")</f>
        <v>-0.172935427882851</v>
      </c>
      <c r="R231" s="23" t="n">
        <f aca="false">SQRT(SUMXMY2(Datos_Semanales!F231:K231,Datos_Semanales!M231:R231)/COUNT(Datos_Semanales!F231:K231))</f>
        <v>1148.12706426143</v>
      </c>
    </row>
    <row r="232" customFormat="false" ht="15" hidden="false" customHeight="false" outlineLevel="0" collapsed="false">
      <c r="A232" s="18" t="n">
        <f aca="false">Datos_Semanales!A232</f>
        <v>30002134</v>
      </c>
      <c r="B232" s="18" t="str">
        <f aca="false">Datos_Semanales!B232</f>
        <v>JUGO FRESCO WATTS NARANJA-PIÑA 6X1,6LT</v>
      </c>
      <c r="C232" s="18" t="str">
        <f aca="false">Datos_Semanales!C232</f>
        <v>JUGOS Y NECTARES</v>
      </c>
      <c r="D232" s="23" t="n">
        <f aca="false">SUM(Datos_Semanales!F232:K232)</f>
        <v>19161.6</v>
      </c>
      <c r="E232" s="23" t="n">
        <f aca="false">AVERAGE(Datos_Semanales!F232:K232)</f>
        <v>3193.6</v>
      </c>
      <c r="F232" s="23" t="n">
        <f aca="false">STDEV(Datos_Semanales!F232:K232)</f>
        <v>944.059659131774</v>
      </c>
      <c r="G232" s="27" t="n">
        <f aca="false">IF(E232&gt;0,F232/E232,"")</f>
        <v>0.295609863205089</v>
      </c>
      <c r="H232" s="24" t="n">
        <f aca="false">IF(SUM($D$5:$D$494)&gt;0,D232/SUM($D$5:$D$494),0)</f>
        <v>0.000798737658857116</v>
      </c>
      <c r="I232" s="24" t="n">
        <f aca="false">SUMIF($D$5:$D$494,"&gt;="&amp;D232)/SUM($D$5:$D$494)</f>
        <v>0.922794262039748</v>
      </c>
      <c r="J232" s="3" t="str">
        <f aca="false">IF(D232&lt;=0,"C",IF(I232&lt;=Parametros!$B$4,"A",IF(I232&lt;=Parametros!$B$5,"B","C")))</f>
        <v>B</v>
      </c>
      <c r="K232" s="3" t="str">
        <f aca="false">IF(E232&lt;=0,"Z",IF(G232&lt;=Parametros!$B$6,"X",IF(G232&lt;=Parametros!$B$7,"Y","Z")))</f>
        <v>X</v>
      </c>
      <c r="L232" s="3" t="str">
        <f aca="false">J232&amp;K232</f>
        <v>BX</v>
      </c>
      <c r="M232" s="3" t="str">
        <f aca="false">INDEX(Parametros!$B$23:$B$31,MATCH(L232,Parametros!$A$23:$A$31,0))</f>
        <v>Estadístico + revisión de tendencia.</v>
      </c>
      <c r="N232" s="3" t="str">
        <f aca="false">INDEX(Parametros!$C$23:$C$31,MATCH(L232,Parametros!$A$23:$A$31,0))</f>
        <v>Mensual</v>
      </c>
      <c r="O232" s="23" t="n">
        <f aca="false">SUM(Datos_Semanales!M232:R232)</f>
        <v>14672.9257508122</v>
      </c>
      <c r="P232" s="24" t="n">
        <f aca="false">IF(D232&gt;0,SUMPRODUCT(ABS(Datos_Semanales!F232:K232-Datos_Semanales!M232:R232))/D232,"")</f>
        <v>0.235110839104921</v>
      </c>
      <c r="Q232" s="24" t="n">
        <f aca="false">IF(D232&gt;0,O232/D232-1,"")</f>
        <v>-0.234253624393987</v>
      </c>
      <c r="R232" s="23" t="n">
        <f aca="false">SQRT(SUMXMY2(Datos_Semanales!F232:K232,Datos_Semanales!M232:R232)/COUNT(Datos_Semanales!F232:K232))</f>
        <v>948.92857264765</v>
      </c>
    </row>
    <row r="233" customFormat="false" ht="15" hidden="false" customHeight="false" outlineLevel="0" collapsed="false">
      <c r="A233" s="18" t="n">
        <f aca="false">Datos_Semanales!A233</f>
        <v>30001745</v>
      </c>
      <c r="B233" s="18" t="str">
        <f aca="false">Datos_Semanales!B233</f>
        <v>POUCH WATTS HALLOWEEN DURAZNO 36X90GR</v>
      </c>
      <c r="C233" s="18" t="str">
        <f aca="false">Datos_Semanales!C233</f>
        <v>COLACIONES EN CONSERVA</v>
      </c>
      <c r="D233" s="23" t="n">
        <f aca="false">SUM(Datos_Semanales!F233:K233)</f>
        <v>19067.4</v>
      </c>
      <c r="E233" s="23" t="n">
        <f aca="false">AVERAGE(Datos_Semanales!F233:K233)</f>
        <v>3177.9</v>
      </c>
      <c r="F233" s="23" t="n">
        <f aca="false">STDEV(Datos_Semanales!F233:K233)</f>
        <v>2304.24409800698</v>
      </c>
      <c r="G233" s="27" t="n">
        <f aca="false">IF(E233&gt;0,F233/E233,"")</f>
        <v>0.725083891251134</v>
      </c>
      <c r="H233" s="24" t="n">
        <f aca="false">IF(SUM($D$5:$D$494)&gt;0,D233/SUM($D$5:$D$494),0)</f>
        <v>0.000794810998898431</v>
      </c>
      <c r="I233" s="24" t="n">
        <f aca="false">SUMIF($D$5:$D$494,"&gt;="&amp;D233)/SUM($D$5:$D$494)</f>
        <v>0.923589073038646</v>
      </c>
      <c r="J233" s="3" t="str">
        <f aca="false">IF(D233&lt;=0,"C",IF(I233&lt;=Parametros!$B$4,"A",IF(I233&lt;=Parametros!$B$5,"B","C")))</f>
        <v>B</v>
      </c>
      <c r="K233" s="3" t="str">
        <f aca="false">IF(E233&lt;=0,"Z",IF(G233&lt;=Parametros!$B$6,"X",IF(G233&lt;=Parametros!$B$7,"Y","Z")))</f>
        <v>Y</v>
      </c>
      <c r="L233" s="3" t="str">
        <f aca="false">J233&amp;K233</f>
        <v>BY</v>
      </c>
      <c r="M233" s="3" t="str">
        <f aca="false">INDEX(Parametros!$B$23:$B$31,MATCH(L233,Parametros!$A$23:$A$31,0))</f>
        <v>Validar promociones y eventos con comercial.</v>
      </c>
      <c r="N233" s="3" t="str">
        <f aca="false">INDEX(Parametros!$C$23:$C$31,MATCH(L233,Parametros!$A$23:$A$31,0))</f>
        <v>Quincenal</v>
      </c>
      <c r="O233" s="23" t="n">
        <f aca="false">SUM(Datos_Semanales!M233:R233)</f>
        <v>17160.04</v>
      </c>
      <c r="P233" s="24" t="n">
        <f aca="false">IF(D233&gt;0,SUMPRODUCT(ABS(Datos_Semanales!F233:K233-Datos_Semanales!M233:R233))/D233,"")</f>
        <v>0.400973389135383</v>
      </c>
      <c r="Q233" s="24" t="n">
        <f aca="false">IF(D233&gt;0,O233/D233-1,"")</f>
        <v>-0.100032516231893</v>
      </c>
      <c r="R233" s="23" t="n">
        <f aca="false">SQRT(SUMXMY2(Datos_Semanales!F233:K233,Datos_Semanales!M233:R233)/COUNT(Datos_Semanales!F233:K233))</f>
        <v>1674.75643984431</v>
      </c>
    </row>
    <row r="234" customFormat="false" ht="15" hidden="false" customHeight="false" outlineLevel="0" collapsed="false">
      <c r="A234" s="18" t="n">
        <f aca="false">Datos_Semanales!A234</f>
        <v>30002135</v>
      </c>
      <c r="B234" s="18" t="str">
        <f aca="false">Datos_Semanales!B234</f>
        <v>JUGO FRESCO WATTS NJA ZANAHORIA 6X1,6LT</v>
      </c>
      <c r="C234" s="18" t="str">
        <f aca="false">Datos_Semanales!C234</f>
        <v>JUGOS Y NECTARES</v>
      </c>
      <c r="D234" s="23" t="n">
        <f aca="false">SUM(Datos_Semanales!F234:K234)</f>
        <v>18950.4</v>
      </c>
      <c r="E234" s="23" t="n">
        <f aca="false">AVERAGE(Datos_Semanales!F234:K234)</f>
        <v>3158.4</v>
      </c>
      <c r="F234" s="23" t="n">
        <f aca="false">STDEV(Datos_Semanales!F234:K234)</f>
        <v>914.855319709078</v>
      </c>
      <c r="G234" s="27" t="n">
        <f aca="false">IF(E234&gt;0,F234/E234,"")</f>
        <v>0.28965783932025</v>
      </c>
      <c r="H234" s="24" t="n">
        <f aca="false">IF(SUM($D$5:$D$494)&gt;0,D234/SUM($D$5:$D$494),0)</f>
        <v>0.000789933937166307</v>
      </c>
      <c r="I234" s="24" t="n">
        <f aca="false">SUMIF($D$5:$D$494,"&gt;="&amp;D234)/SUM($D$5:$D$494)</f>
        <v>0.924379006975813</v>
      </c>
      <c r="J234" s="3" t="str">
        <f aca="false">IF(D234&lt;=0,"C",IF(I234&lt;=Parametros!$B$4,"A",IF(I234&lt;=Parametros!$B$5,"B","C")))</f>
        <v>B</v>
      </c>
      <c r="K234" s="3" t="str">
        <f aca="false">IF(E234&lt;=0,"Z",IF(G234&lt;=Parametros!$B$6,"X",IF(G234&lt;=Parametros!$B$7,"Y","Z")))</f>
        <v>X</v>
      </c>
      <c r="L234" s="3" t="str">
        <f aca="false">J234&amp;K234</f>
        <v>BX</v>
      </c>
      <c r="M234" s="3" t="str">
        <f aca="false">INDEX(Parametros!$B$23:$B$31,MATCH(L234,Parametros!$A$23:$A$31,0))</f>
        <v>Estadístico + revisión de tendencia.</v>
      </c>
      <c r="N234" s="3" t="str">
        <f aca="false">INDEX(Parametros!$C$23:$C$31,MATCH(L234,Parametros!$A$23:$A$31,0))</f>
        <v>Mensual</v>
      </c>
      <c r="O234" s="23" t="n">
        <f aca="false">SUM(Datos_Semanales!M234:R234)</f>
        <v>17138.7859679428</v>
      </c>
      <c r="P234" s="24" t="n">
        <f aca="false">IF(D234&gt;0,SUMPRODUCT(ABS(Datos_Semanales!F234:K234-Datos_Semanales!M234:R234))/D234,"")</f>
        <v>0.140986497977367</v>
      </c>
      <c r="Q234" s="24" t="n">
        <f aca="false">IF(D234&gt;0,O234/D234-1,"")</f>
        <v>-0.0955976671762707</v>
      </c>
      <c r="R234" s="23" t="n">
        <f aca="false">SQRT(SUMXMY2(Datos_Semanales!F234:K234,Datos_Semanales!M234:R234)/COUNT(Datos_Semanales!F234:K234))</f>
        <v>586.495806004684</v>
      </c>
    </row>
    <row r="235" customFormat="false" ht="15" hidden="false" customHeight="false" outlineLevel="0" collapsed="false">
      <c r="A235" s="18" t="n">
        <f aca="false">Datos_Semanales!A235</f>
        <v>30000334</v>
      </c>
      <c r="B235" s="18" t="str">
        <f aca="false">Datos_Semanales!B235</f>
        <v>CREMA PARA BATIR LONCO 12X1LT</v>
      </c>
      <c r="C235" s="18" t="str">
        <f aca="false">Datos_Semanales!C235</f>
        <v>-</v>
      </c>
      <c r="D235" s="23" t="n">
        <f aca="false">SUM(Datos_Semanales!F235:K235)</f>
        <v>18876</v>
      </c>
      <c r="E235" s="23" t="n">
        <f aca="false">AVERAGE(Datos_Semanales!F235:K235)</f>
        <v>3146</v>
      </c>
      <c r="F235" s="23" t="n">
        <f aca="false">STDEV(Datos_Semanales!F235:K235)</f>
        <v>960.85212181688</v>
      </c>
      <c r="G235" s="27" t="n">
        <f aca="false">IF(E235&gt;0,F235/E235,"")</f>
        <v>0.305420254868684</v>
      </c>
      <c r="H235" s="24" t="n">
        <f aca="false">IF(SUM($D$5:$D$494)&gt;0,D235/SUM($D$5:$D$494),0)</f>
        <v>0.000786832626116135</v>
      </c>
      <c r="I235" s="24" t="n">
        <f aca="false">SUMIF($D$5:$D$494,"&gt;="&amp;D235)/SUM($D$5:$D$494)</f>
        <v>0.925165839601929</v>
      </c>
      <c r="J235" s="3" t="str">
        <f aca="false">IF(D235&lt;=0,"C",IF(I235&lt;=Parametros!$B$4,"A",IF(I235&lt;=Parametros!$B$5,"B","C")))</f>
        <v>B</v>
      </c>
      <c r="K235" s="3" t="str">
        <f aca="false">IF(E235&lt;=0,"Z",IF(G235&lt;=Parametros!$B$6,"X",IF(G235&lt;=Parametros!$B$7,"Y","Z")))</f>
        <v>X</v>
      </c>
      <c r="L235" s="3" t="str">
        <f aca="false">J235&amp;K235</f>
        <v>BX</v>
      </c>
      <c r="M235" s="3" t="str">
        <f aca="false">INDEX(Parametros!$B$23:$B$31,MATCH(L235,Parametros!$A$23:$A$31,0))</f>
        <v>Estadístico + revisión de tendencia.</v>
      </c>
      <c r="N235" s="3" t="str">
        <f aca="false">INDEX(Parametros!$C$23:$C$31,MATCH(L235,Parametros!$A$23:$A$31,0))</f>
        <v>Mensual</v>
      </c>
      <c r="O235" s="23" t="n">
        <f aca="false">SUM(Datos_Semanales!M235:R235)</f>
        <v>15449.4438206852</v>
      </c>
      <c r="P235" s="24" t="n">
        <f aca="false">IF(D235&gt;0,SUMPRODUCT(ABS(Datos_Semanales!F235:K235-Datos_Semanales!M235:R235))/D235,"")</f>
        <v>0.443106792789001</v>
      </c>
      <c r="Q235" s="24" t="n">
        <f aca="false">IF(D235&gt;0,O235/D235-1,"")</f>
        <v>-0.181529782756666</v>
      </c>
      <c r="R235" s="23" t="n">
        <f aca="false">SQRT(SUMXMY2(Datos_Semanales!F235:K235,Datos_Semanales!M235:R235)/COUNT(Datos_Semanales!F235:K235))</f>
        <v>1621.60986645495</v>
      </c>
    </row>
    <row r="236" customFormat="false" ht="15" hidden="false" customHeight="false" outlineLevel="0" collapsed="false">
      <c r="A236" s="18" t="n">
        <f aca="false">Datos_Semanales!A236</f>
        <v>30000488</v>
      </c>
      <c r="B236" s="18" t="str">
        <f aca="false">Datos_Semanales!B236</f>
        <v>YOG S/LAC LCO CHYA BOL 12X900GR</v>
      </c>
      <c r="C236" s="18" t="str">
        <f aca="false">Datos_Semanales!C236</f>
        <v>YOGURT</v>
      </c>
      <c r="D236" s="23" t="n">
        <f aca="false">SUM(Datos_Semanales!F236:K236)</f>
        <v>18673.2</v>
      </c>
      <c r="E236" s="23" t="n">
        <f aca="false">AVERAGE(Datos_Semanales!F236:K236)</f>
        <v>3112.2</v>
      </c>
      <c r="F236" s="23" t="n">
        <f aca="false">STDEV(Datos_Semanales!F236:K236)</f>
        <v>587.361816940802</v>
      </c>
      <c r="G236" s="27" t="n">
        <f aca="false">IF(E236&gt;0,F236/E236,"")</f>
        <v>0.188728814645846</v>
      </c>
      <c r="H236" s="24" t="n">
        <f aca="false">IF(SUM($D$5:$D$494)&gt;0,D236/SUM($D$5:$D$494),0)</f>
        <v>0.000778379052447119</v>
      </c>
      <c r="I236" s="24" t="n">
        <f aca="false">SUMIF($D$5:$D$494,"&gt;="&amp;D236)/SUM($D$5:$D$494)</f>
        <v>0.925944218654376</v>
      </c>
      <c r="J236" s="3" t="str">
        <f aca="false">IF(D236&lt;=0,"C",IF(I236&lt;=Parametros!$B$4,"A",IF(I236&lt;=Parametros!$B$5,"B","C")))</f>
        <v>B</v>
      </c>
      <c r="K236" s="3" t="str">
        <f aca="false">IF(E236&lt;=0,"Z",IF(G236&lt;=Parametros!$B$6,"X",IF(G236&lt;=Parametros!$B$7,"Y","Z")))</f>
        <v>X</v>
      </c>
      <c r="L236" s="3" t="str">
        <f aca="false">J236&amp;K236</f>
        <v>BX</v>
      </c>
      <c r="M236" s="3" t="str">
        <f aca="false">INDEX(Parametros!$B$23:$B$31,MATCH(L236,Parametros!$A$23:$A$31,0))</f>
        <v>Estadístico + revisión de tendencia.</v>
      </c>
      <c r="N236" s="3" t="str">
        <f aca="false">INDEX(Parametros!$C$23:$C$31,MATCH(L236,Parametros!$A$23:$A$31,0))</f>
        <v>Mensual</v>
      </c>
      <c r="O236" s="23" t="n">
        <f aca="false">SUM(Datos_Semanales!M236:R236)</f>
        <v>20649.2461791847</v>
      </c>
      <c r="P236" s="24" t="n">
        <f aca="false">IF(D236&gt;0,SUMPRODUCT(ABS(Datos_Semanales!F236:K236-Datos_Semanales!M236:R236))/D236,"")</f>
        <v>0.181808738209025</v>
      </c>
      <c r="Q236" s="24" t="n">
        <f aca="false">IF(D236&gt;0,O236/D236-1,"")</f>
        <v>0.105822578839441</v>
      </c>
      <c r="R236" s="23" t="n">
        <f aca="false">SQRT(SUMXMY2(Datos_Semanales!F236:K236,Datos_Semanales!M236:R236)/COUNT(Datos_Semanales!F236:K236))</f>
        <v>610.907188031447</v>
      </c>
    </row>
    <row r="237" customFormat="false" ht="15" hidden="false" customHeight="false" outlineLevel="0" collapsed="false">
      <c r="A237" s="18" t="n">
        <f aca="false">Datos_Semanales!A237</f>
        <v>30000179</v>
      </c>
      <c r="B237" s="18" t="str">
        <f aca="false">Datos_Semanales!B237</f>
        <v>MERM W S/A SACHET FRAM 24X200GR</v>
      </c>
      <c r="C237" s="18" t="str">
        <f aca="false">Datos_Semanales!C237</f>
        <v>MERMELADAS</v>
      </c>
      <c r="D237" s="23" t="n">
        <f aca="false">SUM(Datos_Semanales!F237:K237)</f>
        <v>18628.8</v>
      </c>
      <c r="E237" s="23" t="n">
        <f aca="false">AVERAGE(Datos_Semanales!F237:K237)</f>
        <v>3104.8</v>
      </c>
      <c r="F237" s="23" t="n">
        <f aca="false">STDEV(Datos_Semanales!F237:K237)</f>
        <v>1184.77931109553</v>
      </c>
      <c r="G237" s="27" t="n">
        <f aca="false">IF(E237&gt;0,F237/E237,"")</f>
        <v>0.381596016199282</v>
      </c>
      <c r="H237" s="24" t="n">
        <f aca="false">IF(SUM($D$5:$D$494)&gt;0,D237/SUM($D$5:$D$494),0)</f>
        <v>0.00077652827004621</v>
      </c>
      <c r="I237" s="24" t="n">
        <f aca="false">SUMIF($D$5:$D$494,"&gt;="&amp;D237)/SUM($D$5:$D$494)</f>
        <v>0.926720746924422</v>
      </c>
      <c r="J237" s="3" t="str">
        <f aca="false">IF(D237&lt;=0,"C",IF(I237&lt;=Parametros!$B$4,"A",IF(I237&lt;=Parametros!$B$5,"B","C")))</f>
        <v>B</v>
      </c>
      <c r="K237" s="3" t="str">
        <f aca="false">IF(E237&lt;=0,"Z",IF(G237&lt;=Parametros!$B$6,"X",IF(G237&lt;=Parametros!$B$7,"Y","Z")))</f>
        <v>X</v>
      </c>
      <c r="L237" s="3" t="str">
        <f aca="false">J237&amp;K237</f>
        <v>BX</v>
      </c>
      <c r="M237" s="3" t="str">
        <f aca="false">INDEX(Parametros!$B$23:$B$31,MATCH(L237,Parametros!$A$23:$A$31,0))</f>
        <v>Estadístico + revisión de tendencia.</v>
      </c>
      <c r="N237" s="3" t="str">
        <f aca="false">INDEX(Parametros!$C$23:$C$31,MATCH(L237,Parametros!$A$23:$A$31,0))</f>
        <v>Mensual</v>
      </c>
      <c r="O237" s="23" t="n">
        <f aca="false">SUM(Datos_Semanales!M237:R237)</f>
        <v>20662.1239249543</v>
      </c>
      <c r="P237" s="24" t="n">
        <f aca="false">IF(D237&gt;0,SUMPRODUCT(ABS(Datos_Semanales!F237:K237-Datos_Semanales!M237:R237))/D237,"")</f>
        <v>0.136891475830668</v>
      </c>
      <c r="Q237" s="24" t="n">
        <f aca="false">IF(D237&gt;0,O237/D237-1,"")</f>
        <v>0.109149484934851</v>
      </c>
      <c r="R237" s="23" t="n">
        <f aca="false">SQRT(SUMXMY2(Datos_Semanales!F237:K237,Datos_Semanales!M237:R237)/COUNT(Datos_Semanales!F237:K237))</f>
        <v>593.788115780755</v>
      </c>
    </row>
    <row r="238" customFormat="false" ht="15" hidden="false" customHeight="false" outlineLevel="0" collapsed="false">
      <c r="A238" s="18" t="n">
        <f aca="false">Datos_Semanales!A238</f>
        <v>30000498</v>
      </c>
      <c r="B238" s="18" t="str">
        <f aca="false">Datos_Semanales!B238</f>
        <v>LECHE CULT LIGHT FRLLA 6X900ML</v>
      </c>
      <c r="C238" s="18" t="str">
        <f aca="false">Datos_Semanales!C238</f>
        <v>LECHES LIQUIDAS</v>
      </c>
      <c r="D238" s="23" t="n">
        <f aca="false">SUM(Datos_Semanales!F238:K238)</f>
        <v>18100.8</v>
      </c>
      <c r="E238" s="23" t="n">
        <f aca="false">AVERAGE(Datos_Semanales!F238:K238)</f>
        <v>3016.8</v>
      </c>
      <c r="F238" s="23" t="n">
        <f aca="false">STDEV(Datos_Semanales!F238:K238)</f>
        <v>774.922891647937</v>
      </c>
      <c r="G238" s="27" t="n">
        <f aca="false">IF(E238&gt;0,F238/E238,"")</f>
        <v>0.256869163235195</v>
      </c>
      <c r="H238" s="24" t="n">
        <f aca="false">IF(SUM($D$5:$D$494)&gt;0,D238/SUM($D$5:$D$494),0)</f>
        <v>0.000754518965819185</v>
      </c>
      <c r="I238" s="24" t="n">
        <f aca="false">SUMIF($D$5:$D$494,"&gt;="&amp;D238)/SUM($D$5:$D$494)</f>
        <v>0.927475265890241</v>
      </c>
      <c r="J238" s="3" t="str">
        <f aca="false">IF(D238&lt;=0,"C",IF(I238&lt;=Parametros!$B$4,"A",IF(I238&lt;=Parametros!$B$5,"B","C")))</f>
        <v>B</v>
      </c>
      <c r="K238" s="3" t="str">
        <f aca="false">IF(E238&lt;=0,"Z",IF(G238&lt;=Parametros!$B$6,"X",IF(G238&lt;=Parametros!$B$7,"Y","Z")))</f>
        <v>X</v>
      </c>
      <c r="L238" s="3" t="str">
        <f aca="false">J238&amp;K238</f>
        <v>BX</v>
      </c>
      <c r="M238" s="3" t="str">
        <f aca="false">INDEX(Parametros!$B$23:$B$31,MATCH(L238,Parametros!$A$23:$A$31,0))</f>
        <v>Estadístico + revisión de tendencia.</v>
      </c>
      <c r="N238" s="3" t="str">
        <f aca="false">INDEX(Parametros!$C$23:$C$31,MATCH(L238,Parametros!$A$23:$A$31,0))</f>
        <v>Mensual</v>
      </c>
      <c r="O238" s="23" t="n">
        <f aca="false">SUM(Datos_Semanales!M238:R238)</f>
        <v>13656.5321576079</v>
      </c>
      <c r="P238" s="24" t="n">
        <f aca="false">IF(D238&gt;0,SUMPRODUCT(ABS(Datos_Semanales!F238:K238-Datos_Semanales!M238:R238))/D238,"")</f>
        <v>0.296724716157019</v>
      </c>
      <c r="Q238" s="24" t="n">
        <f aca="false">IF(D238&gt;0,O238/D238-1,"")</f>
        <v>-0.245528807698668</v>
      </c>
      <c r="R238" s="23" t="n">
        <f aca="false">SQRT(SUMXMY2(Datos_Semanales!F238:K238,Datos_Semanales!M238:R238)/COUNT(Datos_Semanales!F238:K238))</f>
        <v>1008.80847549471</v>
      </c>
    </row>
    <row r="239" customFormat="false" ht="15" hidden="false" customHeight="false" outlineLevel="0" collapsed="false">
      <c r="A239" s="18" t="n">
        <f aca="false">Datos_Semanales!A239</f>
        <v>30000642</v>
      </c>
      <c r="B239" s="18" t="str">
        <f aca="false">Datos_Semanales!B239</f>
        <v>POROTOS GRANADOS WASIL 16X380GR</v>
      </c>
      <c r="C239" s="18" t="str">
        <f aca="false">Datos_Semanales!C239</f>
        <v>CONSERVAS Y PLATOS LISTOS</v>
      </c>
      <c r="D239" s="23" t="n">
        <f aca="false">SUM(Datos_Semanales!F239:K239)</f>
        <v>18045.44</v>
      </c>
      <c r="E239" s="23" t="n">
        <f aca="false">AVERAGE(Datos_Semanales!F239:K239)</f>
        <v>3007.57333333333</v>
      </c>
      <c r="F239" s="23" t="n">
        <f aca="false">STDEV(Datos_Semanales!F239:K239)</f>
        <v>685.091277616835</v>
      </c>
      <c r="G239" s="27" t="n">
        <f aca="false">IF(E239&gt;0,F239/E239,"")</f>
        <v>0.227788719238822</v>
      </c>
      <c r="H239" s="24" t="n">
        <f aca="false">IF(SUM($D$5:$D$494)&gt;0,D239/SUM($D$5:$D$494),0)</f>
        <v>0.000752211323618412</v>
      </c>
      <c r="I239" s="24" t="n">
        <f aca="false">SUMIF($D$5:$D$494,"&gt;="&amp;D239)/SUM($D$5:$D$494)</f>
        <v>0.92822747721386</v>
      </c>
      <c r="J239" s="3" t="str">
        <f aca="false">IF(D239&lt;=0,"C",IF(I239&lt;=Parametros!$B$4,"A",IF(I239&lt;=Parametros!$B$5,"B","C")))</f>
        <v>B</v>
      </c>
      <c r="K239" s="3" t="str">
        <f aca="false">IF(E239&lt;=0,"Z",IF(G239&lt;=Parametros!$B$6,"X",IF(G239&lt;=Parametros!$B$7,"Y","Z")))</f>
        <v>X</v>
      </c>
      <c r="L239" s="3" t="str">
        <f aca="false">J239&amp;K239</f>
        <v>BX</v>
      </c>
      <c r="M239" s="3" t="str">
        <f aca="false">INDEX(Parametros!$B$23:$B$31,MATCH(L239,Parametros!$A$23:$A$31,0))</f>
        <v>Estadístico + revisión de tendencia.</v>
      </c>
      <c r="N239" s="3" t="str">
        <f aca="false">INDEX(Parametros!$C$23:$C$31,MATCH(L239,Parametros!$A$23:$A$31,0))</f>
        <v>Mensual</v>
      </c>
      <c r="O239" s="23" t="n">
        <f aca="false">SUM(Datos_Semanales!M239:R239)</f>
        <v>18829.52</v>
      </c>
      <c r="P239" s="24" t="n">
        <f aca="false">IF(D239&gt;0,SUMPRODUCT(ABS(Datos_Semanales!F239:K239-Datos_Semanales!M239:R239))/D239,"")</f>
        <v>0.136867818130231</v>
      </c>
      <c r="Q239" s="24" t="n">
        <f aca="false">IF(D239&gt;0,O239/D239-1,"")</f>
        <v>0.0434503121010073</v>
      </c>
      <c r="R239" s="23" t="n">
        <f aca="false">SQRT(SUMXMY2(Datos_Semanales!F239:K239,Datos_Semanales!M239:R239)/COUNT(Datos_Semanales!F239:K239))</f>
        <v>484.363672736371</v>
      </c>
    </row>
    <row r="240" customFormat="false" ht="15" hidden="false" customHeight="false" outlineLevel="0" collapsed="false">
      <c r="A240" s="18" t="n">
        <f aca="false">Datos_Semanales!A240</f>
        <v>30002094</v>
      </c>
      <c r="B240" s="18" t="str">
        <f aca="false">Datos_Semanales!B240</f>
        <v>OIKOS POSTRE CHEESCAKE BERRIES 12X132GR</v>
      </c>
      <c r="C240" s="18" t="str">
        <f aca="false">Datos_Semanales!C240</f>
        <v>POSTRES</v>
      </c>
      <c r="D240" s="23" t="n">
        <f aca="false">SUM(Datos_Semanales!F240:K240)</f>
        <v>17930.88</v>
      </c>
      <c r="E240" s="23" t="n">
        <f aca="false">AVERAGE(Datos_Semanales!F240:K240)</f>
        <v>2988.48</v>
      </c>
      <c r="F240" s="23" t="n">
        <f aca="false">STDEV(Datos_Semanales!F240:K240)</f>
        <v>834.862473591429</v>
      </c>
      <c r="G240" s="27" t="n">
        <f aca="false">IF(E240&gt;0,F240/E240,"")</f>
        <v>0.279360234497614</v>
      </c>
      <c r="H240" s="24" t="n">
        <f aca="false">IF(SUM($D$5:$D$494)&gt;0,D240/SUM($D$5:$D$494),0)</f>
        <v>0.000747435971549761</v>
      </c>
      <c r="I240" s="24" t="n">
        <f aca="false">SUMIF($D$5:$D$494,"&gt;="&amp;D240)/SUM($D$5:$D$494)</f>
        <v>0.928974913185409</v>
      </c>
      <c r="J240" s="3" t="str">
        <f aca="false">IF(D240&lt;=0,"C",IF(I240&lt;=Parametros!$B$4,"A",IF(I240&lt;=Parametros!$B$5,"B","C")))</f>
        <v>B</v>
      </c>
      <c r="K240" s="3" t="str">
        <f aca="false">IF(E240&lt;=0,"Z",IF(G240&lt;=Parametros!$B$6,"X",IF(G240&lt;=Parametros!$B$7,"Y","Z")))</f>
        <v>X</v>
      </c>
      <c r="L240" s="3" t="str">
        <f aca="false">J240&amp;K240</f>
        <v>BX</v>
      </c>
      <c r="M240" s="3" t="str">
        <f aca="false">INDEX(Parametros!$B$23:$B$31,MATCH(L240,Parametros!$A$23:$A$31,0))</f>
        <v>Estadístico + revisión de tendencia.</v>
      </c>
      <c r="N240" s="3" t="str">
        <f aca="false">INDEX(Parametros!$C$23:$C$31,MATCH(L240,Parametros!$A$23:$A$31,0))</f>
        <v>Mensual</v>
      </c>
      <c r="O240" s="23" t="n">
        <f aca="false">SUM(Datos_Semanales!M240:R240)</f>
        <v>18822.9360420044</v>
      </c>
      <c r="P240" s="24" t="n">
        <f aca="false">IF(D240&gt;0,SUMPRODUCT(ABS(Datos_Semanales!F240:K240-Datos_Semanales!M240:R240))/D240,"")</f>
        <v>0.253768486077007</v>
      </c>
      <c r="Q240" s="24" t="n">
        <f aca="false">IF(D240&gt;0,O240/D240-1,"")</f>
        <v>0.0497497078784981</v>
      </c>
      <c r="R240" s="23" t="n">
        <f aca="false">SQRT(SUMXMY2(Datos_Semanales!F240:K240,Datos_Semanales!M240:R240)/COUNT(Datos_Semanales!F240:K240))</f>
        <v>850.264008696402</v>
      </c>
    </row>
    <row r="241" customFormat="false" ht="15" hidden="false" customHeight="false" outlineLevel="0" collapsed="false">
      <c r="A241" s="18" t="n">
        <f aca="false">Datos_Semanales!A241</f>
        <v>30001522</v>
      </c>
      <c r="B241" s="18" t="str">
        <f aca="false">Datos_Semanales!B241</f>
        <v>HABAS WASIL 16X380GR</v>
      </c>
      <c r="C241" s="18" t="str">
        <f aca="false">Datos_Semanales!C241</f>
        <v>CONSERVAS Y PLATOS LISTOS</v>
      </c>
      <c r="D241" s="23" t="n">
        <f aca="false">SUM(Datos_Semanales!F241:K241)</f>
        <v>17893.44</v>
      </c>
      <c r="E241" s="23" t="n">
        <f aca="false">AVERAGE(Datos_Semanales!F241:K241)</f>
        <v>2982.24</v>
      </c>
      <c r="F241" s="23" t="n">
        <f aca="false">STDEV(Datos_Semanales!F241:K241)</f>
        <v>1135.60826597907</v>
      </c>
      <c r="G241" s="27" t="n">
        <f aca="false">IF(E241&gt;0,F241/E241,"")</f>
        <v>0.380790367636097</v>
      </c>
      <c r="H241" s="24" t="n">
        <f aca="false">IF(SUM($D$5:$D$494)&gt;0,D241/SUM($D$5:$D$494),0)</f>
        <v>0.000745875311795481</v>
      </c>
      <c r="I241" s="24" t="n">
        <f aca="false">SUMIF($D$5:$D$494,"&gt;="&amp;D241)/SUM($D$5:$D$494)</f>
        <v>0.929720788497205</v>
      </c>
      <c r="J241" s="3" t="str">
        <f aca="false">IF(D241&lt;=0,"C",IF(I241&lt;=Parametros!$B$4,"A",IF(I241&lt;=Parametros!$B$5,"B","C")))</f>
        <v>B</v>
      </c>
      <c r="K241" s="3" t="str">
        <f aca="false">IF(E241&lt;=0,"Z",IF(G241&lt;=Parametros!$B$6,"X",IF(G241&lt;=Parametros!$B$7,"Y","Z")))</f>
        <v>X</v>
      </c>
      <c r="L241" s="3" t="str">
        <f aca="false">J241&amp;K241</f>
        <v>BX</v>
      </c>
      <c r="M241" s="3" t="str">
        <f aca="false">INDEX(Parametros!$B$23:$B$31,MATCH(L241,Parametros!$A$23:$A$31,0))</f>
        <v>Estadístico + revisión de tendencia.</v>
      </c>
      <c r="N241" s="3" t="str">
        <f aca="false">INDEX(Parametros!$C$23:$C$31,MATCH(L241,Parametros!$A$23:$A$31,0))</f>
        <v>Mensual</v>
      </c>
      <c r="O241" s="23" t="n">
        <f aca="false">SUM(Datos_Semanales!M241:R241)</f>
        <v>19191.68</v>
      </c>
      <c r="P241" s="24" t="n">
        <f aca="false">IF(D241&gt;0,SUMPRODUCT(ABS(Datos_Semanales!F241:K241-Datos_Semanales!M241:R241))/D241,"")</f>
        <v>0.418683048089132</v>
      </c>
      <c r="Q241" s="24" t="n">
        <f aca="false">IF(D241&gt;0,O241/D241-1,"")</f>
        <v>0.0725539639107962</v>
      </c>
      <c r="R241" s="23" t="n">
        <f aca="false">SQRT(SUMXMY2(Datos_Semanales!F241:K241,Datos_Semanales!M241:R241)/COUNT(Datos_Semanales!F241:K241))</f>
        <v>1433.51336717404</v>
      </c>
    </row>
    <row r="242" customFormat="false" ht="15" hidden="false" customHeight="false" outlineLevel="0" collapsed="false">
      <c r="A242" s="18" t="n">
        <f aca="false">Datos_Semanales!A242</f>
        <v>30002293</v>
      </c>
      <c r="B242" s="18" t="str">
        <f aca="false">Datos_Semanales!B242</f>
        <v>MERMELADA WATTS MANGO MARACUYA 24X225GR</v>
      </c>
      <c r="C242" s="18" t="str">
        <f aca="false">Datos_Semanales!C242</f>
        <v>-</v>
      </c>
      <c r="D242" s="23" t="n">
        <f aca="false">SUM(Datos_Semanales!F242:K242)</f>
        <v>17874</v>
      </c>
      <c r="E242" s="23" t="n">
        <f aca="false">AVERAGE(Datos_Semanales!F242:K242)</f>
        <v>2979</v>
      </c>
      <c r="F242" s="23" t="n">
        <f aca="false">STDEV(Datos_Semanales!F242:K242)</f>
        <v>1410.84408777157</v>
      </c>
      <c r="G242" s="27" t="n">
        <f aca="false">IF(E242&gt;0,F242/E242,"")</f>
        <v>0.473596538359037</v>
      </c>
      <c r="H242" s="24" t="n">
        <f aca="false">IF(SUM($D$5:$D$494)&gt;0,D242/SUM($D$5:$D$494),0)</f>
        <v>0.000745064969230758</v>
      </c>
      <c r="I242" s="24" t="n">
        <f aca="false">SUMIF($D$5:$D$494,"&gt;="&amp;D242)/SUM($D$5:$D$494)</f>
        <v>0.930465853466436</v>
      </c>
      <c r="J242" s="3" t="str">
        <f aca="false">IF(D242&lt;=0,"C",IF(I242&lt;=Parametros!$B$4,"A",IF(I242&lt;=Parametros!$B$5,"B","C")))</f>
        <v>B</v>
      </c>
      <c r="K242" s="3" t="str">
        <f aca="false">IF(E242&lt;=0,"Z",IF(G242&lt;=Parametros!$B$6,"X",IF(G242&lt;=Parametros!$B$7,"Y","Z")))</f>
        <v>X</v>
      </c>
      <c r="L242" s="3" t="str">
        <f aca="false">J242&amp;K242</f>
        <v>BX</v>
      </c>
      <c r="M242" s="3" t="str">
        <f aca="false">INDEX(Parametros!$B$23:$B$31,MATCH(L242,Parametros!$A$23:$A$31,0))</f>
        <v>Estadístico + revisión de tendencia.</v>
      </c>
      <c r="N242" s="3" t="str">
        <f aca="false">INDEX(Parametros!$C$23:$C$31,MATCH(L242,Parametros!$A$23:$A$31,0))</f>
        <v>Mensual</v>
      </c>
      <c r="O242" s="23" t="n">
        <f aca="false">SUM(Datos_Semanales!M242:R242)</f>
        <v>14741.875</v>
      </c>
      <c r="P242" s="24" t="n">
        <f aca="false">IF(D242&gt;0,SUMPRODUCT(ABS(Datos_Semanales!F242:K242-Datos_Semanales!M242:R242))/D242,"")</f>
        <v>0.624766420499049</v>
      </c>
      <c r="Q242" s="24" t="n">
        <f aca="false">IF(D242&gt;0,O242/D242-1,"")</f>
        <v>-0.175233579500951</v>
      </c>
      <c r="R242" s="23" t="n">
        <f aca="false">SQRT(SUMXMY2(Datos_Semanales!F242:K242,Datos_Semanales!M242:R242)/COUNT(Datos_Semanales!F242:K242))</f>
        <v>2084.51724889421</v>
      </c>
    </row>
    <row r="243" customFormat="false" ht="15" hidden="false" customHeight="false" outlineLevel="0" collapsed="false">
      <c r="A243" s="18" t="n">
        <f aca="false">Datos_Semanales!A243</f>
        <v>30002288</v>
      </c>
      <c r="B243" s="18" t="str">
        <f aca="false">Datos_Semanales!B243</f>
        <v>YOGURT LONCO PROTEIN CHIRIMOYA 24X140GR</v>
      </c>
      <c r="C243" s="18" t="str">
        <f aca="false">Datos_Semanales!C243</f>
        <v>YOGURT</v>
      </c>
      <c r="D243" s="23" t="n">
        <f aca="false">SUM(Datos_Semanales!F243:K243)</f>
        <v>17791.2</v>
      </c>
      <c r="E243" s="23" t="n">
        <f aca="false">AVERAGE(Datos_Semanales!F243:K243)</f>
        <v>2965.2</v>
      </c>
      <c r="F243" s="23" t="n">
        <f aca="false">STDEV(Datos_Semanales!F243:K243)</f>
        <v>1040.00494644978</v>
      </c>
      <c r="G243" s="27" t="n">
        <f aca="false">IF(E243&gt;0,F243/E243,"")</f>
        <v>0.350736863095162</v>
      </c>
      <c r="H243" s="24" t="n">
        <f aca="false">IF(SUM($D$5:$D$494)&gt;0,D243/SUM($D$5:$D$494),0)</f>
        <v>0.000741613510158793</v>
      </c>
      <c r="I243" s="24" t="n">
        <f aca="false">SUMIF($D$5:$D$494,"&gt;="&amp;D243)/SUM($D$5:$D$494)</f>
        <v>0.931207466976594</v>
      </c>
      <c r="J243" s="3" t="str">
        <f aca="false">IF(D243&lt;=0,"C",IF(I243&lt;=Parametros!$B$4,"A",IF(I243&lt;=Parametros!$B$5,"B","C")))</f>
        <v>B</v>
      </c>
      <c r="K243" s="3" t="str">
        <f aca="false">IF(E243&lt;=0,"Z",IF(G243&lt;=Parametros!$B$6,"X",IF(G243&lt;=Parametros!$B$7,"Y","Z")))</f>
        <v>X</v>
      </c>
      <c r="L243" s="3" t="str">
        <f aca="false">J243&amp;K243</f>
        <v>BX</v>
      </c>
      <c r="M243" s="3" t="str">
        <f aca="false">INDEX(Parametros!$B$23:$B$31,MATCH(L243,Parametros!$A$23:$A$31,0))</f>
        <v>Estadístico + revisión de tendencia.</v>
      </c>
      <c r="N243" s="3" t="str">
        <f aca="false">INDEX(Parametros!$C$23:$C$31,MATCH(L243,Parametros!$A$23:$A$31,0))</f>
        <v>Mensual</v>
      </c>
      <c r="O243" s="23" t="n">
        <f aca="false">SUM(Datos_Semanales!M243:R243)</f>
        <v>15236.4086511954</v>
      </c>
      <c r="P243" s="24" t="n">
        <f aca="false">IF(D243&gt;0,SUMPRODUCT(ABS(Datos_Semanales!F243:K243-Datos_Semanales!M243:R243))/D243,"")</f>
        <v>0.384896888242311</v>
      </c>
      <c r="Q243" s="24" t="n">
        <f aca="false">IF(D243&gt;0,O243/D243-1,"")</f>
        <v>-0.143598596429955</v>
      </c>
      <c r="R243" s="23" t="n">
        <f aca="false">SQRT(SUMXMY2(Datos_Semanales!F243:K243,Datos_Semanales!M243:R243)/COUNT(Datos_Semanales!F243:K243))</f>
        <v>1592.58311475344</v>
      </c>
    </row>
    <row r="244" customFormat="false" ht="15" hidden="false" customHeight="false" outlineLevel="0" collapsed="false">
      <c r="A244" s="18" t="n">
        <f aca="false">Datos_Semanales!A244</f>
        <v>30001048</v>
      </c>
      <c r="B244" s="18" t="str">
        <f aca="false">Datos_Semanales!B244</f>
        <v>LS8 CAL PROB MORA UNV P6 48X90ML</v>
      </c>
      <c r="C244" s="18" t="str">
        <f aca="false">Datos_Semanales!C244</f>
        <v>YOGURT</v>
      </c>
      <c r="D244" s="23" t="n">
        <f aca="false">SUM(Datos_Semanales!F244:K244)</f>
        <v>17785.44</v>
      </c>
      <c r="E244" s="23" t="n">
        <f aca="false">AVERAGE(Datos_Semanales!F244:K244)</f>
        <v>2964.24</v>
      </c>
      <c r="F244" s="23" t="n">
        <f aca="false">STDEV(Datos_Semanales!F244:K244)</f>
        <v>605.265249622015</v>
      </c>
      <c r="G244" s="27" t="n">
        <f aca="false">IF(E244&gt;0,F244/E244,"")</f>
        <v>0.204189016281413</v>
      </c>
      <c r="H244" s="24" t="n">
        <f aca="false">IF(SUM($D$5:$D$494)&gt;0,D244/SUM($D$5:$D$494),0)</f>
        <v>0.000741373408658135</v>
      </c>
      <c r="I244" s="24" t="n">
        <f aca="false">SUMIF($D$5:$D$494,"&gt;="&amp;D244)/SUM($D$5:$D$494)</f>
        <v>0.931948840385253</v>
      </c>
      <c r="J244" s="3" t="str">
        <f aca="false">IF(D244&lt;=0,"C",IF(I244&lt;=Parametros!$B$4,"A",IF(I244&lt;=Parametros!$B$5,"B","C")))</f>
        <v>B</v>
      </c>
      <c r="K244" s="3" t="str">
        <f aca="false">IF(E244&lt;=0,"Z",IF(G244&lt;=Parametros!$B$6,"X",IF(G244&lt;=Parametros!$B$7,"Y","Z")))</f>
        <v>X</v>
      </c>
      <c r="L244" s="3" t="str">
        <f aca="false">J244&amp;K244</f>
        <v>BX</v>
      </c>
      <c r="M244" s="3" t="str">
        <f aca="false">INDEX(Parametros!$B$23:$B$31,MATCH(L244,Parametros!$A$23:$A$31,0))</f>
        <v>Estadístico + revisión de tendencia.</v>
      </c>
      <c r="N244" s="3" t="str">
        <f aca="false">INDEX(Parametros!$C$23:$C$31,MATCH(L244,Parametros!$A$23:$A$31,0))</f>
        <v>Mensual</v>
      </c>
      <c r="O244" s="23" t="n">
        <f aca="false">SUM(Datos_Semanales!M244:R244)</f>
        <v>20528.6662496113</v>
      </c>
      <c r="P244" s="24" t="n">
        <f aca="false">IF(D244&gt;0,SUMPRODUCT(ABS(Datos_Semanales!F244:K244-Datos_Semanales!M244:R244))/D244,"")</f>
        <v>0.243218886386127</v>
      </c>
      <c r="Q244" s="24" t="n">
        <f aca="false">IF(D244&gt;0,O244/D244-1,"")</f>
        <v>0.154239999101025</v>
      </c>
      <c r="R244" s="23" t="n">
        <f aca="false">SQRT(SUMXMY2(Datos_Semanales!F244:K244,Datos_Semanales!M244:R244)/COUNT(Datos_Semanales!F244:K244))</f>
        <v>922.252711228246</v>
      </c>
    </row>
    <row r="245" customFormat="false" ht="15" hidden="false" customHeight="false" outlineLevel="0" collapsed="false">
      <c r="A245" s="18" t="n">
        <f aca="false">Datos_Semanales!A245</f>
        <v>30001076</v>
      </c>
      <c r="B245" s="18" t="str">
        <f aca="false">Datos_Semanales!B245</f>
        <v>YOG GRI OIKOS SABOR CHYA 48X110GR</v>
      </c>
      <c r="C245" s="18" t="str">
        <f aca="false">Datos_Semanales!C245</f>
        <v>YOGURT</v>
      </c>
      <c r="D245" s="23" t="n">
        <f aca="false">SUM(Datos_Semanales!F245:K245)</f>
        <v>17460.96</v>
      </c>
      <c r="E245" s="23" t="n">
        <f aca="false">AVERAGE(Datos_Semanales!F245:K245)</f>
        <v>2910.16</v>
      </c>
      <c r="F245" s="23" t="n">
        <f aca="false">STDEV(Datos_Semanales!F245:K245)</f>
        <v>866.907290821804</v>
      </c>
      <c r="G245" s="27" t="n">
        <f aca="false">IF(E245&gt;0,F245/E245,"")</f>
        <v>0.297889906679291</v>
      </c>
      <c r="H245" s="24" t="n">
        <f aca="false">IF(SUM($D$5:$D$494)&gt;0,D245/SUM($D$5:$D$494),0)</f>
        <v>0.000727847690787708</v>
      </c>
      <c r="I245" s="24" t="n">
        <f aca="false">SUMIF($D$5:$D$494,"&gt;="&amp;D245)/SUM($D$5:$D$494)</f>
        <v>0.93267668807604</v>
      </c>
      <c r="J245" s="3" t="str">
        <f aca="false">IF(D245&lt;=0,"C",IF(I245&lt;=Parametros!$B$4,"A",IF(I245&lt;=Parametros!$B$5,"B","C")))</f>
        <v>B</v>
      </c>
      <c r="K245" s="3" t="str">
        <f aca="false">IF(E245&lt;=0,"Z",IF(G245&lt;=Parametros!$B$6,"X",IF(G245&lt;=Parametros!$B$7,"Y","Z")))</f>
        <v>X</v>
      </c>
      <c r="L245" s="3" t="str">
        <f aca="false">J245&amp;K245</f>
        <v>BX</v>
      </c>
      <c r="M245" s="3" t="str">
        <f aca="false">INDEX(Parametros!$B$23:$B$31,MATCH(L245,Parametros!$A$23:$A$31,0))</f>
        <v>Estadístico + revisión de tendencia.</v>
      </c>
      <c r="N245" s="3" t="str">
        <f aca="false">INDEX(Parametros!$C$23:$C$31,MATCH(L245,Parametros!$A$23:$A$31,0))</f>
        <v>Mensual</v>
      </c>
      <c r="O245" s="23" t="n">
        <f aca="false">SUM(Datos_Semanales!M245:R245)</f>
        <v>11535.7545039377</v>
      </c>
      <c r="P245" s="24" t="n">
        <f aca="false">IF(D245&gt;0,SUMPRODUCT(ABS(Datos_Semanales!F245:K245-Datos_Semanales!M245:R245))/D245,"")</f>
        <v>0.451272795451948</v>
      </c>
      <c r="Q245" s="24" t="n">
        <f aca="false">IF(D245&gt;0,O245/D245-1,"")</f>
        <v>-0.339340190691824</v>
      </c>
      <c r="R245" s="23" t="n">
        <f aca="false">SQRT(SUMXMY2(Datos_Semanales!F245:K245,Datos_Semanales!M245:R245)/COUNT(Datos_Semanales!F245:K245))</f>
        <v>1452.32512033657</v>
      </c>
    </row>
    <row r="246" customFormat="false" ht="15" hidden="false" customHeight="false" outlineLevel="0" collapsed="false">
      <c r="A246" s="18" t="n">
        <f aca="false">Datos_Semanales!A246</f>
        <v>30001983</v>
      </c>
      <c r="B246" s="18" t="str">
        <f aca="false">Datos_Semanales!B246</f>
        <v>YOGURT OIKOS MIEL GRANOLA 12X142G</v>
      </c>
      <c r="C246" s="18" t="str">
        <f aca="false">Datos_Semanales!C246</f>
        <v>YOGURT</v>
      </c>
      <c r="D246" s="23" t="n">
        <f aca="false">SUM(Datos_Semanales!F246:K246)</f>
        <v>17167.8</v>
      </c>
      <c r="E246" s="23" t="n">
        <f aca="false">AVERAGE(Datos_Semanales!F246:K246)</f>
        <v>2861.3</v>
      </c>
      <c r="F246" s="23" t="n">
        <f aca="false">STDEV(Datos_Semanales!F246:K246)</f>
        <v>522.544781082732</v>
      </c>
      <c r="G246" s="27" t="n">
        <f aca="false">IF(E246&gt;0,F246/E246,"")</f>
        <v>0.182624954070783</v>
      </c>
      <c r="H246" s="24" t="n">
        <f aca="false">IF(SUM($D$5:$D$494)&gt;0,D246/SUM($D$5:$D$494),0)</f>
        <v>0.000715627524827113</v>
      </c>
      <c r="I246" s="24" t="n">
        <f aca="false">SUMIF($D$5:$D$494,"&gt;="&amp;D246)/SUM($D$5:$D$494)</f>
        <v>0.933392315600867</v>
      </c>
      <c r="J246" s="3" t="str">
        <f aca="false">IF(D246&lt;=0,"C",IF(I246&lt;=Parametros!$B$4,"A",IF(I246&lt;=Parametros!$B$5,"B","C")))</f>
        <v>B</v>
      </c>
      <c r="K246" s="3" t="str">
        <f aca="false">IF(E246&lt;=0,"Z",IF(G246&lt;=Parametros!$B$6,"X",IF(G246&lt;=Parametros!$B$7,"Y","Z")))</f>
        <v>X</v>
      </c>
      <c r="L246" s="3" t="str">
        <f aca="false">J246&amp;K246</f>
        <v>BX</v>
      </c>
      <c r="M246" s="3" t="str">
        <f aca="false">INDEX(Parametros!$B$23:$B$31,MATCH(L246,Parametros!$A$23:$A$31,0))</f>
        <v>Estadístico + revisión de tendencia.</v>
      </c>
      <c r="N246" s="3" t="str">
        <f aca="false">INDEX(Parametros!$C$23:$C$31,MATCH(L246,Parametros!$A$23:$A$31,0))</f>
        <v>Mensual</v>
      </c>
      <c r="O246" s="23" t="n">
        <f aca="false">SUM(Datos_Semanales!M246:R246)</f>
        <v>12218.2207162409</v>
      </c>
      <c r="P246" s="24" t="n">
        <f aca="false">IF(D246&gt;0,SUMPRODUCT(ABS(Datos_Semanales!F246:K246-Datos_Semanales!M246:R246))/D246,"")</f>
        <v>0.288305973028527</v>
      </c>
      <c r="Q246" s="24" t="n">
        <f aca="false">IF(D246&gt;0,O246/D246-1,"")</f>
        <v>-0.288305973028527</v>
      </c>
      <c r="R246" s="23" t="n">
        <f aca="false">SQRT(SUMXMY2(Datos_Semanales!F246:K246,Datos_Semanales!M246:R246)/COUNT(Datos_Semanales!F246:K246))</f>
        <v>852.286728453268</v>
      </c>
    </row>
    <row r="247" customFormat="false" ht="15" hidden="false" customHeight="false" outlineLevel="0" collapsed="false">
      <c r="A247" s="18" t="n">
        <f aca="false">Datos_Semanales!A247</f>
        <v>30000435</v>
      </c>
      <c r="B247" s="18" t="str">
        <f aca="false">Datos_Semanales!B247</f>
        <v>PROT SHOT BERRIES PACK 8X6X100ML</v>
      </c>
      <c r="C247" s="18" t="str">
        <f aca="false">Datos_Semanales!C247</f>
        <v>YOGURT</v>
      </c>
      <c r="D247" s="23" t="n">
        <f aca="false">SUM(Datos_Semanales!F247:K247)</f>
        <v>16906.24</v>
      </c>
      <c r="E247" s="23" t="n">
        <f aca="false">AVERAGE(Datos_Semanales!F247:K247)</f>
        <v>2817.70666666667</v>
      </c>
      <c r="F247" s="23" t="n">
        <f aca="false">STDEV(Datos_Semanales!F247:K247)</f>
        <v>645.409797343259</v>
      </c>
      <c r="G247" s="27" t="n">
        <f aca="false">IF(E247&gt;0,F247/E247,"")</f>
        <v>0.229054998867847</v>
      </c>
      <c r="H247" s="24" t="n">
        <f aca="false">IF(SUM($D$5:$D$494)&gt;0,D247/SUM($D$5:$D$494),0)</f>
        <v>0.000704724582377074</v>
      </c>
      <c r="I247" s="24" t="n">
        <f aca="false">SUMIF($D$5:$D$494,"&gt;="&amp;D247)/SUM($D$5:$D$494)</f>
        <v>0.934097040183245</v>
      </c>
      <c r="J247" s="3" t="str">
        <f aca="false">IF(D247&lt;=0,"C",IF(I247&lt;=Parametros!$B$4,"A",IF(I247&lt;=Parametros!$B$5,"B","C")))</f>
        <v>B</v>
      </c>
      <c r="K247" s="3" t="str">
        <f aca="false">IF(E247&lt;=0,"Z",IF(G247&lt;=Parametros!$B$6,"X",IF(G247&lt;=Parametros!$B$7,"Y","Z")))</f>
        <v>X</v>
      </c>
      <c r="L247" s="3" t="str">
        <f aca="false">J247&amp;K247</f>
        <v>BX</v>
      </c>
      <c r="M247" s="3" t="str">
        <f aca="false">INDEX(Parametros!$B$23:$B$31,MATCH(L247,Parametros!$A$23:$A$31,0))</f>
        <v>Estadístico + revisión de tendencia.</v>
      </c>
      <c r="N247" s="3" t="str">
        <f aca="false">INDEX(Parametros!$C$23:$C$31,MATCH(L247,Parametros!$A$23:$A$31,0))</f>
        <v>Mensual</v>
      </c>
      <c r="O247" s="23" t="n">
        <f aca="false">SUM(Datos_Semanales!M247:R247)</f>
        <v>11717.0065641156</v>
      </c>
      <c r="P247" s="24" t="n">
        <f aca="false">IF(D247&gt;0,SUMPRODUCT(ABS(Datos_Semanales!F247:K247-Datos_Semanales!M247:R247))/D247,"")</f>
        <v>0.392172741794905</v>
      </c>
      <c r="Q247" s="24" t="n">
        <f aca="false">IF(D247&gt;0,O247/D247-1,"")</f>
        <v>-0.30694190049854</v>
      </c>
      <c r="R247" s="23" t="n">
        <f aca="false">SQRT(SUMXMY2(Datos_Semanales!F247:K247,Datos_Semanales!M247:R247)/COUNT(Datos_Semanales!F247:K247))</f>
        <v>1198.26322401597</v>
      </c>
    </row>
    <row r="248" customFormat="false" ht="15" hidden="false" customHeight="false" outlineLevel="0" collapsed="false">
      <c r="A248" s="18" t="n">
        <f aca="false">Datos_Semanales!A248</f>
        <v>30001402</v>
      </c>
      <c r="B248" s="18" t="str">
        <f aca="false">Datos_Semanales!B248</f>
        <v>MARGARINA CALO LIGHT 12X450GR</v>
      </c>
      <c r="C248" s="18" t="str">
        <f aca="false">Datos_Semanales!C248</f>
        <v>-</v>
      </c>
      <c r="D248" s="23" t="n">
        <f aca="false">SUM(Datos_Semanales!F248:K248)</f>
        <v>16869.6</v>
      </c>
      <c r="E248" s="23" t="n">
        <f aca="false">AVERAGE(Datos_Semanales!F248:K248)</f>
        <v>2811.6</v>
      </c>
      <c r="F248" s="23" t="n">
        <f aca="false">STDEV(Datos_Semanales!F248:K248)</f>
        <v>1140.02513656498</v>
      </c>
      <c r="G248" s="27" t="n">
        <f aca="false">IF(E248&gt;0,F248/E248,"")</f>
        <v>0.405472021825644</v>
      </c>
      <c r="H248" s="24" t="n">
        <f aca="false">IF(SUM($D$5:$D$494)&gt;0,D248/SUM($D$5:$D$494),0)</f>
        <v>0.000703197270053441</v>
      </c>
      <c r="I248" s="24" t="n">
        <f aca="false">SUMIF($D$5:$D$494,"&gt;="&amp;D248)/SUM($D$5:$D$494)</f>
        <v>0.934800237453298</v>
      </c>
      <c r="J248" s="3" t="str">
        <f aca="false">IF(D248&lt;=0,"C",IF(I248&lt;=Parametros!$B$4,"A",IF(I248&lt;=Parametros!$B$5,"B","C")))</f>
        <v>B</v>
      </c>
      <c r="K248" s="3" t="str">
        <f aca="false">IF(E248&lt;=0,"Z",IF(G248&lt;=Parametros!$B$6,"X",IF(G248&lt;=Parametros!$B$7,"Y","Z")))</f>
        <v>X</v>
      </c>
      <c r="L248" s="3" t="str">
        <f aca="false">J248&amp;K248</f>
        <v>BX</v>
      </c>
      <c r="M248" s="3" t="str">
        <f aca="false">INDEX(Parametros!$B$23:$B$31,MATCH(L248,Parametros!$A$23:$A$31,0))</f>
        <v>Estadístico + revisión de tendencia.</v>
      </c>
      <c r="N248" s="3" t="str">
        <f aca="false">INDEX(Parametros!$C$23:$C$31,MATCH(L248,Parametros!$A$23:$A$31,0))</f>
        <v>Mensual</v>
      </c>
      <c r="O248" s="23" t="n">
        <f aca="false">SUM(Datos_Semanales!M248:R248)</f>
        <v>23595.2833396141</v>
      </c>
      <c r="P248" s="24" t="n">
        <f aca="false">IF(D248&gt;0,SUMPRODUCT(ABS(Datos_Semanales!F248:K248-Datos_Semanales!M248:R248))/D248,"")</f>
        <v>0.487440046447473</v>
      </c>
      <c r="Q248" s="24" t="n">
        <f aca="false">IF(D248&gt;0,O248/D248-1,"")</f>
        <v>0.398686592427451</v>
      </c>
      <c r="R248" s="23" t="n">
        <f aca="false">SQRT(SUMXMY2(Datos_Semanales!F248:K248,Datos_Semanales!M248:R248)/COUNT(Datos_Semanales!F248:K248))</f>
        <v>1675.91073055961</v>
      </c>
    </row>
    <row r="249" customFormat="false" ht="15" hidden="false" customHeight="false" outlineLevel="0" collapsed="false">
      <c r="A249" s="18" t="n">
        <f aca="false">Datos_Semanales!A249</f>
        <v>30001020</v>
      </c>
      <c r="B249" s="18" t="str">
        <f aca="false">Datos_Semanales!B249</f>
        <v>YOG DAN L&amp;F SABOR VLLA 48X115GR</v>
      </c>
      <c r="C249" s="18" t="str">
        <f aca="false">Datos_Semanales!C249</f>
        <v>YOGURT</v>
      </c>
      <c r="D249" s="23" t="n">
        <f aca="false">SUM(Datos_Semanales!F249:K249)</f>
        <v>16731.12</v>
      </c>
      <c r="E249" s="23" t="n">
        <f aca="false">AVERAGE(Datos_Semanales!F249:K249)</f>
        <v>2788.52</v>
      </c>
      <c r="F249" s="23" t="n">
        <f aca="false">STDEV(Datos_Semanales!F249:K249)</f>
        <v>1012.97289235201</v>
      </c>
      <c r="G249" s="27" t="n">
        <f aca="false">IF(E249&gt;0,F249/E249,"")</f>
        <v>0.363265421209822</v>
      </c>
      <c r="H249" s="24" t="n">
        <f aca="false">IF(SUM($D$5:$D$494)&gt;0,D249/SUM($D$5:$D$494),0)</f>
        <v>0.000697424829808444</v>
      </c>
      <c r="I249" s="24" t="n">
        <f aca="false">SUMIF($D$5:$D$494,"&gt;="&amp;D249)/SUM($D$5:$D$494)</f>
        <v>0.935497662283106</v>
      </c>
      <c r="J249" s="3" t="str">
        <f aca="false">IF(D249&lt;=0,"C",IF(I249&lt;=Parametros!$B$4,"A",IF(I249&lt;=Parametros!$B$5,"B","C")))</f>
        <v>B</v>
      </c>
      <c r="K249" s="3" t="str">
        <f aca="false">IF(E249&lt;=0,"Z",IF(G249&lt;=Parametros!$B$6,"X",IF(G249&lt;=Parametros!$B$7,"Y","Z")))</f>
        <v>X</v>
      </c>
      <c r="L249" s="3" t="str">
        <f aca="false">J249&amp;K249</f>
        <v>BX</v>
      </c>
      <c r="M249" s="3" t="str">
        <f aca="false">INDEX(Parametros!$B$23:$B$31,MATCH(L249,Parametros!$A$23:$A$31,0))</f>
        <v>Estadístico + revisión de tendencia.</v>
      </c>
      <c r="N249" s="3" t="str">
        <f aca="false">INDEX(Parametros!$C$23:$C$31,MATCH(L249,Parametros!$A$23:$A$31,0))</f>
        <v>Mensual</v>
      </c>
      <c r="O249" s="23" t="n">
        <f aca="false">SUM(Datos_Semanales!M249:R249)</f>
        <v>21290.3324637294</v>
      </c>
      <c r="P249" s="24" t="n">
        <f aca="false">IF(D249&gt;0,SUMPRODUCT(ABS(Datos_Semanales!F249:K249-Datos_Semanales!M249:R249))/D249,"")</f>
        <v>0.396938029853674</v>
      </c>
      <c r="Q249" s="24" t="n">
        <f aca="false">IF(D249&gt;0,O249/D249-1,"")</f>
        <v>0.27249893992329</v>
      </c>
      <c r="R249" s="23" t="n">
        <f aca="false">SQRT(SUMXMY2(Datos_Semanales!F249:K249,Datos_Semanales!M249:R249)/COUNT(Datos_Semanales!F249:K249))</f>
        <v>1308.10410741149</v>
      </c>
    </row>
    <row r="250" customFormat="false" ht="15" hidden="false" customHeight="false" outlineLevel="0" collapsed="false">
      <c r="A250" s="18" t="n">
        <f aca="false">Datos_Semanales!A250</f>
        <v>30000180</v>
      </c>
      <c r="B250" s="18" t="str">
        <f aca="false">Datos_Semanales!B250</f>
        <v>MERM W S/A SACH ARANDANO 24X200GR</v>
      </c>
      <c r="C250" s="18" t="str">
        <f aca="false">Datos_Semanales!C250</f>
        <v>MERMELADAS</v>
      </c>
      <c r="D250" s="23" t="n">
        <f aca="false">SUM(Datos_Semanales!F250:K250)</f>
        <v>16430.4</v>
      </c>
      <c r="E250" s="23" t="n">
        <f aca="false">AVERAGE(Datos_Semanales!F250:K250)</f>
        <v>2738.4</v>
      </c>
      <c r="F250" s="23" t="n">
        <f aca="false">STDEV(Datos_Semanales!F250:K250)</f>
        <v>967.943535543267</v>
      </c>
      <c r="G250" s="27" t="n">
        <f aca="false">IF(E250&gt;0,F250/E250,"")</f>
        <v>0.35347047018086</v>
      </c>
      <c r="H250" s="24" t="n">
        <f aca="false">IF(SUM($D$5:$D$494)&gt;0,D250/SUM($D$5:$D$494),0)</f>
        <v>0.000684889530628234</v>
      </c>
      <c r="I250" s="24" t="n">
        <f aca="false">SUMIF($D$5:$D$494,"&gt;="&amp;D250)/SUM($D$5:$D$494)</f>
        <v>0.936182551813735</v>
      </c>
      <c r="J250" s="3" t="str">
        <f aca="false">IF(D250&lt;=0,"C",IF(I250&lt;=Parametros!$B$4,"A",IF(I250&lt;=Parametros!$B$5,"B","C")))</f>
        <v>B</v>
      </c>
      <c r="K250" s="3" t="str">
        <f aca="false">IF(E250&lt;=0,"Z",IF(G250&lt;=Parametros!$B$6,"X",IF(G250&lt;=Parametros!$B$7,"Y","Z")))</f>
        <v>X</v>
      </c>
      <c r="L250" s="3" t="str">
        <f aca="false">J250&amp;K250</f>
        <v>BX</v>
      </c>
      <c r="M250" s="3" t="str">
        <f aca="false">INDEX(Parametros!$B$23:$B$31,MATCH(L250,Parametros!$A$23:$A$31,0))</f>
        <v>Estadístico + revisión de tendencia.</v>
      </c>
      <c r="N250" s="3" t="str">
        <f aca="false">INDEX(Parametros!$C$23:$C$31,MATCH(L250,Parametros!$A$23:$A$31,0))</f>
        <v>Mensual</v>
      </c>
      <c r="O250" s="23" t="n">
        <f aca="false">SUM(Datos_Semanales!M250:R250)</f>
        <v>13134</v>
      </c>
      <c r="P250" s="24" t="n">
        <f aca="false">IF(D250&gt;0,SUMPRODUCT(ABS(Datos_Semanales!F250:K250-Datos_Semanales!M250:R250))/D250,"")</f>
        <v>0.220104197098062</v>
      </c>
      <c r="Q250" s="24" t="n">
        <f aca="false">IF(D250&gt;0,O250/D250-1,"")</f>
        <v>-0.200628104002337</v>
      </c>
      <c r="R250" s="23" t="n">
        <f aca="false">SQRT(SUMXMY2(Datos_Semanales!F250:K250,Datos_Semanales!M250:R250)/COUNT(Datos_Semanales!F250:K250))</f>
        <v>870.515019973808</v>
      </c>
    </row>
    <row r="251" customFormat="false" ht="15" hidden="false" customHeight="false" outlineLevel="0" collapsed="false">
      <c r="A251" s="18" t="n">
        <f aca="false">Datos_Semanales!A251</f>
        <v>30002354</v>
      </c>
      <c r="B251" s="18" t="str">
        <f aca="false">Datos_Semanales!B251</f>
        <v>POROTOS WASIL TTR 24X200</v>
      </c>
      <c r="C251" s="18" t="str">
        <f aca="false">Datos_Semanales!C251</f>
        <v>CONSERVAS Y PLATOS LISTOS</v>
      </c>
      <c r="D251" s="23" t="n">
        <f aca="false">SUM(Datos_Semanales!F251:K251)</f>
        <v>16368</v>
      </c>
      <c r="E251" s="23" t="n">
        <f aca="false">AVERAGE(Datos_Semanales!F251:K251)</f>
        <v>2728</v>
      </c>
      <c r="F251" s="23" t="n">
        <f aca="false">STDEV(Datos_Semanales!F251:K251)</f>
        <v>4455.72566480478</v>
      </c>
      <c r="G251" s="27" t="n">
        <f aca="false">IF(E251&gt;0,F251/E251,"")</f>
        <v>1.63333052228914</v>
      </c>
      <c r="H251" s="24" t="n">
        <f aca="false">IF(SUM($D$5:$D$494)&gt;0,D251/SUM($D$5:$D$494),0)</f>
        <v>0.000682288431037767</v>
      </c>
      <c r="I251" s="24" t="n">
        <f aca="false">SUMIF($D$5:$D$494,"&gt;="&amp;D251)/SUM($D$5:$D$494)</f>
        <v>0.936864840244772</v>
      </c>
      <c r="J251" s="3" t="str">
        <f aca="false">IF(D251&lt;=0,"C",IF(I251&lt;=Parametros!$B$4,"A",IF(I251&lt;=Parametros!$B$5,"B","C")))</f>
        <v>B</v>
      </c>
      <c r="K251" s="3" t="str">
        <f aca="false">IF(E251&lt;=0,"Z",IF(G251&lt;=Parametros!$B$6,"X",IF(G251&lt;=Parametros!$B$7,"Y","Z")))</f>
        <v>Z</v>
      </c>
      <c r="L251" s="3" t="str">
        <f aca="false">J251&amp;K251</f>
        <v>BZ</v>
      </c>
      <c r="M251" s="3" t="str">
        <f aca="false">INDEX(Parametros!$B$23:$B$31,MATCH(L251,Parametros!$A$23:$A$31,0))</f>
        <v>Investigar causa de la variabilidad; evaluar producir contra pedido confirmado.</v>
      </c>
      <c r="N251" s="3" t="str">
        <f aca="false">INDEX(Parametros!$C$23:$C$31,MATCH(L251,Parametros!$A$23:$A$31,0))</f>
        <v>Semanal</v>
      </c>
      <c r="O251" s="23" t="n">
        <f aca="false">SUM(Datos_Semanales!M251:R251)</f>
        <v>8400</v>
      </c>
      <c r="P251" s="24" t="n">
        <f aca="false">IF(D251&gt;0,SUMPRODUCT(ABS(Datos_Semanales!F251:K251-Datos_Semanales!M251:R251))/D251,"")</f>
        <v>0.663734115347019</v>
      </c>
      <c r="Q251" s="24" t="n">
        <f aca="false">IF(D251&gt;0,O251/D251-1,"")</f>
        <v>-0.486803519061584</v>
      </c>
      <c r="R251" s="23" t="n">
        <f aca="false">SQRT(SUMXMY2(Datos_Semanales!F251:K251,Datos_Semanales!M251:R251)/COUNT(Datos_Semanales!F251:K251))</f>
        <v>3889.25357020256</v>
      </c>
    </row>
    <row r="252" customFormat="false" ht="15" hidden="false" customHeight="false" outlineLevel="0" collapsed="false">
      <c r="A252" s="18" t="n">
        <f aca="false">Datos_Semanales!A252</f>
        <v>30000421</v>
      </c>
      <c r="B252" s="18" t="str">
        <f aca="false">Datos_Semanales!B252</f>
        <v>LECHE S/LACTOSA VAINILLA 12X1LT</v>
      </c>
      <c r="C252" s="18" t="str">
        <f aca="false">Datos_Semanales!C252</f>
        <v>LECHES LIQUIDAS</v>
      </c>
      <c r="D252" s="23" t="n">
        <f aca="false">SUM(Datos_Semanales!F252:K252)</f>
        <v>16284</v>
      </c>
      <c r="E252" s="23" t="n">
        <f aca="false">AVERAGE(Datos_Semanales!F252:K252)</f>
        <v>2714</v>
      </c>
      <c r="F252" s="23" t="n">
        <f aca="false">STDEV(Datos_Semanales!F252:K252)</f>
        <v>739.356476944647</v>
      </c>
      <c r="G252" s="27" t="n">
        <f aca="false">IF(E252&gt;0,F252/E252,"")</f>
        <v>0.272423167628831</v>
      </c>
      <c r="H252" s="24" t="n">
        <f aca="false">IF(SUM($D$5:$D$494)&gt;0,D252/SUM($D$5:$D$494),0)</f>
        <v>0.000678786950819832</v>
      </c>
      <c r="I252" s="24" t="n">
        <f aca="false">SUMIF($D$5:$D$494,"&gt;="&amp;D252)/SUM($D$5:$D$494)</f>
        <v>0.937543627195592</v>
      </c>
      <c r="J252" s="3" t="str">
        <f aca="false">IF(D252&lt;=0,"C",IF(I252&lt;=Parametros!$B$4,"A",IF(I252&lt;=Parametros!$B$5,"B","C")))</f>
        <v>B</v>
      </c>
      <c r="K252" s="3" t="str">
        <f aca="false">IF(E252&lt;=0,"Z",IF(G252&lt;=Parametros!$B$6,"X",IF(G252&lt;=Parametros!$B$7,"Y","Z")))</f>
        <v>X</v>
      </c>
      <c r="L252" s="3" t="str">
        <f aca="false">J252&amp;K252</f>
        <v>BX</v>
      </c>
      <c r="M252" s="3" t="str">
        <f aca="false">INDEX(Parametros!$B$23:$B$31,MATCH(L252,Parametros!$A$23:$A$31,0))</f>
        <v>Estadístico + revisión de tendencia.</v>
      </c>
      <c r="N252" s="3" t="str">
        <f aca="false">INDEX(Parametros!$C$23:$C$31,MATCH(L252,Parametros!$A$23:$A$31,0))</f>
        <v>Mensual</v>
      </c>
      <c r="O252" s="23" t="n">
        <f aca="false">SUM(Datos_Semanales!M252:R252)</f>
        <v>15960.5871094778</v>
      </c>
      <c r="P252" s="24" t="n">
        <f aca="false">IF(D252&gt;0,SUMPRODUCT(ABS(Datos_Semanales!F252:K252-Datos_Semanales!M252:R252))/D252,"")</f>
        <v>0.165636677270777</v>
      </c>
      <c r="Q252" s="24" t="n">
        <f aca="false">IF(D252&gt;0,O252/D252-1,"")</f>
        <v>-0.0198607768682255</v>
      </c>
      <c r="R252" s="23" t="n">
        <f aca="false">SQRT(SUMXMY2(Datos_Semanales!F252:K252,Datos_Semanales!M252:R252)/COUNT(Datos_Semanales!F252:K252))</f>
        <v>514.109597625779</v>
      </c>
    </row>
    <row r="253" customFormat="false" ht="15" hidden="false" customHeight="false" outlineLevel="0" collapsed="false">
      <c r="A253" s="18" t="n">
        <f aca="false">Datos_Semanales!A253</f>
        <v>30001403</v>
      </c>
      <c r="B253" s="18" t="str">
        <f aca="false">Datos_Semanales!B253</f>
        <v>MARGARINA CALO 6X900G</v>
      </c>
      <c r="C253" s="18" t="str">
        <f aca="false">Datos_Semanales!C253</f>
        <v>MARGARINAS</v>
      </c>
      <c r="D253" s="23" t="n">
        <f aca="false">SUM(Datos_Semanales!F253:K253)</f>
        <v>16146</v>
      </c>
      <c r="E253" s="23" t="n">
        <f aca="false">AVERAGE(Datos_Semanales!F253:K253)</f>
        <v>2691</v>
      </c>
      <c r="F253" s="23" t="n">
        <f aca="false">STDEV(Datos_Semanales!F253:K253)</f>
        <v>670.841429847621</v>
      </c>
      <c r="G253" s="27" t="n">
        <f aca="false">IF(E253&gt;0,F253/E253,"")</f>
        <v>0.249290758025872</v>
      </c>
      <c r="H253" s="24" t="n">
        <f aca="false">IF(SUM($D$5:$D$494)&gt;0,D253/SUM($D$5:$D$494),0)</f>
        <v>0.000673034519033223</v>
      </c>
      <c r="I253" s="24" t="n">
        <f aca="false">SUMIF($D$5:$D$494,"&gt;="&amp;D253)/SUM($D$5:$D$494)</f>
        <v>0.938216661714625</v>
      </c>
      <c r="J253" s="3" t="str">
        <f aca="false">IF(D253&lt;=0,"C",IF(I253&lt;=Parametros!$B$4,"A",IF(I253&lt;=Parametros!$B$5,"B","C")))</f>
        <v>B</v>
      </c>
      <c r="K253" s="3" t="str">
        <f aca="false">IF(E253&lt;=0,"Z",IF(G253&lt;=Parametros!$B$6,"X",IF(G253&lt;=Parametros!$B$7,"Y","Z")))</f>
        <v>X</v>
      </c>
      <c r="L253" s="3" t="str">
        <f aca="false">J253&amp;K253</f>
        <v>BX</v>
      </c>
      <c r="M253" s="3" t="str">
        <f aca="false">INDEX(Parametros!$B$23:$B$31,MATCH(L253,Parametros!$A$23:$A$31,0))</f>
        <v>Estadístico + revisión de tendencia.</v>
      </c>
      <c r="N253" s="3" t="str">
        <f aca="false">INDEX(Parametros!$C$23:$C$31,MATCH(L253,Parametros!$A$23:$A$31,0))</f>
        <v>Mensual</v>
      </c>
      <c r="O253" s="23" t="n">
        <f aca="false">SUM(Datos_Semanales!M253:R253)</f>
        <v>17153.397055229</v>
      </c>
      <c r="P253" s="24" t="n">
        <f aca="false">IF(D253&gt;0,SUMPRODUCT(ABS(Datos_Semanales!F253:K253-Datos_Semanales!M253:R253))/D253,"")</f>
        <v>0.232398127346919</v>
      </c>
      <c r="Q253" s="24" t="n">
        <f aca="false">IF(D253&gt;0,O253/D253-1,"")</f>
        <v>0.0623929800092258</v>
      </c>
      <c r="R253" s="23" t="n">
        <f aca="false">SQRT(SUMXMY2(Datos_Semanales!F253:K253,Datos_Semanales!M253:R253)/COUNT(Datos_Semanales!F253:K253))</f>
        <v>742.481303208117</v>
      </c>
    </row>
    <row r="254" customFormat="false" ht="15" hidden="false" customHeight="false" outlineLevel="0" collapsed="false">
      <c r="A254" s="18" t="n">
        <f aca="false">Datos_Semanales!A254</f>
        <v>30001683</v>
      </c>
      <c r="B254" s="18" t="str">
        <f aca="false">Datos_Semanales!B254</f>
        <v>DAMASCOS MITADES WASIL 16X500GR</v>
      </c>
      <c r="C254" s="18" t="str">
        <f aca="false">Datos_Semanales!C254</f>
        <v>CONSERVAS Y PLATOS LISTOS</v>
      </c>
      <c r="D254" s="23" t="n">
        <f aca="false">SUM(Datos_Semanales!F254:K254)</f>
        <v>15824</v>
      </c>
      <c r="E254" s="23" t="n">
        <f aca="false">AVERAGE(Datos_Semanales!F254:K254)</f>
        <v>2637.33333333333</v>
      </c>
      <c r="F254" s="23" t="n">
        <f aca="false">STDEV(Datos_Semanales!F254:K254)</f>
        <v>1117.9256981869</v>
      </c>
      <c r="G254" s="27" t="n">
        <f aca="false">IF(E254&gt;0,F254/E254,"")</f>
        <v>0.423884870394426</v>
      </c>
      <c r="H254" s="24" t="n">
        <f aca="false">IF(SUM($D$5:$D$494)&gt;0,D254/SUM($D$5:$D$494),0)</f>
        <v>0.000659612178197802</v>
      </c>
      <c r="I254" s="24" t="n">
        <f aca="false">SUMIF($D$5:$D$494,"&gt;="&amp;D254)/SUM($D$5:$D$494)</f>
        <v>0.938876273892823</v>
      </c>
      <c r="J254" s="3" t="str">
        <f aca="false">IF(D254&lt;=0,"C",IF(I254&lt;=Parametros!$B$4,"A",IF(I254&lt;=Parametros!$B$5,"B","C")))</f>
        <v>B</v>
      </c>
      <c r="K254" s="3" t="str">
        <f aca="false">IF(E254&lt;=0,"Z",IF(G254&lt;=Parametros!$B$6,"X",IF(G254&lt;=Parametros!$B$7,"Y","Z")))</f>
        <v>X</v>
      </c>
      <c r="L254" s="3" t="str">
        <f aca="false">J254&amp;K254</f>
        <v>BX</v>
      </c>
      <c r="M254" s="3" t="str">
        <f aca="false">INDEX(Parametros!$B$23:$B$31,MATCH(L254,Parametros!$A$23:$A$31,0))</f>
        <v>Estadístico + revisión de tendencia.</v>
      </c>
      <c r="N254" s="3" t="str">
        <f aca="false">INDEX(Parametros!$C$23:$C$31,MATCH(L254,Parametros!$A$23:$A$31,0))</f>
        <v>Mensual</v>
      </c>
      <c r="O254" s="23" t="n">
        <f aca="false">SUM(Datos_Semanales!M254:R254)</f>
        <v>19860</v>
      </c>
      <c r="P254" s="24" t="n">
        <f aca="false">IF(D254&gt;0,SUMPRODUCT(ABS(Datos_Semanales!F254:K254-Datos_Semanales!M254:R254))/D254,"")</f>
        <v>0.390546006066734</v>
      </c>
      <c r="Q254" s="24" t="n">
        <f aca="false">IF(D254&gt;0,O254/D254-1,"")</f>
        <v>0.255055611729019</v>
      </c>
      <c r="R254" s="23" t="n">
        <f aca="false">SQRT(SUMXMY2(Datos_Semanales!F254:K254,Datos_Semanales!M254:R254)/COUNT(Datos_Semanales!F254:K254))</f>
        <v>1350.44140931771</v>
      </c>
    </row>
    <row r="255" customFormat="false" ht="15" hidden="false" customHeight="false" outlineLevel="0" collapsed="false">
      <c r="A255" s="18" t="n">
        <f aca="false">Datos_Semanales!A255</f>
        <v>30000089</v>
      </c>
      <c r="B255" s="18" t="str">
        <f aca="false">Datos_Semanales!B255</f>
        <v>MANTECA CRUCINA 20X400GR</v>
      </c>
      <c r="C255" s="18" t="str">
        <f aca="false">Datos_Semanales!C255</f>
        <v>MANTECAS</v>
      </c>
      <c r="D255" s="23" t="n">
        <f aca="false">SUM(Datos_Semanales!F255:K255)</f>
        <v>15728</v>
      </c>
      <c r="E255" s="23" t="n">
        <f aca="false">AVERAGE(Datos_Semanales!F255:K255)</f>
        <v>2621.33333333333</v>
      </c>
      <c r="F255" s="23" t="n">
        <f aca="false">STDEV(Datos_Semanales!F255:K255)</f>
        <v>1355.46223358184</v>
      </c>
      <c r="G255" s="27" t="n">
        <f aca="false">IF(E255&gt;0,F255/E255,"")</f>
        <v>0.517088848009348</v>
      </c>
      <c r="H255" s="24" t="n">
        <f aca="false">IF(SUM($D$5:$D$494)&gt;0,D255/SUM($D$5:$D$494),0)</f>
        <v>0.000655610486520161</v>
      </c>
      <c r="I255" s="24" t="n">
        <f aca="false">SUMIF($D$5:$D$494,"&gt;="&amp;D255)/SUM($D$5:$D$494)</f>
        <v>0.939531884379343</v>
      </c>
      <c r="J255" s="3" t="str">
        <f aca="false">IF(D255&lt;=0,"C",IF(I255&lt;=Parametros!$B$4,"A",IF(I255&lt;=Parametros!$B$5,"B","C")))</f>
        <v>B</v>
      </c>
      <c r="K255" s="3" t="str">
        <f aca="false">IF(E255&lt;=0,"Z",IF(G255&lt;=Parametros!$B$6,"X",IF(G255&lt;=Parametros!$B$7,"Y","Z")))</f>
        <v>Y</v>
      </c>
      <c r="L255" s="3" t="str">
        <f aca="false">J255&amp;K255</f>
        <v>BY</v>
      </c>
      <c r="M255" s="3" t="str">
        <f aca="false">INDEX(Parametros!$B$23:$B$31,MATCH(L255,Parametros!$A$23:$A$31,0))</f>
        <v>Validar promociones y eventos con comercial.</v>
      </c>
      <c r="N255" s="3" t="str">
        <f aca="false">INDEX(Parametros!$C$23:$C$31,MATCH(L255,Parametros!$A$23:$A$31,0))</f>
        <v>Quincenal</v>
      </c>
      <c r="O255" s="23" t="n">
        <f aca="false">SUM(Datos_Semanales!M255:R255)</f>
        <v>17936.0748443283</v>
      </c>
      <c r="P255" s="24" t="n">
        <f aca="false">IF(D255&gt;0,SUMPRODUCT(ABS(Datos_Semanales!F255:K255-Datos_Semanales!M255:R255))/D255,"")</f>
        <v>0.199903029268076</v>
      </c>
      <c r="Q255" s="24" t="n">
        <f aca="false">IF(D255&gt;0,O255/D255-1,"")</f>
        <v>0.140391330387099</v>
      </c>
      <c r="R255" s="23" t="n">
        <f aca="false">SQRT(SUMXMY2(Datos_Semanales!F255:K255,Datos_Semanales!M255:R255)/COUNT(Datos_Semanales!F255:K255))</f>
        <v>704.980736333139</v>
      </c>
    </row>
    <row r="256" customFormat="false" ht="15" hidden="false" customHeight="false" outlineLevel="0" collapsed="false">
      <c r="A256" s="18" t="n">
        <f aca="false">Datos_Semanales!A256</f>
        <v>30001995</v>
      </c>
      <c r="B256" s="18" t="str">
        <f aca="false">Datos_Semanales!B256</f>
        <v>MARGARINA SUREÑA POT 24X250GR</v>
      </c>
      <c r="C256" s="18" t="str">
        <f aca="false">Datos_Semanales!C256</f>
        <v>MARGARINAS</v>
      </c>
      <c r="D256" s="23" t="n">
        <f aca="false">SUM(Datos_Semanales!F256:K256)</f>
        <v>15684</v>
      </c>
      <c r="E256" s="23" t="n">
        <f aca="false">AVERAGE(Datos_Semanales!F256:K256)</f>
        <v>2614</v>
      </c>
      <c r="F256" s="23" t="n">
        <f aca="false">STDEV(Datos_Semanales!F256:K256)</f>
        <v>732.54733635445</v>
      </c>
      <c r="G256" s="27" t="n">
        <f aca="false">IF(E256&gt;0,F256/E256,"")</f>
        <v>0.280239990954266</v>
      </c>
      <c r="H256" s="24" t="n">
        <f aca="false">IF(SUM($D$5:$D$494)&gt;0,D256/SUM($D$5:$D$494),0)</f>
        <v>0.000653776377834576</v>
      </c>
      <c r="I256" s="24" t="n">
        <f aca="false">SUMIF($D$5:$D$494,"&gt;="&amp;D256)/SUM($D$5:$D$494)</f>
        <v>0.940185660757178</v>
      </c>
      <c r="J256" s="3" t="str">
        <f aca="false">IF(D256&lt;=0,"C",IF(I256&lt;=Parametros!$B$4,"A",IF(I256&lt;=Parametros!$B$5,"B","C")))</f>
        <v>B</v>
      </c>
      <c r="K256" s="3" t="str">
        <f aca="false">IF(E256&lt;=0,"Z",IF(G256&lt;=Parametros!$B$6,"X",IF(G256&lt;=Parametros!$B$7,"Y","Z")))</f>
        <v>X</v>
      </c>
      <c r="L256" s="3" t="str">
        <f aca="false">J256&amp;K256</f>
        <v>BX</v>
      </c>
      <c r="M256" s="3" t="str">
        <f aca="false">INDEX(Parametros!$B$23:$B$31,MATCH(L256,Parametros!$A$23:$A$31,0))</f>
        <v>Estadístico + revisión de tendencia.</v>
      </c>
      <c r="N256" s="3" t="str">
        <f aca="false">INDEX(Parametros!$C$23:$C$31,MATCH(L256,Parametros!$A$23:$A$31,0))</f>
        <v>Mensual</v>
      </c>
      <c r="O256" s="23" t="n">
        <f aca="false">SUM(Datos_Semanales!M256:R256)</f>
        <v>18108.780080866</v>
      </c>
      <c r="P256" s="24" t="n">
        <f aca="false">IF(D256&gt;0,SUMPRODUCT(ABS(Datos_Semanales!F256:K256-Datos_Semanales!M256:R256))/D256,"")</f>
        <v>0.2050994636779</v>
      </c>
      <c r="Q256" s="24" t="n">
        <f aca="false">IF(D256&gt;0,O256/D256-1,"")</f>
        <v>0.154602147466588</v>
      </c>
      <c r="R256" s="23" t="n">
        <f aca="false">SQRT(SUMXMY2(Datos_Semanales!F256:K256,Datos_Semanales!M256:R256)/COUNT(Datos_Semanales!F256:K256))</f>
        <v>685.128462372801</v>
      </c>
    </row>
    <row r="257" customFormat="false" ht="15" hidden="false" customHeight="false" outlineLevel="0" collapsed="false">
      <c r="A257" s="18" t="n">
        <f aca="false">Datos_Semanales!A257</f>
        <v>30001767</v>
      </c>
      <c r="B257" s="18" t="str">
        <f aca="false">Datos_Semanales!B257</f>
        <v>MERMELADA DAMASCO L L 24X225GR</v>
      </c>
      <c r="C257" s="18" t="str">
        <f aca="false">Datos_Semanales!C257</f>
        <v>MERMELADAS</v>
      </c>
      <c r="D257" s="23" t="n">
        <f aca="false">SUM(Datos_Semanales!F257:K257)</f>
        <v>15606</v>
      </c>
      <c r="E257" s="23" t="n">
        <f aca="false">AVERAGE(Datos_Semanales!F257:K257)</f>
        <v>2601</v>
      </c>
      <c r="F257" s="23" t="n">
        <f aca="false">STDEV(Datos_Semanales!F257:K257)</f>
        <v>1486.22153395784</v>
      </c>
      <c r="G257" s="27" t="n">
        <f aca="false">IF(E257&gt;0,F257/E257,"")</f>
        <v>0.571403896177563</v>
      </c>
      <c r="H257" s="24" t="n">
        <f aca="false">IF(SUM($D$5:$D$494)&gt;0,D257/SUM($D$5:$D$494),0)</f>
        <v>0.000650525003346493</v>
      </c>
      <c r="I257" s="24" t="n">
        <f aca="false">SUMIF($D$5:$D$494,"&gt;="&amp;D257)/SUM($D$5:$D$494)</f>
        <v>0.940836185760524</v>
      </c>
      <c r="J257" s="3" t="str">
        <f aca="false">IF(D257&lt;=0,"C",IF(I257&lt;=Parametros!$B$4,"A",IF(I257&lt;=Parametros!$B$5,"B","C")))</f>
        <v>B</v>
      </c>
      <c r="K257" s="3" t="str">
        <f aca="false">IF(E257&lt;=0,"Z",IF(G257&lt;=Parametros!$B$6,"X",IF(G257&lt;=Parametros!$B$7,"Y","Z")))</f>
        <v>Y</v>
      </c>
      <c r="L257" s="3" t="str">
        <f aca="false">J257&amp;K257</f>
        <v>BY</v>
      </c>
      <c r="M257" s="3" t="str">
        <f aca="false">INDEX(Parametros!$B$23:$B$31,MATCH(L257,Parametros!$A$23:$A$31,0))</f>
        <v>Validar promociones y eventos con comercial.</v>
      </c>
      <c r="N257" s="3" t="str">
        <f aca="false">INDEX(Parametros!$C$23:$C$31,MATCH(L257,Parametros!$A$23:$A$31,0))</f>
        <v>Quincenal</v>
      </c>
      <c r="O257" s="23" t="n">
        <f aca="false">SUM(Datos_Semanales!M257:R257)</f>
        <v>13340</v>
      </c>
      <c r="P257" s="24" t="n">
        <f aca="false">IF(D257&gt;0,SUMPRODUCT(ABS(Datos_Semanales!F257:K257-Datos_Semanales!M257:R257))/D257,"")</f>
        <v>0.359835960528002</v>
      </c>
      <c r="Q257" s="24" t="n">
        <f aca="false">IF(D257&gt;0,O257/D257-1,"")</f>
        <v>-0.145200563885685</v>
      </c>
      <c r="R257" s="23" t="n">
        <f aca="false">SQRT(SUMXMY2(Datos_Semanales!F257:K257,Datos_Semanales!M257:R257)/COUNT(Datos_Semanales!F257:K257))</f>
        <v>1194.5104603979</v>
      </c>
    </row>
    <row r="258" customFormat="false" ht="15" hidden="false" customHeight="false" outlineLevel="0" collapsed="false">
      <c r="A258" s="18" t="n">
        <f aca="false">Datos_Semanales!A258</f>
        <v>30001954</v>
      </c>
      <c r="B258" s="18" t="str">
        <f aca="false">Datos_Semanales!B258</f>
        <v>CEREZAS CON CAROZO 16X500GR</v>
      </c>
      <c r="C258" s="18" t="str">
        <f aca="false">Datos_Semanales!C258</f>
        <v>CONSERVAS Y PLATOS LISTOS</v>
      </c>
      <c r="D258" s="23" t="n">
        <f aca="false">SUM(Datos_Semanales!F258:K258)</f>
        <v>15600</v>
      </c>
      <c r="E258" s="23" t="n">
        <f aca="false">AVERAGE(Datos_Semanales!F258:K258)</f>
        <v>2600</v>
      </c>
      <c r="F258" s="23" t="n">
        <f aca="false">STDEV(Datos_Semanales!F258:K258)</f>
        <v>1061.04250621735</v>
      </c>
      <c r="G258" s="27" t="n">
        <f aca="false">IF(E258&gt;0,F258/E258,"")</f>
        <v>0.408093271622059</v>
      </c>
      <c r="H258" s="24" t="n">
        <f aca="false">IF(SUM($D$5:$D$494)&gt;0,D258/SUM($D$5:$D$494),0)</f>
        <v>0.00065027489761664</v>
      </c>
      <c r="I258" s="24" t="n">
        <f aca="false">SUMIF($D$5:$D$494,"&gt;="&amp;D258)/SUM($D$5:$D$494)</f>
        <v>0.941486460658141</v>
      </c>
      <c r="J258" s="3" t="str">
        <f aca="false">IF(D258&lt;=0,"C",IF(I258&lt;=Parametros!$B$4,"A",IF(I258&lt;=Parametros!$B$5,"B","C")))</f>
        <v>B</v>
      </c>
      <c r="K258" s="3" t="str">
        <f aca="false">IF(E258&lt;=0,"Z",IF(G258&lt;=Parametros!$B$6,"X",IF(G258&lt;=Parametros!$B$7,"Y","Z")))</f>
        <v>X</v>
      </c>
      <c r="L258" s="3" t="str">
        <f aca="false">J258&amp;K258</f>
        <v>BX</v>
      </c>
      <c r="M258" s="3" t="str">
        <f aca="false">INDEX(Parametros!$B$23:$B$31,MATCH(L258,Parametros!$A$23:$A$31,0))</f>
        <v>Estadístico + revisión de tendencia.</v>
      </c>
      <c r="N258" s="3" t="str">
        <f aca="false">INDEX(Parametros!$C$23:$C$31,MATCH(L258,Parametros!$A$23:$A$31,0))</f>
        <v>Mensual</v>
      </c>
      <c r="O258" s="23" t="n">
        <f aca="false">SUM(Datos_Semanales!M258:R258)</f>
        <v>19025</v>
      </c>
      <c r="P258" s="24" t="n">
        <f aca="false">IF(D258&gt;0,SUMPRODUCT(ABS(Datos_Semanales!F258:K258-Datos_Semanales!M258:R258))/D258,"")</f>
        <v>0.294935897435897</v>
      </c>
      <c r="Q258" s="24" t="n">
        <f aca="false">IF(D258&gt;0,O258/D258-1,"")</f>
        <v>0.219551282051282</v>
      </c>
      <c r="R258" s="23" t="n">
        <f aca="false">SQRT(SUMXMY2(Datos_Semanales!F258:K258,Datos_Semanales!M258:R258)/COUNT(Datos_Semanales!F258:K258))</f>
        <v>939.99388295882</v>
      </c>
    </row>
    <row r="259" customFormat="false" ht="15" hidden="false" customHeight="false" outlineLevel="0" collapsed="false">
      <c r="A259" s="18" t="n">
        <f aca="false">Datos_Semanales!A259</f>
        <v>30000634</v>
      </c>
      <c r="B259" s="18" t="str">
        <f aca="false">Datos_Semanales!B259</f>
        <v>MERMELADA REGIMEL DZNO 24X200GR</v>
      </c>
      <c r="C259" s="18" t="str">
        <f aca="false">Datos_Semanales!C259</f>
        <v>-</v>
      </c>
      <c r="D259" s="23" t="n">
        <f aca="false">SUM(Datos_Semanales!F259:K259)</f>
        <v>15580.8</v>
      </c>
      <c r="E259" s="23" t="n">
        <f aca="false">AVERAGE(Datos_Semanales!F259:K259)</f>
        <v>2596.8</v>
      </c>
      <c r="F259" s="23" t="n">
        <f aca="false">STDEV(Datos_Semanales!F259:K259)</f>
        <v>526.400486321964</v>
      </c>
      <c r="G259" s="27" t="n">
        <f aca="false">IF(E259&gt;0,F259/E259,"")</f>
        <v>0.202711216236123</v>
      </c>
      <c r="H259" s="24" t="n">
        <f aca="false">IF(SUM($D$5:$D$494)&gt;0,D259/SUM($D$5:$D$494),0)</f>
        <v>0.000649474559281112</v>
      </c>
      <c r="I259" s="24" t="n">
        <f aca="false">SUMIF($D$5:$D$494,"&gt;="&amp;D259)/SUM($D$5:$D$494)</f>
        <v>0.942135935217422</v>
      </c>
      <c r="J259" s="3" t="str">
        <f aca="false">IF(D259&lt;=0,"C",IF(I259&lt;=Parametros!$B$4,"A",IF(I259&lt;=Parametros!$B$5,"B","C")))</f>
        <v>B</v>
      </c>
      <c r="K259" s="3" t="str">
        <f aca="false">IF(E259&lt;=0,"Z",IF(G259&lt;=Parametros!$B$6,"X",IF(G259&lt;=Parametros!$B$7,"Y","Z")))</f>
        <v>X</v>
      </c>
      <c r="L259" s="3" t="str">
        <f aca="false">J259&amp;K259</f>
        <v>BX</v>
      </c>
      <c r="M259" s="3" t="str">
        <f aca="false">INDEX(Parametros!$B$23:$B$31,MATCH(L259,Parametros!$A$23:$A$31,0))</f>
        <v>Estadístico + revisión de tendencia.</v>
      </c>
      <c r="N259" s="3" t="str">
        <f aca="false">INDEX(Parametros!$C$23:$C$31,MATCH(L259,Parametros!$A$23:$A$31,0))</f>
        <v>Mensual</v>
      </c>
      <c r="O259" s="23" t="n">
        <f aca="false">SUM(Datos_Semanales!M259:R259)</f>
        <v>15512.8</v>
      </c>
      <c r="P259" s="24" t="n">
        <f aca="false">IF(D259&gt;0,SUMPRODUCT(ABS(Datos_Semanales!F259:K259-Datos_Semanales!M259:R259))/D259,"")</f>
        <v>0.16728280961183</v>
      </c>
      <c r="Q259" s="24" t="n">
        <f aca="false">IF(D259&gt;0,O259/D259-1,"")</f>
        <v>-0.0043643458615733</v>
      </c>
      <c r="R259" s="23" t="n">
        <f aca="false">SQRT(SUMXMY2(Datos_Semanales!F259:K259,Datos_Semanales!M259:R259)/COUNT(Datos_Semanales!F259:K259))</f>
        <v>484.228265731497</v>
      </c>
    </row>
    <row r="260" customFormat="false" ht="15" hidden="false" customHeight="false" outlineLevel="0" collapsed="false">
      <c r="A260" s="18" t="n">
        <f aca="false">Datos_Semanales!A260</f>
        <v>30001856</v>
      </c>
      <c r="B260" s="18" t="str">
        <f aca="false">Datos_Semanales!B260</f>
        <v>YOG POTE ACTIVIA SEMILLA DURAZN 24X140GR</v>
      </c>
      <c r="C260" s="18" t="str">
        <f aca="false">Datos_Semanales!C260</f>
        <v>YOGURT</v>
      </c>
      <c r="D260" s="23" t="n">
        <f aca="false">SUM(Datos_Semanales!F260:K260)</f>
        <v>15513.12</v>
      </c>
      <c r="E260" s="23" t="n">
        <f aca="false">AVERAGE(Datos_Semanales!F260:K260)</f>
        <v>2585.52</v>
      </c>
      <c r="F260" s="23" t="n">
        <f aca="false">STDEV(Datos_Semanales!F260:K260)</f>
        <v>622.856459868564</v>
      </c>
      <c r="G260" s="27" t="n">
        <f aca="false">IF(E260&gt;0,F260/E260,"")</f>
        <v>0.240901814671155</v>
      </c>
      <c r="H260" s="24" t="n">
        <f aca="false">IF(SUM($D$5:$D$494)&gt;0,D260/SUM($D$5:$D$494),0)</f>
        <v>0.000646653366648375</v>
      </c>
      <c r="I260" s="24" t="n">
        <f aca="false">SUMIF($D$5:$D$494,"&gt;="&amp;D260)/SUM($D$5:$D$494)</f>
        <v>0.942782588584071</v>
      </c>
      <c r="J260" s="3" t="str">
        <f aca="false">IF(D260&lt;=0,"C",IF(I260&lt;=Parametros!$B$4,"A",IF(I260&lt;=Parametros!$B$5,"B","C")))</f>
        <v>B</v>
      </c>
      <c r="K260" s="3" t="str">
        <f aca="false">IF(E260&lt;=0,"Z",IF(G260&lt;=Parametros!$B$6,"X",IF(G260&lt;=Parametros!$B$7,"Y","Z")))</f>
        <v>X</v>
      </c>
      <c r="L260" s="3" t="str">
        <f aca="false">J260&amp;K260</f>
        <v>BX</v>
      </c>
      <c r="M260" s="3" t="str">
        <f aca="false">INDEX(Parametros!$B$23:$B$31,MATCH(L260,Parametros!$A$23:$A$31,0))</f>
        <v>Estadístico + revisión de tendencia.</v>
      </c>
      <c r="N260" s="3" t="str">
        <f aca="false">INDEX(Parametros!$C$23:$C$31,MATCH(L260,Parametros!$A$23:$A$31,0))</f>
        <v>Mensual</v>
      </c>
      <c r="O260" s="23" t="n">
        <f aca="false">SUM(Datos_Semanales!M260:R260)</f>
        <v>18201.6305015412</v>
      </c>
      <c r="P260" s="24" t="n">
        <f aca="false">IF(D260&gt;0,SUMPRODUCT(ABS(Datos_Semanales!F260:K260-Datos_Semanales!M260:R260))/D260,"")</f>
        <v>0.183764503572115</v>
      </c>
      <c r="Q260" s="24" t="n">
        <f aca="false">IF(D260&gt;0,O260/D260-1,"")</f>
        <v>0.173305595621072</v>
      </c>
      <c r="R260" s="23" t="n">
        <f aca="false">SQRT(SUMXMY2(Datos_Semanales!F260:K260,Datos_Semanales!M260:R260)/COUNT(Datos_Semanales!F260:K260))</f>
        <v>613.24258098342</v>
      </c>
    </row>
    <row r="261" customFormat="false" ht="15" hidden="false" customHeight="false" outlineLevel="0" collapsed="false">
      <c r="A261" s="18" t="n">
        <f aca="false">Datos_Semanales!A261</f>
        <v>30001092</v>
      </c>
      <c r="B261" s="18" t="str">
        <f aca="false">Datos_Semanales!B261</f>
        <v>YOG GRIEGO OIKOS CF DZNO 48X150GR</v>
      </c>
      <c r="C261" s="18" t="str">
        <f aca="false">Datos_Semanales!C261</f>
        <v>-</v>
      </c>
      <c r="D261" s="23" t="n">
        <f aca="false">SUM(Datos_Semanales!F261:K261)</f>
        <v>15372</v>
      </c>
      <c r="E261" s="23" t="n">
        <f aca="false">AVERAGE(Datos_Semanales!F261:K261)</f>
        <v>2562</v>
      </c>
      <c r="F261" s="23" t="n">
        <f aca="false">STDEV(Datos_Semanales!F261:K261)</f>
        <v>649.875951239927</v>
      </c>
      <c r="G261" s="27" t="n">
        <f aca="false">IF(E261&gt;0,F261/E261,"")</f>
        <v>0.253659621873508</v>
      </c>
      <c r="H261" s="24" t="n">
        <f aca="false">IF(SUM($D$5:$D$494)&gt;0,D261/SUM($D$5:$D$494),0)</f>
        <v>0.000640770879882243</v>
      </c>
      <c r="I261" s="24" t="n">
        <f aca="false">SUMIF($D$5:$D$494,"&gt;="&amp;D261)/SUM($D$5:$D$494)</f>
        <v>0.943423359463953</v>
      </c>
      <c r="J261" s="3" t="str">
        <f aca="false">IF(D261&lt;=0,"C",IF(I261&lt;=Parametros!$B$4,"A",IF(I261&lt;=Parametros!$B$5,"B","C")))</f>
        <v>B</v>
      </c>
      <c r="K261" s="3" t="str">
        <f aca="false">IF(E261&lt;=0,"Z",IF(G261&lt;=Parametros!$B$6,"X",IF(G261&lt;=Parametros!$B$7,"Y","Z")))</f>
        <v>X</v>
      </c>
      <c r="L261" s="3" t="str">
        <f aca="false">J261&amp;K261</f>
        <v>BX</v>
      </c>
      <c r="M261" s="3" t="str">
        <f aca="false">INDEX(Parametros!$B$23:$B$31,MATCH(L261,Parametros!$A$23:$A$31,0))</f>
        <v>Estadístico + revisión de tendencia.</v>
      </c>
      <c r="N261" s="3" t="str">
        <f aca="false">INDEX(Parametros!$C$23:$C$31,MATCH(L261,Parametros!$A$23:$A$31,0))</f>
        <v>Mensual</v>
      </c>
      <c r="O261" s="23" t="n">
        <f aca="false">SUM(Datos_Semanales!M261:R261)</f>
        <v>23601.8781768135</v>
      </c>
      <c r="P261" s="24" t="n">
        <f aca="false">IF(D261&gt;0,SUMPRODUCT(ABS(Datos_Semanales!F261:K261-Datos_Semanales!M261:R261))/D261,"")</f>
        <v>0.535381093989948</v>
      </c>
      <c r="Q261" s="24" t="n">
        <f aca="false">IF(D261&gt;0,O261/D261-1,"")</f>
        <v>0.535381093989948</v>
      </c>
      <c r="R261" s="23" t="n">
        <f aca="false">SQRT(SUMXMY2(Datos_Semanales!F261:K261,Datos_Semanales!M261:R261)/COUNT(Datos_Semanales!F261:K261))</f>
        <v>1700.2417498035</v>
      </c>
    </row>
    <row r="262" customFormat="false" ht="15" hidden="false" customHeight="false" outlineLevel="0" collapsed="false">
      <c r="A262" s="18" t="n">
        <f aca="false">Datos_Semanales!A262</f>
        <v>30001060</v>
      </c>
      <c r="B262" s="18" t="str">
        <f aca="false">Datos_Semanales!B262</f>
        <v>LONCO PROTEIN YOG TRZ MGOMYA 24X140GR</v>
      </c>
      <c r="C262" s="18" t="str">
        <f aca="false">Datos_Semanales!C262</f>
        <v>YOGURT</v>
      </c>
      <c r="D262" s="23" t="n">
        <f aca="false">SUM(Datos_Semanales!F262:K262)</f>
        <v>15294.72</v>
      </c>
      <c r="E262" s="23" t="n">
        <f aca="false">AVERAGE(Datos_Semanales!F262:K262)</f>
        <v>2549.12</v>
      </c>
      <c r="F262" s="23" t="n">
        <f aca="false">STDEV(Datos_Semanales!F262:K262)</f>
        <v>263.888732915977</v>
      </c>
      <c r="G262" s="27" t="n">
        <f aca="false">IF(E262&gt;0,F262/E262,"")</f>
        <v>0.103521502681701</v>
      </c>
      <c r="H262" s="24" t="n">
        <f aca="false">IF(SUM($D$5:$D$494)&gt;0,D262/SUM($D$5:$D$494),0)</f>
        <v>0.000637549518081742</v>
      </c>
      <c r="I262" s="24" t="n">
        <f aca="false">SUMIF($D$5:$D$494,"&gt;="&amp;D262)/SUM($D$5:$D$494)</f>
        <v>0.944060908982035</v>
      </c>
      <c r="J262" s="3" t="str">
        <f aca="false">IF(D262&lt;=0,"C",IF(I262&lt;=Parametros!$B$4,"A",IF(I262&lt;=Parametros!$B$5,"B","C")))</f>
        <v>B</v>
      </c>
      <c r="K262" s="3" t="str">
        <f aca="false">IF(E262&lt;=0,"Z",IF(G262&lt;=Parametros!$B$6,"X",IF(G262&lt;=Parametros!$B$7,"Y","Z")))</f>
        <v>X</v>
      </c>
      <c r="L262" s="3" t="str">
        <f aca="false">J262&amp;K262</f>
        <v>BX</v>
      </c>
      <c r="M262" s="3" t="str">
        <f aca="false">INDEX(Parametros!$B$23:$B$31,MATCH(L262,Parametros!$A$23:$A$31,0))</f>
        <v>Estadístico + revisión de tendencia.</v>
      </c>
      <c r="N262" s="3" t="str">
        <f aca="false">INDEX(Parametros!$C$23:$C$31,MATCH(L262,Parametros!$A$23:$A$31,0))</f>
        <v>Mensual</v>
      </c>
      <c r="O262" s="23" t="n">
        <f aca="false">SUM(Datos_Semanales!M262:R262)</f>
        <v>18880.9434385409</v>
      </c>
      <c r="P262" s="24" t="n">
        <f aca="false">IF(D262&gt;0,SUMPRODUCT(ABS(Datos_Semanales!F262:K262-Datos_Semanales!M262:R262))/D262,"")</f>
        <v>0.326689366483816</v>
      </c>
      <c r="Q262" s="24" t="n">
        <f aca="false">IF(D262&gt;0,O262/D262-1,"")</f>
        <v>0.234474605520133</v>
      </c>
      <c r="R262" s="23" t="n">
        <f aca="false">SQRT(SUMXMY2(Datos_Semanales!F262:K262,Datos_Semanales!M262:R262)/COUNT(Datos_Semanales!F262:K262))</f>
        <v>950.887961715356</v>
      </c>
    </row>
    <row r="263" customFormat="false" ht="15" hidden="false" customHeight="false" outlineLevel="0" collapsed="false">
      <c r="A263" s="18" t="n">
        <f aca="false">Datos_Semanales!A263</f>
        <v>30001752</v>
      </c>
      <c r="B263" s="18" t="str">
        <f aca="false">Datos_Semanales!B263</f>
        <v>MERMELADA FRUTAS DEL SUR 24X225GR</v>
      </c>
      <c r="C263" s="18" t="str">
        <f aca="false">Datos_Semanales!C263</f>
        <v>MERMELADAS</v>
      </c>
      <c r="D263" s="23" t="n">
        <f aca="false">SUM(Datos_Semanales!F263:K263)</f>
        <v>15292.8</v>
      </c>
      <c r="E263" s="23" t="n">
        <f aca="false">AVERAGE(Datos_Semanales!F263:K263)</f>
        <v>2548.8</v>
      </c>
      <c r="F263" s="23" t="n">
        <f aca="false">STDEV(Datos_Semanales!F263:K263)</f>
        <v>839.063392122431</v>
      </c>
      <c r="G263" s="27" t="n">
        <f aca="false">IF(E263&gt;0,F263/E263,"")</f>
        <v>0.329199384856572</v>
      </c>
      <c r="H263" s="24" t="n">
        <f aca="false">IF(SUM($D$5:$D$494)&gt;0,D263/SUM($D$5:$D$494),0)</f>
        <v>0.00063746948424819</v>
      </c>
      <c r="I263" s="24" t="n">
        <f aca="false">SUMIF($D$5:$D$494,"&gt;="&amp;D263)/SUM($D$5:$D$494)</f>
        <v>0.944698378466283</v>
      </c>
      <c r="J263" s="3" t="str">
        <f aca="false">IF(D263&lt;=0,"C",IF(I263&lt;=Parametros!$B$4,"A",IF(I263&lt;=Parametros!$B$5,"B","C")))</f>
        <v>B</v>
      </c>
      <c r="K263" s="3" t="str">
        <f aca="false">IF(E263&lt;=0,"Z",IF(G263&lt;=Parametros!$B$6,"X",IF(G263&lt;=Parametros!$B$7,"Y","Z")))</f>
        <v>X</v>
      </c>
      <c r="L263" s="3" t="str">
        <f aca="false">J263&amp;K263</f>
        <v>BX</v>
      </c>
      <c r="M263" s="3" t="str">
        <f aca="false">INDEX(Parametros!$B$23:$B$31,MATCH(L263,Parametros!$A$23:$A$31,0))</f>
        <v>Estadístico + revisión de tendencia.</v>
      </c>
      <c r="N263" s="3" t="str">
        <f aca="false">INDEX(Parametros!$C$23:$C$31,MATCH(L263,Parametros!$A$23:$A$31,0))</f>
        <v>Mensual</v>
      </c>
      <c r="O263" s="23" t="n">
        <f aca="false">SUM(Datos_Semanales!M263:R263)</f>
        <v>13809.2</v>
      </c>
      <c r="P263" s="24" t="n">
        <f aca="false">IF(D263&gt;0,SUMPRODUCT(ABS(Datos_Semanales!F263:K263-Datos_Semanales!M263:R263))/D263,"")</f>
        <v>0.365714584641138</v>
      </c>
      <c r="Q263" s="24" t="n">
        <f aca="false">IF(D263&gt;0,O263/D263-1,"")</f>
        <v>-0.0970129734254027</v>
      </c>
      <c r="R263" s="23" t="n">
        <f aca="false">SQRT(SUMXMY2(Datos_Semanales!F263:K263,Datos_Semanales!M263:R263)/COUNT(Datos_Semanales!F263:K263))</f>
        <v>1063.23032938933</v>
      </c>
    </row>
    <row r="264" customFormat="false" ht="15" hidden="false" customHeight="false" outlineLevel="0" collapsed="false">
      <c r="A264" s="18" t="n">
        <f aca="false">Datos_Semanales!A264</f>
        <v>30001883</v>
      </c>
      <c r="B264" s="18" t="str">
        <f aca="false">Datos_Semanales!B264</f>
        <v>MERMELADA MEMBRILLO REGULAR 24X225GR</v>
      </c>
      <c r="C264" s="18" t="str">
        <f aca="false">Datos_Semanales!C264</f>
        <v>MERMELADAS</v>
      </c>
      <c r="D264" s="23" t="n">
        <f aca="false">SUM(Datos_Semanales!F264:K264)</f>
        <v>15114.6</v>
      </c>
      <c r="E264" s="23" t="n">
        <f aca="false">AVERAGE(Datos_Semanales!F264:K264)</f>
        <v>2519.1</v>
      </c>
      <c r="F264" s="23" t="n">
        <f aca="false">STDEV(Datos_Semanales!F264:K264)</f>
        <v>1203.64897706931</v>
      </c>
      <c r="G264" s="27" t="n">
        <f aca="false">IF(E264&gt;0,F264/E264,"")</f>
        <v>0.477809129081542</v>
      </c>
      <c r="H264" s="24" t="n">
        <f aca="false">IF(SUM($D$5:$D$494)&gt;0,D264/SUM($D$5:$D$494),0)</f>
        <v>0.000630041344071569</v>
      </c>
      <c r="I264" s="24" t="n">
        <f aca="false">SUMIF($D$5:$D$494,"&gt;="&amp;D264)/SUM($D$5:$D$494)</f>
        <v>0.945328419810354</v>
      </c>
      <c r="J264" s="3" t="str">
        <f aca="false">IF(D264&lt;=0,"C",IF(I264&lt;=Parametros!$B$4,"A",IF(I264&lt;=Parametros!$B$5,"B","C")))</f>
        <v>B</v>
      </c>
      <c r="K264" s="3" t="str">
        <f aca="false">IF(E264&lt;=0,"Z",IF(G264&lt;=Parametros!$B$6,"X",IF(G264&lt;=Parametros!$B$7,"Y","Z")))</f>
        <v>X</v>
      </c>
      <c r="L264" s="3" t="str">
        <f aca="false">J264&amp;K264</f>
        <v>BX</v>
      </c>
      <c r="M264" s="3" t="str">
        <f aca="false">INDEX(Parametros!$B$23:$B$31,MATCH(L264,Parametros!$A$23:$A$31,0))</f>
        <v>Estadístico + revisión de tendencia.</v>
      </c>
      <c r="N264" s="3" t="str">
        <f aca="false">INDEX(Parametros!$C$23:$C$31,MATCH(L264,Parametros!$A$23:$A$31,0))</f>
        <v>Mensual</v>
      </c>
      <c r="O264" s="23" t="n">
        <f aca="false">SUM(Datos_Semanales!M264:R264)</f>
        <v>17275.6358695652</v>
      </c>
      <c r="P264" s="24" t="n">
        <f aca="false">IF(D264&gt;0,SUMPRODUCT(ABS(Datos_Semanales!F264:K264-Datos_Semanales!M264:R264))/D264,"")</f>
        <v>0.439643514850887</v>
      </c>
      <c r="Q264" s="24" t="n">
        <f aca="false">IF(D264&gt;0,O264/D264-1,"")</f>
        <v>0.14297671586183</v>
      </c>
      <c r="R264" s="23" t="n">
        <f aca="false">SQRT(SUMXMY2(Datos_Semanales!F264:K264,Datos_Semanales!M264:R264)/COUNT(Datos_Semanales!F264:K264))</f>
        <v>1385.30240794071</v>
      </c>
    </row>
    <row r="265" customFormat="false" ht="15" hidden="false" customHeight="false" outlineLevel="0" collapsed="false">
      <c r="A265" s="18" t="n">
        <f aca="false">Datos_Semanales!A265</f>
        <v>30001033</v>
      </c>
      <c r="B265" s="18" t="str">
        <f aca="false">Datos_Semanales!B265</f>
        <v>YOG DAN L&amp;F BOL VLLA 12X900GR</v>
      </c>
      <c r="C265" s="18" t="str">
        <f aca="false">Datos_Semanales!C265</f>
        <v>YOGURT</v>
      </c>
      <c r="D265" s="23" t="n">
        <f aca="false">SUM(Datos_Semanales!F265:K265)</f>
        <v>14936.4</v>
      </c>
      <c r="E265" s="23" t="n">
        <f aca="false">AVERAGE(Datos_Semanales!F265:K265)</f>
        <v>2489.4</v>
      </c>
      <c r="F265" s="23" t="n">
        <f aca="false">STDEV(Datos_Semanales!F265:K265)</f>
        <v>423.753796443171</v>
      </c>
      <c r="G265" s="27" t="n">
        <f aca="false">IF(E265&gt;0,F265/E265,"")</f>
        <v>0.170223265221809</v>
      </c>
      <c r="H265" s="24" t="n">
        <f aca="false">IF(SUM($D$5:$D$494)&gt;0,D265/SUM($D$5:$D$494),0)</f>
        <v>0.000622613203894948</v>
      </c>
      <c r="I265" s="24" t="n">
        <f aca="false">SUMIF($D$5:$D$494,"&gt;="&amp;D265)/SUM($D$5:$D$494)</f>
        <v>0.945951033014249</v>
      </c>
      <c r="J265" s="3" t="str">
        <f aca="false">IF(D265&lt;=0,"C",IF(I265&lt;=Parametros!$B$4,"A",IF(I265&lt;=Parametros!$B$5,"B","C")))</f>
        <v>B</v>
      </c>
      <c r="K265" s="3" t="str">
        <f aca="false">IF(E265&lt;=0,"Z",IF(G265&lt;=Parametros!$B$6,"X",IF(G265&lt;=Parametros!$B$7,"Y","Z")))</f>
        <v>X</v>
      </c>
      <c r="L265" s="3" t="str">
        <f aca="false">J265&amp;K265</f>
        <v>BX</v>
      </c>
      <c r="M265" s="3" t="str">
        <f aca="false">INDEX(Parametros!$B$23:$B$31,MATCH(L265,Parametros!$A$23:$A$31,0))</f>
        <v>Estadístico + revisión de tendencia.</v>
      </c>
      <c r="N265" s="3" t="str">
        <f aca="false">INDEX(Parametros!$C$23:$C$31,MATCH(L265,Parametros!$A$23:$A$31,0))</f>
        <v>Mensual</v>
      </c>
      <c r="O265" s="23" t="n">
        <f aca="false">SUM(Datos_Semanales!M265:R265)</f>
        <v>15661.0682971515</v>
      </c>
      <c r="P265" s="24" t="n">
        <f aca="false">IF(D265&gt;0,SUMPRODUCT(ABS(Datos_Semanales!F265:K265-Datos_Semanales!M265:R265))/D265,"")</f>
        <v>0.285222752791802</v>
      </c>
      <c r="Q265" s="24" t="n">
        <f aca="false">IF(D265&gt;0,O265/D265-1,"")</f>
        <v>0.0485169316000829</v>
      </c>
      <c r="R265" s="23" t="n">
        <f aca="false">SQRT(SUMXMY2(Datos_Semanales!F265:K265,Datos_Semanales!M265:R265)/COUNT(Datos_Semanales!F265:K265))</f>
        <v>900.750041119515</v>
      </c>
    </row>
    <row r="266" customFormat="false" ht="15" hidden="false" customHeight="false" outlineLevel="0" collapsed="false">
      <c r="A266" s="18" t="n">
        <f aca="false">Datos_Semanales!A266</f>
        <v>30001945</v>
      </c>
      <c r="B266" s="18" t="str">
        <f aca="false">Datos_Semanales!B266</f>
        <v>NECTAR WATTS SELECCION PIÑA/COCO 6X1,6LT</v>
      </c>
      <c r="C266" s="18" t="str">
        <f aca="false">Datos_Semanales!C266</f>
        <v>JUGOS Y NECTARES</v>
      </c>
      <c r="D266" s="23" t="n">
        <f aca="false">SUM(Datos_Semanales!F266:K266)</f>
        <v>14832</v>
      </c>
      <c r="E266" s="23" t="n">
        <f aca="false">AVERAGE(Datos_Semanales!F266:K266)</f>
        <v>2472</v>
      </c>
      <c r="F266" s="23" t="n">
        <f aca="false">STDEV(Datos_Semanales!F266:K266)</f>
        <v>788.223724585856</v>
      </c>
      <c r="G266" s="27" t="n">
        <f aca="false">IF(E266&gt;0,F266/E266,"")</f>
        <v>0.31886073001046</v>
      </c>
      <c r="H266" s="24" t="n">
        <f aca="false">IF(SUM($D$5:$D$494)&gt;0,D266/SUM($D$5:$D$494),0)</f>
        <v>0.000618261364195513</v>
      </c>
      <c r="I266" s="24" t="n">
        <f aca="false">SUMIF($D$5:$D$494,"&gt;="&amp;D266)/SUM($D$5:$D$494)</f>
        <v>0.946569294378445</v>
      </c>
      <c r="J266" s="3" t="str">
        <f aca="false">IF(D266&lt;=0,"C",IF(I266&lt;=Parametros!$B$4,"A",IF(I266&lt;=Parametros!$B$5,"B","C")))</f>
        <v>B</v>
      </c>
      <c r="K266" s="3" t="str">
        <f aca="false">IF(E266&lt;=0,"Z",IF(G266&lt;=Parametros!$B$6,"X",IF(G266&lt;=Parametros!$B$7,"Y","Z")))</f>
        <v>X</v>
      </c>
      <c r="L266" s="3" t="str">
        <f aca="false">J266&amp;K266</f>
        <v>BX</v>
      </c>
      <c r="M266" s="3" t="str">
        <f aca="false">INDEX(Parametros!$B$23:$B$31,MATCH(L266,Parametros!$A$23:$A$31,0))</f>
        <v>Estadístico + revisión de tendencia.</v>
      </c>
      <c r="N266" s="3" t="str">
        <f aca="false">INDEX(Parametros!$C$23:$C$31,MATCH(L266,Parametros!$A$23:$A$31,0))</f>
        <v>Mensual</v>
      </c>
      <c r="O266" s="23" t="n">
        <f aca="false">SUM(Datos_Semanales!M266:R266)</f>
        <v>13278.3517883293</v>
      </c>
      <c r="P266" s="24" t="n">
        <f aca="false">IF(D266&gt;0,SUMPRODUCT(ABS(Datos_Semanales!F266:K266-Datos_Semanales!M266:R266))/D266,"")</f>
        <v>0.275455331179166</v>
      </c>
      <c r="Q266" s="24" t="n">
        <f aca="false">IF(D266&gt;0,O266/D266-1,"")</f>
        <v>-0.104749744584056</v>
      </c>
      <c r="R266" s="23" t="n">
        <f aca="false">SQRT(SUMXMY2(Datos_Semanales!F266:K266,Datos_Semanales!M266:R266)/COUNT(Datos_Semanales!F266:K266))</f>
        <v>794.513452748522</v>
      </c>
    </row>
    <row r="267" customFormat="false" ht="15" hidden="false" customHeight="false" outlineLevel="0" collapsed="false">
      <c r="A267" s="18" t="n">
        <f aca="false">Datos_Semanales!A267</f>
        <v>30000636</v>
      </c>
      <c r="B267" s="18" t="str">
        <f aca="false">Datos_Semanales!B267</f>
        <v>MERMELADA REGI MORA 24X200GR</v>
      </c>
      <c r="C267" s="18" t="str">
        <f aca="false">Datos_Semanales!C267</f>
        <v>-</v>
      </c>
      <c r="D267" s="23" t="n">
        <f aca="false">SUM(Datos_Semanales!F267:K267)</f>
        <v>14721.6</v>
      </c>
      <c r="E267" s="23" t="n">
        <f aca="false">AVERAGE(Datos_Semanales!F267:K267)</f>
        <v>2453.6</v>
      </c>
      <c r="F267" s="23" t="n">
        <f aca="false">STDEV(Datos_Semanales!F267:K267)</f>
        <v>234.51164576626</v>
      </c>
      <c r="G267" s="27" t="n">
        <f aca="false">IF(E267&gt;0,F267/E267,"")</f>
        <v>0.0955785970680879</v>
      </c>
      <c r="H267" s="24" t="n">
        <f aca="false">IF(SUM($D$5:$D$494)&gt;0,D267/SUM($D$5:$D$494),0)</f>
        <v>0.000613659418766227</v>
      </c>
      <c r="I267" s="24" t="n">
        <f aca="false">SUMIF($D$5:$D$494,"&gt;="&amp;D267)/SUM($D$5:$D$494)</f>
        <v>0.947182953797211</v>
      </c>
      <c r="J267" s="3" t="str">
        <f aca="false">IF(D267&lt;=0,"C",IF(I267&lt;=Parametros!$B$4,"A",IF(I267&lt;=Parametros!$B$5,"B","C")))</f>
        <v>B</v>
      </c>
      <c r="K267" s="3" t="str">
        <f aca="false">IF(E267&lt;=0,"Z",IF(G267&lt;=Parametros!$B$6,"X",IF(G267&lt;=Parametros!$B$7,"Y","Z")))</f>
        <v>X</v>
      </c>
      <c r="L267" s="3" t="str">
        <f aca="false">J267&amp;K267</f>
        <v>BX</v>
      </c>
      <c r="M267" s="3" t="str">
        <f aca="false">INDEX(Parametros!$B$23:$B$31,MATCH(L267,Parametros!$A$23:$A$31,0))</f>
        <v>Estadístico + revisión de tendencia.</v>
      </c>
      <c r="N267" s="3" t="str">
        <f aca="false">INDEX(Parametros!$C$23:$C$31,MATCH(L267,Parametros!$A$23:$A$31,0))</f>
        <v>Mensual</v>
      </c>
      <c r="O267" s="23" t="n">
        <f aca="false">SUM(Datos_Semanales!M267:R267)</f>
        <v>16039.6</v>
      </c>
      <c r="P267" s="24" t="n">
        <f aca="false">IF(D267&gt;0,SUMPRODUCT(ABS(Datos_Semanales!F267:K267-Datos_Semanales!M267:R267))/D267,"")</f>
        <v>0.23820780349962</v>
      </c>
      <c r="Q267" s="24" t="n">
        <f aca="false">IF(D267&gt;0,O267/D267-1,"")</f>
        <v>0.0895283121399848</v>
      </c>
      <c r="R267" s="23" t="n">
        <f aca="false">SQRT(SUMXMY2(Datos_Semanales!F267:K267,Datos_Semanales!M267:R267)/COUNT(Datos_Semanales!F267:K267))</f>
        <v>637.769341794769</v>
      </c>
    </row>
    <row r="268" customFormat="false" ht="15" hidden="false" customHeight="false" outlineLevel="0" collapsed="false">
      <c r="A268" s="18" t="n">
        <f aca="false">Datos_Semanales!A268</f>
        <v>30000674</v>
      </c>
      <c r="B268" s="18" t="str">
        <f aca="false">Datos_Semanales!B268</f>
        <v>ARVEJITAS WSL 48X300GR</v>
      </c>
      <c r="C268" s="18" t="str">
        <f aca="false">Datos_Semanales!C268</f>
        <v>CONSERVAS Y PLATOS LISTOS</v>
      </c>
      <c r="D268" s="23" t="n">
        <f aca="false">SUM(Datos_Semanales!F268:K268)</f>
        <v>14659.2</v>
      </c>
      <c r="E268" s="23" t="n">
        <f aca="false">AVERAGE(Datos_Semanales!F268:K268)</f>
        <v>2443.2</v>
      </c>
      <c r="F268" s="23" t="n">
        <f aca="false">STDEV(Datos_Semanales!F268:K268)</f>
        <v>1246.79942252152</v>
      </c>
      <c r="G268" s="27" t="n">
        <f aca="false">IF(E268&gt;0,F268/E268,"")</f>
        <v>0.510314105485233</v>
      </c>
      <c r="H268" s="24" t="n">
        <f aca="false">IF(SUM($D$5:$D$494)&gt;0,D268/SUM($D$5:$D$494),0)</f>
        <v>0.00061105831917576</v>
      </c>
      <c r="I268" s="24" t="n">
        <f aca="false">SUMIF($D$5:$D$494,"&gt;="&amp;D268)/SUM($D$5:$D$494)</f>
        <v>0.947794012116387</v>
      </c>
      <c r="J268" s="3" t="str">
        <f aca="false">IF(D268&lt;=0,"C",IF(I268&lt;=Parametros!$B$4,"A",IF(I268&lt;=Parametros!$B$5,"B","C")))</f>
        <v>B</v>
      </c>
      <c r="K268" s="3" t="str">
        <f aca="false">IF(E268&lt;=0,"Z",IF(G268&lt;=Parametros!$B$6,"X",IF(G268&lt;=Parametros!$B$7,"Y","Z")))</f>
        <v>Y</v>
      </c>
      <c r="L268" s="3" t="str">
        <f aca="false">J268&amp;K268</f>
        <v>BY</v>
      </c>
      <c r="M268" s="3" t="str">
        <f aca="false">INDEX(Parametros!$B$23:$B$31,MATCH(L268,Parametros!$A$23:$A$31,0))</f>
        <v>Validar promociones y eventos con comercial.</v>
      </c>
      <c r="N268" s="3" t="str">
        <f aca="false">INDEX(Parametros!$C$23:$C$31,MATCH(L268,Parametros!$A$23:$A$31,0))</f>
        <v>Quincenal</v>
      </c>
      <c r="O268" s="23" t="n">
        <f aca="false">SUM(Datos_Semanales!M268:R268)</f>
        <v>13744</v>
      </c>
      <c r="P268" s="24" t="n">
        <f aca="false">IF(D268&gt;0,SUMPRODUCT(ABS(Datos_Semanales!F268:K268-Datos_Semanales!M268:R268))/D268,"")</f>
        <v>0.322473259113731</v>
      </c>
      <c r="Q268" s="24" t="n">
        <f aca="false">IF(D268&gt;0,O268/D268-1,"")</f>
        <v>-0.0624317834533944</v>
      </c>
      <c r="R268" s="23" t="n">
        <f aca="false">SQRT(SUMXMY2(Datos_Semanales!F268:K268,Datos_Semanales!M268:R268)/COUNT(Datos_Semanales!F268:K268))</f>
        <v>1120.94274608474</v>
      </c>
    </row>
    <row r="269" customFormat="false" ht="15" hidden="false" customHeight="false" outlineLevel="0" collapsed="false">
      <c r="A269" s="18" t="n">
        <f aca="false">Datos_Semanales!A269</f>
        <v>30002353</v>
      </c>
      <c r="B269" s="18" t="str">
        <f aca="false">Datos_Semanales!B269</f>
        <v>POROTOS NEGROS WASIL TTR 24X200</v>
      </c>
      <c r="C269" s="18" t="str">
        <f aca="false">Datos_Semanales!C269</f>
        <v>CONSERVAS Y PLATOS LISTOS</v>
      </c>
      <c r="D269" s="23" t="n">
        <f aca="false">SUM(Datos_Semanales!F269:K269)</f>
        <v>14520</v>
      </c>
      <c r="E269" s="23" t="n">
        <f aca="false">AVERAGE(Datos_Semanales!F269:K269)</f>
        <v>2420</v>
      </c>
      <c r="F269" s="23" t="n">
        <f aca="false">STDEV(Datos_Semanales!F269:K269)</f>
        <v>3952.65986393972</v>
      </c>
      <c r="G269" s="27" t="n">
        <f aca="false">IF(E269&gt;0,F269/E269,"")</f>
        <v>1.63333052228914</v>
      </c>
      <c r="H269" s="24" t="n">
        <f aca="false">IF(SUM($D$5:$D$494)&gt;0,D269/SUM($D$5:$D$494),0)</f>
        <v>0.000605255866243181</v>
      </c>
      <c r="I269" s="24" t="n">
        <f aca="false">SUMIF($D$5:$D$494,"&gt;="&amp;D269)/SUM($D$5:$D$494)</f>
        <v>0.94839926798263</v>
      </c>
      <c r="J269" s="3" t="str">
        <f aca="false">IF(D269&lt;=0,"C",IF(I269&lt;=Parametros!$B$4,"A",IF(I269&lt;=Parametros!$B$5,"B","C")))</f>
        <v>B</v>
      </c>
      <c r="K269" s="3" t="str">
        <f aca="false">IF(E269&lt;=0,"Z",IF(G269&lt;=Parametros!$B$6,"X",IF(G269&lt;=Parametros!$B$7,"Y","Z")))</f>
        <v>Z</v>
      </c>
      <c r="L269" s="3" t="str">
        <f aca="false">J269&amp;K269</f>
        <v>BZ</v>
      </c>
      <c r="M269" s="3" t="str">
        <f aca="false">INDEX(Parametros!$B$23:$B$31,MATCH(L269,Parametros!$A$23:$A$31,0))</f>
        <v>Investigar causa de la variabilidad; evaluar producir contra pedido confirmado.</v>
      </c>
      <c r="N269" s="3" t="str">
        <f aca="false">INDEX(Parametros!$C$23:$C$31,MATCH(L269,Parametros!$A$23:$A$31,0))</f>
        <v>Semanal</v>
      </c>
      <c r="O269" s="23" t="n">
        <f aca="false">SUM(Datos_Semanales!M269:R269)</f>
        <v>7600</v>
      </c>
      <c r="P269" s="24" t="n">
        <f aca="false">IF(D269&gt;0,SUMPRODUCT(ABS(Datos_Semanales!F269:K269-Datos_Semanales!M269:R269))/D269,"")</f>
        <v>0.658402203856749</v>
      </c>
      <c r="Q269" s="24" t="n">
        <f aca="false">IF(D269&gt;0,O269/D269-1,"")</f>
        <v>-0.476584022038568</v>
      </c>
      <c r="R269" s="23" t="n">
        <f aca="false">SQRT(SUMXMY2(Datos_Semanales!F269:K269,Datos_Semanales!M269:R269)/COUNT(Datos_Semanales!F269:K269))</f>
        <v>3406.85583297366</v>
      </c>
    </row>
    <row r="270" customFormat="false" ht="15" hidden="false" customHeight="false" outlineLevel="0" collapsed="false">
      <c r="A270" s="18" t="n">
        <f aca="false">Datos_Semanales!A270</f>
        <v>30001852</v>
      </c>
      <c r="B270" s="18" t="str">
        <f aca="false">Datos_Semanales!B270</f>
        <v>YOG POTE ACTIVIA CIRUELA 24X140GR</v>
      </c>
      <c r="C270" s="18" t="str">
        <f aca="false">Datos_Semanales!C270</f>
        <v>YOGURT</v>
      </c>
      <c r="D270" s="23" t="n">
        <f aca="false">SUM(Datos_Semanales!F270:K270)</f>
        <v>14501.76</v>
      </c>
      <c r="E270" s="23" t="n">
        <f aca="false">AVERAGE(Datos_Semanales!F270:K270)</f>
        <v>2416.96</v>
      </c>
      <c r="F270" s="23" t="n">
        <f aca="false">STDEV(Datos_Semanales!F270:K270)</f>
        <v>414.998314020672</v>
      </c>
      <c r="G270" s="27" t="n">
        <f aca="false">IF(E270&gt;0,F270/E270,"")</f>
        <v>0.171702599141348</v>
      </c>
      <c r="H270" s="24" t="n">
        <f aca="false">IF(SUM($D$5:$D$494)&gt;0,D270/SUM($D$5:$D$494),0)</f>
        <v>0.000604495544824429</v>
      </c>
      <c r="I270" s="24" t="n">
        <f aca="false">SUMIF($D$5:$D$494,"&gt;="&amp;D270)/SUM($D$5:$D$494)</f>
        <v>0.949003763527454</v>
      </c>
      <c r="J270" s="3" t="str">
        <f aca="false">IF(D270&lt;=0,"C",IF(I270&lt;=Parametros!$B$4,"A",IF(I270&lt;=Parametros!$B$5,"B","C")))</f>
        <v>B</v>
      </c>
      <c r="K270" s="3" t="str">
        <f aca="false">IF(E270&lt;=0,"Z",IF(G270&lt;=Parametros!$B$6,"X",IF(G270&lt;=Parametros!$B$7,"Y","Z")))</f>
        <v>X</v>
      </c>
      <c r="L270" s="3" t="str">
        <f aca="false">J270&amp;K270</f>
        <v>BX</v>
      </c>
      <c r="M270" s="3" t="str">
        <f aca="false">INDEX(Parametros!$B$23:$B$31,MATCH(L270,Parametros!$A$23:$A$31,0))</f>
        <v>Estadístico + revisión de tendencia.</v>
      </c>
      <c r="N270" s="3" t="str">
        <f aca="false">INDEX(Parametros!$C$23:$C$31,MATCH(L270,Parametros!$A$23:$A$31,0))</f>
        <v>Mensual</v>
      </c>
      <c r="O270" s="23" t="n">
        <f aca="false">SUM(Datos_Semanales!M270:R270)</f>
        <v>18896.248996803</v>
      </c>
      <c r="P270" s="24" t="n">
        <f aca="false">IF(D270&gt;0,SUMPRODUCT(ABS(Datos_Semanales!F270:K270-Datos_Semanales!M270:R270))/D270,"")</f>
        <v>0.335147406130562</v>
      </c>
      <c r="Q270" s="24" t="n">
        <f aca="false">IF(D270&gt;0,O270/D270-1,"")</f>
        <v>0.303031424930697</v>
      </c>
      <c r="R270" s="23" t="n">
        <f aca="false">SQRT(SUMXMY2(Datos_Semanales!F270:K270,Datos_Semanales!M270:R270)/COUNT(Datos_Semanales!F270:K270))</f>
        <v>1039.82126853771</v>
      </c>
    </row>
    <row r="271" customFormat="false" ht="15" hidden="false" customHeight="false" outlineLevel="0" collapsed="false">
      <c r="A271" s="18" t="n">
        <f aca="false">Datos_Semanales!A271</f>
        <v>30002291</v>
      </c>
      <c r="B271" s="18" t="str">
        <f aca="false">Datos_Semanales!B271</f>
        <v>NECTAR WATTS PROTEINA TROPICAL SIXPACK 18X250ML</v>
      </c>
      <c r="C271" s="18" t="str">
        <f aca="false">Datos_Semanales!C271</f>
        <v>-</v>
      </c>
      <c r="D271" s="23" t="n">
        <f aca="false">SUM(Datos_Semanales!F271:K271)</f>
        <v>14377.5</v>
      </c>
      <c r="E271" s="23" t="n">
        <f aca="false">AVERAGE(Datos_Semanales!F271:K271)</f>
        <v>2396.25</v>
      </c>
      <c r="F271" s="23" t="n">
        <f aca="false">STDEV(Datos_Semanales!F271:K271)</f>
        <v>936.773118209527</v>
      </c>
      <c r="G271" s="27" t="n">
        <f aca="false">IF(E271&gt;0,F271/E271,"")</f>
        <v>0.390932965345655</v>
      </c>
      <c r="H271" s="24" t="n">
        <f aca="false">IF(SUM($D$5:$D$494)&gt;0,D271/SUM($D$5:$D$494),0)</f>
        <v>0.000599315855159183</v>
      </c>
      <c r="I271" s="24" t="n">
        <f aca="false">SUMIF($D$5:$D$494,"&gt;="&amp;D271)/SUM($D$5:$D$494)</f>
        <v>0.949603079382614</v>
      </c>
      <c r="J271" s="3" t="str">
        <f aca="false">IF(D271&lt;=0,"C",IF(I271&lt;=Parametros!$B$4,"A",IF(I271&lt;=Parametros!$B$5,"B","C")))</f>
        <v>B</v>
      </c>
      <c r="K271" s="3" t="str">
        <f aca="false">IF(E271&lt;=0,"Z",IF(G271&lt;=Parametros!$B$6,"X",IF(G271&lt;=Parametros!$B$7,"Y","Z")))</f>
        <v>X</v>
      </c>
      <c r="L271" s="3" t="str">
        <f aca="false">J271&amp;K271</f>
        <v>BX</v>
      </c>
      <c r="M271" s="3" t="str">
        <f aca="false">INDEX(Parametros!$B$23:$B$31,MATCH(L271,Parametros!$A$23:$A$31,0))</f>
        <v>Estadístico + revisión de tendencia.</v>
      </c>
      <c r="N271" s="3" t="str">
        <f aca="false">INDEX(Parametros!$C$23:$C$31,MATCH(L271,Parametros!$A$23:$A$31,0))</f>
        <v>Mensual</v>
      </c>
      <c r="O271" s="23" t="n">
        <f aca="false">SUM(Datos_Semanales!M271:R271)</f>
        <v>8573.04021452411</v>
      </c>
      <c r="P271" s="24" t="n">
        <f aca="false">IF(D271&gt;0,SUMPRODUCT(ABS(Datos_Semanales!F271:K271-Datos_Semanales!M271:R271))/D271,"")</f>
        <v>0.615908204800842</v>
      </c>
      <c r="Q271" s="24" t="n">
        <f aca="false">IF(D271&gt;0,O271/D271-1,"")</f>
        <v>-0.403718294938334</v>
      </c>
      <c r="R271" s="23" t="n">
        <f aca="false">SQRT(SUMXMY2(Datos_Semanales!F271:K271,Datos_Semanales!M271:R271)/COUNT(Datos_Semanales!F271:K271))</f>
        <v>1606.13798703738</v>
      </c>
    </row>
    <row r="272" customFormat="false" ht="15" hidden="false" customHeight="false" outlineLevel="0" collapsed="false">
      <c r="A272" s="18" t="n">
        <f aca="false">Datos_Semanales!A272</f>
        <v>30000173</v>
      </c>
      <c r="B272" s="18" t="str">
        <f aca="false">Datos_Semanales!B272</f>
        <v>MERM W S/A DOYP DZNO 12X350GR</v>
      </c>
      <c r="C272" s="18" t="str">
        <f aca="false">Datos_Semanales!C272</f>
        <v>MERMELADAS</v>
      </c>
      <c r="D272" s="23" t="n">
        <f aca="false">SUM(Datos_Semanales!F272:K272)</f>
        <v>14364</v>
      </c>
      <c r="E272" s="23" t="n">
        <f aca="false">AVERAGE(Datos_Semanales!F272:K272)</f>
        <v>2394</v>
      </c>
      <c r="F272" s="23" t="n">
        <f aca="false">STDEV(Datos_Semanales!F272:K272)</f>
        <v>816.037410907123</v>
      </c>
      <c r="G272" s="27" t="n">
        <f aca="false">IF(E272&gt;0,F272/E272,"")</f>
        <v>0.340867757271146</v>
      </c>
      <c r="H272" s="24" t="n">
        <f aca="false">IF(SUM($D$5:$D$494)&gt;0,D272/SUM($D$5:$D$494),0)</f>
        <v>0.000598753117267014</v>
      </c>
      <c r="I272" s="24" t="n">
        <f aca="false">SUMIF($D$5:$D$494,"&gt;="&amp;D272)/SUM($D$5:$D$494)</f>
        <v>0.950201832499881</v>
      </c>
      <c r="J272" s="3" t="str">
        <f aca="false">IF(D272&lt;=0,"C",IF(I272&lt;=Parametros!$B$4,"A",IF(I272&lt;=Parametros!$B$5,"B","C")))</f>
        <v>C</v>
      </c>
      <c r="K272" s="3" t="str">
        <f aca="false">IF(E272&lt;=0,"Z",IF(G272&lt;=Parametros!$B$6,"X",IF(G272&lt;=Parametros!$B$7,"Y","Z")))</f>
        <v>X</v>
      </c>
      <c r="L272" s="3" t="str">
        <f aca="false">J272&amp;K272</f>
        <v>CX</v>
      </c>
      <c r="M272" s="3" t="str">
        <f aca="false">INDEX(Parametros!$B$23:$B$31,MATCH(L272,Parametros!$A$23:$A$31,0))</f>
        <v>Reposición simple mín/máx.</v>
      </c>
      <c r="N272" s="3" t="str">
        <f aca="false">INDEX(Parametros!$C$23:$C$31,MATCH(L272,Parametros!$A$23:$A$31,0))</f>
        <v>Trimestral</v>
      </c>
      <c r="O272" s="23" t="n">
        <f aca="false">SUM(Datos_Semanales!M272:R272)</f>
        <v>8992.4</v>
      </c>
      <c r="P272" s="24" t="n">
        <f aca="false">IF(D272&gt;0,SUMPRODUCT(ABS(Datos_Semanales!F272:K272-Datos_Semanales!M272:R272))/D272,"")</f>
        <v>0.406237816764133</v>
      </c>
      <c r="Q272" s="24" t="n">
        <f aca="false">IF(D272&gt;0,O272/D272-1,"")</f>
        <v>-0.373962684489</v>
      </c>
      <c r="R272" s="23" t="n">
        <f aca="false">SQRT(SUMXMY2(Datos_Semanales!F272:K272,Datos_Semanales!M272:R272)/COUNT(Datos_Semanales!F272:K272))</f>
        <v>1208.11652859592</v>
      </c>
    </row>
    <row r="273" customFormat="false" ht="15" hidden="false" customHeight="false" outlineLevel="0" collapsed="false">
      <c r="A273" s="18" t="n">
        <f aca="false">Datos_Semanales!A273</f>
        <v>30000088</v>
      </c>
      <c r="B273" s="18" t="str">
        <f aca="false">Datos_Semanales!B273</f>
        <v>MARG LONCO C/L SIN LACT 12X500GR</v>
      </c>
      <c r="C273" s="18" t="str">
        <f aca="false">Datos_Semanales!C273</f>
        <v>MARGARINAS</v>
      </c>
      <c r="D273" s="23" t="n">
        <f aca="false">SUM(Datos_Semanales!F273:K273)</f>
        <v>14334</v>
      </c>
      <c r="E273" s="23" t="n">
        <f aca="false">AVERAGE(Datos_Semanales!F273:K273)</f>
        <v>2389</v>
      </c>
      <c r="F273" s="23" t="n">
        <f aca="false">STDEV(Datos_Semanales!F273:K273)</f>
        <v>792.52179780748</v>
      </c>
      <c r="G273" s="27" t="n">
        <f aca="false">IF(E273&gt;0,F273/E273,"")</f>
        <v>0.331737881041222</v>
      </c>
      <c r="H273" s="24" t="n">
        <f aca="false">IF(SUM($D$5:$D$494)&gt;0,D273/SUM($D$5:$D$494),0)</f>
        <v>0.000597502588617751</v>
      </c>
      <c r="I273" s="24" t="n">
        <f aca="false">SUMIF($D$5:$D$494,"&gt;="&amp;D273)/SUM($D$5:$D$494)</f>
        <v>0.950799335088498</v>
      </c>
      <c r="J273" s="3" t="str">
        <f aca="false">IF(D273&lt;=0,"C",IF(I273&lt;=Parametros!$B$4,"A",IF(I273&lt;=Parametros!$B$5,"B","C")))</f>
        <v>C</v>
      </c>
      <c r="K273" s="3" t="str">
        <f aca="false">IF(E273&lt;=0,"Z",IF(G273&lt;=Parametros!$B$6,"X",IF(G273&lt;=Parametros!$B$7,"Y","Z")))</f>
        <v>X</v>
      </c>
      <c r="L273" s="3" t="str">
        <f aca="false">J273&amp;K273</f>
        <v>CX</v>
      </c>
      <c r="M273" s="3" t="str">
        <f aca="false">INDEX(Parametros!$B$23:$B$31,MATCH(L273,Parametros!$A$23:$A$31,0))</f>
        <v>Reposición simple mín/máx.</v>
      </c>
      <c r="N273" s="3" t="str">
        <f aca="false">INDEX(Parametros!$C$23:$C$31,MATCH(L273,Parametros!$A$23:$A$31,0))</f>
        <v>Trimestral</v>
      </c>
      <c r="O273" s="23" t="n">
        <f aca="false">SUM(Datos_Semanales!M273:R273)</f>
        <v>13744.152724413</v>
      </c>
      <c r="P273" s="24" t="n">
        <f aca="false">IF(D273&gt;0,SUMPRODUCT(ABS(Datos_Semanales!F273:K273-Datos_Semanales!M273:R273))/D273,"")</f>
        <v>0.453366638668946</v>
      </c>
      <c r="Q273" s="24" t="n">
        <f aca="false">IF(D273&gt;0,O273/D273-1,"")</f>
        <v>-0.0411502215422797</v>
      </c>
      <c r="R273" s="23" t="n">
        <f aca="false">SQRT(SUMXMY2(Datos_Semanales!F273:K273,Datos_Semanales!M273:R273)/COUNT(Datos_Semanales!F273:K273))</f>
        <v>1252.75908843007</v>
      </c>
    </row>
    <row r="274" customFormat="false" ht="15" hidden="false" customHeight="false" outlineLevel="0" collapsed="false">
      <c r="A274" s="18" t="n">
        <f aca="false">Datos_Semanales!A274</f>
        <v>30001898</v>
      </c>
      <c r="B274" s="18" t="str">
        <f aca="false">Datos_Semanales!B274</f>
        <v>JALEA LONCO PROTEIN PIÑA 6X4X100GR</v>
      </c>
      <c r="C274" s="18" t="str">
        <f aca="false">Datos_Semanales!C274</f>
        <v>POSTRES</v>
      </c>
      <c r="D274" s="23" t="n">
        <f aca="false">SUM(Datos_Semanales!F274:K274)</f>
        <v>14318.4</v>
      </c>
      <c r="E274" s="23" t="n">
        <f aca="false">AVERAGE(Datos_Semanales!F274:K274)</f>
        <v>2386.4</v>
      </c>
      <c r="F274" s="23" t="n">
        <f aca="false">STDEV(Datos_Semanales!F274:K274)</f>
        <v>445.350163354635</v>
      </c>
      <c r="G274" s="27" t="n">
        <f aca="false">IF(E274&gt;0,F274/E274,"")</f>
        <v>0.186620081861647</v>
      </c>
      <c r="H274" s="24" t="n">
        <f aca="false">IF(SUM($D$5:$D$494)&gt;0,D274/SUM($D$5:$D$494),0)</f>
        <v>0.000596852313720135</v>
      </c>
      <c r="I274" s="24" t="n">
        <f aca="false">SUMIF($D$5:$D$494,"&gt;="&amp;D274)/SUM($D$5:$D$494)</f>
        <v>0.951396187402219</v>
      </c>
      <c r="J274" s="3" t="str">
        <f aca="false">IF(D274&lt;=0,"C",IF(I274&lt;=Parametros!$B$4,"A",IF(I274&lt;=Parametros!$B$5,"B","C")))</f>
        <v>C</v>
      </c>
      <c r="K274" s="3" t="str">
        <f aca="false">IF(E274&lt;=0,"Z",IF(G274&lt;=Parametros!$B$6,"X",IF(G274&lt;=Parametros!$B$7,"Y","Z")))</f>
        <v>X</v>
      </c>
      <c r="L274" s="3" t="str">
        <f aca="false">J274&amp;K274</f>
        <v>CX</v>
      </c>
      <c r="M274" s="3" t="str">
        <f aca="false">INDEX(Parametros!$B$23:$B$31,MATCH(L274,Parametros!$A$23:$A$31,0))</f>
        <v>Reposición simple mín/máx.</v>
      </c>
      <c r="N274" s="3" t="str">
        <f aca="false">INDEX(Parametros!$C$23:$C$31,MATCH(L274,Parametros!$A$23:$A$31,0))</f>
        <v>Trimestral</v>
      </c>
      <c r="O274" s="23" t="n">
        <f aca="false">SUM(Datos_Semanales!M274:R274)</f>
        <v>15419.7854500594</v>
      </c>
      <c r="P274" s="24" t="n">
        <f aca="false">IF(D274&gt;0,SUMPRODUCT(ABS(Datos_Semanales!F274:K274-Datos_Semanales!M274:R274))/D274,"")</f>
        <v>0.125015889681819</v>
      </c>
      <c r="Q274" s="24" t="n">
        <f aca="false">IF(D274&gt;0,O274/D274-1,"")</f>
        <v>0.0769209862875295</v>
      </c>
      <c r="R274" s="23" t="n">
        <f aca="false">SQRT(SUMXMY2(Datos_Semanales!F274:K274,Datos_Semanales!M274:R274)/COUNT(Datos_Semanales!F274:K274))</f>
        <v>346.230316598126</v>
      </c>
    </row>
    <row r="275" customFormat="false" ht="15" hidden="false" customHeight="false" outlineLevel="0" collapsed="false">
      <c r="A275" s="18" t="n">
        <f aca="false">Datos_Semanales!A275</f>
        <v>30000648</v>
      </c>
      <c r="B275" s="18" t="str">
        <f aca="false">Datos_Semanales!B275</f>
        <v>CARBONADA WSL 16X380GR</v>
      </c>
      <c r="C275" s="18" t="str">
        <f aca="false">Datos_Semanales!C275</f>
        <v>CONSERVAS Y PLATOS LISTOS</v>
      </c>
      <c r="D275" s="23" t="n">
        <f aca="false">SUM(Datos_Semanales!F275:K275)</f>
        <v>14294.08</v>
      </c>
      <c r="E275" s="23" t="n">
        <f aca="false">AVERAGE(Datos_Semanales!F275:K275)</f>
        <v>2382.34666666667</v>
      </c>
      <c r="F275" s="23" t="n">
        <f aca="false">STDEV(Datos_Semanales!F275:K275)</f>
        <v>714.242592587887</v>
      </c>
      <c r="G275" s="27" t="n">
        <f aca="false">IF(E275&gt;0,F275/E275,"")</f>
        <v>0.299806322304571</v>
      </c>
      <c r="H275" s="24" t="n">
        <f aca="false">IF(SUM($D$5:$D$494)&gt;0,D275/SUM($D$5:$D$494),0)</f>
        <v>0.000595838551828466</v>
      </c>
      <c r="I275" s="24" t="n">
        <f aca="false">SUMIF($D$5:$D$494,"&gt;="&amp;D275)/SUM($D$5:$D$494)</f>
        <v>0.951992025954047</v>
      </c>
      <c r="J275" s="3" t="str">
        <f aca="false">IF(D275&lt;=0,"C",IF(I275&lt;=Parametros!$B$4,"A",IF(I275&lt;=Parametros!$B$5,"B","C")))</f>
        <v>C</v>
      </c>
      <c r="K275" s="3" t="str">
        <f aca="false">IF(E275&lt;=0,"Z",IF(G275&lt;=Parametros!$B$6,"X",IF(G275&lt;=Parametros!$B$7,"Y","Z")))</f>
        <v>X</v>
      </c>
      <c r="L275" s="3" t="str">
        <f aca="false">J275&amp;K275</f>
        <v>CX</v>
      </c>
      <c r="M275" s="3" t="str">
        <f aca="false">INDEX(Parametros!$B$23:$B$31,MATCH(L275,Parametros!$A$23:$A$31,0))</f>
        <v>Reposición simple mín/máx.</v>
      </c>
      <c r="N275" s="3" t="str">
        <f aca="false">INDEX(Parametros!$C$23:$C$31,MATCH(L275,Parametros!$A$23:$A$31,0))</f>
        <v>Trimestral</v>
      </c>
      <c r="O275" s="23" t="n">
        <f aca="false">SUM(Datos_Semanales!M275:R275)</f>
        <v>17858.08</v>
      </c>
      <c r="P275" s="24" t="n">
        <f aca="false">IF(D275&gt;0,SUMPRODUCT(ABS(Datos_Semanales!F275:K275-Datos_Semanales!M275:R275))/D275,"")</f>
        <v>0.249333990015447</v>
      </c>
      <c r="Q275" s="24" t="n">
        <f aca="false">IF(D275&gt;0,O275/D275-1,"")</f>
        <v>0.249333990015447</v>
      </c>
      <c r="R275" s="23" t="n">
        <f aca="false">SQRT(SUMXMY2(Datos_Semanales!F275:K275,Datos_Semanales!M275:R275)/COUNT(Datos_Semanales!F275:K275))</f>
        <v>833.196979991326</v>
      </c>
    </row>
    <row r="276" customFormat="false" ht="15" hidden="false" customHeight="false" outlineLevel="0" collapsed="false">
      <c r="A276" s="18" t="n">
        <f aca="false">Datos_Semanales!A276</f>
        <v>30002093</v>
      </c>
      <c r="B276" s="18" t="str">
        <f aca="false">Datos_Semanales!B276</f>
        <v>OIKOS POSTRE PIE DE LIMON 12X132GR</v>
      </c>
      <c r="C276" s="18" t="str">
        <f aca="false">Datos_Semanales!C276</f>
        <v>POSTRES</v>
      </c>
      <c r="D276" s="23" t="n">
        <f aca="false">SUM(Datos_Semanales!F276:K276)</f>
        <v>14222.736</v>
      </c>
      <c r="E276" s="23" t="n">
        <f aca="false">AVERAGE(Datos_Semanales!F276:K276)</f>
        <v>2370.456</v>
      </c>
      <c r="F276" s="23" t="n">
        <f aca="false">STDEV(Datos_Semanales!F276:K276)</f>
        <v>600.769875931875</v>
      </c>
      <c r="G276" s="27" t="n">
        <f aca="false">IF(E276&gt;0,F276/E276,"")</f>
        <v>0.253440635865789</v>
      </c>
      <c r="H276" s="24" t="n">
        <f aca="false">IF(SUM($D$5:$D$494)&gt;0,D276/SUM($D$5:$D$494),0)</f>
        <v>0.000592864627963366</v>
      </c>
      <c r="I276" s="24" t="n">
        <f aca="false">SUMIF($D$5:$D$494,"&gt;="&amp;D276)/SUM($D$5:$D$494)</f>
        <v>0.95258489058201</v>
      </c>
      <c r="J276" s="3" t="str">
        <f aca="false">IF(D276&lt;=0,"C",IF(I276&lt;=Parametros!$B$4,"A",IF(I276&lt;=Parametros!$B$5,"B","C")))</f>
        <v>C</v>
      </c>
      <c r="K276" s="3" t="str">
        <f aca="false">IF(E276&lt;=0,"Z",IF(G276&lt;=Parametros!$B$6,"X",IF(G276&lt;=Parametros!$B$7,"Y","Z")))</f>
        <v>X</v>
      </c>
      <c r="L276" s="3" t="str">
        <f aca="false">J276&amp;K276</f>
        <v>CX</v>
      </c>
      <c r="M276" s="3" t="str">
        <f aca="false">INDEX(Parametros!$B$23:$B$31,MATCH(L276,Parametros!$A$23:$A$31,0))</f>
        <v>Reposición simple mín/máx.</v>
      </c>
      <c r="N276" s="3" t="str">
        <f aca="false">INDEX(Parametros!$C$23:$C$31,MATCH(L276,Parametros!$A$23:$A$31,0))</f>
        <v>Trimestral</v>
      </c>
      <c r="O276" s="23" t="n">
        <f aca="false">SUM(Datos_Semanales!M276:R276)</f>
        <v>14006.8082620051</v>
      </c>
      <c r="P276" s="24" t="n">
        <f aca="false">IF(D276&gt;0,SUMPRODUCT(ABS(Datos_Semanales!F276:K276-Datos_Semanales!M276:R276))/D276,"")</f>
        <v>0.230143852293498</v>
      </c>
      <c r="Q276" s="24" t="n">
        <f aca="false">IF(D276&gt;0,O276/D276-1,"")</f>
        <v>-0.0151818706326867</v>
      </c>
      <c r="R276" s="23" t="n">
        <f aca="false">SQRT(SUMXMY2(Datos_Semanales!F276:K276,Datos_Semanales!M276:R276)/COUNT(Datos_Semanales!F276:K276))</f>
        <v>647.901457760929</v>
      </c>
    </row>
    <row r="277" customFormat="false" ht="15" hidden="false" customHeight="false" outlineLevel="0" collapsed="false">
      <c r="A277" s="18" t="n">
        <f aca="false">Datos_Semanales!A277</f>
        <v>30002076</v>
      </c>
      <c r="B277" s="18" t="str">
        <f aca="false">Datos_Semanales!B277</f>
        <v>LECHE DESC CHOC LIGHT LCO 12X1</v>
      </c>
      <c r="C277" s="18" t="str">
        <f aca="false">Datos_Semanales!C277</f>
        <v>LECHES LIQUIDAS</v>
      </c>
      <c r="D277" s="23" t="n">
        <f aca="false">SUM(Datos_Semanales!F277:K277)</f>
        <v>14160</v>
      </c>
      <c r="E277" s="23" t="n">
        <f aca="false">AVERAGE(Datos_Semanales!F277:K277)</f>
        <v>2360</v>
      </c>
      <c r="F277" s="23" t="n">
        <f aca="false">STDEV(Datos_Semanales!F277:K277)</f>
        <v>2501.48244047405</v>
      </c>
      <c r="G277" s="27" t="n">
        <f aca="false">IF(E277&gt;0,F277/E277,"")</f>
        <v>1.05995018664155</v>
      </c>
      <c r="H277" s="24" t="n">
        <f aca="false">IF(SUM($D$5:$D$494)&gt;0,D277/SUM($D$5:$D$494),0)</f>
        <v>0.000590249522452027</v>
      </c>
      <c r="I277" s="24" t="n">
        <f aca="false">SUMIF($D$5:$D$494,"&gt;="&amp;D277)/SUM($D$5:$D$494)</f>
        <v>0.953765389626914</v>
      </c>
      <c r="J277" s="3" t="str">
        <f aca="false">IF(D277&lt;=0,"C",IF(I277&lt;=Parametros!$B$4,"A",IF(I277&lt;=Parametros!$B$5,"B","C")))</f>
        <v>C</v>
      </c>
      <c r="K277" s="3" t="str">
        <f aca="false">IF(E277&lt;=0,"Z",IF(G277&lt;=Parametros!$B$6,"X",IF(G277&lt;=Parametros!$B$7,"Y","Z")))</f>
        <v>Z</v>
      </c>
      <c r="L277" s="3" t="str">
        <f aca="false">J277&amp;K277</f>
        <v>CZ</v>
      </c>
      <c r="M277" s="3" t="str">
        <f aca="false">INDEX(Parametros!$B$23:$B$31,MATCH(L277,Parametros!$A$23:$A$31,0))</f>
        <v>Contra pedido o stock mínimo. Candidato a racionalizar/descontinuar.</v>
      </c>
      <c r="N277" s="3" t="str">
        <f aca="false">INDEX(Parametros!$C$23:$C$31,MATCH(L277,Parametros!$A$23:$A$31,0))</f>
        <v>Mensual</v>
      </c>
      <c r="O277" s="23" t="n">
        <f aca="false">SUM(Datos_Semanales!M277:R277)</f>
        <v>8581.88731644978</v>
      </c>
      <c r="P277" s="24" t="n">
        <f aca="false">IF(D277&gt;0,SUMPRODUCT(ABS(Datos_Semanales!F277:K277-Datos_Semanales!M277:R277))/D277,"")</f>
        <v>0.700361138167357</v>
      </c>
      <c r="Q277" s="24" t="n">
        <f aca="false">IF(D277&gt;0,O277/D277-1,"")</f>
        <v>-0.393934511550157</v>
      </c>
      <c r="R277" s="23" t="n">
        <f aca="false">SQRT(SUMXMY2(Datos_Semanales!F277:K277,Datos_Semanales!M277:R277)/COUNT(Datos_Semanales!F277:K277))</f>
        <v>2401.56468956077</v>
      </c>
    </row>
    <row r="278" customFormat="false" ht="15" hidden="false" customHeight="false" outlineLevel="0" collapsed="false">
      <c r="A278" s="18" t="n">
        <f aca="false">Datos_Semanales!A278</f>
        <v>30001992</v>
      </c>
      <c r="B278" s="18" t="str">
        <f aca="false">Datos_Semanales!B278</f>
        <v>LONCOLECHE BREAK CARAMEL 12X1LT</v>
      </c>
      <c r="C278" s="18" t="str">
        <f aca="false">Datos_Semanales!C278</f>
        <v>LECHES LIQUIDAS</v>
      </c>
      <c r="D278" s="23" t="n">
        <f aca="false">SUM(Datos_Semanales!F278:K278)</f>
        <v>14160</v>
      </c>
      <c r="E278" s="23" t="n">
        <f aca="false">AVERAGE(Datos_Semanales!F278:K278)</f>
        <v>2360</v>
      </c>
      <c r="F278" s="23" t="n">
        <f aca="false">STDEV(Datos_Semanales!F278:K278)</f>
        <v>741.971428021322</v>
      </c>
      <c r="G278" s="27" t="n">
        <f aca="false">IF(E278&gt;0,F278/E278,"")</f>
        <v>0.314394672890391</v>
      </c>
      <c r="H278" s="24" t="n">
        <f aca="false">IF(SUM($D$5:$D$494)&gt;0,D278/SUM($D$5:$D$494),0)</f>
        <v>0.000590249522452027</v>
      </c>
      <c r="I278" s="24" t="n">
        <f aca="false">SUMIF($D$5:$D$494,"&gt;="&amp;D278)/SUM($D$5:$D$494)</f>
        <v>0.953765389626914</v>
      </c>
      <c r="J278" s="3" t="str">
        <f aca="false">IF(D278&lt;=0,"C",IF(I278&lt;=Parametros!$B$4,"A",IF(I278&lt;=Parametros!$B$5,"B","C")))</f>
        <v>C</v>
      </c>
      <c r="K278" s="3" t="str">
        <f aca="false">IF(E278&lt;=0,"Z",IF(G278&lt;=Parametros!$B$6,"X",IF(G278&lt;=Parametros!$B$7,"Y","Z")))</f>
        <v>X</v>
      </c>
      <c r="L278" s="3" t="str">
        <f aca="false">J278&amp;K278</f>
        <v>CX</v>
      </c>
      <c r="M278" s="3" t="str">
        <f aca="false">INDEX(Parametros!$B$23:$B$31,MATCH(L278,Parametros!$A$23:$A$31,0))</f>
        <v>Reposición simple mín/máx.</v>
      </c>
      <c r="N278" s="3" t="str">
        <f aca="false">INDEX(Parametros!$C$23:$C$31,MATCH(L278,Parametros!$A$23:$A$31,0))</f>
        <v>Trimestral</v>
      </c>
      <c r="O278" s="23" t="n">
        <f aca="false">SUM(Datos_Semanales!M278:R278)</f>
        <v>18805.5554448211</v>
      </c>
      <c r="P278" s="24" t="n">
        <f aca="false">IF(D278&gt;0,SUMPRODUCT(ABS(Datos_Semanales!F278:K278-Datos_Semanales!M278:R278))/D278,"")</f>
        <v>0.395872559662505</v>
      </c>
      <c r="Q278" s="24" t="n">
        <f aca="false">IF(D278&gt;0,O278/D278-1,"")</f>
        <v>0.328075949493013</v>
      </c>
      <c r="R278" s="23" t="n">
        <f aca="false">SQRT(SUMXMY2(Datos_Semanales!F278:K278,Datos_Semanales!M278:R278)/COUNT(Datos_Semanales!F278:K278))</f>
        <v>1115.85609768611</v>
      </c>
    </row>
    <row r="279" customFormat="false" ht="15" hidden="false" customHeight="false" outlineLevel="0" collapsed="false">
      <c r="A279" s="18" t="n">
        <f aca="false">Datos_Semanales!A279</f>
        <v>30002172</v>
      </c>
      <c r="B279" s="18" t="str">
        <f aca="false">Datos_Semanales!B279</f>
        <v>FRUGO BERRIES 6X1,6LT</v>
      </c>
      <c r="C279" s="18" t="str">
        <f aca="false">Datos_Semanales!C279</f>
        <v>JUGOS Y NECTARES</v>
      </c>
      <c r="D279" s="23" t="n">
        <f aca="false">SUM(Datos_Semanales!F279:K279)</f>
        <v>14131.2</v>
      </c>
      <c r="E279" s="23" t="n">
        <f aca="false">AVERAGE(Datos_Semanales!F279:K279)</f>
        <v>2355.2</v>
      </c>
      <c r="F279" s="23" t="n">
        <f aca="false">STDEV(Datos_Semanales!F279:K279)</f>
        <v>1767.18938883188</v>
      </c>
      <c r="G279" s="27" t="n">
        <f aca="false">IF(E279&gt;0,F279/E279,"")</f>
        <v>0.750335168491798</v>
      </c>
      <c r="H279" s="24" t="n">
        <f aca="false">IF(SUM($D$5:$D$494)&gt;0,D279/SUM($D$5:$D$494),0)</f>
        <v>0.000589049014948735</v>
      </c>
      <c r="I279" s="24" t="n">
        <f aca="false">SUMIF($D$5:$D$494,"&gt;="&amp;D279)/SUM($D$5:$D$494)</f>
        <v>0.954354438641863</v>
      </c>
      <c r="J279" s="3" t="str">
        <f aca="false">IF(D279&lt;=0,"C",IF(I279&lt;=Parametros!$B$4,"A",IF(I279&lt;=Parametros!$B$5,"B","C")))</f>
        <v>C</v>
      </c>
      <c r="K279" s="3" t="str">
        <f aca="false">IF(E279&lt;=0,"Z",IF(G279&lt;=Parametros!$B$6,"X",IF(G279&lt;=Parametros!$B$7,"Y","Z")))</f>
        <v>Y</v>
      </c>
      <c r="L279" s="3" t="str">
        <f aca="false">J279&amp;K279</f>
        <v>CY</v>
      </c>
      <c r="M279" s="3" t="str">
        <f aca="false">INDEX(Parametros!$B$23:$B$31,MATCH(L279,Parametros!$A$23:$A$31,0))</f>
        <v>Mín/máx con stock bajo; evaluar continuidad del SKU.</v>
      </c>
      <c r="N279" s="3" t="str">
        <f aca="false">INDEX(Parametros!$C$23:$C$31,MATCH(L279,Parametros!$A$23:$A$31,0))</f>
        <v>Mensual</v>
      </c>
      <c r="O279" s="23" t="n">
        <f aca="false">SUM(Datos_Semanales!M279:R279)</f>
        <v>7858.19979401698</v>
      </c>
      <c r="P279" s="24" t="n">
        <f aca="false">IF(D279&gt;0,SUMPRODUCT(ABS(Datos_Semanales!F279:K279-Datos_Semanales!M279:R279))/D279,"")</f>
        <v>0.531390139549229</v>
      </c>
      <c r="Q279" s="24" t="n">
        <f aca="false">IF(D279&gt;0,O279/D279-1,"")</f>
        <v>-0.443911359685166</v>
      </c>
      <c r="R279" s="23" t="n">
        <f aca="false">SQRT(SUMXMY2(Datos_Semanales!F279:K279,Datos_Semanales!M279:R279)/COUNT(Datos_Semanales!F279:K279))</f>
        <v>1681.47733648271</v>
      </c>
    </row>
    <row r="280" customFormat="false" ht="15" hidden="false" customHeight="false" outlineLevel="0" collapsed="false">
      <c r="A280" s="18" t="n">
        <f aca="false">Datos_Semanales!A280</f>
        <v>30000633</v>
      </c>
      <c r="B280" s="18" t="str">
        <f aca="false">Datos_Semanales!B280</f>
        <v>MERMELADA REGI DSCO 24X200GR</v>
      </c>
      <c r="C280" s="18" t="str">
        <f aca="false">Datos_Semanales!C280</f>
        <v>-</v>
      </c>
      <c r="D280" s="23" t="n">
        <f aca="false">SUM(Datos_Semanales!F280:K280)</f>
        <v>13924.8</v>
      </c>
      <c r="E280" s="23" t="n">
        <f aca="false">AVERAGE(Datos_Semanales!F280:K280)</f>
        <v>2320.8</v>
      </c>
      <c r="F280" s="23" t="n">
        <f aca="false">STDEV(Datos_Semanales!F280:K280)</f>
        <v>530.357645367727</v>
      </c>
      <c r="G280" s="27" t="n">
        <f aca="false">IF(E280&gt;0,F280/E280,"")</f>
        <v>0.228523632095712</v>
      </c>
      <c r="H280" s="24" t="n">
        <f aca="false">IF(SUM($D$5:$D$494)&gt;0,D280/SUM($D$5:$D$494),0)</f>
        <v>0.000580445377841807</v>
      </c>
      <c r="I280" s="24" t="n">
        <f aca="false">SUMIF($D$5:$D$494,"&gt;="&amp;D280)/SUM($D$5:$D$494)</f>
        <v>0.954934884019705</v>
      </c>
      <c r="J280" s="3" t="str">
        <f aca="false">IF(D280&lt;=0,"C",IF(I280&lt;=Parametros!$B$4,"A",IF(I280&lt;=Parametros!$B$5,"B","C")))</f>
        <v>C</v>
      </c>
      <c r="K280" s="3" t="str">
        <f aca="false">IF(E280&lt;=0,"Z",IF(G280&lt;=Parametros!$B$6,"X",IF(G280&lt;=Parametros!$B$7,"Y","Z")))</f>
        <v>X</v>
      </c>
      <c r="L280" s="3" t="str">
        <f aca="false">J280&amp;K280</f>
        <v>CX</v>
      </c>
      <c r="M280" s="3" t="str">
        <f aca="false">INDEX(Parametros!$B$23:$B$31,MATCH(L280,Parametros!$A$23:$A$31,0))</f>
        <v>Reposición simple mín/máx.</v>
      </c>
      <c r="N280" s="3" t="str">
        <f aca="false">INDEX(Parametros!$C$23:$C$31,MATCH(L280,Parametros!$A$23:$A$31,0))</f>
        <v>Trimestral</v>
      </c>
      <c r="O280" s="23" t="n">
        <f aca="false">SUM(Datos_Semanales!M280:R280)</f>
        <v>14252</v>
      </c>
      <c r="P280" s="24" t="n">
        <f aca="false">IF(D280&gt;0,SUMPRODUCT(ABS(Datos_Semanales!F280:K280-Datos_Semanales!M280:R280))/D280,"")</f>
        <v>0.164483511432839</v>
      </c>
      <c r="Q280" s="24" t="n">
        <f aca="false">IF(D280&gt;0,O280/D280-1,"")</f>
        <v>0.0234976444904056</v>
      </c>
      <c r="R280" s="23" t="n">
        <f aca="false">SQRT(SUMXMY2(Datos_Semanales!F280:K280,Datos_Semanales!M280:R280)/COUNT(Datos_Semanales!F280:K280))</f>
        <v>513.14923105597</v>
      </c>
    </row>
    <row r="281" customFormat="false" ht="15" hidden="false" customHeight="false" outlineLevel="0" collapsed="false">
      <c r="A281" s="18" t="n">
        <f aca="false">Datos_Semanales!A281</f>
        <v>30002358</v>
      </c>
      <c r="B281" s="18" t="str">
        <f aca="false">Datos_Semanales!B281</f>
        <v>LECHE BON MOMENT DAN MOCACCINO 5X6X200ML</v>
      </c>
      <c r="C281" s="18" t="str">
        <f aca="false">Datos_Semanales!C281</f>
        <v>-</v>
      </c>
      <c r="D281" s="23" t="n">
        <f aca="false">SUM(Datos_Semanales!F281:K281)</f>
        <v>13848</v>
      </c>
      <c r="E281" s="23" t="n">
        <f aca="false">AVERAGE(Datos_Semanales!F281:K281)</f>
        <v>2308</v>
      </c>
      <c r="F281" s="23" t="n">
        <f aca="false">STDEV(Datos_Semanales!F281:K281)</f>
        <v>745.813917810602</v>
      </c>
      <c r="G281" s="27" t="n">
        <f aca="false">IF(E281&gt;0,F281/E281,"")</f>
        <v>0.323142945325218</v>
      </c>
      <c r="H281" s="24" t="n">
        <f aca="false">IF(SUM($D$5:$D$494)&gt;0,D281/SUM($D$5:$D$494),0)</f>
        <v>0.000577244024499695</v>
      </c>
      <c r="I281" s="24" t="n">
        <f aca="false">SUMIF($D$5:$D$494,"&gt;="&amp;D281)/SUM($D$5:$D$494)</f>
        <v>0.955512128044205</v>
      </c>
      <c r="J281" s="3" t="str">
        <f aca="false">IF(D281&lt;=0,"C",IF(I281&lt;=Parametros!$B$4,"A",IF(I281&lt;=Parametros!$B$5,"B","C")))</f>
        <v>C</v>
      </c>
      <c r="K281" s="3" t="str">
        <f aca="false">IF(E281&lt;=0,"Z",IF(G281&lt;=Parametros!$B$6,"X",IF(G281&lt;=Parametros!$B$7,"Y","Z")))</f>
        <v>X</v>
      </c>
      <c r="L281" s="3" t="str">
        <f aca="false">J281&amp;K281</f>
        <v>CX</v>
      </c>
      <c r="M281" s="3" t="str">
        <f aca="false">INDEX(Parametros!$B$23:$B$31,MATCH(L281,Parametros!$A$23:$A$31,0))</f>
        <v>Reposición simple mín/máx.</v>
      </c>
      <c r="N281" s="3" t="str">
        <f aca="false">INDEX(Parametros!$C$23:$C$31,MATCH(L281,Parametros!$A$23:$A$31,0))</f>
        <v>Trimestral</v>
      </c>
      <c r="O281" s="23" t="n">
        <f aca="false">SUM(Datos_Semanales!M281:R281)</f>
        <v>13435.8596479805</v>
      </c>
      <c r="P281" s="24" t="n">
        <f aca="false">IF(D281&gt;0,SUMPRODUCT(ABS(Datos_Semanales!F281:K281-Datos_Semanales!M281:R281))/D281,"")</f>
        <v>0.256417558638038</v>
      </c>
      <c r="Q281" s="24" t="n">
        <f aca="false">IF(D281&gt;0,O281/D281-1,"")</f>
        <v>-0.0297617238604524</v>
      </c>
      <c r="R281" s="23" t="n">
        <f aca="false">SQRT(SUMXMY2(Datos_Semanales!F281:K281,Datos_Semanales!M281:R281)/COUNT(Datos_Semanales!F281:K281))</f>
        <v>603.596392104976</v>
      </c>
    </row>
    <row r="282" customFormat="false" ht="15" hidden="false" customHeight="false" outlineLevel="0" collapsed="false">
      <c r="A282" s="18" t="n">
        <f aca="false">Datos_Semanales!A282</f>
        <v>30002138</v>
      </c>
      <c r="B282" s="18" t="str">
        <f aca="false">Datos_Semanales!B282</f>
        <v>MANGO EN TROZOS WASIL 16X500G</v>
      </c>
      <c r="C282" s="18" t="str">
        <f aca="false">Datos_Semanales!C282</f>
        <v>CONSERVAS Y PLATOS LISTOS</v>
      </c>
      <c r="D282" s="23" t="n">
        <f aca="false">SUM(Datos_Semanales!F282:K282)</f>
        <v>13728</v>
      </c>
      <c r="E282" s="23" t="n">
        <f aca="false">AVERAGE(Datos_Semanales!F282:K282)</f>
        <v>2288</v>
      </c>
      <c r="F282" s="23" t="n">
        <f aca="false">STDEV(Datos_Semanales!F282:K282)</f>
        <v>1357.87127519511</v>
      </c>
      <c r="G282" s="27" t="n">
        <f aca="false">IF(E282&gt;0,F282/E282,"")</f>
        <v>0.593475207690171</v>
      </c>
      <c r="H282" s="24" t="n">
        <f aca="false">IF(SUM($D$5:$D$494)&gt;0,D282/SUM($D$5:$D$494),0)</f>
        <v>0.000572241909902644</v>
      </c>
      <c r="I282" s="24" t="n">
        <f aca="false">SUMIF($D$5:$D$494,"&gt;="&amp;D282)/SUM($D$5:$D$494)</f>
        <v>0.956084369954107</v>
      </c>
      <c r="J282" s="3" t="str">
        <f aca="false">IF(D282&lt;=0,"C",IF(I282&lt;=Parametros!$B$4,"A",IF(I282&lt;=Parametros!$B$5,"B","C")))</f>
        <v>C</v>
      </c>
      <c r="K282" s="3" t="str">
        <f aca="false">IF(E282&lt;=0,"Z",IF(G282&lt;=Parametros!$B$6,"X",IF(G282&lt;=Parametros!$B$7,"Y","Z")))</f>
        <v>Y</v>
      </c>
      <c r="L282" s="3" t="str">
        <f aca="false">J282&amp;K282</f>
        <v>CY</v>
      </c>
      <c r="M282" s="3" t="str">
        <f aca="false">INDEX(Parametros!$B$23:$B$31,MATCH(L282,Parametros!$A$23:$A$31,0))</f>
        <v>Mín/máx con stock bajo; evaluar continuidad del SKU.</v>
      </c>
      <c r="N282" s="3" t="str">
        <f aca="false">INDEX(Parametros!$C$23:$C$31,MATCH(L282,Parametros!$A$23:$A$31,0))</f>
        <v>Mensual</v>
      </c>
      <c r="O282" s="23" t="n">
        <f aca="false">SUM(Datos_Semanales!M282:R282)</f>
        <v>12500</v>
      </c>
      <c r="P282" s="24" t="n">
        <f aca="false">IF(D282&gt;0,SUMPRODUCT(ABS(Datos_Semanales!F282:K282-Datos_Semanales!M282:R282))/D282,"")</f>
        <v>0.197261072261072</v>
      </c>
      <c r="Q282" s="24" t="n">
        <f aca="false">IF(D282&gt;0,O282/D282-1,"")</f>
        <v>-0.0894522144522144</v>
      </c>
      <c r="R282" s="23" t="n">
        <f aca="false">SQRT(SUMXMY2(Datos_Semanales!F282:K282,Datos_Semanales!M282:R282)/COUNT(Datos_Semanales!F282:K282))</f>
        <v>550.202387005606</v>
      </c>
    </row>
    <row r="283" customFormat="false" ht="15" hidden="false" customHeight="false" outlineLevel="0" collapsed="false">
      <c r="A283" s="18" t="n">
        <f aca="false">Datos_Semanales!A283</f>
        <v>30000172</v>
      </c>
      <c r="B283" s="18" t="str">
        <f aca="false">Datos_Semanales!B283</f>
        <v>MERM W S/A DOYP BERRIES 12X350GR</v>
      </c>
      <c r="C283" s="18" t="str">
        <f aca="false">Datos_Semanales!C283</f>
        <v>MERMELADAS</v>
      </c>
      <c r="D283" s="23" t="n">
        <f aca="false">SUM(Datos_Semanales!F283:K283)</f>
        <v>13725.6</v>
      </c>
      <c r="E283" s="23" t="n">
        <f aca="false">AVERAGE(Datos_Semanales!F283:K283)</f>
        <v>2287.6</v>
      </c>
      <c r="F283" s="23" t="n">
        <f aca="false">STDEV(Datos_Semanales!F283:K283)</f>
        <v>656.279623331397</v>
      </c>
      <c r="G283" s="27" t="n">
        <f aca="false">IF(E283&gt;0,F283/E283,"")</f>
        <v>0.286885654542489</v>
      </c>
      <c r="H283" s="24" t="n">
        <f aca="false">IF(SUM($D$5:$D$494)&gt;0,D283/SUM($D$5:$D$494),0)</f>
        <v>0.000572141867610702</v>
      </c>
      <c r="I283" s="24" t="n">
        <f aca="false">SUMIF($D$5:$D$494,"&gt;="&amp;D283)/SUM($D$5:$D$494)</f>
        <v>0.956656511821718</v>
      </c>
      <c r="J283" s="3" t="str">
        <f aca="false">IF(D283&lt;=0,"C",IF(I283&lt;=Parametros!$B$4,"A",IF(I283&lt;=Parametros!$B$5,"B","C")))</f>
        <v>C</v>
      </c>
      <c r="K283" s="3" t="str">
        <f aca="false">IF(E283&lt;=0,"Z",IF(G283&lt;=Parametros!$B$6,"X",IF(G283&lt;=Parametros!$B$7,"Y","Z")))</f>
        <v>X</v>
      </c>
      <c r="L283" s="3" t="str">
        <f aca="false">J283&amp;K283</f>
        <v>CX</v>
      </c>
      <c r="M283" s="3" t="str">
        <f aca="false">INDEX(Parametros!$B$23:$B$31,MATCH(L283,Parametros!$A$23:$A$31,0))</f>
        <v>Reposición simple mín/máx.</v>
      </c>
      <c r="N283" s="3" t="str">
        <f aca="false">INDEX(Parametros!$C$23:$C$31,MATCH(L283,Parametros!$A$23:$A$31,0))</f>
        <v>Trimestral</v>
      </c>
      <c r="O283" s="23" t="n">
        <f aca="false">SUM(Datos_Semanales!M283:R283)</f>
        <v>9111.6</v>
      </c>
      <c r="P283" s="24" t="n">
        <f aca="false">IF(D283&gt;0,SUMPRODUCT(ABS(Datos_Semanales!F283:K283-Datos_Semanales!M283:R283))/D283,"")</f>
        <v>0.361601678615143</v>
      </c>
      <c r="Q283" s="24" t="n">
        <f aca="false">IF(D283&gt;0,O283/D283-1,"")</f>
        <v>-0.336160167861514</v>
      </c>
      <c r="R283" s="23" t="n">
        <f aca="false">SQRT(SUMXMY2(Datos_Semanales!F283:K283,Datos_Semanales!M283:R283)/COUNT(Datos_Semanales!F283:K283))</f>
        <v>918.079328453339</v>
      </c>
    </row>
    <row r="284" customFormat="false" ht="15" hidden="false" customHeight="false" outlineLevel="0" collapsed="false">
      <c r="A284" s="18" t="n">
        <f aca="false">Datos_Semanales!A284</f>
        <v>30000073</v>
      </c>
      <c r="B284" s="18" t="str">
        <f aca="false">Datos_Semanales!B284</f>
        <v>MARGARINA PAMPERITA 10X1KG</v>
      </c>
      <c r="C284" s="18" t="str">
        <f aca="false">Datos_Semanales!C284</f>
        <v>MARGARINAS</v>
      </c>
      <c r="D284" s="23" t="n">
        <f aca="false">SUM(Datos_Semanales!F284:K284)</f>
        <v>13700</v>
      </c>
      <c r="E284" s="23" t="n">
        <f aca="false">AVERAGE(Datos_Semanales!F284:K284)</f>
        <v>2283.33333333333</v>
      </c>
      <c r="F284" s="23" t="n">
        <f aca="false">STDEV(Datos_Semanales!F284:K284)</f>
        <v>512.1588295311</v>
      </c>
      <c r="G284" s="27" t="n">
        <f aca="false">IF(E284&gt;0,F284/E284,"")</f>
        <v>0.22430313702092</v>
      </c>
      <c r="H284" s="24" t="n">
        <f aca="false">IF(SUM($D$5:$D$494)&gt;0,D284/SUM($D$5:$D$494),0)</f>
        <v>0.000571074749829998</v>
      </c>
      <c r="I284" s="24" t="n">
        <f aca="false">SUMIF($D$5:$D$494,"&gt;="&amp;D284)/SUM($D$5:$D$494)</f>
        <v>0.957227586571548</v>
      </c>
      <c r="J284" s="3" t="str">
        <f aca="false">IF(D284&lt;=0,"C",IF(I284&lt;=Parametros!$B$4,"A",IF(I284&lt;=Parametros!$B$5,"B","C")))</f>
        <v>C</v>
      </c>
      <c r="K284" s="3" t="str">
        <f aca="false">IF(E284&lt;=0,"Z",IF(G284&lt;=Parametros!$B$6,"X",IF(G284&lt;=Parametros!$B$7,"Y","Z")))</f>
        <v>X</v>
      </c>
      <c r="L284" s="3" t="str">
        <f aca="false">J284&amp;K284</f>
        <v>CX</v>
      </c>
      <c r="M284" s="3" t="str">
        <f aca="false">INDEX(Parametros!$B$23:$B$31,MATCH(L284,Parametros!$A$23:$A$31,0))</f>
        <v>Reposición simple mín/máx.</v>
      </c>
      <c r="N284" s="3" t="str">
        <f aca="false">INDEX(Parametros!$C$23:$C$31,MATCH(L284,Parametros!$A$23:$A$31,0))</f>
        <v>Trimestral</v>
      </c>
      <c r="O284" s="23" t="n">
        <f aca="false">SUM(Datos_Semanales!M284:R284)</f>
        <v>14348.3920315519</v>
      </c>
      <c r="P284" s="24" t="n">
        <f aca="false">IF(D284&gt;0,SUMPRODUCT(ABS(Datos_Semanales!F284:K284-Datos_Semanales!M284:R284))/D284,"")</f>
        <v>0.129244992478372</v>
      </c>
      <c r="Q284" s="24" t="n">
        <f aca="false">IF(D284&gt;0,O284/D284-1,"")</f>
        <v>0.0473278855147381</v>
      </c>
      <c r="R284" s="23" t="n">
        <f aca="false">SQRT(SUMXMY2(Datos_Semanales!F284:K284,Datos_Semanales!M284:R284)/COUNT(Datos_Semanales!F284:K284))</f>
        <v>385.648479677645</v>
      </c>
    </row>
    <row r="285" customFormat="false" ht="15" hidden="false" customHeight="false" outlineLevel="0" collapsed="false">
      <c r="A285" s="18" t="n">
        <f aca="false">Datos_Semanales!A285</f>
        <v>30001888</v>
      </c>
      <c r="B285" s="18" t="str">
        <f aca="false">Datos_Semanales!B285</f>
        <v>MANTEQ LONCOLECHE PAN 20X200GR</v>
      </c>
      <c r="C285" s="18" t="str">
        <f aca="false">Datos_Semanales!C285</f>
        <v>MANTEQUILLAS</v>
      </c>
      <c r="D285" s="23" t="n">
        <f aca="false">SUM(Datos_Semanales!F285:K285)</f>
        <v>13440</v>
      </c>
      <c r="E285" s="23" t="n">
        <f aca="false">AVERAGE(Datos_Semanales!F285:K285)</f>
        <v>2240</v>
      </c>
      <c r="F285" s="23" t="n">
        <f aca="false">STDEV(Datos_Semanales!F285:K285)</f>
        <v>609.051721941577</v>
      </c>
      <c r="G285" s="27" t="n">
        <f aca="false">IF(E285&gt;0,F285/E285,"")</f>
        <v>0.27189809015249</v>
      </c>
      <c r="H285" s="24" t="n">
        <f aca="false">IF(SUM($D$5:$D$494)&gt;0,D285/SUM($D$5:$D$494),0)</f>
        <v>0.000560236834869721</v>
      </c>
      <c r="I285" s="24" t="n">
        <f aca="false">SUMIF($D$5:$D$494,"&gt;="&amp;D285)/SUM($D$5:$D$494)</f>
        <v>0.957787823406418</v>
      </c>
      <c r="J285" s="3" t="str">
        <f aca="false">IF(D285&lt;=0,"C",IF(I285&lt;=Parametros!$B$4,"A",IF(I285&lt;=Parametros!$B$5,"B","C")))</f>
        <v>C</v>
      </c>
      <c r="K285" s="3" t="str">
        <f aca="false">IF(E285&lt;=0,"Z",IF(G285&lt;=Parametros!$B$6,"X",IF(G285&lt;=Parametros!$B$7,"Y","Z")))</f>
        <v>X</v>
      </c>
      <c r="L285" s="3" t="str">
        <f aca="false">J285&amp;K285</f>
        <v>CX</v>
      </c>
      <c r="M285" s="3" t="str">
        <f aca="false">INDEX(Parametros!$B$23:$B$31,MATCH(L285,Parametros!$A$23:$A$31,0))</f>
        <v>Reposición simple mín/máx.</v>
      </c>
      <c r="N285" s="3" t="str">
        <f aca="false">INDEX(Parametros!$C$23:$C$31,MATCH(L285,Parametros!$A$23:$A$31,0))</f>
        <v>Trimestral</v>
      </c>
      <c r="O285" s="23" t="n">
        <f aca="false">SUM(Datos_Semanales!M285:R285)</f>
        <v>13500</v>
      </c>
      <c r="P285" s="24" t="n">
        <f aca="false">IF(D285&gt;0,SUMPRODUCT(ABS(Datos_Semanales!F285:K285-Datos_Semanales!M285:R285))/D285,"")</f>
        <v>0.427083333333333</v>
      </c>
      <c r="Q285" s="24" t="n">
        <f aca="false">IF(D285&gt;0,O285/D285-1,"")</f>
        <v>0.00446428571428581</v>
      </c>
      <c r="R285" s="23" t="n">
        <f aca="false">SQRT(SUMXMY2(Datos_Semanales!F285:K285,Datos_Semanales!M285:R285)/COUNT(Datos_Semanales!F285:K285))</f>
        <v>1205.53722464302</v>
      </c>
    </row>
    <row r="286" customFormat="false" ht="15" hidden="false" customHeight="false" outlineLevel="0" collapsed="false">
      <c r="A286" s="18" t="n">
        <f aca="false">Datos_Semanales!A286</f>
        <v>30002113</v>
      </c>
      <c r="B286" s="18" t="str">
        <f aca="false">Datos_Semanales!B286</f>
        <v>MERMELADA WATTS FRAMBUESA FRASCO 10X500G</v>
      </c>
      <c r="C286" s="18" t="str">
        <f aca="false">Datos_Semanales!C286</f>
        <v>MERMELADAS</v>
      </c>
      <c r="D286" s="23" t="n">
        <f aca="false">SUM(Datos_Semanales!F286:K286)</f>
        <v>13345</v>
      </c>
      <c r="E286" s="23" t="n">
        <f aca="false">AVERAGE(Datos_Semanales!F286:K286)</f>
        <v>2224.16666666667</v>
      </c>
      <c r="F286" s="23" t="n">
        <f aca="false">STDEV(Datos_Semanales!F286:K286)</f>
        <v>625.814802211219</v>
      </c>
      <c r="G286" s="27" t="n">
        <f aca="false">IF(E286&gt;0,F286/E286,"")</f>
        <v>0.281370461840938</v>
      </c>
      <c r="H286" s="24" t="n">
        <f aca="false">IF(SUM($D$5:$D$494)&gt;0,D286/SUM($D$5:$D$494),0)</f>
        <v>0.000556276827480389</v>
      </c>
      <c r="I286" s="24" t="n">
        <f aca="false">SUMIF($D$5:$D$494,"&gt;="&amp;D286)/SUM($D$5:$D$494)</f>
        <v>0.958344100233898</v>
      </c>
      <c r="J286" s="3" t="str">
        <f aca="false">IF(D286&lt;=0,"C",IF(I286&lt;=Parametros!$B$4,"A",IF(I286&lt;=Parametros!$B$5,"B","C")))</f>
        <v>C</v>
      </c>
      <c r="K286" s="3" t="str">
        <f aca="false">IF(E286&lt;=0,"Z",IF(G286&lt;=Parametros!$B$6,"X",IF(G286&lt;=Parametros!$B$7,"Y","Z")))</f>
        <v>X</v>
      </c>
      <c r="L286" s="3" t="str">
        <f aca="false">J286&amp;K286</f>
        <v>CX</v>
      </c>
      <c r="M286" s="3" t="str">
        <f aca="false">INDEX(Parametros!$B$23:$B$31,MATCH(L286,Parametros!$A$23:$A$31,0))</f>
        <v>Reposición simple mín/máx.</v>
      </c>
      <c r="N286" s="3" t="str">
        <f aca="false">INDEX(Parametros!$C$23:$C$31,MATCH(L286,Parametros!$A$23:$A$31,0))</f>
        <v>Trimestral</v>
      </c>
      <c r="O286" s="23" t="n">
        <f aca="false">SUM(Datos_Semanales!M286:R286)</f>
        <v>13920</v>
      </c>
      <c r="P286" s="24" t="n">
        <f aca="false">IF(D286&gt;0,SUMPRODUCT(ABS(Datos_Semanales!F286:K286-Datos_Semanales!M286:R286))/D286,"")</f>
        <v>0.112026976395654</v>
      </c>
      <c r="Q286" s="24" t="n">
        <f aca="false">IF(D286&gt;0,O286/D286-1,"")</f>
        <v>0.043087298613713</v>
      </c>
      <c r="R286" s="23" t="n">
        <f aca="false">SQRT(SUMXMY2(Datos_Semanales!F286:K286,Datos_Semanales!M286:R286)/COUNT(Datos_Semanales!F286:K286))</f>
        <v>303.514140252696</v>
      </c>
    </row>
    <row r="287" customFormat="false" ht="15" hidden="false" customHeight="false" outlineLevel="0" collapsed="false">
      <c r="A287" s="18" t="n">
        <f aca="false">Datos_Semanales!A287</f>
        <v>30001851</v>
      </c>
      <c r="B287" s="18" t="str">
        <f aca="false">Datos_Semanales!B287</f>
        <v>CULTIVADA LONCO PROTEIN CHIRIMOY 6X900ML</v>
      </c>
      <c r="C287" s="18" t="str">
        <f aca="false">Datos_Semanales!C287</f>
        <v>LECHES LIQUIDAS</v>
      </c>
      <c r="D287" s="23" t="n">
        <f aca="false">SUM(Datos_Semanales!F287:K287)</f>
        <v>13343.4</v>
      </c>
      <c r="E287" s="23" t="n">
        <f aca="false">AVERAGE(Datos_Semanales!F287:K287)</f>
        <v>2223.9</v>
      </c>
      <c r="F287" s="23" t="n">
        <f aca="false">STDEV(Datos_Semanales!F287:K287)</f>
        <v>628.049638165647</v>
      </c>
      <c r="G287" s="27" t="n">
        <f aca="false">IF(E287&gt;0,F287/E287,"")</f>
        <v>0.282409118290232</v>
      </c>
      <c r="H287" s="24" t="n">
        <f aca="false">IF(SUM($D$5:$D$494)&gt;0,D287/SUM($D$5:$D$494),0)</f>
        <v>0.000556210132619095</v>
      </c>
      <c r="I287" s="24" t="n">
        <f aca="false">SUMIF($D$5:$D$494,"&gt;="&amp;D287)/SUM($D$5:$D$494)</f>
        <v>0.958900310366517</v>
      </c>
      <c r="J287" s="3" t="str">
        <f aca="false">IF(D287&lt;=0,"C",IF(I287&lt;=Parametros!$B$4,"A",IF(I287&lt;=Parametros!$B$5,"B","C")))</f>
        <v>C</v>
      </c>
      <c r="K287" s="3" t="str">
        <f aca="false">IF(E287&lt;=0,"Z",IF(G287&lt;=Parametros!$B$6,"X",IF(G287&lt;=Parametros!$B$7,"Y","Z")))</f>
        <v>X</v>
      </c>
      <c r="L287" s="3" t="str">
        <f aca="false">J287&amp;K287</f>
        <v>CX</v>
      </c>
      <c r="M287" s="3" t="str">
        <f aca="false">INDEX(Parametros!$B$23:$B$31,MATCH(L287,Parametros!$A$23:$A$31,0))</f>
        <v>Reposición simple mín/máx.</v>
      </c>
      <c r="N287" s="3" t="str">
        <f aca="false">INDEX(Parametros!$C$23:$C$31,MATCH(L287,Parametros!$A$23:$A$31,0))</f>
        <v>Trimestral</v>
      </c>
      <c r="O287" s="23" t="n">
        <f aca="false">SUM(Datos_Semanales!M287:R287)</f>
        <v>13031.1665413842</v>
      </c>
      <c r="P287" s="24" t="n">
        <f aca="false">IF(D287&gt;0,SUMPRODUCT(ABS(Datos_Semanales!F287:K287-Datos_Semanales!M287:R287))/D287,"")</f>
        <v>0.211667478843434</v>
      </c>
      <c r="Q287" s="24" t="n">
        <f aca="false">IF(D287&gt;0,O287/D287-1,"")</f>
        <v>-0.0233998425150869</v>
      </c>
      <c r="R287" s="23" t="n">
        <f aca="false">SQRT(SUMXMY2(Datos_Semanales!F287:K287,Datos_Semanales!M287:R287)/COUNT(Datos_Semanales!F287:K287))</f>
        <v>657.439900029177</v>
      </c>
    </row>
    <row r="288" customFormat="false" ht="15" hidden="false" customHeight="false" outlineLevel="0" collapsed="false">
      <c r="A288" s="18" t="n">
        <f aca="false">Datos_Semanales!A288</f>
        <v>30001886</v>
      </c>
      <c r="B288" s="18" t="str">
        <f aca="false">Datos_Semanales!B288</f>
        <v>CASTANAS EN ALMIBAR WASIL 16X570GR</v>
      </c>
      <c r="C288" s="18" t="str">
        <f aca="false">Datos_Semanales!C288</f>
        <v>CONSERVAS Y PLATOS LISTOS</v>
      </c>
      <c r="D288" s="23" t="n">
        <f aca="false">SUM(Datos_Semanales!F288:K288)</f>
        <v>13233.12</v>
      </c>
      <c r="E288" s="23" t="n">
        <f aca="false">AVERAGE(Datos_Semanales!F288:K288)</f>
        <v>2205.52</v>
      </c>
      <c r="F288" s="23" t="n">
        <f aca="false">STDEV(Datos_Semanales!F288:K288)</f>
        <v>1353.97347755412</v>
      </c>
      <c r="G288" s="27" t="n">
        <f aca="false">IF(E288&gt;0,F288/E288,"")</f>
        <v>0.613902153484947</v>
      </c>
      <c r="H288" s="24" t="n">
        <f aca="false">IF(SUM($D$5:$D$494)&gt;0,D288/SUM($D$5:$D$494),0)</f>
        <v>0.000551613189304405</v>
      </c>
      <c r="I288" s="24" t="n">
        <f aca="false">SUMIF($D$5:$D$494,"&gt;="&amp;D288)/SUM($D$5:$D$494)</f>
        <v>0.959451923555822</v>
      </c>
      <c r="J288" s="3" t="str">
        <f aca="false">IF(D288&lt;=0,"C",IF(I288&lt;=Parametros!$B$4,"A",IF(I288&lt;=Parametros!$B$5,"B","C")))</f>
        <v>C</v>
      </c>
      <c r="K288" s="3" t="str">
        <f aca="false">IF(E288&lt;=0,"Z",IF(G288&lt;=Parametros!$B$6,"X",IF(G288&lt;=Parametros!$B$7,"Y","Z")))</f>
        <v>Y</v>
      </c>
      <c r="L288" s="3" t="str">
        <f aca="false">J288&amp;K288</f>
        <v>CY</v>
      </c>
      <c r="M288" s="3" t="str">
        <f aca="false">INDEX(Parametros!$B$23:$B$31,MATCH(L288,Parametros!$A$23:$A$31,0))</f>
        <v>Mín/máx con stock bajo; evaluar continuidad del SKU.</v>
      </c>
      <c r="N288" s="3" t="str">
        <f aca="false">INDEX(Parametros!$C$23:$C$31,MATCH(L288,Parametros!$A$23:$A$31,0))</f>
        <v>Mensual</v>
      </c>
      <c r="O288" s="23" t="n">
        <f aca="false">SUM(Datos_Semanales!M288:R288)</f>
        <v>12643.12</v>
      </c>
      <c r="P288" s="24" t="n">
        <f aca="false">IF(D288&gt;0,SUMPRODUCT(ABS(Datos_Semanales!F288:K288-Datos_Semanales!M288:R288))/D288,"")</f>
        <v>0.322493863880929</v>
      </c>
      <c r="Q288" s="24" t="n">
        <f aca="false">IF(D288&gt;0,O288/D288-1,"")</f>
        <v>-0.0445851016238045</v>
      </c>
      <c r="R288" s="23" t="n">
        <f aca="false">SQRT(SUMXMY2(Datos_Semanales!F288:K288,Datos_Semanales!M288:R288)/COUNT(Datos_Semanales!F288:K288))</f>
        <v>781.964844904595</v>
      </c>
    </row>
    <row r="289" customFormat="false" ht="15" hidden="false" customHeight="false" outlineLevel="0" collapsed="false">
      <c r="A289" s="18" t="n">
        <f aca="false">Datos_Semanales!A289</f>
        <v>30001540</v>
      </c>
      <c r="B289" s="18" t="str">
        <f aca="false">Datos_Semanales!B289</f>
        <v>PASTELERA DE CHOCLO 16X380GR</v>
      </c>
      <c r="C289" s="18" t="str">
        <f aca="false">Datos_Semanales!C289</f>
        <v>CONSERVAS Y PLATOS LISTOS</v>
      </c>
      <c r="D289" s="23" t="n">
        <f aca="false">SUM(Datos_Semanales!F289:K289)</f>
        <v>13217.92</v>
      </c>
      <c r="E289" s="23" t="n">
        <f aca="false">AVERAGE(Datos_Semanales!F289:K289)</f>
        <v>2202.98666666667</v>
      </c>
      <c r="F289" s="23" t="n">
        <f aca="false">STDEV(Datos_Semanales!F289:K289)</f>
        <v>741.178351185912</v>
      </c>
      <c r="G289" s="27" t="n">
        <f aca="false">IF(E289&gt;0,F289/E289,"")</f>
        <v>0.336442504351325</v>
      </c>
      <c r="H289" s="24" t="n">
        <f aca="false">IF(SUM($D$5:$D$494)&gt;0,D289/SUM($D$5:$D$494),0)</f>
        <v>0.000550979588122112</v>
      </c>
      <c r="I289" s="24" t="n">
        <f aca="false">SUMIF($D$5:$D$494,"&gt;="&amp;D289)/SUM($D$5:$D$494)</f>
        <v>0.960002903143944</v>
      </c>
      <c r="J289" s="3" t="str">
        <f aca="false">IF(D289&lt;=0,"C",IF(I289&lt;=Parametros!$B$4,"A",IF(I289&lt;=Parametros!$B$5,"B","C")))</f>
        <v>C</v>
      </c>
      <c r="K289" s="3" t="str">
        <f aca="false">IF(E289&lt;=0,"Z",IF(G289&lt;=Parametros!$B$6,"X",IF(G289&lt;=Parametros!$B$7,"Y","Z")))</f>
        <v>X</v>
      </c>
      <c r="L289" s="3" t="str">
        <f aca="false">J289&amp;K289</f>
        <v>CX</v>
      </c>
      <c r="M289" s="3" t="str">
        <f aca="false">INDEX(Parametros!$B$23:$B$31,MATCH(L289,Parametros!$A$23:$A$31,0))</f>
        <v>Reposición simple mín/máx.</v>
      </c>
      <c r="N289" s="3" t="str">
        <f aca="false">INDEX(Parametros!$C$23:$C$31,MATCH(L289,Parametros!$A$23:$A$31,0))</f>
        <v>Trimestral</v>
      </c>
      <c r="O289" s="23" t="n">
        <f aca="false">SUM(Datos_Semanales!M289:R289)</f>
        <v>15545.6</v>
      </c>
      <c r="P289" s="24" t="n">
        <f aca="false">IF(D289&gt;0,SUMPRODUCT(ABS(Datos_Semanales!F289:K289-Datos_Semanales!M289:R289))/D289,"")</f>
        <v>0.304011523749576</v>
      </c>
      <c r="Q289" s="24" t="n">
        <f aca="false">IF(D289&gt;0,O289/D289-1,"")</f>
        <v>0.176100324408076</v>
      </c>
      <c r="R289" s="23" t="n">
        <f aca="false">SQRT(SUMXMY2(Datos_Semanales!F289:K289,Datos_Semanales!M289:R289)/COUNT(Datos_Semanales!F289:K289))</f>
        <v>802.291375831333</v>
      </c>
    </row>
    <row r="290" customFormat="false" ht="15" hidden="false" customHeight="false" outlineLevel="0" collapsed="false">
      <c r="A290" s="18" t="n">
        <f aca="false">Datos_Semanales!A290</f>
        <v>30000171</v>
      </c>
      <c r="B290" s="18" t="str">
        <f aca="false">Datos_Semanales!B290</f>
        <v>MERM W S/A DOYP MORA 12X350GR</v>
      </c>
      <c r="C290" s="18" t="str">
        <f aca="false">Datos_Semanales!C290</f>
        <v>MERMELADAS</v>
      </c>
      <c r="D290" s="23" t="n">
        <f aca="false">SUM(Datos_Semanales!F290:K290)</f>
        <v>13209</v>
      </c>
      <c r="E290" s="23" t="n">
        <f aca="false">AVERAGE(Datos_Semanales!F290:K290)</f>
        <v>2201.5</v>
      </c>
      <c r="F290" s="23" t="n">
        <f aca="false">STDEV(Datos_Semanales!F290:K290)</f>
        <v>479.325939210471</v>
      </c>
      <c r="G290" s="27" t="n">
        <f aca="false">IF(E290&gt;0,F290/E290,"")</f>
        <v>0.217726976702462</v>
      </c>
      <c r="H290" s="24" t="n">
        <f aca="false">IF(SUM($D$5:$D$494)&gt;0,D290/SUM($D$5:$D$494),0)</f>
        <v>0.000550607764270398</v>
      </c>
      <c r="I290" s="24" t="n">
        <f aca="false">SUMIF($D$5:$D$494,"&gt;="&amp;D290)/SUM($D$5:$D$494)</f>
        <v>0.960553510908214</v>
      </c>
      <c r="J290" s="3" t="str">
        <f aca="false">IF(D290&lt;=0,"C",IF(I290&lt;=Parametros!$B$4,"A",IF(I290&lt;=Parametros!$B$5,"B","C")))</f>
        <v>C</v>
      </c>
      <c r="K290" s="3" t="str">
        <f aca="false">IF(E290&lt;=0,"Z",IF(G290&lt;=Parametros!$B$6,"X",IF(G290&lt;=Parametros!$B$7,"Y","Z")))</f>
        <v>X</v>
      </c>
      <c r="L290" s="3" t="str">
        <f aca="false">J290&amp;K290</f>
        <v>CX</v>
      </c>
      <c r="M290" s="3" t="str">
        <f aca="false">INDEX(Parametros!$B$23:$B$31,MATCH(L290,Parametros!$A$23:$A$31,0))</f>
        <v>Reposición simple mín/máx.</v>
      </c>
      <c r="N290" s="3" t="str">
        <f aca="false">INDEX(Parametros!$C$23:$C$31,MATCH(L290,Parametros!$A$23:$A$31,0))</f>
        <v>Trimestral</v>
      </c>
      <c r="O290" s="23" t="n">
        <f aca="false">SUM(Datos_Semanales!M290:R290)</f>
        <v>9880.6</v>
      </c>
      <c r="P290" s="24" t="n">
        <f aca="false">IF(D290&gt;0,SUMPRODUCT(ABS(Datos_Semanales!F290:K290-Datos_Semanales!M290:R290))/D290,"")</f>
        <v>0.258248164130517</v>
      </c>
      <c r="Q290" s="24" t="n">
        <f aca="false">IF(D290&gt;0,O290/D290-1,"")</f>
        <v>-0.25197971080324</v>
      </c>
      <c r="R290" s="23" t="n">
        <f aca="false">SQRT(SUMXMY2(Datos_Semanales!F290:K290,Datos_Semanales!M290:R290)/COUNT(Datos_Semanales!F290:K290))</f>
        <v>654.135052314632</v>
      </c>
    </row>
    <row r="291" customFormat="false" ht="15" hidden="false" customHeight="false" outlineLevel="0" collapsed="false">
      <c r="A291" s="18" t="n">
        <f aca="false">Datos_Semanales!A291</f>
        <v>30001143</v>
      </c>
      <c r="B291" s="18" t="str">
        <f aca="false">Datos_Semanales!B291</f>
        <v>MERM WATTS FRASCO MORA 10X500GR</v>
      </c>
      <c r="C291" s="18" t="str">
        <f aca="false">Datos_Semanales!C291</f>
        <v>MERMELADAS</v>
      </c>
      <c r="D291" s="23" t="n">
        <f aca="false">SUM(Datos_Semanales!F291:K291)</f>
        <v>13090</v>
      </c>
      <c r="E291" s="23" t="n">
        <f aca="false">AVERAGE(Datos_Semanales!F291:K291)</f>
        <v>2181.66666666667</v>
      </c>
      <c r="F291" s="23" t="n">
        <f aca="false">STDEV(Datos_Semanales!F291:K291)</f>
        <v>708.376077141702</v>
      </c>
      <c r="G291" s="27" t="n">
        <f aca="false">IF(E291&gt;0,F291/E291,"")</f>
        <v>0.324694916948068</v>
      </c>
      <c r="H291" s="24" t="n">
        <f aca="false">IF(SUM($D$5:$D$494)&gt;0,D291/SUM($D$5:$D$494),0)</f>
        <v>0.000545647333961655</v>
      </c>
      <c r="I291" s="24" t="n">
        <f aca="false">SUMIF($D$5:$D$494,"&gt;="&amp;D291)/SUM($D$5:$D$494)</f>
        <v>0.961099158242176</v>
      </c>
      <c r="J291" s="3" t="str">
        <f aca="false">IF(D291&lt;=0,"C",IF(I291&lt;=Parametros!$B$4,"A",IF(I291&lt;=Parametros!$B$5,"B","C")))</f>
        <v>C</v>
      </c>
      <c r="K291" s="3" t="str">
        <f aca="false">IF(E291&lt;=0,"Z",IF(G291&lt;=Parametros!$B$6,"X",IF(G291&lt;=Parametros!$B$7,"Y","Z")))</f>
        <v>X</v>
      </c>
      <c r="L291" s="3" t="str">
        <f aca="false">J291&amp;K291</f>
        <v>CX</v>
      </c>
      <c r="M291" s="3" t="str">
        <f aca="false">INDEX(Parametros!$B$23:$B$31,MATCH(L291,Parametros!$A$23:$A$31,0))</f>
        <v>Reposición simple mín/máx.</v>
      </c>
      <c r="N291" s="3" t="str">
        <f aca="false">INDEX(Parametros!$C$23:$C$31,MATCH(L291,Parametros!$A$23:$A$31,0))</f>
        <v>Trimestral</v>
      </c>
      <c r="O291" s="23" t="n">
        <f aca="false">SUM(Datos_Semanales!M291:R291)</f>
        <v>15260</v>
      </c>
      <c r="P291" s="24" t="n">
        <f aca="false">IF(D291&gt;0,SUMPRODUCT(ABS(Datos_Semanales!F291:K291-Datos_Semanales!M291:R291))/D291,"")</f>
        <v>0.188693659281895</v>
      </c>
      <c r="Q291" s="24" t="n">
        <f aca="false">IF(D291&gt;0,O291/D291-1,"")</f>
        <v>0.165775401069519</v>
      </c>
      <c r="R291" s="23" t="n">
        <f aca="false">SQRT(SUMXMY2(Datos_Semanales!F291:K291,Datos_Semanales!M291:R291)/COUNT(Datos_Semanales!F291:K291))</f>
        <v>468.854988242634</v>
      </c>
    </row>
    <row r="292" customFormat="false" ht="15" hidden="false" customHeight="false" outlineLevel="0" collapsed="false">
      <c r="A292" s="18" t="n">
        <f aca="false">Datos_Semanales!A292</f>
        <v>30001829</v>
      </c>
      <c r="B292" s="18" t="str">
        <f aca="false">Datos_Semanales!B292</f>
        <v>L.L. VEGETAL SOYA TRZO MGO MYA 12X130GR</v>
      </c>
      <c r="C292" s="18" t="str">
        <f aca="false">Datos_Semanales!C292</f>
        <v>YOGURT</v>
      </c>
      <c r="D292" s="23" t="n">
        <f aca="false">SUM(Datos_Semanales!F292:K292)</f>
        <v>12760.8</v>
      </c>
      <c r="E292" s="23" t="n">
        <f aca="false">AVERAGE(Datos_Semanales!F292:K292)</f>
        <v>2126.8</v>
      </c>
      <c r="F292" s="23" t="n">
        <f aca="false">STDEV(Datos_Semanales!F292:K292)</f>
        <v>468.227358107149</v>
      </c>
      <c r="G292" s="27" t="n">
        <f aca="false">IF(E292&gt;0,F292/E292,"")</f>
        <v>0.220155801254066</v>
      </c>
      <c r="H292" s="24" t="n">
        <f aca="false">IF(SUM($D$5:$D$494)&gt;0,D292/SUM($D$5:$D$494),0)</f>
        <v>0.000531924866250412</v>
      </c>
      <c r="I292" s="24" t="n">
        <f aca="false">SUMIF($D$5:$D$494,"&gt;="&amp;D292)/SUM($D$5:$D$494)</f>
        <v>0.961631083108426</v>
      </c>
      <c r="J292" s="3" t="str">
        <f aca="false">IF(D292&lt;=0,"C",IF(I292&lt;=Parametros!$B$4,"A",IF(I292&lt;=Parametros!$B$5,"B","C")))</f>
        <v>C</v>
      </c>
      <c r="K292" s="3" t="str">
        <f aca="false">IF(E292&lt;=0,"Z",IF(G292&lt;=Parametros!$B$6,"X",IF(G292&lt;=Parametros!$B$7,"Y","Z")))</f>
        <v>X</v>
      </c>
      <c r="L292" s="3" t="str">
        <f aca="false">J292&amp;K292</f>
        <v>CX</v>
      </c>
      <c r="M292" s="3" t="str">
        <f aca="false">INDEX(Parametros!$B$23:$B$31,MATCH(L292,Parametros!$A$23:$A$31,0))</f>
        <v>Reposición simple mín/máx.</v>
      </c>
      <c r="N292" s="3" t="str">
        <f aca="false">INDEX(Parametros!$C$23:$C$31,MATCH(L292,Parametros!$A$23:$A$31,0))</f>
        <v>Trimestral</v>
      </c>
      <c r="O292" s="23" t="n">
        <f aca="false">SUM(Datos_Semanales!M292:R292)</f>
        <v>10074.5501660263</v>
      </c>
      <c r="P292" s="24" t="n">
        <f aca="false">IF(D292&gt;0,SUMPRODUCT(ABS(Datos_Semanales!F292:K292-Datos_Semanales!M292:R292))/D292,"")</f>
        <v>0.288335182991092</v>
      </c>
      <c r="Q292" s="24" t="n">
        <f aca="false">IF(D292&gt;0,O292/D292-1,"")</f>
        <v>-0.210507948872617</v>
      </c>
      <c r="R292" s="23" t="n">
        <f aca="false">SQRT(SUMXMY2(Datos_Semanales!F292:K292,Datos_Semanales!M292:R292)/COUNT(Datos_Semanales!F292:K292))</f>
        <v>781.341520002126</v>
      </c>
    </row>
    <row r="293" customFormat="false" ht="15" hidden="false" customHeight="false" outlineLevel="0" collapsed="false">
      <c r="A293" s="18" t="n">
        <f aca="false">Datos_Semanales!A293</f>
        <v>30002325</v>
      </c>
      <c r="B293" s="18" t="str">
        <f aca="false">Datos_Semanales!B293</f>
        <v>NECTAR WATTS PROTEINA FRUTOS ROJOS SIXPACK 18X250ML</v>
      </c>
      <c r="C293" s="18" t="str">
        <f aca="false">Datos_Semanales!C293</f>
        <v>-</v>
      </c>
      <c r="D293" s="23" t="n">
        <f aca="false">SUM(Datos_Semanales!F293:K293)</f>
        <v>12730.5</v>
      </c>
      <c r="E293" s="23" t="n">
        <f aca="false">AVERAGE(Datos_Semanales!F293:K293)</f>
        <v>2121.75</v>
      </c>
      <c r="F293" s="23" t="n">
        <f aca="false">STDEV(Datos_Semanales!F293:K293)</f>
        <v>919.264203045022</v>
      </c>
      <c r="G293" s="27" t="n">
        <f aca="false">IF(E293&gt;0,F293/E293,"")</f>
        <v>0.433257548271485</v>
      </c>
      <c r="H293" s="24" t="n">
        <f aca="false">IF(SUM($D$5:$D$494)&gt;0,D293/SUM($D$5:$D$494),0)</f>
        <v>0.000530661832314656</v>
      </c>
      <c r="I293" s="24" t="n">
        <f aca="false">SUMIF($D$5:$D$494,"&gt;="&amp;D293)/SUM($D$5:$D$494)</f>
        <v>0.962161744940741</v>
      </c>
      <c r="J293" s="3" t="str">
        <f aca="false">IF(D293&lt;=0,"C",IF(I293&lt;=Parametros!$B$4,"A",IF(I293&lt;=Parametros!$B$5,"B","C")))</f>
        <v>C</v>
      </c>
      <c r="K293" s="3" t="str">
        <f aca="false">IF(E293&lt;=0,"Z",IF(G293&lt;=Parametros!$B$6,"X",IF(G293&lt;=Parametros!$B$7,"Y","Z")))</f>
        <v>X</v>
      </c>
      <c r="L293" s="3" t="str">
        <f aca="false">J293&amp;K293</f>
        <v>CX</v>
      </c>
      <c r="M293" s="3" t="str">
        <f aca="false">INDEX(Parametros!$B$23:$B$31,MATCH(L293,Parametros!$A$23:$A$31,0))</f>
        <v>Reposición simple mín/máx.</v>
      </c>
      <c r="N293" s="3" t="str">
        <f aca="false">INDEX(Parametros!$C$23:$C$31,MATCH(L293,Parametros!$A$23:$A$31,0))</f>
        <v>Trimestral</v>
      </c>
      <c r="O293" s="23" t="n">
        <f aca="false">SUM(Datos_Semanales!M293:R293)</f>
        <v>7169.87533222102</v>
      </c>
      <c r="P293" s="24" t="n">
        <f aca="false">IF(D293&gt;0,SUMPRODUCT(ABS(Datos_Semanales!F293:K293-Datos_Semanales!M293:R293))/D293,"")</f>
        <v>0.620140240542086</v>
      </c>
      <c r="Q293" s="24" t="n">
        <f aca="false">IF(D293&gt;0,O293/D293-1,"")</f>
        <v>-0.436795465046854</v>
      </c>
      <c r="R293" s="23" t="n">
        <f aca="false">SQRT(SUMXMY2(Datos_Semanales!F293:K293,Datos_Semanales!M293:R293)/COUNT(Datos_Semanales!F293:K293))</f>
        <v>1428.72438033355</v>
      </c>
    </row>
    <row r="294" customFormat="false" ht="15" hidden="false" customHeight="false" outlineLevel="0" collapsed="false">
      <c r="A294" s="18" t="n">
        <f aca="false">Datos_Semanales!A294</f>
        <v>30001757</v>
      </c>
      <c r="B294" s="18" t="str">
        <f aca="false">Datos_Semanales!B294</f>
        <v>MERMELADA DAMASCO 12X225GR</v>
      </c>
      <c r="C294" s="18" t="str">
        <f aca="false">Datos_Semanales!C294</f>
        <v>MERMELADAS</v>
      </c>
      <c r="D294" s="23" t="n">
        <f aca="false">SUM(Datos_Semanales!F294:K294)</f>
        <v>12619.8</v>
      </c>
      <c r="E294" s="23" t="n">
        <f aca="false">AVERAGE(Datos_Semanales!F294:K294)</f>
        <v>2103.3</v>
      </c>
      <c r="F294" s="23" t="n">
        <f aca="false">STDEV(Datos_Semanales!F294:K294)</f>
        <v>766.767675375012</v>
      </c>
      <c r="G294" s="27" t="n">
        <f aca="false">IF(E294&gt;0,F294/E294,"")</f>
        <v>0.364554592961067</v>
      </c>
      <c r="H294" s="24" t="n">
        <f aca="false">IF(SUM($D$5:$D$494)&gt;0,D294/SUM($D$5:$D$494),0)</f>
        <v>0.000526047381598877</v>
      </c>
      <c r="I294" s="24" t="n">
        <f aca="false">SUMIF($D$5:$D$494,"&gt;="&amp;D294)/SUM($D$5:$D$494)</f>
        <v>0.96268779232234</v>
      </c>
      <c r="J294" s="3" t="str">
        <f aca="false">IF(D294&lt;=0,"C",IF(I294&lt;=Parametros!$B$4,"A",IF(I294&lt;=Parametros!$B$5,"B","C")))</f>
        <v>C</v>
      </c>
      <c r="K294" s="3" t="str">
        <f aca="false">IF(E294&lt;=0,"Z",IF(G294&lt;=Parametros!$B$6,"X",IF(G294&lt;=Parametros!$B$7,"Y","Z")))</f>
        <v>X</v>
      </c>
      <c r="L294" s="3" t="str">
        <f aca="false">J294&amp;K294</f>
        <v>CX</v>
      </c>
      <c r="M294" s="3" t="str">
        <f aca="false">INDEX(Parametros!$B$23:$B$31,MATCH(L294,Parametros!$A$23:$A$31,0))</f>
        <v>Reposición simple mín/máx.</v>
      </c>
      <c r="N294" s="3" t="str">
        <f aca="false">INDEX(Parametros!$C$23:$C$31,MATCH(L294,Parametros!$A$23:$A$31,0))</f>
        <v>Trimestral</v>
      </c>
      <c r="O294" s="23" t="n">
        <f aca="false">SUM(Datos_Semanales!M294:R294)</f>
        <v>13500</v>
      </c>
      <c r="P294" s="24" t="n">
        <f aca="false">IF(D294&gt;0,SUMPRODUCT(ABS(Datos_Semanales!F294:K294-Datos_Semanales!M294:R294))/D294,"")</f>
        <v>0.35805638758142</v>
      </c>
      <c r="Q294" s="24" t="n">
        <f aca="false">IF(D294&gt;0,O294/D294-1,"")</f>
        <v>0.0697475395806591</v>
      </c>
      <c r="R294" s="23" t="n">
        <f aca="false">SQRT(SUMXMY2(Datos_Semanales!F294:K294,Datos_Semanales!M294:R294)/COUNT(Datos_Semanales!F294:K294))</f>
        <v>908.578439101435</v>
      </c>
    </row>
    <row r="295" customFormat="false" ht="15" hidden="false" customHeight="false" outlineLevel="0" collapsed="false">
      <c r="A295" s="18" t="n">
        <f aca="false">Datos_Semanales!A295</f>
        <v>30001889</v>
      </c>
      <c r="B295" s="18" t="str">
        <f aca="false">Datos_Semanales!B295</f>
        <v>JALEA REG NARANJA 6X4X100GR</v>
      </c>
      <c r="C295" s="18" t="str">
        <f aca="false">Datos_Semanales!C295</f>
        <v>-</v>
      </c>
      <c r="D295" s="23" t="n">
        <f aca="false">SUM(Datos_Semanales!F295:K295)</f>
        <v>12552</v>
      </c>
      <c r="E295" s="23" t="n">
        <f aca="false">AVERAGE(Datos_Semanales!F295:K295)</f>
        <v>2092</v>
      </c>
      <c r="F295" s="23" t="n">
        <f aca="false">STDEV(Datos_Semanales!F295:K295)</f>
        <v>361.270292163637</v>
      </c>
      <c r="G295" s="27" t="n">
        <f aca="false">IF(E295&gt;0,F295/E295,"")</f>
        <v>0.172691344246481</v>
      </c>
      <c r="H295" s="24" t="n">
        <f aca="false">IF(SUM($D$5:$D$494)&gt;0,D295/SUM($D$5:$D$494),0)</f>
        <v>0.000523221186851543</v>
      </c>
      <c r="I295" s="24" t="n">
        <f aca="false">SUMIF($D$5:$D$494,"&gt;="&amp;D295)/SUM($D$5:$D$494)</f>
        <v>0.963211013509191</v>
      </c>
      <c r="J295" s="3" t="str">
        <f aca="false">IF(D295&lt;=0,"C",IF(I295&lt;=Parametros!$B$4,"A",IF(I295&lt;=Parametros!$B$5,"B","C")))</f>
        <v>C</v>
      </c>
      <c r="K295" s="3" t="str">
        <f aca="false">IF(E295&lt;=0,"Z",IF(G295&lt;=Parametros!$B$6,"X",IF(G295&lt;=Parametros!$B$7,"Y","Z")))</f>
        <v>X</v>
      </c>
      <c r="L295" s="3" t="str">
        <f aca="false">J295&amp;K295</f>
        <v>CX</v>
      </c>
      <c r="M295" s="3" t="str">
        <f aca="false">INDEX(Parametros!$B$23:$B$31,MATCH(L295,Parametros!$A$23:$A$31,0))</f>
        <v>Reposición simple mín/máx.</v>
      </c>
      <c r="N295" s="3" t="str">
        <f aca="false">INDEX(Parametros!$C$23:$C$31,MATCH(L295,Parametros!$A$23:$A$31,0))</f>
        <v>Trimestral</v>
      </c>
      <c r="O295" s="23" t="n">
        <f aca="false">SUM(Datos_Semanales!M295:R295)</f>
        <v>16286.6281220732</v>
      </c>
      <c r="P295" s="24" t="n">
        <f aca="false">IF(D295&gt;0,SUMPRODUCT(ABS(Datos_Semanales!F295:K295-Datos_Semanales!M295:R295))/D295,"")</f>
        <v>0.436724856448416</v>
      </c>
      <c r="Q295" s="24" t="n">
        <f aca="false">IF(D295&gt;0,O295/D295-1,"")</f>
        <v>0.297532514505513</v>
      </c>
      <c r="R295" s="23" t="n">
        <f aca="false">SQRT(SUMXMY2(Datos_Semanales!F295:K295,Datos_Semanales!M295:R295)/COUNT(Datos_Semanales!F295:K295))</f>
        <v>1087.38042534772</v>
      </c>
    </row>
    <row r="296" customFormat="false" ht="15" hidden="false" customHeight="false" outlineLevel="0" collapsed="false">
      <c r="A296" s="18" t="n">
        <f aca="false">Datos_Semanales!A296</f>
        <v>30000086</v>
      </c>
      <c r="B296" s="18" t="str">
        <f aca="false">Datos_Semanales!B296</f>
        <v>MANTEQ LONCO S/COL POT 24X250GR</v>
      </c>
      <c r="C296" s="18" t="str">
        <f aca="false">Datos_Semanales!C296</f>
        <v>MANTEQUILLAS</v>
      </c>
      <c r="D296" s="23" t="n">
        <f aca="false">SUM(Datos_Semanales!F296:K296)</f>
        <v>12516</v>
      </c>
      <c r="E296" s="23" t="n">
        <f aca="false">AVERAGE(Datos_Semanales!F296:K296)</f>
        <v>2086</v>
      </c>
      <c r="F296" s="23" t="n">
        <f aca="false">STDEV(Datos_Semanales!F296:K296)</f>
        <v>1070.3278002556</v>
      </c>
      <c r="G296" s="27" t="n">
        <f aca="false">IF(E296&gt;0,F296/E296,"")</f>
        <v>0.513100575386196</v>
      </c>
      <c r="H296" s="24" t="n">
        <f aca="false">IF(SUM($D$5:$D$494)&gt;0,D296/SUM($D$5:$D$494),0)</f>
        <v>0.000521720552472428</v>
      </c>
      <c r="I296" s="24" t="n">
        <f aca="false">SUMIF($D$5:$D$494,"&gt;="&amp;D296)/SUM($D$5:$D$494)</f>
        <v>0.963732734061664</v>
      </c>
      <c r="J296" s="3" t="str">
        <f aca="false">IF(D296&lt;=0,"C",IF(I296&lt;=Parametros!$B$4,"A",IF(I296&lt;=Parametros!$B$5,"B","C")))</f>
        <v>C</v>
      </c>
      <c r="K296" s="3" t="str">
        <f aca="false">IF(E296&lt;=0,"Z",IF(G296&lt;=Parametros!$B$6,"X",IF(G296&lt;=Parametros!$B$7,"Y","Z")))</f>
        <v>Y</v>
      </c>
      <c r="L296" s="3" t="str">
        <f aca="false">J296&amp;K296</f>
        <v>CY</v>
      </c>
      <c r="M296" s="3" t="str">
        <f aca="false">INDEX(Parametros!$B$23:$B$31,MATCH(L296,Parametros!$A$23:$A$31,0))</f>
        <v>Mín/máx con stock bajo; evaluar continuidad del SKU.</v>
      </c>
      <c r="N296" s="3" t="str">
        <f aca="false">INDEX(Parametros!$C$23:$C$31,MATCH(L296,Parametros!$A$23:$A$31,0))</f>
        <v>Mensual</v>
      </c>
      <c r="O296" s="23" t="n">
        <f aca="false">SUM(Datos_Semanales!M296:R296)</f>
        <v>12958.7720803015</v>
      </c>
      <c r="P296" s="24" t="n">
        <f aca="false">IF(D296&gt;0,SUMPRODUCT(ABS(Datos_Semanales!F296:K296-Datos_Semanales!M296:R296))/D296,"")</f>
        <v>0.287541279707466</v>
      </c>
      <c r="Q296" s="24" t="n">
        <f aca="false">IF(D296&gt;0,O296/D296-1,"")</f>
        <v>0.0353764845239273</v>
      </c>
      <c r="R296" s="23" t="n">
        <f aca="false">SQRT(SUMXMY2(Datos_Semanales!F296:K296,Datos_Semanales!M296:R296)/COUNT(Datos_Semanales!F296:K296))</f>
        <v>721.99442100421</v>
      </c>
    </row>
    <row r="297" customFormat="false" ht="15" hidden="false" customHeight="false" outlineLevel="0" collapsed="false">
      <c r="A297" s="18" t="n">
        <f aca="false">Datos_Semanales!A297</f>
        <v>30002064</v>
      </c>
      <c r="B297" s="18" t="str">
        <f aca="false">Datos_Semanales!B297</f>
        <v>MANTEQUILLA LPV POTE 24X200G</v>
      </c>
      <c r="C297" s="18" t="str">
        <f aca="false">Datos_Semanales!C297</f>
        <v>MANTEQUILLAS</v>
      </c>
      <c r="D297" s="23" t="n">
        <f aca="false">SUM(Datos_Semanales!F297:K297)</f>
        <v>12336</v>
      </c>
      <c r="E297" s="23" t="n">
        <f aca="false">AVERAGE(Datos_Semanales!F297:K297)</f>
        <v>2056</v>
      </c>
      <c r="F297" s="23" t="n">
        <f aca="false">STDEV(Datos_Semanales!F297:K297)</f>
        <v>553.135527696423</v>
      </c>
      <c r="G297" s="27" t="n">
        <f aca="false">IF(E297&gt;0,F297/E297,"")</f>
        <v>0.269034789735614</v>
      </c>
      <c r="H297" s="24" t="n">
        <f aca="false">IF(SUM($D$5:$D$494)&gt;0,D297/SUM($D$5:$D$494),0)</f>
        <v>0.000514217380576851</v>
      </c>
      <c r="I297" s="24" t="n">
        <f aca="false">SUMIF($D$5:$D$494,"&gt;="&amp;D297)/SUM($D$5:$D$494)</f>
        <v>0.964246951442241</v>
      </c>
      <c r="J297" s="3" t="str">
        <f aca="false">IF(D297&lt;=0,"C",IF(I297&lt;=Parametros!$B$4,"A",IF(I297&lt;=Parametros!$B$5,"B","C")))</f>
        <v>C</v>
      </c>
      <c r="K297" s="3" t="str">
        <f aca="false">IF(E297&lt;=0,"Z",IF(G297&lt;=Parametros!$B$6,"X",IF(G297&lt;=Parametros!$B$7,"Y","Z")))</f>
        <v>X</v>
      </c>
      <c r="L297" s="3" t="str">
        <f aca="false">J297&amp;K297</f>
        <v>CX</v>
      </c>
      <c r="M297" s="3" t="str">
        <f aca="false">INDEX(Parametros!$B$23:$B$31,MATCH(L297,Parametros!$A$23:$A$31,0))</f>
        <v>Reposición simple mín/máx.</v>
      </c>
      <c r="N297" s="3" t="str">
        <f aca="false">INDEX(Parametros!$C$23:$C$31,MATCH(L297,Parametros!$A$23:$A$31,0))</f>
        <v>Trimestral</v>
      </c>
      <c r="O297" s="23" t="n">
        <f aca="false">SUM(Datos_Semanales!M297:R297)</f>
        <v>16758.7064026544</v>
      </c>
      <c r="P297" s="24" t="n">
        <f aca="false">IF(D297&gt;0,SUMPRODUCT(ABS(Datos_Semanales!F297:K297-Datos_Semanales!M297:R297))/D297,"")</f>
        <v>0.424700583872764</v>
      </c>
      <c r="Q297" s="24" t="n">
        <f aca="false">IF(D297&gt;0,O297/D297-1,"")</f>
        <v>0.358520298529055</v>
      </c>
      <c r="R297" s="23" t="n">
        <f aca="false">SQRT(SUMXMY2(Datos_Semanales!F297:K297,Datos_Semanales!M297:R297)/COUNT(Datos_Semanales!F297:K297))</f>
        <v>976.005630680902</v>
      </c>
    </row>
    <row r="298" customFormat="false" ht="15" hidden="false" customHeight="false" outlineLevel="0" collapsed="false">
      <c r="A298" s="18" t="n">
        <f aca="false">Datos_Semanales!A298</f>
        <v>30001828</v>
      </c>
      <c r="B298" s="18" t="str">
        <f aca="false">Datos_Semanales!B298</f>
        <v>L.L. VEGETAL SOYA TRZO FRUTILLA 12X130GR</v>
      </c>
      <c r="C298" s="18" t="str">
        <f aca="false">Datos_Semanales!C298</f>
        <v>YOGURT</v>
      </c>
      <c r="D298" s="23" t="n">
        <f aca="false">SUM(Datos_Semanales!F298:K298)</f>
        <v>12043.2</v>
      </c>
      <c r="E298" s="23" t="n">
        <f aca="false">AVERAGE(Datos_Semanales!F298:K298)</f>
        <v>2007.2</v>
      </c>
      <c r="F298" s="23" t="n">
        <f aca="false">STDEV(Datos_Semanales!F298:K298)</f>
        <v>544.412434832269</v>
      </c>
      <c r="G298" s="27" t="n">
        <f aca="false">IF(E298&gt;0,F298/E298,"")</f>
        <v>0.271229790171517</v>
      </c>
      <c r="H298" s="24" t="n">
        <f aca="false">IF(SUM($D$5:$D$494)&gt;0,D298/SUM($D$5:$D$494),0)</f>
        <v>0.000502012220960046</v>
      </c>
      <c r="I298" s="24" t="n">
        <f aca="false">SUMIF($D$5:$D$494,"&gt;="&amp;D298)/SUM($D$5:$D$494)</f>
        <v>0.964748963663201</v>
      </c>
      <c r="J298" s="3" t="str">
        <f aca="false">IF(D298&lt;=0,"C",IF(I298&lt;=Parametros!$B$4,"A",IF(I298&lt;=Parametros!$B$5,"B","C")))</f>
        <v>C</v>
      </c>
      <c r="K298" s="3" t="str">
        <f aca="false">IF(E298&lt;=0,"Z",IF(G298&lt;=Parametros!$B$6,"X",IF(G298&lt;=Parametros!$B$7,"Y","Z")))</f>
        <v>X</v>
      </c>
      <c r="L298" s="3" t="str">
        <f aca="false">J298&amp;K298</f>
        <v>CX</v>
      </c>
      <c r="M298" s="3" t="str">
        <f aca="false">INDEX(Parametros!$B$23:$B$31,MATCH(L298,Parametros!$A$23:$A$31,0))</f>
        <v>Reposición simple mín/máx.</v>
      </c>
      <c r="N298" s="3" t="str">
        <f aca="false">INDEX(Parametros!$C$23:$C$31,MATCH(L298,Parametros!$A$23:$A$31,0))</f>
        <v>Trimestral</v>
      </c>
      <c r="O298" s="23" t="n">
        <f aca="false">SUM(Datos_Semanales!M298:R298)</f>
        <v>9819.36646427439</v>
      </c>
      <c r="P298" s="24" t="n">
        <f aca="false">IF(D298&gt;0,SUMPRODUCT(ABS(Datos_Semanales!F298:K298-Datos_Semanales!M298:R298))/D298,"")</f>
        <v>0.341511083594601</v>
      </c>
      <c r="Q298" s="24" t="n">
        <f aca="false">IF(D298&gt;0,O298/D298-1,"")</f>
        <v>-0.184654704374719</v>
      </c>
      <c r="R298" s="23" t="n">
        <f aca="false">SQRT(SUMXMY2(Datos_Semanales!F298:K298,Datos_Semanales!M298:R298)/COUNT(Datos_Semanales!F298:K298))</f>
        <v>759.324982190979</v>
      </c>
    </row>
    <row r="299" customFormat="false" ht="15" hidden="false" customHeight="false" outlineLevel="0" collapsed="false">
      <c r="A299" s="18" t="n">
        <f aca="false">Datos_Semanales!A299</f>
        <v>30001853</v>
      </c>
      <c r="B299" s="18" t="str">
        <f aca="false">Datos_Semanales!B299</f>
        <v>YOG POTE ACTIVIA TROZO MGOMYA 24X140GR</v>
      </c>
      <c r="C299" s="18" t="str">
        <f aca="false">Datos_Semanales!C299</f>
        <v>YOGURT</v>
      </c>
      <c r="D299" s="23" t="n">
        <f aca="false">SUM(Datos_Semanales!F299:K299)</f>
        <v>12008.64</v>
      </c>
      <c r="E299" s="23" t="n">
        <f aca="false">AVERAGE(Datos_Semanales!F299:K299)</f>
        <v>2001.44</v>
      </c>
      <c r="F299" s="23" t="n">
        <f aca="false">STDEV(Datos_Semanales!F299:K299)</f>
        <v>602.640767821096</v>
      </c>
      <c r="G299" s="27" t="n">
        <f aca="false">IF(E299&gt;0,F299/E299,"")</f>
        <v>0.301103589326233</v>
      </c>
      <c r="H299" s="24" t="n">
        <f aca="false">IF(SUM($D$5:$D$494)&gt;0,D299/SUM($D$5:$D$494),0)</f>
        <v>0.000500571611956096</v>
      </c>
      <c r="I299" s="24" t="n">
        <f aca="false">SUMIF($D$5:$D$494,"&gt;="&amp;D299)/SUM($D$5:$D$494)</f>
        <v>0.965249535275157</v>
      </c>
      <c r="J299" s="3" t="str">
        <f aca="false">IF(D299&lt;=0,"C",IF(I299&lt;=Parametros!$B$4,"A",IF(I299&lt;=Parametros!$B$5,"B","C")))</f>
        <v>C</v>
      </c>
      <c r="K299" s="3" t="str">
        <f aca="false">IF(E299&lt;=0,"Z",IF(G299&lt;=Parametros!$B$6,"X",IF(G299&lt;=Parametros!$B$7,"Y","Z")))</f>
        <v>X</v>
      </c>
      <c r="L299" s="3" t="str">
        <f aca="false">J299&amp;K299</f>
        <v>CX</v>
      </c>
      <c r="M299" s="3" t="str">
        <f aca="false">INDEX(Parametros!$B$23:$B$31,MATCH(L299,Parametros!$A$23:$A$31,0))</f>
        <v>Reposición simple mín/máx.</v>
      </c>
      <c r="N299" s="3" t="str">
        <f aca="false">INDEX(Parametros!$C$23:$C$31,MATCH(L299,Parametros!$A$23:$A$31,0))</f>
        <v>Trimestral</v>
      </c>
      <c r="O299" s="23" t="n">
        <f aca="false">SUM(Datos_Semanales!M299:R299)</f>
        <v>10527.5165863686</v>
      </c>
      <c r="P299" s="24" t="n">
        <f aca="false">IF(D299&gt;0,SUMPRODUCT(ABS(Datos_Semanales!F299:K299-Datos_Semanales!M299:R299))/D299,"")</f>
        <v>0.200352483446025</v>
      </c>
      <c r="Q299" s="24" t="n">
        <f aca="false">IF(D299&gt;0,O299/D299-1,"")</f>
        <v>-0.123338147669629</v>
      </c>
      <c r="R299" s="23" t="n">
        <f aca="false">SQRT(SUMXMY2(Datos_Semanales!F299:K299,Datos_Semanales!M299:R299)/COUNT(Datos_Semanales!F299:K299))</f>
        <v>475.667493800576</v>
      </c>
    </row>
    <row r="300" customFormat="false" ht="15" hidden="false" customHeight="false" outlineLevel="0" collapsed="false">
      <c r="A300" s="18" t="n">
        <f aca="false">Datos_Semanales!A300</f>
        <v>30002273</v>
      </c>
      <c r="B300" s="18" t="str">
        <f aca="false">Datos_Semanales!B300</f>
        <v>LECHE POLVO CALO CRECER 1+ 10X720GR</v>
      </c>
      <c r="C300" s="18" t="str">
        <f aca="false">Datos_Semanales!C300</f>
        <v>-</v>
      </c>
      <c r="D300" s="23" t="n">
        <f aca="false">SUM(Datos_Semanales!F300:K300)</f>
        <v>11880</v>
      </c>
      <c r="E300" s="23" t="n">
        <f aca="false">AVERAGE(Datos_Semanales!F300:K300)</f>
        <v>1980</v>
      </c>
      <c r="F300" s="23" t="n">
        <f aca="false">STDEV(Datos_Semanales!F300:K300)</f>
        <v>1189.15580139862</v>
      </c>
      <c r="G300" s="27" t="n">
        <f aca="false">IF(E300&gt;0,F300/E300,"")</f>
        <v>0.600583738080113</v>
      </c>
      <c r="H300" s="24" t="n">
        <f aca="false">IF(SUM($D$5:$D$494)&gt;0,D300/SUM($D$5:$D$494),0)</f>
        <v>0.000495209345108057</v>
      </c>
      <c r="I300" s="24" t="n">
        <f aca="false">SUMIF($D$5:$D$494,"&gt;="&amp;D300)/SUM($D$5:$D$494)</f>
        <v>0.965744744620265</v>
      </c>
      <c r="J300" s="3" t="str">
        <f aca="false">IF(D300&lt;=0,"C",IF(I300&lt;=Parametros!$B$4,"A",IF(I300&lt;=Parametros!$B$5,"B","C")))</f>
        <v>C</v>
      </c>
      <c r="K300" s="3" t="str">
        <f aca="false">IF(E300&lt;=0,"Z",IF(G300&lt;=Parametros!$B$6,"X",IF(G300&lt;=Parametros!$B$7,"Y","Z")))</f>
        <v>Y</v>
      </c>
      <c r="L300" s="3" t="str">
        <f aca="false">J300&amp;K300</f>
        <v>CY</v>
      </c>
      <c r="M300" s="3" t="str">
        <f aca="false">INDEX(Parametros!$B$23:$B$31,MATCH(L300,Parametros!$A$23:$A$31,0))</f>
        <v>Mín/máx con stock bajo; evaluar continuidad del SKU.</v>
      </c>
      <c r="N300" s="3" t="str">
        <f aca="false">INDEX(Parametros!$C$23:$C$31,MATCH(L300,Parametros!$A$23:$A$31,0))</f>
        <v>Mensual</v>
      </c>
      <c r="O300" s="23" t="n">
        <f aca="false">SUM(Datos_Semanales!M300:R300)</f>
        <v>11333.1384349611</v>
      </c>
      <c r="P300" s="24" t="n">
        <f aca="false">IF(D300&gt;0,SUMPRODUCT(ABS(Datos_Semanales!F300:K300-Datos_Semanales!M300:R300))/D300,"")</f>
        <v>0.42001403746119</v>
      </c>
      <c r="Q300" s="24" t="n">
        <f aca="false">IF(D300&gt;0,O300/D300-1,"")</f>
        <v>-0.0460321182692712</v>
      </c>
      <c r="R300" s="23" t="n">
        <f aca="false">SQRT(SUMXMY2(Datos_Semanales!F300:K300,Datos_Semanales!M300:R300)/COUNT(Datos_Semanales!F300:K300))</f>
        <v>1222.73963490256</v>
      </c>
    </row>
    <row r="301" customFormat="false" ht="15" hidden="false" customHeight="false" outlineLevel="0" collapsed="false">
      <c r="A301" s="18" t="n">
        <f aca="false">Datos_Semanales!A301</f>
        <v>30000308</v>
      </c>
      <c r="B301" s="18" t="str">
        <f aca="false">Datos_Semanales!B301</f>
        <v>YOGU YOGU VAINILLA 30X200GR</v>
      </c>
      <c r="C301" s="18" t="str">
        <f aca="false">Datos_Semanales!C301</f>
        <v>LECHES LIQUIDAS</v>
      </c>
      <c r="D301" s="23" t="n">
        <f aca="false">SUM(Datos_Semanales!F301:K301)</f>
        <v>11778</v>
      </c>
      <c r="E301" s="23" t="n">
        <f aca="false">AVERAGE(Datos_Semanales!F301:K301)</f>
        <v>1963</v>
      </c>
      <c r="F301" s="23" t="n">
        <f aca="false">STDEV(Datos_Semanales!F301:K301)</f>
        <v>748.057484422153</v>
      </c>
      <c r="G301" s="27" t="n">
        <f aca="false">IF(E301&gt;0,F301/E301,"")</f>
        <v>0.381078698126415</v>
      </c>
      <c r="H301" s="24" t="n">
        <f aca="false">IF(SUM($D$5:$D$494)&gt;0,D301/SUM($D$5:$D$494),0)</f>
        <v>0.000490957547700564</v>
      </c>
      <c r="I301" s="24" t="n">
        <f aca="false">SUMIF($D$5:$D$494,"&gt;="&amp;D301)/SUM($D$5:$D$494)</f>
        <v>0.966235702167965</v>
      </c>
      <c r="J301" s="3" t="str">
        <f aca="false">IF(D301&lt;=0,"C",IF(I301&lt;=Parametros!$B$4,"A",IF(I301&lt;=Parametros!$B$5,"B","C")))</f>
        <v>C</v>
      </c>
      <c r="K301" s="3" t="str">
        <f aca="false">IF(E301&lt;=0,"Z",IF(G301&lt;=Parametros!$B$6,"X",IF(G301&lt;=Parametros!$B$7,"Y","Z")))</f>
        <v>X</v>
      </c>
      <c r="L301" s="3" t="str">
        <f aca="false">J301&amp;K301</f>
        <v>CX</v>
      </c>
      <c r="M301" s="3" t="str">
        <f aca="false">INDEX(Parametros!$B$23:$B$31,MATCH(L301,Parametros!$A$23:$A$31,0))</f>
        <v>Reposición simple mín/máx.</v>
      </c>
      <c r="N301" s="3" t="str">
        <f aca="false">INDEX(Parametros!$C$23:$C$31,MATCH(L301,Parametros!$A$23:$A$31,0))</f>
        <v>Trimestral</v>
      </c>
      <c r="O301" s="23" t="n">
        <f aca="false">SUM(Datos_Semanales!M301:R301)</f>
        <v>12287.2864114116</v>
      </c>
      <c r="P301" s="24" t="n">
        <f aca="false">IF(D301&gt;0,SUMPRODUCT(ABS(Datos_Semanales!F301:K301-Datos_Semanales!M301:R301))/D301,"")</f>
        <v>0.304914791255863</v>
      </c>
      <c r="Q301" s="24" t="n">
        <f aca="false">IF(D301&gt;0,O301/D301-1,"")</f>
        <v>0.043240483223939</v>
      </c>
      <c r="R301" s="23" t="n">
        <f aca="false">SQRT(SUMXMY2(Datos_Semanales!F301:K301,Datos_Semanales!M301:R301)/COUNT(Datos_Semanales!F301:K301))</f>
        <v>806.247333674135</v>
      </c>
    </row>
    <row r="302" customFormat="false" ht="15" hidden="false" customHeight="false" outlineLevel="0" collapsed="false">
      <c r="A302" s="18" t="n">
        <f aca="false">Datos_Semanales!A302</f>
        <v>30001474</v>
      </c>
      <c r="B302" s="18" t="str">
        <f aca="false">Datos_Semanales!B302</f>
        <v>CULTIVADA LONCO PROTEIN BERRIES 6X900ML</v>
      </c>
      <c r="C302" s="18" t="str">
        <f aca="false">Datos_Semanales!C302</f>
        <v>LECHES LIQUIDAS</v>
      </c>
      <c r="D302" s="23" t="n">
        <f aca="false">SUM(Datos_Semanales!F302:K302)</f>
        <v>11772</v>
      </c>
      <c r="E302" s="23" t="n">
        <f aca="false">AVERAGE(Datos_Semanales!F302:K302)</f>
        <v>1962</v>
      </c>
      <c r="F302" s="23" t="n">
        <f aca="false">STDEV(Datos_Semanales!F302:K302)</f>
        <v>547.08867288585</v>
      </c>
      <c r="G302" s="27" t="n">
        <f aca="false">IF(E302&gt;0,F302/E302,"")</f>
        <v>0.278842340920413</v>
      </c>
      <c r="H302" s="24" t="n">
        <f aca="false">IF(SUM($D$5:$D$494)&gt;0,D302/SUM($D$5:$D$494),0)</f>
        <v>0.000490707441970711</v>
      </c>
      <c r="I302" s="24" t="n">
        <f aca="false">SUMIF($D$5:$D$494,"&gt;="&amp;D302)/SUM($D$5:$D$494)</f>
        <v>0.966726409609936</v>
      </c>
      <c r="J302" s="3" t="str">
        <f aca="false">IF(D302&lt;=0,"C",IF(I302&lt;=Parametros!$B$4,"A",IF(I302&lt;=Parametros!$B$5,"B","C")))</f>
        <v>C</v>
      </c>
      <c r="K302" s="3" t="str">
        <f aca="false">IF(E302&lt;=0,"Z",IF(G302&lt;=Parametros!$B$6,"X",IF(G302&lt;=Parametros!$B$7,"Y","Z")))</f>
        <v>X</v>
      </c>
      <c r="L302" s="3" t="str">
        <f aca="false">J302&amp;K302</f>
        <v>CX</v>
      </c>
      <c r="M302" s="3" t="str">
        <f aca="false">INDEX(Parametros!$B$23:$B$31,MATCH(L302,Parametros!$A$23:$A$31,0))</f>
        <v>Reposición simple mín/máx.</v>
      </c>
      <c r="N302" s="3" t="str">
        <f aca="false">INDEX(Parametros!$C$23:$C$31,MATCH(L302,Parametros!$A$23:$A$31,0))</f>
        <v>Trimestral</v>
      </c>
      <c r="O302" s="23" t="n">
        <f aca="false">SUM(Datos_Semanales!M302:R302)</f>
        <v>17526.1031623496</v>
      </c>
      <c r="P302" s="24" t="n">
        <f aca="false">IF(D302&gt;0,SUMPRODUCT(ABS(Datos_Semanales!F302:K302-Datos_Semanales!M302:R302))/D302,"")</f>
        <v>0.488795715456135</v>
      </c>
      <c r="Q302" s="24" t="n">
        <f aca="false">IF(D302&gt;0,O302/D302-1,"")</f>
        <v>0.488795715456135</v>
      </c>
      <c r="R302" s="23" t="n">
        <f aca="false">SQRT(SUMXMY2(Datos_Semanales!F302:K302,Datos_Semanales!M302:R302)/COUNT(Datos_Semanales!F302:K302))</f>
        <v>1119.25017570477</v>
      </c>
    </row>
    <row r="303" customFormat="false" ht="15" hidden="false" customHeight="false" outlineLevel="0" collapsed="false">
      <c r="A303" s="18" t="n">
        <f aca="false">Datos_Semanales!A303</f>
        <v>30000631</v>
      </c>
      <c r="B303" s="18" t="str">
        <f aca="false">Datos_Semanales!B303</f>
        <v>MERMELADA REGI BERRIES 24X200GR</v>
      </c>
      <c r="C303" s="18" t="str">
        <f aca="false">Datos_Semanales!C303</f>
        <v>-</v>
      </c>
      <c r="D303" s="23" t="n">
        <f aca="false">SUM(Datos_Semanales!F303:K303)</f>
        <v>11635.2</v>
      </c>
      <c r="E303" s="23" t="n">
        <f aca="false">AVERAGE(Datos_Semanales!F303:K303)</f>
        <v>1939.2</v>
      </c>
      <c r="F303" s="23" t="n">
        <f aca="false">STDEV(Datos_Semanales!F303:K303)</f>
        <v>597.826463114506</v>
      </c>
      <c r="G303" s="27" t="n">
        <f aca="false">IF(E303&gt;0,F303/E303,"")</f>
        <v>0.308285098553273</v>
      </c>
      <c r="H303" s="24" t="n">
        <f aca="false">IF(SUM($D$5:$D$494)&gt;0,D303/SUM($D$5:$D$494),0)</f>
        <v>0.000485005031330073</v>
      </c>
      <c r="I303" s="24" t="n">
        <f aca="false">SUMIF($D$5:$D$494,"&gt;="&amp;D303)/SUM($D$5:$D$494)</f>
        <v>0.967211414641266</v>
      </c>
      <c r="J303" s="3" t="str">
        <f aca="false">IF(D303&lt;=0,"C",IF(I303&lt;=Parametros!$B$4,"A",IF(I303&lt;=Parametros!$B$5,"B","C")))</f>
        <v>C</v>
      </c>
      <c r="K303" s="3" t="str">
        <f aca="false">IF(E303&lt;=0,"Z",IF(G303&lt;=Parametros!$B$6,"X",IF(G303&lt;=Parametros!$B$7,"Y","Z")))</f>
        <v>X</v>
      </c>
      <c r="L303" s="3" t="str">
        <f aca="false">J303&amp;K303</f>
        <v>CX</v>
      </c>
      <c r="M303" s="3" t="str">
        <f aca="false">INDEX(Parametros!$B$23:$B$31,MATCH(L303,Parametros!$A$23:$A$31,0))</f>
        <v>Reposición simple mín/máx.</v>
      </c>
      <c r="N303" s="3" t="str">
        <f aca="false">INDEX(Parametros!$C$23:$C$31,MATCH(L303,Parametros!$A$23:$A$31,0))</f>
        <v>Trimestral</v>
      </c>
      <c r="O303" s="23" t="n">
        <f aca="false">SUM(Datos_Semanales!M303:R303)</f>
        <v>12296.4</v>
      </c>
      <c r="P303" s="24" t="n">
        <f aca="false">IF(D303&gt;0,SUMPRODUCT(ABS(Datos_Semanales!F303:K303-Datos_Semanales!M303:R303))/D303,"")</f>
        <v>0.199429317931793</v>
      </c>
      <c r="Q303" s="24" t="n">
        <f aca="false">IF(D303&gt;0,O303/D303-1,"")</f>
        <v>0.0568275577557758</v>
      </c>
      <c r="R303" s="23" t="n">
        <f aca="false">SQRT(SUMXMY2(Datos_Semanales!F303:K303,Datos_Semanales!M303:R303)/COUNT(Datos_Semanales!F303:K303))</f>
        <v>416.289738843833</v>
      </c>
    </row>
    <row r="304" customFormat="false" ht="15" hidden="false" customHeight="false" outlineLevel="0" collapsed="false">
      <c r="A304" s="18" t="n">
        <f aca="false">Datos_Semanales!A304</f>
        <v>30002061</v>
      </c>
      <c r="B304" s="18" t="str">
        <f aca="false">Datos_Semanales!B304</f>
        <v>YOGURT DANONE L&amp;F GRAN BERRIES 12X142G</v>
      </c>
      <c r="C304" s="18" t="str">
        <f aca="false">Datos_Semanales!C304</f>
        <v>YOGURT</v>
      </c>
      <c r="D304" s="23" t="n">
        <f aca="false">SUM(Datos_Semanales!F304:K304)</f>
        <v>11611</v>
      </c>
      <c r="E304" s="23" t="n">
        <f aca="false">AVERAGE(Datos_Semanales!F304:K304)</f>
        <v>1935.16666666667</v>
      </c>
      <c r="F304" s="23" t="n">
        <f aca="false">STDEV(Datos_Semanales!F304:K304)</f>
        <v>420.693730244066</v>
      </c>
      <c r="G304" s="27" t="n">
        <f aca="false">IF(E304&gt;0,F304/E304,"")</f>
        <v>0.217394055763017</v>
      </c>
      <c r="H304" s="24" t="n">
        <f aca="false">IF(SUM($D$5:$D$494)&gt;0,D304/SUM($D$5:$D$494),0)</f>
        <v>0.000483996271553001</v>
      </c>
      <c r="I304" s="24" t="n">
        <f aca="false">SUMIF($D$5:$D$494,"&gt;="&amp;D304)/SUM($D$5:$D$494)</f>
        <v>0.967695410912819</v>
      </c>
      <c r="J304" s="3" t="str">
        <f aca="false">IF(D304&lt;=0,"C",IF(I304&lt;=Parametros!$B$4,"A",IF(I304&lt;=Parametros!$B$5,"B","C")))</f>
        <v>C</v>
      </c>
      <c r="K304" s="3" t="str">
        <f aca="false">IF(E304&lt;=0,"Z",IF(G304&lt;=Parametros!$B$6,"X",IF(G304&lt;=Parametros!$B$7,"Y","Z")))</f>
        <v>X</v>
      </c>
      <c r="L304" s="3" t="str">
        <f aca="false">J304&amp;K304</f>
        <v>CX</v>
      </c>
      <c r="M304" s="3" t="str">
        <f aca="false">INDEX(Parametros!$B$23:$B$31,MATCH(L304,Parametros!$A$23:$A$31,0))</f>
        <v>Reposición simple mín/máx.</v>
      </c>
      <c r="N304" s="3" t="str">
        <f aca="false">INDEX(Parametros!$C$23:$C$31,MATCH(L304,Parametros!$A$23:$A$31,0))</f>
        <v>Trimestral</v>
      </c>
      <c r="O304" s="23" t="n">
        <f aca="false">SUM(Datos_Semanales!M304:R304)</f>
        <v>10223.8271317319</v>
      </c>
      <c r="P304" s="24" t="n">
        <f aca="false">IF(D304&gt;0,SUMPRODUCT(ABS(Datos_Semanales!F304:K304-Datos_Semanales!M304:R304))/D304,"")</f>
        <v>0.253154444724802</v>
      </c>
      <c r="Q304" s="24" t="n">
        <f aca="false">IF(D304&gt;0,O304/D304-1,"")</f>
        <v>-0.119470576889851</v>
      </c>
      <c r="R304" s="23" t="n">
        <f aca="false">SQRT(SUMXMY2(Datos_Semanales!F304:K304,Datos_Semanales!M304:R304)/COUNT(Datos_Semanales!F304:K304))</f>
        <v>554.759000492641</v>
      </c>
    </row>
    <row r="305" customFormat="false" ht="15" hidden="false" customHeight="false" outlineLevel="0" collapsed="false">
      <c r="A305" s="18" t="n">
        <f aca="false">Datos_Semanales!A305</f>
        <v>30002105</v>
      </c>
      <c r="B305" s="18" t="str">
        <f aca="false">Datos_Semanales!B305</f>
        <v>PROBIOTICO CALAN FLLA TETRA 3X12X108ML</v>
      </c>
      <c r="C305" s="18" t="str">
        <f aca="false">Datos_Semanales!C305</f>
        <v>YOGURT</v>
      </c>
      <c r="D305" s="23" t="n">
        <f aca="false">SUM(Datos_Semanales!F305:K305)</f>
        <v>11543.472</v>
      </c>
      <c r="E305" s="23" t="n">
        <f aca="false">AVERAGE(Datos_Semanales!F305:K305)</f>
        <v>1923.912</v>
      </c>
      <c r="F305" s="23" t="n">
        <f aca="false">STDEV(Datos_Semanales!F305:K305)</f>
        <v>601.077339151627</v>
      </c>
      <c r="G305" s="27" t="n">
        <f aca="false">IF(E305&gt;0,F305/E305,"")</f>
        <v>0.312424549122635</v>
      </c>
      <c r="H305" s="24" t="n">
        <f aca="false">IF(SUM($D$5:$D$494)&gt;0,D305/SUM($D$5:$D$494),0)</f>
        <v>0.000481181414932087</v>
      </c>
      <c r="I305" s="24" t="n">
        <f aca="false">SUMIF($D$5:$D$494,"&gt;="&amp;D305)/SUM($D$5:$D$494)</f>
        <v>0.968176592327751</v>
      </c>
      <c r="J305" s="3" t="str">
        <f aca="false">IF(D305&lt;=0,"C",IF(I305&lt;=Parametros!$B$4,"A",IF(I305&lt;=Parametros!$B$5,"B","C")))</f>
        <v>C</v>
      </c>
      <c r="K305" s="3" t="str">
        <f aca="false">IF(E305&lt;=0,"Z",IF(G305&lt;=Parametros!$B$6,"X",IF(G305&lt;=Parametros!$B$7,"Y","Z")))</f>
        <v>X</v>
      </c>
      <c r="L305" s="3" t="str">
        <f aca="false">J305&amp;K305</f>
        <v>CX</v>
      </c>
      <c r="M305" s="3" t="str">
        <f aca="false">INDEX(Parametros!$B$23:$B$31,MATCH(L305,Parametros!$A$23:$A$31,0))</f>
        <v>Reposición simple mín/máx.</v>
      </c>
      <c r="N305" s="3" t="str">
        <f aca="false">INDEX(Parametros!$C$23:$C$31,MATCH(L305,Parametros!$A$23:$A$31,0))</f>
        <v>Trimestral</v>
      </c>
      <c r="O305" s="23" t="n">
        <f aca="false">SUM(Datos_Semanales!M305:R305)</f>
        <v>10477.1029744674</v>
      </c>
      <c r="P305" s="24" t="n">
        <f aca="false">IF(D305&gt;0,SUMPRODUCT(ABS(Datos_Semanales!F305:K305-Datos_Semanales!M305:R305))/D305,"")</f>
        <v>0.476805581129389</v>
      </c>
      <c r="Q305" s="24" t="n">
        <f aca="false">IF(D305&gt;0,O305/D305-1,"")</f>
        <v>-0.0923785344247017</v>
      </c>
      <c r="R305" s="23" t="n">
        <f aca="false">SQRT(SUMXMY2(Datos_Semanales!F305:K305,Datos_Semanales!M305:R305)/COUNT(Datos_Semanales!F305:K305))</f>
        <v>1187.33343275276</v>
      </c>
    </row>
    <row r="306" customFormat="false" ht="15" hidden="false" customHeight="false" outlineLevel="0" collapsed="false">
      <c r="A306" s="18" t="n">
        <f aca="false">Datos_Semanales!A306</f>
        <v>30000090</v>
      </c>
      <c r="B306" s="18" t="str">
        <f aca="false">Datos_Semanales!B306</f>
        <v>MANTECA CRUCINA 6X12X100GR</v>
      </c>
      <c r="C306" s="18" t="str">
        <f aca="false">Datos_Semanales!C306</f>
        <v>MANTECAS</v>
      </c>
      <c r="D306" s="23" t="n">
        <f aca="false">SUM(Datos_Semanales!F306:K306)</f>
        <v>11419.2</v>
      </c>
      <c r="E306" s="23" t="n">
        <f aca="false">AVERAGE(Datos_Semanales!F306:K306)</f>
        <v>1903.2</v>
      </c>
      <c r="F306" s="23" t="n">
        <f aca="false">STDEV(Datos_Semanales!F306:K306)</f>
        <v>492.4224527781</v>
      </c>
      <c r="G306" s="27" t="n">
        <f aca="false">IF(E306&gt;0,F306/E306,"")</f>
        <v>0.258733949547131</v>
      </c>
      <c r="H306" s="24" t="n">
        <f aca="false">IF(SUM($D$5:$D$494)&gt;0,D306/SUM($D$5:$D$494),0)</f>
        <v>0.000476001225055381</v>
      </c>
      <c r="I306" s="24" t="n">
        <f aca="false">SUMIF($D$5:$D$494,"&gt;="&amp;D306)/SUM($D$5:$D$494)</f>
        <v>0.968652593552806</v>
      </c>
      <c r="J306" s="3" t="str">
        <f aca="false">IF(D306&lt;=0,"C",IF(I306&lt;=Parametros!$B$4,"A",IF(I306&lt;=Parametros!$B$5,"B","C")))</f>
        <v>C</v>
      </c>
      <c r="K306" s="3" t="str">
        <f aca="false">IF(E306&lt;=0,"Z",IF(G306&lt;=Parametros!$B$6,"X",IF(G306&lt;=Parametros!$B$7,"Y","Z")))</f>
        <v>X</v>
      </c>
      <c r="L306" s="3" t="str">
        <f aca="false">J306&amp;K306</f>
        <v>CX</v>
      </c>
      <c r="M306" s="3" t="str">
        <f aca="false">INDEX(Parametros!$B$23:$B$31,MATCH(L306,Parametros!$A$23:$A$31,0))</f>
        <v>Reposición simple mín/máx.</v>
      </c>
      <c r="N306" s="3" t="str">
        <f aca="false">INDEX(Parametros!$C$23:$C$31,MATCH(L306,Parametros!$A$23:$A$31,0))</f>
        <v>Trimestral</v>
      </c>
      <c r="O306" s="23" t="n">
        <f aca="false">SUM(Datos_Semanales!M306:R306)</f>
        <v>12036.1547913223</v>
      </c>
      <c r="P306" s="24" t="n">
        <f aca="false">IF(D306&gt;0,SUMPRODUCT(ABS(Datos_Semanales!F306:K306-Datos_Semanales!M306:R306))/D306,"")</f>
        <v>0.353593484825203</v>
      </c>
      <c r="Q306" s="24" t="n">
        <f aca="false">IF(D306&gt;0,O306/D306-1,"")</f>
        <v>0.0540278470753031</v>
      </c>
      <c r="R306" s="23" t="n">
        <f aca="false">SQRT(SUMXMY2(Datos_Semanales!F306:K306,Datos_Semanales!M306:R306)/COUNT(Datos_Semanales!F306:K306))</f>
        <v>757.956779121246</v>
      </c>
    </row>
    <row r="307" customFormat="false" ht="15" hidden="false" customHeight="false" outlineLevel="0" collapsed="false">
      <c r="A307" s="18" t="n">
        <f aca="false">Datos_Semanales!A307</f>
        <v>30000169</v>
      </c>
      <c r="B307" s="18" t="str">
        <f aca="false">Datos_Semanales!B307</f>
        <v>MERM W S/A SACH FRUTILLA 24X200GR</v>
      </c>
      <c r="C307" s="18" t="str">
        <f aca="false">Datos_Semanales!C307</f>
        <v>MERMELADAS</v>
      </c>
      <c r="D307" s="23" t="n">
        <f aca="false">SUM(Datos_Semanales!F307:K307)</f>
        <v>11332.8</v>
      </c>
      <c r="E307" s="23" t="n">
        <f aca="false">AVERAGE(Datos_Semanales!F307:K307)</f>
        <v>1888.8</v>
      </c>
      <c r="F307" s="23" t="n">
        <f aca="false">STDEV(Datos_Semanales!F307:K307)</f>
        <v>575.205451990852</v>
      </c>
      <c r="G307" s="27" t="n">
        <f aca="false">IF(E307&gt;0,F307/E307,"")</f>
        <v>0.304534864459367</v>
      </c>
      <c r="H307" s="24" t="n">
        <f aca="false">IF(SUM($D$5:$D$494)&gt;0,D307/SUM($D$5:$D$494),0)</f>
        <v>0.000472399702545504</v>
      </c>
      <c r="I307" s="24" t="n">
        <f aca="false">SUMIF($D$5:$D$494,"&gt;="&amp;D307)/SUM($D$5:$D$494)</f>
        <v>0.969124993255352</v>
      </c>
      <c r="J307" s="3" t="str">
        <f aca="false">IF(D307&lt;=0,"C",IF(I307&lt;=Parametros!$B$4,"A",IF(I307&lt;=Parametros!$B$5,"B","C")))</f>
        <v>C</v>
      </c>
      <c r="K307" s="3" t="str">
        <f aca="false">IF(E307&lt;=0,"Z",IF(G307&lt;=Parametros!$B$6,"X",IF(G307&lt;=Parametros!$B$7,"Y","Z")))</f>
        <v>X</v>
      </c>
      <c r="L307" s="3" t="str">
        <f aca="false">J307&amp;K307</f>
        <v>CX</v>
      </c>
      <c r="M307" s="3" t="str">
        <f aca="false">INDEX(Parametros!$B$23:$B$31,MATCH(L307,Parametros!$A$23:$A$31,0))</f>
        <v>Reposición simple mín/máx.</v>
      </c>
      <c r="N307" s="3" t="str">
        <f aca="false">INDEX(Parametros!$C$23:$C$31,MATCH(L307,Parametros!$A$23:$A$31,0))</f>
        <v>Trimestral</v>
      </c>
      <c r="O307" s="23" t="n">
        <f aca="false">SUM(Datos_Semanales!M307:R307)</f>
        <v>10304.1409596547</v>
      </c>
      <c r="P307" s="24" t="n">
        <f aca="false">IF(D307&gt;0,SUMPRODUCT(ABS(Datos_Semanales!F307:K307-Datos_Semanales!M307:R307))/D307,"")</f>
        <v>0.221846406859263</v>
      </c>
      <c r="Q307" s="24" t="n">
        <f aca="false">IF(D307&gt;0,O307/D307-1,"")</f>
        <v>-0.0907683044212679</v>
      </c>
      <c r="R307" s="23" t="n">
        <f aca="false">SQRT(SUMXMY2(Datos_Semanales!F307:K307,Datos_Semanales!M307:R307)/COUNT(Datos_Semanales!F307:K307))</f>
        <v>479.577093837255</v>
      </c>
    </row>
    <row r="308" customFormat="false" ht="15" hidden="false" customHeight="false" outlineLevel="0" collapsed="false">
      <c r="A308" s="18" t="n">
        <f aca="false">Datos_Semanales!A308</f>
        <v>30001943</v>
      </c>
      <c r="B308" s="18" t="str">
        <f aca="false">Datos_Semanales!B308</f>
        <v>NECTAR WATTS SELECCION PAPAYA 6X1.6LT</v>
      </c>
      <c r="C308" s="18" t="str">
        <f aca="false">Datos_Semanales!C308</f>
        <v>JUGOS Y NECTARES</v>
      </c>
      <c r="D308" s="23" t="n">
        <f aca="false">SUM(Datos_Semanales!F308:K308)</f>
        <v>11308.8</v>
      </c>
      <c r="E308" s="23" t="n">
        <f aca="false">AVERAGE(Datos_Semanales!F308:K308)</f>
        <v>1884.8</v>
      </c>
      <c r="F308" s="23" t="n">
        <f aca="false">STDEV(Datos_Semanales!F308:K308)</f>
        <v>428.14995503912</v>
      </c>
      <c r="G308" s="27" t="n">
        <f aca="false">IF(E308&gt;0,F308/E308,"")</f>
        <v>0.227159356451146</v>
      </c>
      <c r="H308" s="24" t="n">
        <f aca="false">IF(SUM($D$5:$D$494)&gt;0,D308/SUM($D$5:$D$494),0)</f>
        <v>0.000471399279626094</v>
      </c>
      <c r="I308" s="24" t="n">
        <f aca="false">SUMIF($D$5:$D$494,"&gt;="&amp;D308)/SUM($D$5:$D$494)</f>
        <v>0.969596392534978</v>
      </c>
      <c r="J308" s="3" t="str">
        <f aca="false">IF(D308&lt;=0,"C",IF(I308&lt;=Parametros!$B$4,"A",IF(I308&lt;=Parametros!$B$5,"B","C")))</f>
        <v>C</v>
      </c>
      <c r="K308" s="3" t="str">
        <f aca="false">IF(E308&lt;=0,"Z",IF(G308&lt;=Parametros!$B$6,"X",IF(G308&lt;=Parametros!$B$7,"Y","Z")))</f>
        <v>X</v>
      </c>
      <c r="L308" s="3" t="str">
        <f aca="false">J308&amp;K308</f>
        <v>CX</v>
      </c>
      <c r="M308" s="3" t="str">
        <f aca="false">INDEX(Parametros!$B$23:$B$31,MATCH(L308,Parametros!$A$23:$A$31,0))</f>
        <v>Reposición simple mín/máx.</v>
      </c>
      <c r="N308" s="3" t="str">
        <f aca="false">INDEX(Parametros!$C$23:$C$31,MATCH(L308,Parametros!$A$23:$A$31,0))</f>
        <v>Trimestral</v>
      </c>
      <c r="O308" s="23" t="n">
        <f aca="false">SUM(Datos_Semanales!M308:R308)</f>
        <v>6699.30063752549</v>
      </c>
      <c r="P308" s="24" t="n">
        <f aca="false">IF(D308&gt;0,SUMPRODUCT(ABS(Datos_Semanales!F308:K308-Datos_Semanales!M308:R308))/D308,"")</f>
        <v>0.407602872318416</v>
      </c>
      <c r="Q308" s="24" t="n">
        <f aca="false">IF(D308&gt;0,O308/D308-1,"")</f>
        <v>-0.407602872318416</v>
      </c>
      <c r="R308" s="23" t="n">
        <f aca="false">SQRT(SUMXMY2(Datos_Semanales!F308:K308,Datos_Semanales!M308:R308)/COUNT(Datos_Semanales!F308:K308))</f>
        <v>840.783776808624</v>
      </c>
    </row>
    <row r="309" customFormat="false" ht="15" hidden="false" customHeight="false" outlineLevel="0" collapsed="false">
      <c r="A309" s="18" t="n">
        <f aca="false">Datos_Semanales!A309</f>
        <v>30001142</v>
      </c>
      <c r="B309" s="18" t="str">
        <f aca="false">Datos_Semanales!B309</f>
        <v>MERM WATTS FCO DAMASCO 10X500GR</v>
      </c>
      <c r="C309" s="18" t="str">
        <f aca="false">Datos_Semanales!C309</f>
        <v>MERMELADAS</v>
      </c>
      <c r="D309" s="23" t="n">
        <f aca="false">SUM(Datos_Semanales!F309:K309)</f>
        <v>11195</v>
      </c>
      <c r="E309" s="23" t="n">
        <f aca="false">AVERAGE(Datos_Semanales!F309:K309)</f>
        <v>1865.83333333333</v>
      </c>
      <c r="F309" s="23" t="n">
        <f aca="false">STDEV(Datos_Semanales!F309:K309)</f>
        <v>432.243180011746</v>
      </c>
      <c r="G309" s="27" t="n">
        <f aca="false">IF(E309&gt;0,F309/E309,"")</f>
        <v>0.231662267089815</v>
      </c>
      <c r="H309" s="24" t="n">
        <f aca="false">IF(SUM($D$5:$D$494)&gt;0,D309/SUM($D$5:$D$494),0)</f>
        <v>0.000466655607616557</v>
      </c>
      <c r="I309" s="24" t="n">
        <f aca="false">SUMIF($D$5:$D$494,"&gt;="&amp;D309)/SUM($D$5:$D$494)</f>
        <v>0.970063048142595</v>
      </c>
      <c r="J309" s="3" t="str">
        <f aca="false">IF(D309&lt;=0,"C",IF(I309&lt;=Parametros!$B$4,"A",IF(I309&lt;=Parametros!$B$5,"B","C")))</f>
        <v>C</v>
      </c>
      <c r="K309" s="3" t="str">
        <f aca="false">IF(E309&lt;=0,"Z",IF(G309&lt;=Parametros!$B$6,"X",IF(G309&lt;=Parametros!$B$7,"Y","Z")))</f>
        <v>X</v>
      </c>
      <c r="L309" s="3" t="str">
        <f aca="false">J309&amp;K309</f>
        <v>CX</v>
      </c>
      <c r="M309" s="3" t="str">
        <f aca="false">INDEX(Parametros!$B$23:$B$31,MATCH(L309,Parametros!$A$23:$A$31,0))</f>
        <v>Reposición simple mín/máx.</v>
      </c>
      <c r="N309" s="3" t="str">
        <f aca="false">INDEX(Parametros!$C$23:$C$31,MATCH(L309,Parametros!$A$23:$A$31,0))</f>
        <v>Trimestral</v>
      </c>
      <c r="O309" s="23" t="n">
        <f aca="false">SUM(Datos_Semanales!M309:R309)</f>
        <v>11915</v>
      </c>
      <c r="P309" s="24" t="n">
        <f aca="false">IF(D309&gt;0,SUMPRODUCT(ABS(Datos_Semanales!F309:K309-Datos_Semanales!M309:R309))/D309,"")</f>
        <v>0.134881643590889</v>
      </c>
      <c r="Q309" s="24" t="n">
        <f aca="false">IF(D309&gt;0,O309/D309-1,"")</f>
        <v>0.0643144260830728</v>
      </c>
      <c r="R309" s="23" t="n">
        <f aca="false">SQRT(SUMXMY2(Datos_Semanales!F309:K309,Datos_Semanales!M309:R309)/COUNT(Datos_Semanales!F309:K309))</f>
        <v>285.525830705385</v>
      </c>
    </row>
    <row r="310" customFormat="false" ht="15" hidden="false" customHeight="false" outlineLevel="0" collapsed="false">
      <c r="A310" s="18" t="n">
        <f aca="false">Datos_Semanales!A310</f>
        <v>30002262</v>
      </c>
      <c r="B310" s="18" t="str">
        <f aca="false">Datos_Semanales!B310</f>
        <v>NECTAR WATTS PROBIOTICO MANZANA 5X6X115ML</v>
      </c>
      <c r="C310" s="18" t="str">
        <f aca="false">Datos_Semanales!C310</f>
        <v>-</v>
      </c>
      <c r="D310" s="23" t="n">
        <f aca="false">SUM(Datos_Semanales!F310:K310)</f>
        <v>11171.1</v>
      </c>
      <c r="E310" s="23" t="n">
        <f aca="false">AVERAGE(Datos_Semanales!F310:K310)</f>
        <v>1861.85</v>
      </c>
      <c r="F310" s="23" t="n">
        <f aca="false">STDEV(Datos_Semanales!F310:K310)</f>
        <v>1724.23346969023</v>
      </c>
      <c r="G310" s="27" t="n">
        <f aca="false">IF(E310&gt;0,F310/E310,"")</f>
        <v>0.92608613459206</v>
      </c>
      <c r="H310" s="24" t="n">
        <f aca="false">IF(SUM($D$5:$D$494)&gt;0,D310/SUM($D$5:$D$494),0)</f>
        <v>0.000465659353125978</v>
      </c>
      <c r="I310" s="24" t="n">
        <f aca="false">SUMIF($D$5:$D$494,"&gt;="&amp;D310)/SUM($D$5:$D$494)</f>
        <v>0.970528707495721</v>
      </c>
      <c r="J310" s="3" t="str">
        <f aca="false">IF(D310&lt;=0,"C",IF(I310&lt;=Parametros!$B$4,"A",IF(I310&lt;=Parametros!$B$5,"B","C")))</f>
        <v>C</v>
      </c>
      <c r="K310" s="3" t="str">
        <f aca="false">IF(E310&lt;=0,"Z",IF(G310&lt;=Parametros!$B$6,"X",IF(G310&lt;=Parametros!$B$7,"Y","Z")))</f>
        <v>Y</v>
      </c>
      <c r="L310" s="3" t="str">
        <f aca="false">J310&amp;K310</f>
        <v>CY</v>
      </c>
      <c r="M310" s="3" t="str">
        <f aca="false">INDEX(Parametros!$B$23:$B$31,MATCH(L310,Parametros!$A$23:$A$31,0))</f>
        <v>Mín/máx con stock bajo; evaluar continuidad del SKU.</v>
      </c>
      <c r="N310" s="3" t="str">
        <f aca="false">INDEX(Parametros!$C$23:$C$31,MATCH(L310,Parametros!$A$23:$A$31,0))</f>
        <v>Mensual</v>
      </c>
      <c r="O310" s="23" t="n">
        <f aca="false">SUM(Datos_Semanales!M310:R310)</f>
        <v>9541.96045519058</v>
      </c>
      <c r="P310" s="24" t="n">
        <f aca="false">IF(D310&gt;0,SUMPRODUCT(ABS(Datos_Semanales!F310:K310-Datos_Semanales!M310:R310))/D310,"")</f>
        <v>0.828744308511196</v>
      </c>
      <c r="Q310" s="24" t="n">
        <f aca="false">IF(D310&gt;0,O310/D310-1,"")</f>
        <v>-0.145835194816036</v>
      </c>
      <c r="R310" s="23" t="n">
        <f aca="false">SQRT(SUMXMY2(Datos_Semanales!F310:K310,Datos_Semanales!M310:R310)/COUNT(Datos_Semanales!F310:K310))</f>
        <v>2021.79395398608</v>
      </c>
    </row>
    <row r="311" customFormat="false" ht="15" hidden="false" customHeight="false" outlineLevel="0" collapsed="false">
      <c r="A311" s="18" t="n">
        <f aca="false">Datos_Semanales!A311</f>
        <v>30002276</v>
      </c>
      <c r="B311" s="18" t="str">
        <f aca="false">Datos_Semanales!B311</f>
        <v>LECHE POLVO CALO CRECER 4+ 10X720GR</v>
      </c>
      <c r="C311" s="18" t="str">
        <f aca="false">Datos_Semanales!C311</f>
        <v>-</v>
      </c>
      <c r="D311" s="23" t="n">
        <f aca="false">SUM(Datos_Semanales!F311:K311)</f>
        <v>10951.2</v>
      </c>
      <c r="E311" s="23" t="n">
        <f aca="false">AVERAGE(Datos_Semanales!F311:K311)</f>
        <v>1825.2</v>
      </c>
      <c r="F311" s="23" t="n">
        <f aca="false">STDEV(Datos_Semanales!F311:K311)</f>
        <v>1308.80672369911</v>
      </c>
      <c r="G311" s="27" t="n">
        <f aca="false">IF(E311&gt;0,F311/E311,"")</f>
        <v>0.717075785502471</v>
      </c>
      <c r="H311" s="24" t="n">
        <f aca="false">IF(SUM($D$5:$D$494)&gt;0,D311/SUM($D$5:$D$494),0)</f>
        <v>0.000456492978126882</v>
      </c>
      <c r="I311" s="24" t="n">
        <f aca="false">SUMIF($D$5:$D$494,"&gt;="&amp;D311)/SUM($D$5:$D$494)</f>
        <v>0.970985200473848</v>
      </c>
      <c r="J311" s="3" t="str">
        <f aca="false">IF(D311&lt;=0,"C",IF(I311&lt;=Parametros!$B$4,"A",IF(I311&lt;=Parametros!$B$5,"B","C")))</f>
        <v>C</v>
      </c>
      <c r="K311" s="3" t="str">
        <f aca="false">IF(E311&lt;=0,"Z",IF(G311&lt;=Parametros!$B$6,"X",IF(G311&lt;=Parametros!$B$7,"Y","Z")))</f>
        <v>Y</v>
      </c>
      <c r="L311" s="3" t="str">
        <f aca="false">J311&amp;K311</f>
        <v>CY</v>
      </c>
      <c r="M311" s="3" t="str">
        <f aca="false">INDEX(Parametros!$B$23:$B$31,MATCH(L311,Parametros!$A$23:$A$31,0))</f>
        <v>Mín/máx con stock bajo; evaluar continuidad del SKU.</v>
      </c>
      <c r="N311" s="3" t="str">
        <f aca="false">INDEX(Parametros!$C$23:$C$31,MATCH(L311,Parametros!$A$23:$A$31,0))</f>
        <v>Mensual</v>
      </c>
      <c r="O311" s="23" t="n">
        <f aca="false">SUM(Datos_Semanales!M311:R311)</f>
        <v>11918.2015481062</v>
      </c>
      <c r="P311" s="24" t="n">
        <f aca="false">IF(D311&gt;0,SUMPRODUCT(ABS(Datos_Semanales!F311:K311-Datos_Semanales!M311:R311))/D311,"")</f>
        <v>0.664486225080921</v>
      </c>
      <c r="Q311" s="24" t="n">
        <f aca="false">IF(D311&gt;0,O311/D311-1,"")</f>
        <v>0.0883009668443804</v>
      </c>
      <c r="R311" s="23" t="n">
        <f aca="false">SQRT(SUMXMY2(Datos_Semanales!F311:K311,Datos_Semanales!M311:R311)/COUNT(Datos_Semanales!F311:K311))</f>
        <v>1293.29626623076</v>
      </c>
    </row>
    <row r="312" customFormat="false" ht="15" hidden="false" customHeight="false" outlineLevel="0" collapsed="false">
      <c r="A312" s="18" t="n">
        <f aca="false">Datos_Semanales!A312</f>
        <v>30000641</v>
      </c>
      <c r="B312" s="18" t="str">
        <f aca="false">Datos_Semanales!B312</f>
        <v>PAPAYAS TROCITOS WASIL 16X380GR</v>
      </c>
      <c r="C312" s="18" t="str">
        <f aca="false">Datos_Semanales!C312</f>
        <v>CONSERVAS Y PLATOS LISTOS</v>
      </c>
      <c r="D312" s="23" t="n">
        <f aca="false">SUM(Datos_Semanales!F312:K312)</f>
        <v>10792</v>
      </c>
      <c r="E312" s="23" t="n">
        <f aca="false">AVERAGE(Datos_Semanales!F312:K312)</f>
        <v>1798.66666666667</v>
      </c>
      <c r="F312" s="23" t="n">
        <f aca="false">STDEV(Datos_Semanales!F312:K312)</f>
        <v>1038.17787783533</v>
      </c>
      <c r="G312" s="27" t="n">
        <f aca="false">IF(E312&gt;0,F312/E312,"")</f>
        <v>0.577193038084875</v>
      </c>
      <c r="H312" s="24" t="n">
        <f aca="false">IF(SUM($D$5:$D$494)&gt;0,D312/SUM($D$5:$D$494),0)</f>
        <v>0.000449856839428127</v>
      </c>
      <c r="I312" s="24" t="n">
        <f aca="false">SUMIF($D$5:$D$494,"&gt;="&amp;D312)/SUM($D$5:$D$494)</f>
        <v>0.971435057313276</v>
      </c>
      <c r="J312" s="3" t="str">
        <f aca="false">IF(D312&lt;=0,"C",IF(I312&lt;=Parametros!$B$4,"A",IF(I312&lt;=Parametros!$B$5,"B","C")))</f>
        <v>C</v>
      </c>
      <c r="K312" s="3" t="str">
        <f aca="false">IF(E312&lt;=0,"Z",IF(G312&lt;=Parametros!$B$6,"X",IF(G312&lt;=Parametros!$B$7,"Y","Z")))</f>
        <v>Y</v>
      </c>
      <c r="L312" s="3" t="str">
        <f aca="false">J312&amp;K312</f>
        <v>CY</v>
      </c>
      <c r="M312" s="3" t="str">
        <f aca="false">INDEX(Parametros!$B$23:$B$31,MATCH(L312,Parametros!$A$23:$A$31,0))</f>
        <v>Mín/máx con stock bajo; evaluar continuidad del SKU.</v>
      </c>
      <c r="N312" s="3" t="str">
        <f aca="false">INDEX(Parametros!$C$23:$C$31,MATCH(L312,Parametros!$A$23:$A$31,0))</f>
        <v>Mensual</v>
      </c>
      <c r="O312" s="23" t="n">
        <f aca="false">SUM(Datos_Semanales!M312:R312)</f>
        <v>12909.6</v>
      </c>
      <c r="P312" s="24" t="n">
        <f aca="false">IF(D312&gt;0,SUMPRODUCT(ABS(Datos_Semanales!F312:K312-Datos_Semanales!M312:R312))/D312,"")</f>
        <v>0.495151964418088</v>
      </c>
      <c r="Q312" s="24" t="n">
        <f aca="false">IF(D312&gt;0,O312/D312-1,"")</f>
        <v>0.196219421793922</v>
      </c>
      <c r="R312" s="23" t="n">
        <f aca="false">SQRT(SUMXMY2(Datos_Semanales!F312:K312,Datos_Semanales!M312:R312)/COUNT(Datos_Semanales!F312:K312))</f>
        <v>992.213214720842</v>
      </c>
    </row>
    <row r="313" customFormat="false" ht="15" hidden="false" customHeight="false" outlineLevel="0" collapsed="false">
      <c r="A313" s="18" t="n">
        <f aca="false">Datos_Semanales!A313</f>
        <v>30000053</v>
      </c>
      <c r="B313" s="18" t="str">
        <f aca="false">Datos_Semanales!B313</f>
        <v>ACEITE CHEF OLIVA 12X1LT</v>
      </c>
      <c r="C313" s="18" t="str">
        <f aca="false">Datos_Semanales!C313</f>
        <v>-</v>
      </c>
      <c r="D313" s="23" t="n">
        <f aca="false">SUM(Datos_Semanales!F313:K313)</f>
        <v>10789.2</v>
      </c>
      <c r="E313" s="23" t="n">
        <f aca="false">AVERAGE(Datos_Semanales!F313:K313)</f>
        <v>1798.2</v>
      </c>
      <c r="F313" s="23" t="n">
        <f aca="false">STDEV(Datos_Semanales!F313:K313)</f>
        <v>1251.49731122364</v>
      </c>
      <c r="G313" s="27" t="n">
        <f aca="false">IF(E313&gt;0,F313/E313,"")</f>
        <v>0.695972256269403</v>
      </c>
      <c r="H313" s="24" t="n">
        <f aca="false">IF(SUM($D$5:$D$494)&gt;0,D313/SUM($D$5:$D$494),0)</f>
        <v>0.000449740123420863</v>
      </c>
      <c r="I313" s="24" t="n">
        <f aca="false">SUMIF($D$5:$D$494,"&gt;="&amp;D313)/SUM($D$5:$D$494)</f>
        <v>0.971884797436697</v>
      </c>
      <c r="J313" s="3" t="str">
        <f aca="false">IF(D313&lt;=0,"C",IF(I313&lt;=Parametros!$B$4,"A",IF(I313&lt;=Parametros!$B$5,"B","C")))</f>
        <v>C</v>
      </c>
      <c r="K313" s="3" t="str">
        <f aca="false">IF(E313&lt;=0,"Z",IF(G313&lt;=Parametros!$B$6,"X",IF(G313&lt;=Parametros!$B$7,"Y","Z")))</f>
        <v>Y</v>
      </c>
      <c r="L313" s="3" t="str">
        <f aca="false">J313&amp;K313</f>
        <v>CY</v>
      </c>
      <c r="M313" s="3" t="str">
        <f aca="false">INDEX(Parametros!$B$23:$B$31,MATCH(L313,Parametros!$A$23:$A$31,0))</f>
        <v>Mín/máx con stock bajo; evaluar continuidad del SKU.</v>
      </c>
      <c r="N313" s="3" t="str">
        <f aca="false">INDEX(Parametros!$C$23:$C$31,MATCH(L313,Parametros!$A$23:$A$31,0))</f>
        <v>Mensual</v>
      </c>
      <c r="O313" s="23" t="n">
        <f aca="false">SUM(Datos_Semanales!M313:R313)</f>
        <v>7665.2</v>
      </c>
      <c r="P313" s="24" t="n">
        <f aca="false">IF(D313&gt;0,SUMPRODUCT(ABS(Datos_Semanales!F313:K313-Datos_Semanales!M313:R313))/D313,"")</f>
        <v>0.558299039780521</v>
      </c>
      <c r="Q313" s="24" t="n">
        <f aca="false">IF(D313&gt;0,O313/D313-1,"")</f>
        <v>-0.289548808067327</v>
      </c>
      <c r="R313" s="23" t="n">
        <f aca="false">SQRT(SUMXMY2(Datos_Semanales!F313:K313,Datos_Semanales!M313:R313)/COUNT(Datos_Semanales!F313:K313))</f>
        <v>1204.23445668469</v>
      </c>
    </row>
    <row r="314" customFormat="false" ht="15" hidden="false" customHeight="false" outlineLevel="0" collapsed="false">
      <c r="A314" s="18" t="n">
        <f aca="false">Datos_Semanales!A314</f>
        <v>30000500</v>
      </c>
      <c r="B314" s="18" t="str">
        <f aca="false">Datos_Semanales!B314</f>
        <v>LECHE CULTIV LIGHT CHIRI 6X900ML</v>
      </c>
      <c r="C314" s="18" t="str">
        <f aca="false">Datos_Semanales!C314</f>
        <v>LECHES LIQUIDAS</v>
      </c>
      <c r="D314" s="23" t="n">
        <f aca="false">SUM(Datos_Semanales!F314:K314)</f>
        <v>10708.2</v>
      </c>
      <c r="E314" s="23" t="n">
        <f aca="false">AVERAGE(Datos_Semanales!F314:K314)</f>
        <v>1784.7</v>
      </c>
      <c r="F314" s="23" t="n">
        <f aca="false">STDEV(Datos_Semanales!F314:K314)</f>
        <v>192.553732760495</v>
      </c>
      <c r="G314" s="27" t="n">
        <f aca="false">IF(E314&gt;0,F314/E314,"")</f>
        <v>0.10789137264554</v>
      </c>
      <c r="H314" s="24" t="n">
        <f aca="false">IF(SUM($D$5:$D$494)&gt;0,D314/SUM($D$5:$D$494),0)</f>
        <v>0.000446363696067853</v>
      </c>
      <c r="I314" s="24" t="n">
        <f aca="false">SUMIF($D$5:$D$494,"&gt;="&amp;D314)/SUM($D$5:$D$494)</f>
        <v>0.972331161132764</v>
      </c>
      <c r="J314" s="3" t="str">
        <f aca="false">IF(D314&lt;=0,"C",IF(I314&lt;=Parametros!$B$4,"A",IF(I314&lt;=Parametros!$B$5,"B","C")))</f>
        <v>C</v>
      </c>
      <c r="K314" s="3" t="str">
        <f aca="false">IF(E314&lt;=0,"Z",IF(G314&lt;=Parametros!$B$6,"X",IF(G314&lt;=Parametros!$B$7,"Y","Z")))</f>
        <v>X</v>
      </c>
      <c r="L314" s="3" t="str">
        <f aca="false">J314&amp;K314</f>
        <v>CX</v>
      </c>
      <c r="M314" s="3" t="str">
        <f aca="false">INDEX(Parametros!$B$23:$B$31,MATCH(L314,Parametros!$A$23:$A$31,0))</f>
        <v>Reposición simple mín/máx.</v>
      </c>
      <c r="N314" s="3" t="str">
        <f aca="false">INDEX(Parametros!$C$23:$C$31,MATCH(L314,Parametros!$A$23:$A$31,0))</f>
        <v>Trimestral</v>
      </c>
      <c r="O314" s="23" t="n">
        <f aca="false">SUM(Datos_Semanales!M314:R314)</f>
        <v>9627.2033559538</v>
      </c>
      <c r="P314" s="24" t="n">
        <f aca="false">IF(D314&gt;0,SUMPRODUCT(ABS(Datos_Semanales!F314:K314-Datos_Semanales!M314:R314))/D314,"")</f>
        <v>0.241059139261987</v>
      </c>
      <c r="Q314" s="24" t="n">
        <f aca="false">IF(D314&gt;0,O314/D314-1,"")</f>
        <v>-0.100950359915411</v>
      </c>
      <c r="R314" s="23" t="n">
        <f aca="false">SQRT(SUMXMY2(Datos_Semanales!F314:K314,Datos_Semanales!M314:R314)/COUNT(Datos_Semanales!F314:K314))</f>
        <v>576.950178258067</v>
      </c>
    </row>
    <row r="315" customFormat="false" ht="15" hidden="false" customHeight="false" outlineLevel="0" collapsed="false">
      <c r="A315" s="18" t="n">
        <f aca="false">Datos_Semanales!A315</f>
        <v>30002178</v>
      </c>
      <c r="B315" s="18" t="str">
        <f aca="false">Datos_Semanales!B315</f>
        <v>SHAKE SHAKE CHOCOLATE 30X190ML</v>
      </c>
      <c r="C315" s="18" t="str">
        <f aca="false">Datos_Semanales!C315</f>
        <v>LECHES LIQUIDAS</v>
      </c>
      <c r="D315" s="23" t="n">
        <f aca="false">SUM(Datos_Semanales!F315:K315)</f>
        <v>10676.1</v>
      </c>
      <c r="E315" s="23" t="n">
        <f aca="false">AVERAGE(Datos_Semanales!F315:K315)</f>
        <v>1779.35</v>
      </c>
      <c r="F315" s="23" t="n">
        <f aca="false">STDEV(Datos_Semanales!F315:K315)</f>
        <v>602.13605024114</v>
      </c>
      <c r="G315" s="27" t="n">
        <f aca="false">IF(E315&gt;0,F315/E315,"")</f>
        <v>0.338402253767465</v>
      </c>
      <c r="H315" s="24" t="n">
        <f aca="false">IF(SUM($D$5:$D$494)&gt;0,D315/SUM($D$5:$D$494),0)</f>
        <v>0.000445025630413142</v>
      </c>
      <c r="I315" s="24" t="n">
        <f aca="false">SUMIF($D$5:$D$494,"&gt;="&amp;D315)/SUM($D$5:$D$494)</f>
        <v>0.972776186763178</v>
      </c>
      <c r="J315" s="3" t="str">
        <f aca="false">IF(D315&lt;=0,"C",IF(I315&lt;=Parametros!$B$4,"A",IF(I315&lt;=Parametros!$B$5,"B","C")))</f>
        <v>C</v>
      </c>
      <c r="K315" s="3" t="str">
        <f aca="false">IF(E315&lt;=0,"Z",IF(G315&lt;=Parametros!$B$6,"X",IF(G315&lt;=Parametros!$B$7,"Y","Z")))</f>
        <v>X</v>
      </c>
      <c r="L315" s="3" t="str">
        <f aca="false">J315&amp;K315</f>
        <v>CX</v>
      </c>
      <c r="M315" s="3" t="str">
        <f aca="false">INDEX(Parametros!$B$23:$B$31,MATCH(L315,Parametros!$A$23:$A$31,0))</f>
        <v>Reposición simple mín/máx.</v>
      </c>
      <c r="N315" s="3" t="str">
        <f aca="false">INDEX(Parametros!$C$23:$C$31,MATCH(L315,Parametros!$A$23:$A$31,0))</f>
        <v>Trimestral</v>
      </c>
      <c r="O315" s="23" t="n">
        <f aca="false">SUM(Datos_Semanales!M315:R315)</f>
        <v>11444.5485197284</v>
      </c>
      <c r="P315" s="24" t="n">
        <f aca="false">IF(D315&gt;0,SUMPRODUCT(ABS(Datos_Semanales!F315:K315-Datos_Semanales!M315:R315))/D315,"")</f>
        <v>0.340499156084299</v>
      </c>
      <c r="Q315" s="24" t="n">
        <f aca="false">IF(D315&gt;0,O315/D315-1,"")</f>
        <v>0.0719783928333773</v>
      </c>
      <c r="R315" s="23" t="n">
        <f aca="false">SQRT(SUMXMY2(Datos_Semanales!F315:K315,Datos_Semanales!M315:R315)/COUNT(Datos_Semanales!F315:K315))</f>
        <v>648.64718593534</v>
      </c>
    </row>
    <row r="316" customFormat="false" ht="15" hidden="false" customHeight="false" outlineLevel="0" collapsed="false">
      <c r="A316" s="18" t="n">
        <f aca="false">Datos_Semanales!A316</f>
        <v>30000119</v>
      </c>
      <c r="B316" s="18" t="str">
        <f aca="false">Datos_Semanales!B316</f>
        <v>MANTECA PALMIN 6X12X100GR</v>
      </c>
      <c r="C316" s="18" t="str">
        <f aca="false">Datos_Semanales!C316</f>
        <v>MANTECAS</v>
      </c>
      <c r="D316" s="23" t="n">
        <f aca="false">SUM(Datos_Semanales!F316:K316)</f>
        <v>10605.6</v>
      </c>
      <c r="E316" s="23" t="n">
        <f aca="false">AVERAGE(Datos_Semanales!F316:K316)</f>
        <v>1767.6</v>
      </c>
      <c r="F316" s="23" t="n">
        <f aca="false">STDEV(Datos_Semanales!F316:K316)</f>
        <v>474.823487203403</v>
      </c>
      <c r="G316" s="27" t="n">
        <f aca="false">IF(E316&gt;0,F316/E316,"")</f>
        <v>0.268626095951235</v>
      </c>
      <c r="H316" s="24" t="n">
        <f aca="false">IF(SUM($D$5:$D$494)&gt;0,D316/SUM($D$5:$D$494),0)</f>
        <v>0.000442086888087374</v>
      </c>
      <c r="I316" s="24" t="n">
        <f aca="false">SUMIF($D$5:$D$494,"&gt;="&amp;D316)/SUM($D$5:$D$494)</f>
        <v>0.973218273651265</v>
      </c>
      <c r="J316" s="3" t="str">
        <f aca="false">IF(D316&lt;=0,"C",IF(I316&lt;=Parametros!$B$4,"A",IF(I316&lt;=Parametros!$B$5,"B","C")))</f>
        <v>C</v>
      </c>
      <c r="K316" s="3" t="str">
        <f aca="false">IF(E316&lt;=0,"Z",IF(G316&lt;=Parametros!$B$6,"X",IF(G316&lt;=Parametros!$B$7,"Y","Z")))</f>
        <v>X</v>
      </c>
      <c r="L316" s="3" t="str">
        <f aca="false">J316&amp;K316</f>
        <v>CX</v>
      </c>
      <c r="M316" s="3" t="str">
        <f aca="false">INDEX(Parametros!$B$23:$B$31,MATCH(L316,Parametros!$A$23:$A$31,0))</f>
        <v>Reposición simple mín/máx.</v>
      </c>
      <c r="N316" s="3" t="str">
        <f aca="false">INDEX(Parametros!$C$23:$C$31,MATCH(L316,Parametros!$A$23:$A$31,0))</f>
        <v>Trimestral</v>
      </c>
      <c r="O316" s="23" t="n">
        <f aca="false">SUM(Datos_Semanales!M316:R316)</f>
        <v>17621.2461670875</v>
      </c>
      <c r="P316" s="24" t="n">
        <f aca="false">IF(D316&gt;0,SUMPRODUCT(ABS(Datos_Semanales!F316:K316-Datos_Semanales!M316:R316))/D316,"")</f>
        <v>0.758660157566525</v>
      </c>
      <c r="Q316" s="24" t="n">
        <f aca="false">IF(D316&gt;0,O316/D316-1,"")</f>
        <v>0.661503938210713</v>
      </c>
      <c r="R316" s="23" t="n">
        <f aca="false">SQRT(SUMXMY2(Datos_Semanales!F316:K316,Datos_Semanales!M316:R316)/COUNT(Datos_Semanales!F316:K316))</f>
        <v>1797.80649544504</v>
      </c>
    </row>
    <row r="317" customFormat="false" ht="15" hidden="false" customHeight="false" outlineLevel="0" collapsed="false">
      <c r="A317" s="18" t="n">
        <f aca="false">Datos_Semanales!A317</f>
        <v>30000613</v>
      </c>
      <c r="B317" s="18" t="str">
        <f aca="false">Datos_Semanales!B317</f>
        <v>CHAMPIÑON LAMINADO WSL 24X400GR</v>
      </c>
      <c r="C317" s="18" t="str">
        <f aca="false">Datos_Semanales!C317</f>
        <v>CONSERVAS Y PLATOS LISTOS</v>
      </c>
      <c r="D317" s="23" t="n">
        <f aca="false">SUM(Datos_Semanales!F317:K317)</f>
        <v>10550.4</v>
      </c>
      <c r="E317" s="23" t="n">
        <f aca="false">AVERAGE(Datos_Semanales!F317:K317)</f>
        <v>1758.4</v>
      </c>
      <c r="F317" s="23" t="n">
        <f aca="false">STDEV(Datos_Semanales!F317:K317)</f>
        <v>696.629784031662</v>
      </c>
      <c r="G317" s="27" t="n">
        <f aca="false">IF(E317&gt;0,F317/E317,"")</f>
        <v>0.396172534139935</v>
      </c>
      <c r="H317" s="24" t="n">
        <f aca="false">IF(SUM($D$5:$D$494)&gt;0,D317/SUM($D$5:$D$494),0)</f>
        <v>0.000439785915372731</v>
      </c>
      <c r="I317" s="24" t="n">
        <f aca="false">SUMIF($D$5:$D$494,"&gt;="&amp;D317)/SUM($D$5:$D$494)</f>
        <v>0.973658059566638</v>
      </c>
      <c r="J317" s="3" t="str">
        <f aca="false">IF(D317&lt;=0,"C",IF(I317&lt;=Parametros!$B$4,"A",IF(I317&lt;=Parametros!$B$5,"B","C")))</f>
        <v>C</v>
      </c>
      <c r="K317" s="3" t="str">
        <f aca="false">IF(E317&lt;=0,"Z",IF(G317&lt;=Parametros!$B$6,"X",IF(G317&lt;=Parametros!$B$7,"Y","Z")))</f>
        <v>X</v>
      </c>
      <c r="L317" s="3" t="str">
        <f aca="false">J317&amp;K317</f>
        <v>CX</v>
      </c>
      <c r="M317" s="3" t="str">
        <f aca="false">INDEX(Parametros!$B$23:$B$31,MATCH(L317,Parametros!$A$23:$A$31,0))</f>
        <v>Reposición simple mín/máx.</v>
      </c>
      <c r="N317" s="3" t="str">
        <f aca="false">INDEX(Parametros!$C$23:$C$31,MATCH(L317,Parametros!$A$23:$A$31,0))</f>
        <v>Trimestral</v>
      </c>
      <c r="O317" s="23" t="n">
        <f aca="false">SUM(Datos_Semanales!M317:R317)</f>
        <v>9794.8</v>
      </c>
      <c r="P317" s="24" t="n">
        <f aca="false">IF(D317&gt;0,SUMPRODUCT(ABS(Datos_Semanales!F317:K317-Datos_Semanales!M317:R317))/D317,"")</f>
        <v>0.23851228389445</v>
      </c>
      <c r="Q317" s="24" t="n">
        <f aca="false">IF(D317&gt;0,O317/D317-1,"")</f>
        <v>-0.0716181377009403</v>
      </c>
      <c r="R317" s="23" t="n">
        <f aca="false">SQRT(SUMXMY2(Datos_Semanales!F317:K317,Datos_Semanales!M317:R317)/COUNT(Datos_Semanales!F317:K317))</f>
        <v>555.647106234404</v>
      </c>
    </row>
    <row r="318" customFormat="false" ht="15" hidden="false" customHeight="false" outlineLevel="0" collapsed="false">
      <c r="A318" s="18" t="n">
        <f aca="false">Datos_Semanales!A318</f>
        <v>30001708</v>
      </c>
      <c r="B318" s="18" t="str">
        <f aca="false">Datos_Semanales!B318</f>
        <v>YOG POTE LONCO S/LACT FRUTILLA 24X140G</v>
      </c>
      <c r="C318" s="18" t="str">
        <f aca="false">Datos_Semanales!C318</f>
        <v>YOGURT</v>
      </c>
      <c r="D318" s="23" t="n">
        <f aca="false">SUM(Datos_Semanales!F318:K318)</f>
        <v>10489.92</v>
      </c>
      <c r="E318" s="23" t="n">
        <f aca="false">AVERAGE(Datos_Semanales!F318:K318)</f>
        <v>1748.32</v>
      </c>
      <c r="F318" s="23" t="n">
        <f aca="false">STDEV(Datos_Semanales!F318:K318)</f>
        <v>314.447654403718</v>
      </c>
      <c r="G318" s="27" t="n">
        <f aca="false">IF(E318&gt;0,F318/E318,"")</f>
        <v>0.179857036700214</v>
      </c>
      <c r="H318" s="24" t="n">
        <f aca="false">IF(SUM($D$5:$D$494)&gt;0,D318/SUM($D$5:$D$494),0)</f>
        <v>0.000437264849615817</v>
      </c>
      <c r="I318" s="24" t="n">
        <f aca="false">SUMIF($D$5:$D$494,"&gt;="&amp;D318)/SUM($D$5:$D$494)</f>
        <v>0.974095324416253</v>
      </c>
      <c r="J318" s="3" t="str">
        <f aca="false">IF(D318&lt;=0,"C",IF(I318&lt;=Parametros!$B$4,"A",IF(I318&lt;=Parametros!$B$5,"B","C")))</f>
        <v>C</v>
      </c>
      <c r="K318" s="3" t="str">
        <f aca="false">IF(E318&lt;=0,"Z",IF(G318&lt;=Parametros!$B$6,"X",IF(G318&lt;=Parametros!$B$7,"Y","Z")))</f>
        <v>X</v>
      </c>
      <c r="L318" s="3" t="str">
        <f aca="false">J318&amp;K318</f>
        <v>CX</v>
      </c>
      <c r="M318" s="3" t="str">
        <f aca="false">INDEX(Parametros!$B$23:$B$31,MATCH(L318,Parametros!$A$23:$A$31,0))</f>
        <v>Reposición simple mín/máx.</v>
      </c>
      <c r="N318" s="3" t="str">
        <f aca="false">INDEX(Parametros!$C$23:$C$31,MATCH(L318,Parametros!$A$23:$A$31,0))</f>
        <v>Trimestral</v>
      </c>
      <c r="O318" s="23" t="n">
        <f aca="false">SUM(Datos_Semanales!M318:R318)</f>
        <v>8018.87897882575</v>
      </c>
      <c r="P318" s="24" t="n">
        <f aca="false">IF(D318&gt;0,SUMPRODUCT(ABS(Datos_Semanales!F318:K318-Datos_Semanales!M318:R318))/D318,"")</f>
        <v>0.269618396399244</v>
      </c>
      <c r="Q318" s="24" t="n">
        <f aca="false">IF(D318&gt;0,O318/D318-1,"")</f>
        <v>-0.235563380957552</v>
      </c>
      <c r="R318" s="23" t="n">
        <f aca="false">SQRT(SUMXMY2(Datos_Semanales!F318:K318,Datos_Semanales!M318:R318)/COUNT(Datos_Semanales!F318:K318))</f>
        <v>585.844719447709</v>
      </c>
    </row>
    <row r="319" customFormat="false" ht="15" hidden="false" customHeight="false" outlineLevel="0" collapsed="false">
      <c r="A319" s="18" t="n">
        <f aca="false">Datos_Semanales!A319</f>
        <v>30000673</v>
      </c>
      <c r="B319" s="18" t="str">
        <f aca="false">Datos_Semanales!B319</f>
        <v>COCTEL DE FRUTA WSL 20X820GR</v>
      </c>
      <c r="C319" s="18" t="str">
        <f aca="false">Datos_Semanales!C319</f>
        <v>CONSERVAS Y PLATOS LISTOS</v>
      </c>
      <c r="D319" s="23" t="n">
        <f aca="false">SUM(Datos_Semanales!F319:K319)</f>
        <v>10381.2</v>
      </c>
      <c r="E319" s="23" t="n">
        <f aca="false">AVERAGE(Datos_Semanales!F319:K319)</f>
        <v>1730.2</v>
      </c>
      <c r="F319" s="23" t="n">
        <f aca="false">STDEV(Datos_Semanales!F319:K319)</f>
        <v>1086.25706718069</v>
      </c>
      <c r="G319" s="27" t="n">
        <f aca="false">IF(E319&gt;0,F319/E319,"")</f>
        <v>0.627821677945147</v>
      </c>
      <c r="H319" s="24" t="n">
        <f aca="false">IF(SUM($D$5:$D$494)&gt;0,D319/SUM($D$5:$D$494),0)</f>
        <v>0.000432732933790889</v>
      </c>
      <c r="I319" s="24" t="n">
        <f aca="false">SUMIF($D$5:$D$494,"&gt;="&amp;D319)/SUM($D$5:$D$494)</f>
        <v>0.974528057350044</v>
      </c>
      <c r="J319" s="3" t="str">
        <f aca="false">IF(D319&lt;=0,"C",IF(I319&lt;=Parametros!$B$4,"A",IF(I319&lt;=Parametros!$B$5,"B","C")))</f>
        <v>C</v>
      </c>
      <c r="K319" s="3" t="str">
        <f aca="false">IF(E319&lt;=0,"Z",IF(G319&lt;=Parametros!$B$6,"X",IF(G319&lt;=Parametros!$B$7,"Y","Z")))</f>
        <v>Y</v>
      </c>
      <c r="L319" s="3" t="str">
        <f aca="false">J319&amp;K319</f>
        <v>CY</v>
      </c>
      <c r="M319" s="3" t="str">
        <f aca="false">INDEX(Parametros!$B$23:$B$31,MATCH(L319,Parametros!$A$23:$A$31,0))</f>
        <v>Mín/máx con stock bajo; evaluar continuidad del SKU.</v>
      </c>
      <c r="N319" s="3" t="str">
        <f aca="false">INDEX(Parametros!$C$23:$C$31,MATCH(L319,Parametros!$A$23:$A$31,0))</f>
        <v>Mensual</v>
      </c>
      <c r="O319" s="23" t="n">
        <f aca="false">SUM(Datos_Semanales!M319:R319)</f>
        <v>7108.4</v>
      </c>
      <c r="P319" s="24" t="n">
        <f aca="false">IF(D319&gt;0,SUMPRODUCT(ABS(Datos_Semanales!F319:K319-Datos_Semanales!M319:R319))/D319,"")</f>
        <v>0.749431664932763</v>
      </c>
      <c r="Q319" s="24" t="n">
        <f aca="false">IF(D319&gt;0,O319/D319-1,"")</f>
        <v>-0.315262204754749</v>
      </c>
      <c r="R319" s="23" t="n">
        <f aca="false">SQRT(SUMXMY2(Datos_Semanales!F319:K319,Datos_Semanales!M319:R319)/COUNT(Datos_Semanales!F319:K319))</f>
        <v>1413.61807194636</v>
      </c>
    </row>
    <row r="320" customFormat="false" ht="15" hidden="false" customHeight="false" outlineLevel="0" collapsed="false">
      <c r="A320" s="18" t="n">
        <f aca="false">Datos_Semanales!A320</f>
        <v>30001918</v>
      </c>
      <c r="B320" s="18" t="str">
        <f aca="false">Datos_Semanales!B320</f>
        <v>QUESO LPV LAM S/BORDE 20X210G</v>
      </c>
      <c r="C320" s="18" t="str">
        <f aca="false">Datos_Semanales!C320</f>
        <v>QUESOS</v>
      </c>
      <c r="D320" s="23" t="n">
        <f aca="false">SUM(Datos_Semanales!F320:K320)</f>
        <v>10378.2</v>
      </c>
      <c r="E320" s="23" t="n">
        <f aca="false">AVERAGE(Datos_Semanales!F320:K320)</f>
        <v>1729.7</v>
      </c>
      <c r="F320" s="23" t="n">
        <f aca="false">STDEV(Datos_Semanales!F320:K320)</f>
        <v>1083.37342592478</v>
      </c>
      <c r="G320" s="27" t="n">
        <f aca="false">IF(E320&gt;0,F320/E320,"")</f>
        <v>0.626336027013229</v>
      </c>
      <c r="H320" s="24" t="n">
        <f aca="false">IF(SUM($D$5:$D$494)&gt;0,D320/SUM($D$5:$D$494),0)</f>
        <v>0.000432607880925963</v>
      </c>
      <c r="I320" s="24" t="n">
        <f aca="false">SUMIF($D$5:$D$494,"&gt;="&amp;D320)/SUM($D$5:$D$494)</f>
        <v>0.97496066523097</v>
      </c>
      <c r="J320" s="3" t="str">
        <f aca="false">IF(D320&lt;=0,"C",IF(I320&lt;=Parametros!$B$4,"A",IF(I320&lt;=Parametros!$B$5,"B","C")))</f>
        <v>C</v>
      </c>
      <c r="K320" s="3" t="str">
        <f aca="false">IF(E320&lt;=0,"Z",IF(G320&lt;=Parametros!$B$6,"X",IF(G320&lt;=Parametros!$B$7,"Y","Z")))</f>
        <v>Y</v>
      </c>
      <c r="L320" s="3" t="str">
        <f aca="false">J320&amp;K320</f>
        <v>CY</v>
      </c>
      <c r="M320" s="3" t="str">
        <f aca="false">INDEX(Parametros!$B$23:$B$31,MATCH(L320,Parametros!$A$23:$A$31,0))</f>
        <v>Mín/máx con stock bajo; evaluar continuidad del SKU.</v>
      </c>
      <c r="N320" s="3" t="str">
        <f aca="false">INDEX(Parametros!$C$23:$C$31,MATCH(L320,Parametros!$A$23:$A$31,0))</f>
        <v>Mensual</v>
      </c>
      <c r="O320" s="23" t="n">
        <f aca="false">SUM(Datos_Semanales!M320:R320)</f>
        <v>23225.3335507809</v>
      </c>
      <c r="P320" s="24" t="n">
        <f aca="false">IF(D320&gt;0,SUMPRODUCT(ABS(Datos_Semanales!F320:K320-Datos_Semanales!M320:R320))/D320,"")</f>
        <v>1.3419964873847</v>
      </c>
      <c r="Q320" s="24" t="n">
        <f aca="false">IF(D320&gt;0,O320/D320-1,"")</f>
        <v>1.2378961236805</v>
      </c>
      <c r="R320" s="23" t="n">
        <f aca="false">SQRT(SUMXMY2(Datos_Semanales!F320:K320,Datos_Semanales!M320:R320)/COUNT(Datos_Semanales!F320:K320))</f>
        <v>2734.98638510229</v>
      </c>
    </row>
    <row r="321" customFormat="false" ht="15" hidden="false" customHeight="false" outlineLevel="0" collapsed="false">
      <c r="A321" s="18" t="n">
        <f aca="false">Datos_Semanales!A321</f>
        <v>30002326</v>
      </c>
      <c r="B321" s="18" t="str">
        <f aca="false">Datos_Semanales!B321</f>
        <v>CREMA LISTA S/LACT LONCO 18X250ML</v>
      </c>
      <c r="C321" s="18" t="str">
        <f aca="false">Datos_Semanales!C321</f>
        <v>-</v>
      </c>
      <c r="D321" s="23" t="n">
        <f aca="false">SUM(Datos_Semanales!F321:K321)</f>
        <v>10323</v>
      </c>
      <c r="E321" s="23" t="n">
        <f aca="false">AVERAGE(Datos_Semanales!F321:K321)</f>
        <v>1720.5</v>
      </c>
      <c r="F321" s="23" t="n">
        <f aca="false">STDEV(Datos_Semanales!F321:K321)</f>
        <v>3537.08206011679</v>
      </c>
      <c r="G321" s="27" t="n">
        <f aca="false">IF(E321&gt;0,F321/E321,"")</f>
        <v>2.05584542872234</v>
      </c>
      <c r="H321" s="24" t="n">
        <f aca="false">IF(SUM($D$5:$D$494)&gt;0,D321/SUM($D$5:$D$494),0)</f>
        <v>0.000430306908211319</v>
      </c>
      <c r="I321" s="24" t="n">
        <f aca="false">SUMIF($D$5:$D$494,"&gt;="&amp;D321)/SUM($D$5:$D$494)</f>
        <v>0.975390972139182</v>
      </c>
      <c r="J321" s="3" t="str">
        <f aca="false">IF(D321&lt;=0,"C",IF(I321&lt;=Parametros!$B$4,"A",IF(I321&lt;=Parametros!$B$5,"B","C")))</f>
        <v>C</v>
      </c>
      <c r="K321" s="3" t="str">
        <f aca="false">IF(E321&lt;=0,"Z",IF(G321&lt;=Parametros!$B$6,"X",IF(G321&lt;=Parametros!$B$7,"Y","Z")))</f>
        <v>Z</v>
      </c>
      <c r="L321" s="3" t="str">
        <f aca="false">J321&amp;K321</f>
        <v>CZ</v>
      </c>
      <c r="M321" s="3" t="str">
        <f aca="false">INDEX(Parametros!$B$23:$B$31,MATCH(L321,Parametros!$A$23:$A$31,0))</f>
        <v>Contra pedido o stock mínimo. Candidato a racionalizar/descontinuar.</v>
      </c>
      <c r="N321" s="3" t="str">
        <f aca="false">INDEX(Parametros!$C$23:$C$31,MATCH(L321,Parametros!$A$23:$A$31,0))</f>
        <v>Mensual</v>
      </c>
      <c r="O321" s="23" t="n">
        <f aca="false">SUM(Datos_Semanales!M321:R321)</f>
        <v>6000</v>
      </c>
      <c r="P321" s="24" t="n">
        <f aca="false">IF(D321&gt;0,SUMPRODUCT(ABS(Datos_Semanales!F321:K321-Datos_Semanales!M321:R321))/D321,"")</f>
        <v>0.90603506732539</v>
      </c>
      <c r="Q321" s="24" t="n">
        <f aca="false">IF(D321&gt;0,O321/D321-1,"")</f>
        <v>-0.418773612322</v>
      </c>
      <c r="R321" s="23" t="n">
        <f aca="false">SQRT(SUMXMY2(Datos_Semanales!F321:K321,Datos_Semanales!M321:R321)/COUNT(Datos_Semanales!F321:K321))</f>
        <v>2974.43185051084</v>
      </c>
    </row>
    <row r="322" customFormat="false" ht="15" hidden="false" customHeight="false" outlineLevel="0" collapsed="false">
      <c r="A322" s="18" t="n">
        <f aca="false">Datos_Semanales!A322</f>
        <v>30002256</v>
      </c>
      <c r="B322" s="18" t="str">
        <f aca="false">Datos_Semanales!B322</f>
        <v>CHARQUICAN WASIL 16X380GR</v>
      </c>
      <c r="C322" s="18" t="str">
        <f aca="false">Datos_Semanales!C322</f>
        <v>-</v>
      </c>
      <c r="D322" s="23" t="n">
        <f aca="false">SUM(Datos_Semanales!F322:K322)</f>
        <v>10281.28</v>
      </c>
      <c r="E322" s="23" t="n">
        <f aca="false">AVERAGE(Datos_Semanales!F322:K322)</f>
        <v>1713.54666666667</v>
      </c>
      <c r="F322" s="23" t="n">
        <f aca="false">STDEV(Datos_Semanales!F322:K322)</f>
        <v>508.70988552088</v>
      </c>
      <c r="G322" s="27" t="n">
        <f aca="false">IF(E322&gt;0,F322/E322,"")</f>
        <v>0.296875419512481</v>
      </c>
      <c r="H322" s="24" t="n">
        <f aca="false">IF(SUM($D$5:$D$494)&gt;0,D322/SUM($D$5:$D$494),0)</f>
        <v>0.000428567839703078</v>
      </c>
      <c r="I322" s="24" t="n">
        <f aca="false">SUMIF($D$5:$D$494,"&gt;="&amp;D322)/SUM($D$5:$D$494)</f>
        <v>0.975819539978885</v>
      </c>
      <c r="J322" s="3" t="str">
        <f aca="false">IF(D322&lt;=0,"C",IF(I322&lt;=Parametros!$B$4,"A",IF(I322&lt;=Parametros!$B$5,"B","C")))</f>
        <v>C</v>
      </c>
      <c r="K322" s="3" t="str">
        <f aca="false">IF(E322&lt;=0,"Z",IF(G322&lt;=Parametros!$B$6,"X",IF(G322&lt;=Parametros!$B$7,"Y","Z")))</f>
        <v>X</v>
      </c>
      <c r="L322" s="3" t="str">
        <f aca="false">J322&amp;K322</f>
        <v>CX</v>
      </c>
      <c r="M322" s="3" t="str">
        <f aca="false">INDEX(Parametros!$B$23:$B$31,MATCH(L322,Parametros!$A$23:$A$31,0))</f>
        <v>Reposición simple mín/máx.</v>
      </c>
      <c r="N322" s="3" t="str">
        <f aca="false">INDEX(Parametros!$C$23:$C$31,MATCH(L322,Parametros!$A$23:$A$31,0))</f>
        <v>Trimestral</v>
      </c>
      <c r="O322" s="23" t="n">
        <f aca="false">SUM(Datos_Semanales!M322:R322)</f>
        <v>12114.16</v>
      </c>
      <c r="P322" s="24" t="n">
        <f aca="false">IF(D322&gt;0,SUMPRODUCT(ABS(Datos_Semanales!F322:K322-Datos_Semanales!M322:R322))/D322,"")</f>
        <v>0.192077251081577</v>
      </c>
      <c r="Q322" s="24" t="n">
        <f aca="false">IF(D322&gt;0,O322/D322-1,"")</f>
        <v>0.178273522362974</v>
      </c>
      <c r="R322" s="23" t="n">
        <f aca="false">SQRT(SUMXMY2(Datos_Semanales!F322:K322,Datos_Semanales!M322:R322)/COUNT(Datos_Semanales!F322:K322))</f>
        <v>408.121232968832</v>
      </c>
    </row>
    <row r="323" customFormat="false" ht="15" hidden="false" customHeight="false" outlineLevel="0" collapsed="false">
      <c r="A323" s="18" t="n">
        <f aca="false">Datos_Semanales!A323</f>
        <v>30001046</v>
      </c>
      <c r="B323" s="18" t="str">
        <f aca="false">Datos_Semanales!B323</f>
        <v>LS8 CAL PROB MZNA UNV P6 48X90GR</v>
      </c>
      <c r="C323" s="18" t="str">
        <f aca="false">Datos_Semanales!C323</f>
        <v>YOGURT</v>
      </c>
      <c r="D323" s="23" t="n">
        <f aca="false">SUM(Datos_Semanales!F323:K323)</f>
        <v>10268.64</v>
      </c>
      <c r="E323" s="23" t="n">
        <f aca="false">AVERAGE(Datos_Semanales!F323:K323)</f>
        <v>1711.44</v>
      </c>
      <c r="F323" s="23" t="n">
        <f aca="false">STDEV(Datos_Semanales!F323:K323)</f>
        <v>366.598943369999</v>
      </c>
      <c r="G323" s="27" t="n">
        <f aca="false">IF(E323&gt;0,F323/E323,"")</f>
        <v>0.214204963872528</v>
      </c>
      <c r="H323" s="24" t="n">
        <f aca="false">IF(SUM($D$5:$D$494)&gt;0,D323/SUM($D$5:$D$494),0)</f>
        <v>0.000428040950298855</v>
      </c>
      <c r="I323" s="24" t="n">
        <f aca="false">SUMIF($D$5:$D$494,"&gt;="&amp;D323)/SUM($D$5:$D$494)</f>
        <v>0.976247580929184</v>
      </c>
      <c r="J323" s="3" t="str">
        <f aca="false">IF(D323&lt;=0,"C",IF(I323&lt;=Parametros!$B$4,"A",IF(I323&lt;=Parametros!$B$5,"B","C")))</f>
        <v>C</v>
      </c>
      <c r="K323" s="3" t="str">
        <f aca="false">IF(E323&lt;=0,"Z",IF(G323&lt;=Parametros!$B$6,"X",IF(G323&lt;=Parametros!$B$7,"Y","Z")))</f>
        <v>X</v>
      </c>
      <c r="L323" s="3" t="str">
        <f aca="false">J323&amp;K323</f>
        <v>CX</v>
      </c>
      <c r="M323" s="3" t="str">
        <f aca="false">INDEX(Parametros!$B$23:$B$31,MATCH(L323,Parametros!$A$23:$A$31,0))</f>
        <v>Reposición simple mín/máx.</v>
      </c>
      <c r="N323" s="3" t="str">
        <f aca="false">INDEX(Parametros!$C$23:$C$31,MATCH(L323,Parametros!$A$23:$A$31,0))</f>
        <v>Trimestral</v>
      </c>
      <c r="O323" s="23" t="n">
        <f aca="false">SUM(Datos_Semanales!M323:R323)</f>
        <v>5581.60995321173</v>
      </c>
      <c r="P323" s="24" t="n">
        <f aca="false">IF(D323&gt;0,SUMPRODUCT(ABS(Datos_Semanales!F323:K323-Datos_Semanales!M323:R323))/D323,"")</f>
        <v>0.456441169111807</v>
      </c>
      <c r="Q323" s="24" t="n">
        <f aca="false">IF(D323&gt;0,O323/D323-1,"")</f>
        <v>-0.456441169111807</v>
      </c>
      <c r="R323" s="23" t="n">
        <f aca="false">SQRT(SUMXMY2(Datos_Semanales!F323:K323,Datos_Semanales!M323:R323)/COUNT(Datos_Semanales!F323:K323))</f>
        <v>846.837473976755</v>
      </c>
    </row>
    <row r="324" customFormat="false" ht="15" hidden="false" customHeight="false" outlineLevel="0" collapsed="false">
      <c r="A324" s="18" t="n">
        <f aca="false">Datos_Semanales!A324</f>
        <v>30001149</v>
      </c>
      <c r="B324" s="18" t="str">
        <f aca="false">Datos_Semanales!B324</f>
        <v>LECHE EVAPORADA S/LAC LONCO 30X200ML</v>
      </c>
      <c r="C324" s="18" t="str">
        <f aca="false">Datos_Semanales!C324</f>
        <v>LECHE EVAPORADA</v>
      </c>
      <c r="D324" s="23" t="n">
        <f aca="false">SUM(Datos_Semanales!F324:K324)</f>
        <v>10236</v>
      </c>
      <c r="E324" s="23" t="n">
        <f aca="false">AVERAGE(Datos_Semanales!F324:K324)</f>
        <v>1706</v>
      </c>
      <c r="F324" s="23" t="n">
        <f aca="false">STDEV(Datos_Semanales!F324:K324)</f>
        <v>526.944399343992</v>
      </c>
      <c r="G324" s="27" t="n">
        <f aca="false">IF(E324&gt;0,F324/E324,"")</f>
        <v>0.30887713912309</v>
      </c>
      <c r="H324" s="24" t="n">
        <f aca="false">IF(SUM($D$5:$D$494)&gt;0,D324/SUM($D$5:$D$494),0)</f>
        <v>0.000426680375128457</v>
      </c>
      <c r="I324" s="24" t="n">
        <f aca="false">SUMIF($D$5:$D$494,"&gt;="&amp;D324)/SUM($D$5:$D$494)</f>
        <v>0.976674261304312</v>
      </c>
      <c r="J324" s="3" t="str">
        <f aca="false">IF(D324&lt;=0,"C",IF(I324&lt;=Parametros!$B$4,"A",IF(I324&lt;=Parametros!$B$5,"B","C")))</f>
        <v>C</v>
      </c>
      <c r="K324" s="3" t="str">
        <f aca="false">IF(E324&lt;=0,"Z",IF(G324&lt;=Parametros!$B$6,"X",IF(G324&lt;=Parametros!$B$7,"Y","Z")))</f>
        <v>X</v>
      </c>
      <c r="L324" s="3" t="str">
        <f aca="false">J324&amp;K324</f>
        <v>CX</v>
      </c>
      <c r="M324" s="3" t="str">
        <f aca="false">INDEX(Parametros!$B$23:$B$31,MATCH(L324,Parametros!$A$23:$A$31,0))</f>
        <v>Reposición simple mín/máx.</v>
      </c>
      <c r="N324" s="3" t="str">
        <f aca="false">INDEX(Parametros!$C$23:$C$31,MATCH(L324,Parametros!$A$23:$A$31,0))</f>
        <v>Trimestral</v>
      </c>
      <c r="O324" s="23" t="n">
        <f aca="false">SUM(Datos_Semanales!M324:R324)</f>
        <v>11270.5260468271</v>
      </c>
      <c r="P324" s="24" t="n">
        <f aca="false">IF(D324&gt;0,SUMPRODUCT(ABS(Datos_Semanales!F324:K324-Datos_Semanales!M324:R324))/D324,"")</f>
        <v>0.265990030595239</v>
      </c>
      <c r="Q324" s="24" t="n">
        <f aca="false">IF(D324&gt;0,O324/D324-1,"")</f>
        <v>0.101067413718946</v>
      </c>
      <c r="R324" s="23" t="n">
        <f aca="false">SQRT(SUMXMY2(Datos_Semanales!F324:K324,Datos_Semanales!M324:R324)/COUNT(Datos_Semanales!F324:K324))</f>
        <v>535.577835708204</v>
      </c>
    </row>
    <row r="325" customFormat="false" ht="15" hidden="false" customHeight="false" outlineLevel="0" collapsed="false">
      <c r="A325" s="18" t="n">
        <f aca="false">Datos_Semanales!A325</f>
        <v>30001407</v>
      </c>
      <c r="B325" s="18" t="str">
        <f aca="false">Datos_Semanales!B325</f>
        <v>BREAK CHOCO AVELLANA LONCO 18X250ML</v>
      </c>
      <c r="C325" s="18" t="str">
        <f aca="false">Datos_Semanales!C325</f>
        <v>LECHES LIQUIDAS</v>
      </c>
      <c r="D325" s="23" t="n">
        <f aca="false">SUM(Datos_Semanales!F325:K325)</f>
        <v>10233</v>
      </c>
      <c r="E325" s="23" t="n">
        <f aca="false">AVERAGE(Datos_Semanales!F325:K325)</f>
        <v>1705.5</v>
      </c>
      <c r="F325" s="23" t="n">
        <f aca="false">STDEV(Datos_Semanales!F325:K325)</f>
        <v>375.829482611463</v>
      </c>
      <c r="G325" s="27" t="n">
        <f aca="false">IF(E325&gt;0,F325/E325,"")</f>
        <v>0.220363226391946</v>
      </c>
      <c r="H325" s="24" t="n">
        <f aca="false">IF(SUM($D$5:$D$494)&gt;0,D325/SUM($D$5:$D$494),0)</f>
        <v>0.000426555322263531</v>
      </c>
      <c r="I325" s="24" t="n">
        <f aca="false">SUMIF($D$5:$D$494,"&gt;="&amp;D325)/SUM($D$5:$D$494)</f>
        <v>0.977100816626575</v>
      </c>
      <c r="J325" s="3" t="str">
        <f aca="false">IF(D325&lt;=0,"C",IF(I325&lt;=Parametros!$B$4,"A",IF(I325&lt;=Parametros!$B$5,"B","C")))</f>
        <v>C</v>
      </c>
      <c r="K325" s="3" t="str">
        <f aca="false">IF(E325&lt;=0,"Z",IF(G325&lt;=Parametros!$B$6,"X",IF(G325&lt;=Parametros!$B$7,"Y","Z")))</f>
        <v>X</v>
      </c>
      <c r="L325" s="3" t="str">
        <f aca="false">J325&amp;K325</f>
        <v>CX</v>
      </c>
      <c r="M325" s="3" t="str">
        <f aca="false">INDEX(Parametros!$B$23:$B$31,MATCH(L325,Parametros!$A$23:$A$31,0))</f>
        <v>Reposición simple mín/máx.</v>
      </c>
      <c r="N325" s="3" t="str">
        <f aca="false">INDEX(Parametros!$C$23:$C$31,MATCH(L325,Parametros!$A$23:$A$31,0))</f>
        <v>Trimestral</v>
      </c>
      <c r="O325" s="23" t="n">
        <f aca="false">SUM(Datos_Semanales!M325:R325)</f>
        <v>9408.41190052674</v>
      </c>
      <c r="P325" s="24" t="n">
        <f aca="false">IF(D325&gt;0,SUMPRODUCT(ABS(Datos_Semanales!F325:K325-Datos_Semanales!M325:R325))/D325,"")</f>
        <v>0.18062485092087</v>
      </c>
      <c r="Q325" s="24" t="n">
        <f aca="false">IF(D325&gt;0,O325/D325-1,"")</f>
        <v>-0.0805812664392905</v>
      </c>
      <c r="R325" s="23" t="n">
        <f aca="false">SQRT(SUMXMY2(Datos_Semanales!F325:K325,Datos_Semanales!M325:R325)/COUNT(Datos_Semanales!F325:K325))</f>
        <v>357.444070167049</v>
      </c>
    </row>
    <row r="326" customFormat="false" ht="15" hidden="false" customHeight="false" outlineLevel="0" collapsed="false">
      <c r="A326" s="18" t="n">
        <f aca="false">Datos_Semanales!A326</f>
        <v>30002255</v>
      </c>
      <c r="B326" s="18" t="str">
        <f aca="false">Datos_Semanales!B326</f>
        <v>YOGURT YOGU YOGU DAMASCO TETRA 5X6X115GR</v>
      </c>
      <c r="C326" s="18" t="str">
        <f aca="false">Datos_Semanales!C326</f>
        <v>YOGURT</v>
      </c>
      <c r="D326" s="23" t="n">
        <f aca="false">SUM(Datos_Semanales!F326:K326)</f>
        <v>10149.9</v>
      </c>
      <c r="E326" s="23" t="n">
        <f aca="false">AVERAGE(Datos_Semanales!F326:K326)</f>
        <v>1691.65</v>
      </c>
      <c r="F326" s="23" t="n">
        <f aca="false">STDEV(Datos_Semanales!F326:K326)</f>
        <v>317.307486517416</v>
      </c>
      <c r="G326" s="27" t="n">
        <f aca="false">IF(E326&gt;0,F326/E326,"")</f>
        <v>0.187572775998236</v>
      </c>
      <c r="H326" s="24" t="n">
        <f aca="false">IF(SUM($D$5:$D$494)&gt;0,D326/SUM($D$5:$D$494),0)</f>
        <v>0.000423091357905073</v>
      </c>
      <c r="I326" s="24" t="n">
        <f aca="false">SUMIF($D$5:$D$494,"&gt;="&amp;D326)/SUM($D$5:$D$494)</f>
        <v>0.977523907984481</v>
      </c>
      <c r="J326" s="3" t="str">
        <f aca="false">IF(D326&lt;=0,"C",IF(I326&lt;=Parametros!$B$4,"A",IF(I326&lt;=Parametros!$B$5,"B","C")))</f>
        <v>C</v>
      </c>
      <c r="K326" s="3" t="str">
        <f aca="false">IF(E326&lt;=0,"Z",IF(G326&lt;=Parametros!$B$6,"X",IF(G326&lt;=Parametros!$B$7,"Y","Z")))</f>
        <v>X</v>
      </c>
      <c r="L326" s="3" t="str">
        <f aca="false">J326&amp;K326</f>
        <v>CX</v>
      </c>
      <c r="M326" s="3" t="str">
        <f aca="false">INDEX(Parametros!$B$23:$B$31,MATCH(L326,Parametros!$A$23:$A$31,0))</f>
        <v>Reposición simple mín/máx.</v>
      </c>
      <c r="N326" s="3" t="str">
        <f aca="false">INDEX(Parametros!$C$23:$C$31,MATCH(L326,Parametros!$A$23:$A$31,0))</f>
        <v>Trimestral</v>
      </c>
      <c r="O326" s="23" t="n">
        <f aca="false">SUM(Datos_Semanales!M326:R326)</f>
        <v>9758.02727461155</v>
      </c>
      <c r="P326" s="24" t="n">
        <f aca="false">IF(D326&gt;0,SUMPRODUCT(ABS(Datos_Semanales!F326:K326-Datos_Semanales!M326:R326))/D326,"")</f>
        <v>0.196048046350883</v>
      </c>
      <c r="Q326" s="24" t="n">
        <f aca="false">IF(D326&gt;0,O326/D326-1,"")</f>
        <v>-0.038608530664189</v>
      </c>
      <c r="R326" s="23" t="n">
        <f aca="false">SQRT(SUMXMY2(Datos_Semanales!F326:K326,Datos_Semanales!M326:R326)/COUNT(Datos_Semanales!F326:K326))</f>
        <v>355.155736163509</v>
      </c>
    </row>
    <row r="327" customFormat="false" ht="15" hidden="false" customHeight="false" outlineLevel="0" collapsed="false">
      <c r="A327" s="18" t="n">
        <f aca="false">Datos_Semanales!A327</f>
        <v>30001698</v>
      </c>
      <c r="B327" s="18" t="str">
        <f aca="false">Datos_Semanales!B327</f>
        <v>SALSA TOMATES WASIL SACHET 24X180 GRS</v>
      </c>
      <c r="C327" s="18" t="str">
        <f aca="false">Datos_Semanales!C327</f>
        <v>-</v>
      </c>
      <c r="D327" s="23" t="n">
        <f aca="false">SUM(Datos_Semanales!F327:K327)</f>
        <v>10013.76</v>
      </c>
      <c r="E327" s="23" t="n">
        <f aca="false">AVERAGE(Datos_Semanales!F327:K327)</f>
        <v>1668.96</v>
      </c>
      <c r="F327" s="23" t="n">
        <f aca="false">STDEV(Datos_Semanales!F327:K327)</f>
        <v>1042.59659604278</v>
      </c>
      <c r="G327" s="27" t="n">
        <f aca="false">IF(E327&gt;0,F327/E327,"")</f>
        <v>0.624698372664883</v>
      </c>
      <c r="H327" s="24" t="n">
        <f aca="false">IF(SUM($D$5:$D$494)&gt;0,D327/SUM($D$5:$D$494),0)</f>
        <v>0.000417416458894719</v>
      </c>
      <c r="I327" s="24" t="n">
        <f aca="false">SUMIF($D$5:$D$494,"&gt;="&amp;D327)/SUM($D$5:$D$494)</f>
        <v>0.977941324443375</v>
      </c>
      <c r="J327" s="3" t="str">
        <f aca="false">IF(D327&lt;=0,"C",IF(I327&lt;=Parametros!$B$4,"A",IF(I327&lt;=Parametros!$B$5,"B","C")))</f>
        <v>C</v>
      </c>
      <c r="K327" s="3" t="str">
        <f aca="false">IF(E327&lt;=0,"Z",IF(G327&lt;=Parametros!$B$6,"X",IF(G327&lt;=Parametros!$B$7,"Y","Z")))</f>
        <v>Y</v>
      </c>
      <c r="L327" s="3" t="str">
        <f aca="false">J327&amp;K327</f>
        <v>CY</v>
      </c>
      <c r="M327" s="3" t="str">
        <f aca="false">INDEX(Parametros!$B$23:$B$31,MATCH(L327,Parametros!$A$23:$A$31,0))</f>
        <v>Mín/máx con stock bajo; evaluar continuidad del SKU.</v>
      </c>
      <c r="N327" s="3" t="str">
        <f aca="false">INDEX(Parametros!$C$23:$C$31,MATCH(L327,Parametros!$A$23:$A$31,0))</f>
        <v>Mensual</v>
      </c>
      <c r="O327" s="23" t="n">
        <f aca="false">SUM(Datos_Semanales!M327:R327)</f>
        <v>12279.28</v>
      </c>
      <c r="P327" s="24" t="n">
        <f aca="false">IF(D327&gt;0,SUMPRODUCT(ABS(Datos_Semanales!F327:K327-Datos_Semanales!M327:R327))/D327,"")</f>
        <v>0.447568146230786</v>
      </c>
      <c r="Q327" s="24" t="n">
        <f aca="false">IF(D327&gt;0,O327/D327-1,"")</f>
        <v>0.226240692806698</v>
      </c>
      <c r="R327" s="23" t="n">
        <f aca="false">SQRT(SUMXMY2(Datos_Semanales!F327:K327,Datos_Semanales!M327:R327)/COUNT(Datos_Semanales!F327:K327))</f>
        <v>850.835336047267</v>
      </c>
    </row>
    <row r="328" customFormat="false" ht="15" hidden="false" customHeight="false" outlineLevel="0" collapsed="false">
      <c r="A328" s="18" t="n">
        <f aca="false">Datos_Semanales!A328</f>
        <v>30001341</v>
      </c>
      <c r="B328" s="18" t="str">
        <f aca="false">Datos_Semanales!B328</f>
        <v>MANTECA ASTRA12X900 G</v>
      </c>
      <c r="C328" s="18" t="str">
        <f aca="false">Datos_Semanales!C328</f>
        <v>MANTECAS</v>
      </c>
      <c r="D328" s="23" t="n">
        <f aca="false">SUM(Datos_Semanales!F328:K328)</f>
        <v>10000.8</v>
      </c>
      <c r="E328" s="23" t="n">
        <f aca="false">AVERAGE(Datos_Semanales!F328:K328)</f>
        <v>1666.8</v>
      </c>
      <c r="F328" s="23" t="n">
        <f aca="false">STDEV(Datos_Semanales!F328:K328)</f>
        <v>1083.89537502473</v>
      </c>
      <c r="G328" s="27" t="n">
        <f aca="false">IF(E328&gt;0,F328/E328,"")</f>
        <v>0.650285202198662</v>
      </c>
      <c r="H328" s="24" t="n">
        <f aca="false">IF(SUM($D$5:$D$494)&gt;0,D328/SUM($D$5:$D$494),0)</f>
        <v>0.000416876230518237</v>
      </c>
      <c r="I328" s="24" t="n">
        <f aca="false">SUMIF($D$5:$D$494,"&gt;="&amp;D328)/SUM($D$5:$D$494)</f>
        <v>0.978358200673894</v>
      </c>
      <c r="J328" s="3" t="str">
        <f aca="false">IF(D328&lt;=0,"C",IF(I328&lt;=Parametros!$B$4,"A",IF(I328&lt;=Parametros!$B$5,"B","C")))</f>
        <v>C</v>
      </c>
      <c r="K328" s="3" t="str">
        <f aca="false">IF(E328&lt;=0,"Z",IF(G328&lt;=Parametros!$B$6,"X",IF(G328&lt;=Parametros!$B$7,"Y","Z")))</f>
        <v>Y</v>
      </c>
      <c r="L328" s="3" t="str">
        <f aca="false">J328&amp;K328</f>
        <v>CY</v>
      </c>
      <c r="M328" s="3" t="str">
        <f aca="false">INDEX(Parametros!$B$23:$B$31,MATCH(L328,Parametros!$A$23:$A$31,0))</f>
        <v>Mín/máx con stock bajo; evaluar continuidad del SKU.</v>
      </c>
      <c r="N328" s="3" t="str">
        <f aca="false">INDEX(Parametros!$C$23:$C$31,MATCH(L328,Parametros!$A$23:$A$31,0))</f>
        <v>Mensual</v>
      </c>
      <c r="O328" s="23" t="n">
        <f aca="false">SUM(Datos_Semanales!M328:R328)</f>
        <v>9220.85074401337</v>
      </c>
      <c r="P328" s="24" t="n">
        <f aca="false">IF(D328&gt;0,SUMPRODUCT(ABS(Datos_Semanales!F328:K328-Datos_Semanales!M328:R328))/D328,"")</f>
        <v>0.45809986462918</v>
      </c>
      <c r="Q328" s="24" t="n">
        <f aca="false">IF(D328&gt;0,O328/D328-1,"")</f>
        <v>-0.0779886865037432</v>
      </c>
      <c r="R328" s="23" t="n">
        <f aca="false">SQRT(SUMXMY2(Datos_Semanales!F328:K328,Datos_Semanales!M328:R328)/COUNT(Datos_Semanales!F328:K328))</f>
        <v>828.517203430621</v>
      </c>
    </row>
    <row r="329" customFormat="false" ht="15" hidden="false" customHeight="false" outlineLevel="0" collapsed="false">
      <c r="A329" s="18" t="n">
        <f aca="false">Datos_Semanales!A329</f>
        <v>30002269</v>
      </c>
      <c r="B329" s="18" t="str">
        <f aca="false">Datos_Semanales!B329</f>
        <v>CREMA S/LAC LONCO 500ML</v>
      </c>
      <c r="C329" s="18" t="str">
        <f aca="false">Datos_Semanales!C329</f>
        <v>CREMA</v>
      </c>
      <c r="D329" s="23" t="n">
        <f aca="false">SUM(Datos_Semanales!F329:K329)</f>
        <v>9864</v>
      </c>
      <c r="E329" s="23" t="n">
        <f aca="false">AVERAGE(Datos_Semanales!F329:K329)</f>
        <v>1644</v>
      </c>
      <c r="F329" s="23" t="n">
        <f aca="false">STDEV(Datos_Semanales!F329:K329)</f>
        <v>1423.97078621719</v>
      </c>
      <c r="G329" s="27" t="n">
        <f aca="false">IF(E329&gt;0,F329/E329,"")</f>
        <v>0.866162278720918</v>
      </c>
      <c r="H329" s="24" t="n">
        <f aca="false">IF(SUM($D$5:$D$494)&gt;0,D329/SUM($D$5:$D$494),0)</f>
        <v>0.000411173819877599</v>
      </c>
      <c r="I329" s="24" t="n">
        <f aca="false">SUMIF($D$5:$D$494,"&gt;="&amp;D329)/SUM($D$5:$D$494)</f>
        <v>0.978769374493771</v>
      </c>
      <c r="J329" s="3" t="str">
        <f aca="false">IF(D329&lt;=0,"C",IF(I329&lt;=Parametros!$B$4,"A",IF(I329&lt;=Parametros!$B$5,"B","C")))</f>
        <v>C</v>
      </c>
      <c r="K329" s="3" t="str">
        <f aca="false">IF(E329&lt;=0,"Z",IF(G329&lt;=Parametros!$B$6,"X",IF(G329&lt;=Parametros!$B$7,"Y","Z")))</f>
        <v>Y</v>
      </c>
      <c r="L329" s="3" t="str">
        <f aca="false">J329&amp;K329</f>
        <v>CY</v>
      </c>
      <c r="M329" s="3" t="str">
        <f aca="false">INDEX(Parametros!$B$23:$B$31,MATCH(L329,Parametros!$A$23:$A$31,0))</f>
        <v>Mín/máx con stock bajo; evaluar continuidad del SKU.</v>
      </c>
      <c r="N329" s="3" t="str">
        <f aca="false">INDEX(Parametros!$C$23:$C$31,MATCH(L329,Parametros!$A$23:$A$31,0))</f>
        <v>Mensual</v>
      </c>
      <c r="O329" s="23" t="n">
        <f aca="false">SUM(Datos_Semanales!M329:R329)</f>
        <v>11849.7593006185</v>
      </c>
      <c r="P329" s="24" t="n">
        <f aca="false">IF(D329&gt;0,SUMPRODUCT(ABS(Datos_Semanales!F329:K329-Datos_Semanales!M329:R329))/D329,"")</f>
        <v>0.943006964657494</v>
      </c>
      <c r="Q329" s="24" t="n">
        <f aca="false">IF(D329&gt;0,O329/D329-1,"")</f>
        <v>0.201313797710714</v>
      </c>
      <c r="R329" s="23" t="n">
        <f aca="false">SQRT(SUMXMY2(Datos_Semanales!F329:K329,Datos_Semanales!M329:R329)/COUNT(Datos_Semanales!F329:K329))</f>
        <v>1889.89109028216</v>
      </c>
    </row>
    <row r="330" customFormat="false" ht="15" hidden="false" customHeight="false" outlineLevel="0" collapsed="false">
      <c r="A330" s="18" t="n">
        <f aca="false">Datos_Semanales!A330</f>
        <v>30000253</v>
      </c>
      <c r="B330" s="18" t="str">
        <f aca="false">Datos_Semanales!B330</f>
        <v>NEC W SELECCION MGO/MCYA 6X1LT</v>
      </c>
      <c r="C330" s="18" t="str">
        <f aca="false">Datos_Semanales!C330</f>
        <v>JUGOS Y NECTARES</v>
      </c>
      <c r="D330" s="23" t="n">
        <f aca="false">SUM(Datos_Semanales!F330:K330)</f>
        <v>9804</v>
      </c>
      <c r="E330" s="23" t="n">
        <f aca="false">AVERAGE(Datos_Semanales!F330:K330)</f>
        <v>1634</v>
      </c>
      <c r="F330" s="23" t="n">
        <f aca="false">STDEV(Datos_Semanales!F330:K330)</f>
        <v>639.88999054525</v>
      </c>
      <c r="G330" s="27" t="n">
        <f aca="false">IF(E330&gt;0,F330/E330,"")</f>
        <v>0.391609541337362</v>
      </c>
      <c r="H330" s="24" t="n">
        <f aca="false">IF(SUM($D$5:$D$494)&gt;0,D330/SUM($D$5:$D$494),0)</f>
        <v>0.000408672762579073</v>
      </c>
      <c r="I330" s="24" t="n">
        <f aca="false">SUMIF($D$5:$D$494,"&gt;="&amp;D330)/SUM($D$5:$D$494)</f>
        <v>0.97917804725635</v>
      </c>
      <c r="J330" s="3" t="str">
        <f aca="false">IF(D330&lt;=0,"C",IF(I330&lt;=Parametros!$B$4,"A",IF(I330&lt;=Parametros!$B$5,"B","C")))</f>
        <v>C</v>
      </c>
      <c r="K330" s="3" t="str">
        <f aca="false">IF(E330&lt;=0,"Z",IF(G330&lt;=Parametros!$B$6,"X",IF(G330&lt;=Parametros!$B$7,"Y","Z")))</f>
        <v>X</v>
      </c>
      <c r="L330" s="3" t="str">
        <f aca="false">J330&amp;K330</f>
        <v>CX</v>
      </c>
      <c r="M330" s="3" t="str">
        <f aca="false">INDEX(Parametros!$B$23:$B$31,MATCH(L330,Parametros!$A$23:$A$31,0))</f>
        <v>Reposición simple mín/máx.</v>
      </c>
      <c r="N330" s="3" t="str">
        <f aca="false">INDEX(Parametros!$C$23:$C$31,MATCH(L330,Parametros!$A$23:$A$31,0))</f>
        <v>Trimestral</v>
      </c>
      <c r="O330" s="23" t="n">
        <f aca="false">SUM(Datos_Semanales!M330:R330)</f>
        <v>11361.989317341</v>
      </c>
      <c r="P330" s="24" t="n">
        <f aca="false">IF(D330&gt;0,SUMPRODUCT(ABS(Datos_Semanales!F330:K330-Datos_Semanales!M330:R330))/D330,"")</f>
        <v>0.339950958447438</v>
      </c>
      <c r="Q330" s="24" t="n">
        <f aca="false">IF(D330&gt;0,O330/D330-1,"")</f>
        <v>0.158913639059666</v>
      </c>
      <c r="R330" s="23" t="n">
        <f aca="false">SQRT(SUMXMY2(Datos_Semanales!F330:K330,Datos_Semanales!M330:R330)/COUNT(Datos_Semanales!F330:K330))</f>
        <v>672.254197158318</v>
      </c>
    </row>
    <row r="331" customFormat="false" ht="15" hidden="false" customHeight="false" outlineLevel="0" collapsed="false">
      <c r="A331" s="18" t="n">
        <f aca="false">Datos_Semanales!A331</f>
        <v>30002331</v>
      </c>
      <c r="B331" s="18" t="str">
        <f aca="false">Datos_Semanales!B331</f>
        <v>GARBANZOS WASIL TTR 24X200</v>
      </c>
      <c r="C331" s="18" t="str">
        <f aca="false">Datos_Semanales!C331</f>
        <v>CONSERVAS Y PLATOS LISTOS</v>
      </c>
      <c r="D331" s="23" t="n">
        <f aca="false">SUM(Datos_Semanales!F331:K331)</f>
        <v>9782.4</v>
      </c>
      <c r="E331" s="23" t="n">
        <f aca="false">AVERAGE(Datos_Semanales!F331:K331)</f>
        <v>1630.4</v>
      </c>
      <c r="F331" s="23" t="n">
        <f aca="false">STDEV(Datos_Semanales!F331:K331)</f>
        <v>2736.67304002506</v>
      </c>
      <c r="G331" s="27" t="n">
        <f aca="false">IF(E331&gt;0,F331/E331,"")</f>
        <v>1.67852860649231</v>
      </c>
      <c r="H331" s="24" t="n">
        <f aca="false">IF(SUM($D$5:$D$494)&gt;0,D331/SUM($D$5:$D$494),0)</f>
        <v>0.000407772381951604</v>
      </c>
      <c r="I331" s="24" t="n">
        <f aca="false">SUMIF($D$5:$D$494,"&gt;="&amp;D331)/SUM($D$5:$D$494)</f>
        <v>0.979585819638302</v>
      </c>
      <c r="J331" s="3" t="str">
        <f aca="false">IF(D331&lt;=0,"C",IF(I331&lt;=Parametros!$B$4,"A",IF(I331&lt;=Parametros!$B$5,"B","C")))</f>
        <v>C</v>
      </c>
      <c r="K331" s="3" t="str">
        <f aca="false">IF(E331&lt;=0,"Z",IF(G331&lt;=Parametros!$B$6,"X",IF(G331&lt;=Parametros!$B$7,"Y","Z")))</f>
        <v>Z</v>
      </c>
      <c r="L331" s="3" t="str">
        <f aca="false">J331&amp;K331</f>
        <v>CZ</v>
      </c>
      <c r="M331" s="3" t="str">
        <f aca="false">INDEX(Parametros!$B$23:$B$31,MATCH(L331,Parametros!$A$23:$A$31,0))</f>
        <v>Contra pedido o stock mínimo. Candidato a racionalizar/descontinuar.</v>
      </c>
      <c r="N331" s="3" t="str">
        <f aca="false">INDEX(Parametros!$C$23:$C$31,MATCH(L331,Parametros!$A$23:$A$31,0))</f>
        <v>Mensual</v>
      </c>
      <c r="O331" s="23" t="n">
        <f aca="false">SUM(Datos_Semanales!M331:R331)</f>
        <v>5440</v>
      </c>
      <c r="P331" s="24" t="n">
        <f aca="false">IF(D331&gt;0,SUMPRODUCT(ABS(Datos_Semanales!F331:K331-Datos_Semanales!M331:R331))/D331,"")</f>
        <v>0.443899247628394</v>
      </c>
      <c r="Q331" s="24" t="n">
        <f aca="false">IF(D331&gt;0,O331/D331-1,"")</f>
        <v>-0.443899247628394</v>
      </c>
      <c r="R331" s="23" t="n">
        <f aca="false">SQRT(SUMXMY2(Datos_Semanales!F331:K331,Datos_Semanales!M331:R331)/COUNT(Datos_Semanales!F331:K331))</f>
        <v>1253.9363088557</v>
      </c>
    </row>
    <row r="332" customFormat="false" ht="15" hidden="false" customHeight="false" outlineLevel="0" collapsed="false">
      <c r="A332" s="18" t="n">
        <f aca="false">Datos_Semanales!A332</f>
        <v>30000250</v>
      </c>
      <c r="B332" s="18" t="str">
        <f aca="false">Datos_Semanales!B332</f>
        <v>JUGO FRESCO ARÁNDANO 6X1LT</v>
      </c>
      <c r="C332" s="18" t="str">
        <f aca="false">Datos_Semanales!C332</f>
        <v>JUGOS Y NECTARES</v>
      </c>
      <c r="D332" s="23" t="n">
        <f aca="false">SUM(Datos_Semanales!F332:K332)</f>
        <v>9750</v>
      </c>
      <c r="E332" s="23" t="n">
        <f aca="false">AVERAGE(Datos_Semanales!F332:K332)</f>
        <v>1625</v>
      </c>
      <c r="F332" s="23" t="n">
        <f aca="false">STDEV(Datos_Semanales!F332:K332)</f>
        <v>513.670322288528</v>
      </c>
      <c r="G332" s="27" t="n">
        <f aca="false">IF(E332&gt;0,F332/E332,"")</f>
        <v>0.316104813716017</v>
      </c>
      <c r="H332" s="24" t="n">
        <f aca="false">IF(SUM($D$5:$D$494)&gt;0,D332/SUM($D$5:$D$494),0)</f>
        <v>0.0004064218110104</v>
      </c>
      <c r="I332" s="24" t="n">
        <f aca="false">SUMIF($D$5:$D$494,"&gt;="&amp;D332)/SUM($D$5:$D$494)</f>
        <v>0.979992241449312</v>
      </c>
      <c r="J332" s="3" t="str">
        <f aca="false">IF(D332&lt;=0,"C",IF(I332&lt;=Parametros!$B$4,"A",IF(I332&lt;=Parametros!$B$5,"B","C")))</f>
        <v>C</v>
      </c>
      <c r="K332" s="3" t="str">
        <f aca="false">IF(E332&lt;=0,"Z",IF(G332&lt;=Parametros!$B$6,"X",IF(G332&lt;=Parametros!$B$7,"Y","Z")))</f>
        <v>X</v>
      </c>
      <c r="L332" s="3" t="str">
        <f aca="false">J332&amp;K332</f>
        <v>CX</v>
      </c>
      <c r="M332" s="3" t="str">
        <f aca="false">INDEX(Parametros!$B$23:$B$31,MATCH(L332,Parametros!$A$23:$A$31,0))</f>
        <v>Reposición simple mín/máx.</v>
      </c>
      <c r="N332" s="3" t="str">
        <f aca="false">INDEX(Parametros!$C$23:$C$31,MATCH(L332,Parametros!$A$23:$A$31,0))</f>
        <v>Trimestral</v>
      </c>
      <c r="O332" s="23" t="n">
        <f aca="false">SUM(Datos_Semanales!M332:R332)</f>
        <v>9551.26307068445</v>
      </c>
      <c r="P332" s="24" t="n">
        <f aca="false">IF(D332&gt;0,SUMPRODUCT(ABS(Datos_Semanales!F332:K332-Datos_Semanales!M332:R332))/D332,"")</f>
        <v>0.229308083567979</v>
      </c>
      <c r="Q332" s="24" t="n">
        <f aca="false">IF(D332&gt;0,O332/D332-1,"")</f>
        <v>-0.0203832748015952</v>
      </c>
      <c r="R332" s="23" t="n">
        <f aca="false">SQRT(SUMXMY2(Datos_Semanales!F332:K332,Datos_Semanales!M332:R332)/COUNT(Datos_Semanales!F332:K332))</f>
        <v>417.598007386152</v>
      </c>
    </row>
    <row r="333" customFormat="false" ht="15" hidden="false" customHeight="false" outlineLevel="0" collapsed="false">
      <c r="A333" s="18" t="n">
        <f aca="false">Datos_Semanales!A333</f>
        <v>30002261</v>
      </c>
      <c r="B333" s="18" t="str">
        <f aca="false">Datos_Semanales!B333</f>
        <v>NECTAR WATTS PROBIOTICO DURAZNO 5X6X115ML</v>
      </c>
      <c r="C333" s="18" t="str">
        <f aca="false">Datos_Semanales!C333</f>
        <v>-</v>
      </c>
      <c r="D333" s="23" t="n">
        <f aca="false">SUM(Datos_Semanales!F333:K333)</f>
        <v>9704.85</v>
      </c>
      <c r="E333" s="23" t="n">
        <f aca="false">AVERAGE(Datos_Semanales!F333:K333)</f>
        <v>1617.475</v>
      </c>
      <c r="F333" s="23" t="n">
        <f aca="false">STDEV(Datos_Semanales!F333:K333)</f>
        <v>1752.78935492831</v>
      </c>
      <c r="G333" s="27" t="n">
        <f aca="false">IF(E333&gt;0,F333/E333,"")</f>
        <v>1.08365777210053</v>
      </c>
      <c r="H333" s="24" t="n">
        <f aca="false">IF(SUM($D$5:$D$494)&gt;0,D333/SUM($D$5:$D$494),0)</f>
        <v>0.00040453976539326</v>
      </c>
      <c r="I333" s="24" t="n">
        <f aca="false">SUMIF($D$5:$D$494,"&gt;="&amp;D333)/SUM($D$5:$D$494)</f>
        <v>0.980396781214705</v>
      </c>
      <c r="J333" s="3" t="str">
        <f aca="false">IF(D333&lt;=0,"C",IF(I333&lt;=Parametros!$B$4,"A",IF(I333&lt;=Parametros!$B$5,"B","C")))</f>
        <v>C</v>
      </c>
      <c r="K333" s="3" t="str">
        <f aca="false">IF(E333&lt;=0,"Z",IF(G333&lt;=Parametros!$B$6,"X",IF(G333&lt;=Parametros!$B$7,"Y","Z")))</f>
        <v>Z</v>
      </c>
      <c r="L333" s="3" t="str">
        <f aca="false">J333&amp;K333</f>
        <v>CZ</v>
      </c>
      <c r="M333" s="3" t="str">
        <f aca="false">INDEX(Parametros!$B$23:$B$31,MATCH(L333,Parametros!$A$23:$A$31,0))</f>
        <v>Contra pedido o stock mínimo. Candidato a racionalizar/descontinuar.</v>
      </c>
      <c r="N333" s="3" t="str">
        <f aca="false">INDEX(Parametros!$C$23:$C$31,MATCH(L333,Parametros!$A$23:$A$31,0))</f>
        <v>Mensual</v>
      </c>
      <c r="O333" s="23" t="n">
        <f aca="false">SUM(Datos_Semanales!M333:R333)</f>
        <v>9625.5079576138</v>
      </c>
      <c r="P333" s="24" t="n">
        <f aca="false">IF(D333&gt;0,SUMPRODUCT(ABS(Datos_Semanales!F333:K333-Datos_Semanales!M333:R333))/D333,"")</f>
        <v>0.78421573155548</v>
      </c>
      <c r="Q333" s="24" t="n">
        <f aca="false">IF(D333&gt;0,O333/D333-1,"")</f>
        <v>-0.00817550424645397</v>
      </c>
      <c r="R333" s="23" t="n">
        <f aca="false">SQRT(SUMXMY2(Datos_Semanales!F333:K333,Datos_Semanales!M333:R333)/COUNT(Datos_Semanales!F333:K333))</f>
        <v>1926.2109675181</v>
      </c>
    </row>
    <row r="334" customFormat="false" ht="15" hidden="false" customHeight="false" outlineLevel="0" collapsed="false">
      <c r="A334" s="18" t="n">
        <f aca="false">Datos_Semanales!A334</f>
        <v>30000043</v>
      </c>
      <c r="B334" s="18" t="str">
        <f aca="false">Datos_Semanales!B334</f>
        <v>ACEITE BELMONT FREIR 12X1LT</v>
      </c>
      <c r="C334" s="18" t="str">
        <f aca="false">Datos_Semanales!C334</f>
        <v>ACEITES</v>
      </c>
      <c r="D334" s="23" t="n">
        <f aca="false">SUM(Datos_Semanales!F334:K334)</f>
        <v>9571.68</v>
      </c>
      <c r="E334" s="23" t="n">
        <f aca="false">AVERAGE(Datos_Semanales!F334:K334)</f>
        <v>1595.28</v>
      </c>
      <c r="F334" s="23" t="n">
        <f aca="false">STDEV(Datos_Semanales!F334:K334)</f>
        <v>718.660754459293</v>
      </c>
      <c r="G334" s="27" t="n">
        <f aca="false">IF(E334&gt;0,F334/E334,"")</f>
        <v>0.45049192270905</v>
      </c>
      <c r="H334" s="24" t="n">
        <f aca="false">IF(SUM($D$5:$D$494)&gt;0,D334/SUM($D$5:$D$494),0)</f>
        <v>0.000398988668719182</v>
      </c>
      <c r="I334" s="24" t="n">
        <f aca="false">SUMIF($D$5:$D$494,"&gt;="&amp;D334)/SUM($D$5:$D$494)</f>
        <v>0.980795769883425</v>
      </c>
      <c r="J334" s="3" t="str">
        <f aca="false">IF(D334&lt;=0,"C",IF(I334&lt;=Parametros!$B$4,"A",IF(I334&lt;=Parametros!$B$5,"B","C")))</f>
        <v>C</v>
      </c>
      <c r="K334" s="3" t="str">
        <f aca="false">IF(E334&lt;=0,"Z",IF(G334&lt;=Parametros!$B$6,"X",IF(G334&lt;=Parametros!$B$7,"Y","Z")))</f>
        <v>X</v>
      </c>
      <c r="L334" s="3" t="str">
        <f aca="false">J334&amp;K334</f>
        <v>CX</v>
      </c>
      <c r="M334" s="3" t="str">
        <f aca="false">INDEX(Parametros!$B$23:$B$31,MATCH(L334,Parametros!$A$23:$A$31,0))</f>
        <v>Reposición simple mín/máx.</v>
      </c>
      <c r="N334" s="3" t="str">
        <f aca="false">INDEX(Parametros!$C$23:$C$31,MATCH(L334,Parametros!$A$23:$A$31,0))</f>
        <v>Trimestral</v>
      </c>
      <c r="O334" s="23" t="n">
        <f aca="false">SUM(Datos_Semanales!M334:R334)</f>
        <v>10792.8</v>
      </c>
      <c r="P334" s="24" t="n">
        <f aca="false">IF(D334&gt;0,SUMPRODUCT(ABS(Datos_Semanales!F334:K334-Datos_Semanales!M334:R334))/D334,"")</f>
        <v>0.216471925513598</v>
      </c>
      <c r="Q334" s="24" t="n">
        <f aca="false">IF(D334&gt;0,O334/D334-1,"")</f>
        <v>0.127576350233188</v>
      </c>
      <c r="R334" s="23" t="n">
        <f aca="false">SQRT(SUMXMY2(Datos_Semanales!F334:K334,Datos_Semanales!M334:R334)/COUNT(Datos_Semanales!F334:K334))</f>
        <v>431.486756845831</v>
      </c>
    </row>
    <row r="335" customFormat="false" ht="15" hidden="false" customHeight="false" outlineLevel="0" collapsed="false">
      <c r="A335" s="18" t="n">
        <f aca="false">Datos_Semanales!A335</f>
        <v>30001902</v>
      </c>
      <c r="B335" s="18" t="str">
        <f aca="false">Datos_Semanales!B335</f>
        <v>YOGURT YOGU YOGU FRUTILLA BOT 6X900GR</v>
      </c>
      <c r="C335" s="18" t="str">
        <f aca="false">Datos_Semanales!C335</f>
        <v>YOGURT</v>
      </c>
      <c r="D335" s="23" t="n">
        <f aca="false">SUM(Datos_Semanales!F335:K335)</f>
        <v>9504</v>
      </c>
      <c r="E335" s="23" t="n">
        <f aca="false">AVERAGE(Datos_Semanales!F335:K335)</f>
        <v>1584</v>
      </c>
      <c r="F335" s="23" t="n">
        <f aca="false">STDEV(Datos_Semanales!F335:K335)</f>
        <v>361.786566914804</v>
      </c>
      <c r="G335" s="27" t="n">
        <f aca="false">IF(E335&gt;0,F335/E335,"")</f>
        <v>0.228400610426013</v>
      </c>
      <c r="H335" s="24" t="n">
        <f aca="false">IF(SUM($D$5:$D$494)&gt;0,D335/SUM($D$5:$D$494),0)</f>
        <v>0.000396167476086446</v>
      </c>
      <c r="I335" s="24" t="n">
        <f aca="false">SUMIF($D$5:$D$494,"&gt;="&amp;D335)/SUM($D$5:$D$494)</f>
        <v>0.981191937359511</v>
      </c>
      <c r="J335" s="3" t="str">
        <f aca="false">IF(D335&lt;=0,"C",IF(I335&lt;=Parametros!$B$4,"A",IF(I335&lt;=Parametros!$B$5,"B","C")))</f>
        <v>C</v>
      </c>
      <c r="K335" s="3" t="str">
        <f aca="false">IF(E335&lt;=0,"Z",IF(G335&lt;=Parametros!$B$6,"X",IF(G335&lt;=Parametros!$B$7,"Y","Z")))</f>
        <v>X</v>
      </c>
      <c r="L335" s="3" t="str">
        <f aca="false">J335&amp;K335</f>
        <v>CX</v>
      </c>
      <c r="M335" s="3" t="str">
        <f aca="false">INDEX(Parametros!$B$23:$B$31,MATCH(L335,Parametros!$A$23:$A$31,0))</f>
        <v>Reposición simple mín/máx.</v>
      </c>
      <c r="N335" s="3" t="str">
        <f aca="false">INDEX(Parametros!$C$23:$C$31,MATCH(L335,Parametros!$A$23:$A$31,0))</f>
        <v>Trimestral</v>
      </c>
      <c r="O335" s="23" t="n">
        <f aca="false">SUM(Datos_Semanales!M335:R335)</f>
        <v>9592.16856186625</v>
      </c>
      <c r="P335" s="24" t="n">
        <f aca="false">IF(D335&gt;0,SUMPRODUCT(ABS(Datos_Semanales!F335:K335-Datos_Semanales!M335:R335))/D335,"")</f>
        <v>0.381651667411346</v>
      </c>
      <c r="Q335" s="24" t="n">
        <f aca="false">IF(D335&gt;0,O335/D335-1,"")</f>
        <v>0.00927699514585956</v>
      </c>
      <c r="R335" s="23" t="n">
        <f aca="false">SQRT(SUMXMY2(Datos_Semanales!F335:K335,Datos_Semanales!M335:R335)/COUNT(Datos_Semanales!F335:K335))</f>
        <v>745.327556155363</v>
      </c>
    </row>
    <row r="336" customFormat="false" ht="15" hidden="false" customHeight="false" outlineLevel="0" collapsed="false">
      <c r="A336" s="18" t="n">
        <f aca="false">Datos_Semanales!A336</f>
        <v>30002176</v>
      </c>
      <c r="B336" s="18" t="str">
        <f aca="false">Datos_Semanales!B336</f>
        <v>CHOCLO PALMITO WASIL 16X380GR</v>
      </c>
      <c r="C336" s="18" t="str">
        <f aca="false">Datos_Semanales!C336</f>
        <v>CONSERVAS Y PLATOS LISTOS</v>
      </c>
      <c r="D336" s="23" t="n">
        <f aca="false">SUM(Datos_Semanales!F336:K336)</f>
        <v>9490.88</v>
      </c>
      <c r="E336" s="23" t="n">
        <f aca="false">AVERAGE(Datos_Semanales!F336:K336)</f>
        <v>1581.81333333333</v>
      </c>
      <c r="F336" s="23" t="n">
        <f aca="false">STDEV(Datos_Semanales!F336:K336)</f>
        <v>975.186639011562</v>
      </c>
      <c r="G336" s="27" t="n">
        <f aca="false">IF(E336&gt;0,F336/E336,"")</f>
        <v>0.616499190177241</v>
      </c>
      <c r="H336" s="24" t="n">
        <f aca="false">IF(SUM($D$5:$D$494)&gt;0,D336/SUM($D$5:$D$494),0)</f>
        <v>0.000395620578223835</v>
      </c>
      <c r="I336" s="24" t="n">
        <f aca="false">SUMIF($D$5:$D$494,"&gt;="&amp;D336)/SUM($D$5:$D$494)</f>
        <v>0.981587557937735</v>
      </c>
      <c r="J336" s="3" t="str">
        <f aca="false">IF(D336&lt;=0,"C",IF(I336&lt;=Parametros!$B$4,"A",IF(I336&lt;=Parametros!$B$5,"B","C")))</f>
        <v>C</v>
      </c>
      <c r="K336" s="3" t="str">
        <f aca="false">IF(E336&lt;=0,"Z",IF(G336&lt;=Parametros!$B$6,"X",IF(G336&lt;=Parametros!$B$7,"Y","Z")))</f>
        <v>Y</v>
      </c>
      <c r="L336" s="3" t="str">
        <f aca="false">J336&amp;K336</f>
        <v>CY</v>
      </c>
      <c r="M336" s="3" t="str">
        <f aca="false">INDEX(Parametros!$B$23:$B$31,MATCH(L336,Parametros!$A$23:$A$31,0))</f>
        <v>Mín/máx con stock bajo; evaluar continuidad del SKU.</v>
      </c>
      <c r="N336" s="3" t="str">
        <f aca="false">INDEX(Parametros!$C$23:$C$31,MATCH(L336,Parametros!$A$23:$A$31,0))</f>
        <v>Mensual</v>
      </c>
      <c r="O336" s="23" t="n">
        <f aca="false">SUM(Datos_Semanales!M336:R336)</f>
        <v>7264.8</v>
      </c>
      <c r="P336" s="24" t="n">
        <f aca="false">IF(D336&gt;0,SUMPRODUCT(ABS(Datos_Semanales!F336:K336-Datos_Semanales!M336:R336))/D336,"")</f>
        <v>0.378384301561078</v>
      </c>
      <c r="Q336" s="24" t="n">
        <f aca="false">IF(D336&gt;0,O336/D336-1,"")</f>
        <v>-0.234549377929128</v>
      </c>
      <c r="R336" s="23" t="n">
        <f aca="false">SQRT(SUMXMY2(Datos_Semanales!F336:K336,Datos_Semanales!M336:R336)/COUNT(Datos_Semanales!F336:K336))</f>
        <v>982.778414632041</v>
      </c>
    </row>
    <row r="337" customFormat="false" ht="15" hidden="false" customHeight="false" outlineLevel="0" collapsed="false">
      <c r="A337" s="18" t="n">
        <f aca="false">Datos_Semanales!A337</f>
        <v>30001707</v>
      </c>
      <c r="B337" s="18" t="str">
        <f aca="false">Datos_Semanales!B337</f>
        <v>YOG POTE LONCO S/LACT CHIRIMOYA 24X140</v>
      </c>
      <c r="C337" s="18" t="str">
        <f aca="false">Datos_Semanales!C337</f>
        <v>YOGURT</v>
      </c>
      <c r="D337" s="23" t="n">
        <f aca="false">SUM(Datos_Semanales!F337:K337)</f>
        <v>9488.64</v>
      </c>
      <c r="E337" s="23" t="n">
        <f aca="false">AVERAGE(Datos_Semanales!F337:K337)</f>
        <v>1581.44</v>
      </c>
      <c r="F337" s="23" t="n">
        <f aca="false">STDEV(Datos_Semanales!F337:K337)</f>
        <v>342.368447144301</v>
      </c>
      <c r="G337" s="27" t="n">
        <f aca="false">IF(E337&gt;0,F337/E337,"")</f>
        <v>0.216491581814233</v>
      </c>
      <c r="H337" s="24" t="n">
        <f aca="false">IF(SUM($D$5:$D$494)&gt;0,D337/SUM($D$5:$D$494),0)</f>
        <v>0.000395527205418023</v>
      </c>
      <c r="I337" s="24" t="n">
        <f aca="false">SUMIF($D$5:$D$494,"&gt;="&amp;D337)/SUM($D$5:$D$494)</f>
        <v>0.981983085143153</v>
      </c>
      <c r="J337" s="3" t="str">
        <f aca="false">IF(D337&lt;=0,"C",IF(I337&lt;=Parametros!$B$4,"A",IF(I337&lt;=Parametros!$B$5,"B","C")))</f>
        <v>C</v>
      </c>
      <c r="K337" s="3" t="str">
        <f aca="false">IF(E337&lt;=0,"Z",IF(G337&lt;=Parametros!$B$6,"X",IF(G337&lt;=Parametros!$B$7,"Y","Z")))</f>
        <v>X</v>
      </c>
      <c r="L337" s="3" t="str">
        <f aca="false">J337&amp;K337</f>
        <v>CX</v>
      </c>
      <c r="M337" s="3" t="str">
        <f aca="false">INDEX(Parametros!$B$23:$B$31,MATCH(L337,Parametros!$A$23:$A$31,0))</f>
        <v>Reposición simple mín/máx.</v>
      </c>
      <c r="N337" s="3" t="str">
        <f aca="false">INDEX(Parametros!$C$23:$C$31,MATCH(L337,Parametros!$A$23:$A$31,0))</f>
        <v>Trimestral</v>
      </c>
      <c r="O337" s="23" t="n">
        <f aca="false">SUM(Datos_Semanales!M337:R337)</f>
        <v>7360.66210634717</v>
      </c>
      <c r="P337" s="24" t="n">
        <f aca="false">IF(D337&gt;0,SUMPRODUCT(ABS(Datos_Semanales!F337:K337-Datos_Semanales!M337:R337))/D337,"")</f>
        <v>0.228893342176321</v>
      </c>
      <c r="Q337" s="24" t="n">
        <f aca="false">IF(D337&gt;0,O337/D337-1,"")</f>
        <v>-0.224265847756141</v>
      </c>
      <c r="R337" s="23" t="n">
        <f aca="false">SQRT(SUMXMY2(Datos_Semanales!F337:K337,Datos_Semanales!M337:R337)/COUNT(Datos_Semanales!F337:K337))</f>
        <v>477.851366963909</v>
      </c>
    </row>
    <row r="338" customFormat="false" ht="15" hidden="false" customHeight="false" outlineLevel="0" collapsed="false">
      <c r="A338" s="18" t="n">
        <f aca="false">Datos_Semanales!A338</f>
        <v>30001885</v>
      </c>
      <c r="B338" s="18" t="str">
        <f aca="false">Datos_Semanales!B338</f>
        <v>MERM W S/A SACHET MANGO 24X200GR</v>
      </c>
      <c r="C338" s="18" t="str">
        <f aca="false">Datos_Semanales!C338</f>
        <v>MERMELADAS</v>
      </c>
      <c r="D338" s="23" t="n">
        <f aca="false">SUM(Datos_Semanales!F338:K338)</f>
        <v>9436.8</v>
      </c>
      <c r="E338" s="23" t="n">
        <f aca="false">AVERAGE(Datos_Semanales!F338:K338)</f>
        <v>1572.8</v>
      </c>
      <c r="F338" s="23" t="n">
        <f aca="false">STDEV(Datos_Semanales!F338:K338)</f>
        <v>559.91679381851</v>
      </c>
      <c r="G338" s="27" t="n">
        <f aca="false">IF(E338&gt;0,F338/E338,"")</f>
        <v>0.355999996069755</v>
      </c>
      <c r="H338" s="24" t="n">
        <f aca="false">IF(SUM($D$5:$D$494)&gt;0,D338/SUM($D$5:$D$494),0)</f>
        <v>0.000393366291912097</v>
      </c>
      <c r="I338" s="24" t="n">
        <f aca="false">SUMIF($D$5:$D$494,"&gt;="&amp;D338)/SUM($D$5:$D$494)</f>
        <v>0.982376451435065</v>
      </c>
      <c r="J338" s="3" t="str">
        <f aca="false">IF(D338&lt;=0,"C",IF(I338&lt;=Parametros!$B$4,"A",IF(I338&lt;=Parametros!$B$5,"B","C")))</f>
        <v>C</v>
      </c>
      <c r="K338" s="3" t="str">
        <f aca="false">IF(E338&lt;=0,"Z",IF(G338&lt;=Parametros!$B$6,"X",IF(G338&lt;=Parametros!$B$7,"Y","Z")))</f>
        <v>X</v>
      </c>
      <c r="L338" s="3" t="str">
        <f aca="false">J338&amp;K338</f>
        <v>CX</v>
      </c>
      <c r="M338" s="3" t="str">
        <f aca="false">INDEX(Parametros!$B$23:$B$31,MATCH(L338,Parametros!$A$23:$A$31,0))</f>
        <v>Reposición simple mín/máx.</v>
      </c>
      <c r="N338" s="3" t="str">
        <f aca="false">INDEX(Parametros!$C$23:$C$31,MATCH(L338,Parametros!$A$23:$A$31,0))</f>
        <v>Trimestral</v>
      </c>
      <c r="O338" s="23" t="n">
        <f aca="false">SUM(Datos_Semanales!M338:R338)</f>
        <v>10917.8967292047</v>
      </c>
      <c r="P338" s="24" t="n">
        <f aca="false">IF(D338&gt;0,SUMPRODUCT(ABS(Datos_Semanales!F338:K338-Datos_Semanales!M338:R338))/D338,"")</f>
        <v>0.2135784089103</v>
      </c>
      <c r="Q338" s="24" t="n">
        <f aca="false">IF(D338&gt;0,O338/D338-1,"")</f>
        <v>0.156949043023558</v>
      </c>
      <c r="R338" s="23" t="n">
        <f aca="false">SQRT(SUMXMY2(Datos_Semanales!F338:K338,Datos_Semanales!M338:R338)/COUNT(Datos_Semanales!F338:K338))</f>
        <v>438.011707589232</v>
      </c>
    </row>
    <row r="339" customFormat="false" ht="15" hidden="false" customHeight="false" outlineLevel="0" collapsed="false">
      <c r="A339" s="18" t="n">
        <f aca="false">Datos_Semanales!A339</f>
        <v>30001925</v>
      </c>
      <c r="B339" s="18" t="str">
        <f aca="false">Datos_Semanales!B339</f>
        <v>LECHE CHOCOLATE LONCOLECHE 30X115ML</v>
      </c>
      <c r="C339" s="18" t="str">
        <f aca="false">Datos_Semanales!C339</f>
        <v>LECHES LIQUIDAS</v>
      </c>
      <c r="D339" s="23" t="n">
        <f aca="false">SUM(Datos_Semanales!F339:K339)</f>
        <v>9363.3</v>
      </c>
      <c r="E339" s="23" t="n">
        <f aca="false">AVERAGE(Datos_Semanales!F339:K339)</f>
        <v>1560.55</v>
      </c>
      <c r="F339" s="23" t="n">
        <f aca="false">STDEV(Datos_Semanales!F339:K339)</f>
        <v>1702.91757698369</v>
      </c>
      <c r="G339" s="27" t="n">
        <f aca="false">IF(E339&gt;0,F339/E339,"")</f>
        <v>1.09122910319034</v>
      </c>
      <c r="H339" s="24" t="n">
        <f aca="false">IF(SUM($D$5:$D$494)&gt;0,D339/SUM($D$5:$D$494),0)</f>
        <v>0.000390302496721403</v>
      </c>
      <c r="I339" s="24" t="n">
        <f aca="false">SUMIF($D$5:$D$494,"&gt;="&amp;D339)/SUM($D$5:$D$494)</f>
        <v>0.982766753931787</v>
      </c>
      <c r="J339" s="3" t="str">
        <f aca="false">IF(D339&lt;=0,"C",IF(I339&lt;=Parametros!$B$4,"A",IF(I339&lt;=Parametros!$B$5,"B","C")))</f>
        <v>C</v>
      </c>
      <c r="K339" s="3" t="str">
        <f aca="false">IF(E339&lt;=0,"Z",IF(G339&lt;=Parametros!$B$6,"X",IF(G339&lt;=Parametros!$B$7,"Y","Z")))</f>
        <v>Z</v>
      </c>
      <c r="L339" s="3" t="str">
        <f aca="false">J339&amp;K339</f>
        <v>CZ</v>
      </c>
      <c r="M339" s="3" t="str">
        <f aca="false">INDEX(Parametros!$B$23:$B$31,MATCH(L339,Parametros!$A$23:$A$31,0))</f>
        <v>Contra pedido o stock mínimo. Candidato a racionalizar/descontinuar.</v>
      </c>
      <c r="N339" s="3" t="str">
        <f aca="false">INDEX(Parametros!$C$23:$C$31,MATCH(L339,Parametros!$A$23:$A$31,0))</f>
        <v>Mensual</v>
      </c>
      <c r="O339" s="23" t="n">
        <f aca="false">SUM(Datos_Semanales!M339:R339)</f>
        <v>21862.4418429878</v>
      </c>
      <c r="P339" s="24" t="n">
        <f aca="false">IF(D339&gt;0,SUMPRODUCT(ABS(Datos_Semanales!F339:K339-Datos_Semanales!M339:R339))/D339,"")</f>
        <v>1.68226392863497</v>
      </c>
      <c r="Q339" s="24" t="n">
        <f aca="false">IF(D339&gt;0,O339/D339-1,"")</f>
        <v>1.33490776147168</v>
      </c>
      <c r="R339" s="23" t="n">
        <f aca="false">SQRT(SUMXMY2(Datos_Semanales!F339:K339,Datos_Semanales!M339:R339)/COUNT(Datos_Semanales!F339:K339))</f>
        <v>3213.94728543353</v>
      </c>
    </row>
    <row r="340" customFormat="false" ht="15" hidden="false" customHeight="false" outlineLevel="0" collapsed="false">
      <c r="A340" s="18" t="n">
        <f aca="false">Datos_Semanales!A340</f>
        <v>30000671</v>
      </c>
      <c r="B340" s="18" t="str">
        <f aca="false">Datos_Semanales!B340</f>
        <v>LENTEJAS CON CHORIZO WSL 16X380GR</v>
      </c>
      <c r="C340" s="18" t="str">
        <f aca="false">Datos_Semanales!C340</f>
        <v>CONSERVAS Y PLATOS LISTOS</v>
      </c>
      <c r="D340" s="23" t="n">
        <f aca="false">SUM(Datos_Semanales!F340:K340)</f>
        <v>9174.72</v>
      </c>
      <c r="E340" s="23" t="n">
        <f aca="false">AVERAGE(Datos_Semanales!F340:K340)</f>
        <v>1529.12</v>
      </c>
      <c r="F340" s="23" t="n">
        <f aca="false">STDEV(Datos_Semanales!F340:K340)</f>
        <v>259.146404335464</v>
      </c>
      <c r="G340" s="27" t="n">
        <f aca="false">IF(E340&gt;0,F340/E340,"")</f>
        <v>0.169474210222523</v>
      </c>
      <c r="H340" s="24" t="n">
        <f aca="false">IF(SUM($D$5:$D$494)&gt;0,D340/SUM($D$5:$D$494),0)</f>
        <v>0.000382441673632137</v>
      </c>
      <c r="I340" s="24" t="n">
        <f aca="false">SUMIF($D$5:$D$494,"&gt;="&amp;D340)/SUM($D$5:$D$494)</f>
        <v>0.983149195605419</v>
      </c>
      <c r="J340" s="3" t="str">
        <f aca="false">IF(D340&lt;=0,"C",IF(I340&lt;=Parametros!$B$4,"A",IF(I340&lt;=Parametros!$B$5,"B","C")))</f>
        <v>C</v>
      </c>
      <c r="K340" s="3" t="str">
        <f aca="false">IF(E340&lt;=0,"Z",IF(G340&lt;=Parametros!$B$6,"X",IF(G340&lt;=Parametros!$B$7,"Y","Z")))</f>
        <v>X</v>
      </c>
      <c r="L340" s="3" t="str">
        <f aca="false">J340&amp;K340</f>
        <v>CX</v>
      </c>
      <c r="M340" s="3" t="str">
        <f aca="false">INDEX(Parametros!$B$23:$B$31,MATCH(L340,Parametros!$A$23:$A$31,0))</f>
        <v>Reposición simple mín/máx.</v>
      </c>
      <c r="N340" s="3" t="str">
        <f aca="false">INDEX(Parametros!$C$23:$C$31,MATCH(L340,Parametros!$A$23:$A$31,0))</f>
        <v>Trimestral</v>
      </c>
      <c r="O340" s="23" t="n">
        <f aca="false">SUM(Datos_Semanales!M340:R340)</f>
        <v>11446.8</v>
      </c>
      <c r="P340" s="24" t="n">
        <f aca="false">IF(D340&gt;0,SUMPRODUCT(ABS(Datos_Semanales!F340:K340-Datos_Semanales!M340:R340))/D340,"")</f>
        <v>0.247645704719054</v>
      </c>
      <c r="Q340" s="24" t="n">
        <f aca="false">IF(D340&gt;0,O340/D340-1,"")</f>
        <v>0.247645704719054</v>
      </c>
      <c r="R340" s="23" t="n">
        <f aca="false">SQRT(SUMXMY2(Datos_Semanales!F340:K340,Datos_Semanales!M340:R340)/COUNT(Datos_Semanales!F340:K340))</f>
        <v>409.661619063018</v>
      </c>
    </row>
    <row r="341" customFormat="false" ht="15" hidden="false" customHeight="false" outlineLevel="0" collapsed="false">
      <c r="A341" s="18" t="n">
        <f aca="false">Datos_Semanales!A341</f>
        <v>30000117</v>
      </c>
      <c r="B341" s="18" t="str">
        <f aca="false">Datos_Semanales!B341</f>
        <v>MANTECA PALMIN 40X200GR</v>
      </c>
      <c r="C341" s="18" t="str">
        <f aca="false">Datos_Semanales!C341</f>
        <v>MANTECAS</v>
      </c>
      <c r="D341" s="23" t="n">
        <f aca="false">SUM(Datos_Semanales!F341:K341)</f>
        <v>9168</v>
      </c>
      <c r="E341" s="23" t="n">
        <f aca="false">AVERAGE(Datos_Semanales!F341:K341)</f>
        <v>1528</v>
      </c>
      <c r="F341" s="23" t="n">
        <f aca="false">STDEV(Datos_Semanales!F341:K341)</f>
        <v>295.025422633372</v>
      </c>
      <c r="G341" s="27" t="n">
        <f aca="false">IF(E341&gt;0,F341/E341,"")</f>
        <v>0.193079465074197</v>
      </c>
      <c r="H341" s="24" t="n">
        <f aca="false">IF(SUM($D$5:$D$494)&gt;0,D341/SUM($D$5:$D$494),0)</f>
        <v>0.000382161555214702</v>
      </c>
      <c r="I341" s="24" t="n">
        <f aca="false">SUMIF($D$5:$D$494,"&gt;="&amp;D341)/SUM($D$5:$D$494)</f>
        <v>0.983531357160633</v>
      </c>
      <c r="J341" s="3" t="str">
        <f aca="false">IF(D341&lt;=0,"C",IF(I341&lt;=Parametros!$B$4,"A",IF(I341&lt;=Parametros!$B$5,"B","C")))</f>
        <v>C</v>
      </c>
      <c r="K341" s="3" t="str">
        <f aca="false">IF(E341&lt;=0,"Z",IF(G341&lt;=Parametros!$B$6,"X",IF(G341&lt;=Parametros!$B$7,"Y","Z")))</f>
        <v>X</v>
      </c>
      <c r="L341" s="3" t="str">
        <f aca="false">J341&amp;K341</f>
        <v>CX</v>
      </c>
      <c r="M341" s="3" t="str">
        <f aca="false">INDEX(Parametros!$B$23:$B$31,MATCH(L341,Parametros!$A$23:$A$31,0))</f>
        <v>Reposición simple mín/máx.</v>
      </c>
      <c r="N341" s="3" t="str">
        <f aca="false">INDEX(Parametros!$C$23:$C$31,MATCH(L341,Parametros!$A$23:$A$31,0))</f>
        <v>Trimestral</v>
      </c>
      <c r="O341" s="23" t="n">
        <f aca="false">SUM(Datos_Semanales!M341:R341)</f>
        <v>14581.5397148224</v>
      </c>
      <c r="P341" s="24" t="n">
        <f aca="false">IF(D341&gt;0,SUMPRODUCT(ABS(Datos_Semanales!F341:K341-Datos_Semanales!M341:R341))/D341,"")</f>
        <v>0.929051016014663</v>
      </c>
      <c r="Q341" s="24" t="n">
        <f aca="false">IF(D341&gt;0,O341/D341-1,"")</f>
        <v>0.590482080587089</v>
      </c>
      <c r="R341" s="23" t="n">
        <f aca="false">SQRT(SUMXMY2(Datos_Semanales!F341:K341,Datos_Semanales!M341:R341)/COUNT(Datos_Semanales!F341:K341))</f>
        <v>1684.83586247423</v>
      </c>
    </row>
    <row r="342" customFormat="false" ht="15" hidden="false" customHeight="false" outlineLevel="0" collapsed="false">
      <c r="A342" s="18" t="n">
        <f aca="false">Datos_Semanales!A342</f>
        <v>30000057</v>
      </c>
      <c r="B342" s="18" t="str">
        <f aca="false">Datos_Semanales!B342</f>
        <v>ACEITE CHEF MARAVILLA 4X5LT</v>
      </c>
      <c r="C342" s="18" t="str">
        <f aca="false">Datos_Semanales!C342</f>
        <v>-</v>
      </c>
      <c r="D342" s="23" t="n">
        <f aca="false">SUM(Datos_Semanales!F342:K342)</f>
        <v>9028</v>
      </c>
      <c r="E342" s="23" t="n">
        <f aca="false">AVERAGE(Datos_Semanales!F342:K342)</f>
        <v>1504.66666666667</v>
      </c>
      <c r="F342" s="23" t="n">
        <f aca="false">STDEV(Datos_Semanales!F342:K342)</f>
        <v>1307.76376561926</v>
      </c>
      <c r="G342" s="27" t="n">
        <f aca="false">IF(E342&gt;0,F342/E342,"")</f>
        <v>0.869138523894059</v>
      </c>
      <c r="H342" s="24" t="n">
        <f aca="false">IF(SUM($D$5:$D$494)&gt;0,D342/SUM($D$5:$D$494),0)</f>
        <v>0.000376325754851476</v>
      </c>
      <c r="I342" s="24" t="n">
        <f aca="false">SUMIF($D$5:$D$494,"&gt;="&amp;D342)/SUM($D$5:$D$494)</f>
        <v>0.983907682915485</v>
      </c>
      <c r="J342" s="3" t="str">
        <f aca="false">IF(D342&lt;=0,"C",IF(I342&lt;=Parametros!$B$4,"A",IF(I342&lt;=Parametros!$B$5,"B","C")))</f>
        <v>C</v>
      </c>
      <c r="K342" s="3" t="str">
        <f aca="false">IF(E342&lt;=0,"Z",IF(G342&lt;=Parametros!$B$6,"X",IF(G342&lt;=Parametros!$B$7,"Y","Z")))</f>
        <v>Y</v>
      </c>
      <c r="L342" s="3" t="str">
        <f aca="false">J342&amp;K342</f>
        <v>CY</v>
      </c>
      <c r="M342" s="3" t="str">
        <f aca="false">INDEX(Parametros!$B$23:$B$31,MATCH(L342,Parametros!$A$23:$A$31,0))</f>
        <v>Mín/máx con stock bajo; evaluar continuidad del SKU.</v>
      </c>
      <c r="N342" s="3" t="str">
        <f aca="false">INDEX(Parametros!$C$23:$C$31,MATCH(L342,Parametros!$A$23:$A$31,0))</f>
        <v>Mensual</v>
      </c>
      <c r="O342" s="23" t="n">
        <f aca="false">SUM(Datos_Semanales!M342:R342)</f>
        <v>7247</v>
      </c>
      <c r="P342" s="24" t="n">
        <f aca="false">IF(D342&gt;0,SUMPRODUCT(ABS(Datos_Semanales!F342:K342-Datos_Semanales!M342:R342))/D342,"")</f>
        <v>0.768830305715552</v>
      </c>
      <c r="Q342" s="24" t="n">
        <f aca="false">IF(D342&gt;0,O342/D342-1,"")</f>
        <v>-0.197275143996456</v>
      </c>
      <c r="R342" s="23" t="n">
        <f aca="false">SQRT(SUMXMY2(Datos_Semanales!F342:K342,Datos_Semanales!M342:R342)/COUNT(Datos_Semanales!F342:K342))</f>
        <v>1422.31337381511</v>
      </c>
    </row>
    <row r="343" customFormat="false" ht="15" hidden="false" customHeight="false" outlineLevel="0" collapsed="false">
      <c r="A343" s="18" t="n">
        <f aca="false">Datos_Semanales!A343</f>
        <v>30002253</v>
      </c>
      <c r="B343" s="18" t="str">
        <f aca="false">Datos_Semanales!B343</f>
        <v>MARGARINA SUREÑA MIX 6X900GR</v>
      </c>
      <c r="C343" s="18" t="str">
        <f aca="false">Datos_Semanales!C343</f>
        <v>-</v>
      </c>
      <c r="D343" s="23" t="n">
        <f aca="false">SUM(Datos_Semanales!F343:K343)</f>
        <v>8850.6</v>
      </c>
      <c r="E343" s="23" t="n">
        <f aca="false">AVERAGE(Datos_Semanales!F343:K343)</f>
        <v>1475.1</v>
      </c>
      <c r="F343" s="23" t="n">
        <f aca="false">STDEV(Datos_Semanales!F343:K343)</f>
        <v>433.985561971824</v>
      </c>
      <c r="G343" s="27" t="n">
        <f aca="false">IF(E343&gt;0,F343/E343,"")</f>
        <v>0.29420755336711</v>
      </c>
      <c r="H343" s="24" t="n">
        <f aca="false">IF(SUM($D$5:$D$494)&gt;0,D343/SUM($D$5:$D$494),0)</f>
        <v>0.000368930962105502</v>
      </c>
      <c r="I343" s="24" t="n">
        <f aca="false">SUMIF($D$5:$D$494,"&gt;="&amp;D343)/SUM($D$5:$D$494)</f>
        <v>0.98427661387759</v>
      </c>
      <c r="J343" s="3" t="str">
        <f aca="false">IF(D343&lt;=0,"C",IF(I343&lt;=Parametros!$B$4,"A",IF(I343&lt;=Parametros!$B$5,"B","C")))</f>
        <v>C</v>
      </c>
      <c r="K343" s="3" t="str">
        <f aca="false">IF(E343&lt;=0,"Z",IF(G343&lt;=Parametros!$B$6,"X",IF(G343&lt;=Parametros!$B$7,"Y","Z")))</f>
        <v>X</v>
      </c>
      <c r="L343" s="3" t="str">
        <f aca="false">J343&amp;K343</f>
        <v>CX</v>
      </c>
      <c r="M343" s="3" t="str">
        <f aca="false">INDEX(Parametros!$B$23:$B$31,MATCH(L343,Parametros!$A$23:$A$31,0))</f>
        <v>Reposición simple mín/máx.</v>
      </c>
      <c r="N343" s="3" t="str">
        <f aca="false">INDEX(Parametros!$C$23:$C$31,MATCH(L343,Parametros!$A$23:$A$31,0))</f>
        <v>Trimestral</v>
      </c>
      <c r="O343" s="23" t="n">
        <f aca="false">SUM(Datos_Semanales!M343:R343)</f>
        <v>11021.215704902</v>
      </c>
      <c r="P343" s="24" t="n">
        <f aca="false">IF(D343&gt;0,SUMPRODUCT(ABS(Datos_Semanales!F343:K343-Datos_Semanales!M343:R343))/D343,"")</f>
        <v>0.270726846430257</v>
      </c>
      <c r="Q343" s="24" t="n">
        <f aca="false">IF(D343&gt;0,O343/D343-1,"")</f>
        <v>0.245250684123331</v>
      </c>
      <c r="R343" s="23" t="n">
        <f aca="false">SQRT(SUMXMY2(Datos_Semanales!F343:K343,Datos_Semanales!M343:R343)/COUNT(Datos_Semanales!F343:K343))</f>
        <v>516.38970268035</v>
      </c>
    </row>
    <row r="344" customFormat="false" ht="15" hidden="false" customHeight="false" outlineLevel="0" collapsed="false">
      <c r="A344" s="18" t="n">
        <f aca="false">Datos_Semanales!A344</f>
        <v>30002357</v>
      </c>
      <c r="B344" s="18" t="str">
        <f aca="false">Datos_Semanales!B344</f>
        <v>YOG LONCO PROTEIN NAT BOLSA 20X500GR</v>
      </c>
      <c r="C344" s="18" t="str">
        <f aca="false">Datos_Semanales!C344</f>
        <v>YOGURT</v>
      </c>
      <c r="D344" s="23" t="n">
        <f aca="false">SUM(Datos_Semanales!F344:K344)</f>
        <v>8750</v>
      </c>
      <c r="E344" s="23" t="n">
        <f aca="false">AVERAGE(Datos_Semanales!F344:K344)</f>
        <v>1458.33333333333</v>
      </c>
      <c r="F344" s="23" t="n">
        <f aca="false">STDEV(Datos_Semanales!F344:K344)</f>
        <v>1380.02053124824</v>
      </c>
      <c r="G344" s="27" t="n">
        <f aca="false">IF(E344&gt;0,F344/E344,"")</f>
        <v>0.946299792855934</v>
      </c>
      <c r="H344" s="24" t="n">
        <f aca="false">IF(SUM($D$5:$D$494)&gt;0,D344/SUM($D$5:$D$494),0)</f>
        <v>0.000364737522701641</v>
      </c>
      <c r="I344" s="24" t="n">
        <f aca="false">SUMIF($D$5:$D$494,"&gt;="&amp;D344)/SUM($D$5:$D$494)</f>
        <v>0.984641351400292</v>
      </c>
      <c r="J344" s="3" t="str">
        <f aca="false">IF(D344&lt;=0,"C",IF(I344&lt;=Parametros!$B$4,"A",IF(I344&lt;=Parametros!$B$5,"B","C")))</f>
        <v>C</v>
      </c>
      <c r="K344" s="3" t="str">
        <f aca="false">IF(E344&lt;=0,"Z",IF(G344&lt;=Parametros!$B$6,"X",IF(G344&lt;=Parametros!$B$7,"Y","Z")))</f>
        <v>Y</v>
      </c>
      <c r="L344" s="3" t="str">
        <f aca="false">J344&amp;K344</f>
        <v>CY</v>
      </c>
      <c r="M344" s="3" t="str">
        <f aca="false">INDEX(Parametros!$B$23:$B$31,MATCH(L344,Parametros!$A$23:$A$31,0))</f>
        <v>Mín/máx con stock bajo; evaluar continuidad del SKU.</v>
      </c>
      <c r="N344" s="3" t="str">
        <f aca="false">INDEX(Parametros!$C$23:$C$31,MATCH(L344,Parametros!$A$23:$A$31,0))</f>
        <v>Mensual</v>
      </c>
      <c r="O344" s="23" t="n">
        <f aca="false">SUM(Datos_Semanales!M344:R344)</f>
        <v>15000</v>
      </c>
      <c r="P344" s="24" t="n">
        <f aca="false">IF(D344&gt;0,SUMPRODUCT(ABS(Datos_Semanales!F344:K344-Datos_Semanales!M344:R344))/D344,"")</f>
        <v>1.71771428571429</v>
      </c>
      <c r="Q344" s="24" t="n">
        <f aca="false">IF(D344&gt;0,O344/D344-1,"")</f>
        <v>0.714285714285714</v>
      </c>
      <c r="R344" s="23" t="n">
        <f aca="false">SQRT(SUMXMY2(Datos_Semanales!F344:K344,Datos_Semanales!M344:R344)/COUNT(Datos_Semanales!F344:K344))</f>
        <v>2991.17312549218</v>
      </c>
    </row>
    <row r="345" customFormat="false" ht="15" hidden="false" customHeight="false" outlineLevel="0" collapsed="false">
      <c r="A345" s="18" t="n">
        <f aca="false">Datos_Semanales!A345</f>
        <v>30000493</v>
      </c>
      <c r="B345" s="18" t="str">
        <f aca="false">Datos_Semanales!B345</f>
        <v>YOG S/LACT LCO FRUT BOT 6X900GR</v>
      </c>
      <c r="C345" s="18" t="str">
        <f aca="false">Datos_Semanales!C345</f>
        <v>YOGURT</v>
      </c>
      <c r="D345" s="23" t="n">
        <f aca="false">SUM(Datos_Semanales!F345:K345)</f>
        <v>8618.4</v>
      </c>
      <c r="E345" s="23" t="n">
        <f aca="false">AVERAGE(Datos_Semanales!F345:K345)</f>
        <v>1436.4</v>
      </c>
      <c r="F345" s="23" t="n">
        <f aca="false">STDEV(Datos_Semanales!F345:K345)</f>
        <v>141.640672124923</v>
      </c>
      <c r="G345" s="27" t="n">
        <f aca="false">IF(E345&gt;0,F345/E345,"")</f>
        <v>0.0986080981098045</v>
      </c>
      <c r="H345" s="24" t="n">
        <f aca="false">IF(SUM($D$5:$D$494)&gt;0,D345/SUM($D$5:$D$494),0)</f>
        <v>0.000359251870360209</v>
      </c>
      <c r="I345" s="24" t="n">
        <f aca="false">SUMIF($D$5:$D$494,"&gt;="&amp;D345)/SUM($D$5:$D$494)</f>
        <v>0.985000603270652</v>
      </c>
      <c r="J345" s="3" t="str">
        <f aca="false">IF(D345&lt;=0,"C",IF(I345&lt;=Parametros!$B$4,"A",IF(I345&lt;=Parametros!$B$5,"B","C")))</f>
        <v>C</v>
      </c>
      <c r="K345" s="3" t="str">
        <f aca="false">IF(E345&lt;=0,"Z",IF(G345&lt;=Parametros!$B$6,"X",IF(G345&lt;=Parametros!$B$7,"Y","Z")))</f>
        <v>X</v>
      </c>
      <c r="L345" s="3" t="str">
        <f aca="false">J345&amp;K345</f>
        <v>CX</v>
      </c>
      <c r="M345" s="3" t="str">
        <f aca="false">INDEX(Parametros!$B$23:$B$31,MATCH(L345,Parametros!$A$23:$A$31,0))</f>
        <v>Reposición simple mín/máx.</v>
      </c>
      <c r="N345" s="3" t="str">
        <f aca="false">INDEX(Parametros!$C$23:$C$31,MATCH(L345,Parametros!$A$23:$A$31,0))</f>
        <v>Trimestral</v>
      </c>
      <c r="O345" s="23" t="n">
        <f aca="false">SUM(Datos_Semanales!M345:R345)</f>
        <v>8589.22203520582</v>
      </c>
      <c r="P345" s="24" t="n">
        <f aca="false">IF(D345&gt;0,SUMPRODUCT(ABS(Datos_Semanales!F345:K345-Datos_Semanales!M345:R345))/D345,"")</f>
        <v>0.229394743946778</v>
      </c>
      <c r="Q345" s="24" t="n">
        <f aca="false">IF(D345&gt;0,O345/D345-1,"")</f>
        <v>-0.00338554311637684</v>
      </c>
      <c r="R345" s="23" t="n">
        <f aca="false">SQRT(SUMXMY2(Datos_Semanales!F345:K345,Datos_Semanales!M345:R345)/COUNT(Datos_Semanales!F345:K345))</f>
        <v>387.335288844187</v>
      </c>
    </row>
    <row r="346" customFormat="false" ht="15" hidden="false" customHeight="false" outlineLevel="0" collapsed="false">
      <c r="A346" s="18" t="n">
        <f aca="false">Datos_Semanales!A346</f>
        <v>30000635</v>
      </c>
      <c r="B346" s="18" t="str">
        <f aca="false">Datos_Semanales!B346</f>
        <v>MERMELADA REGI FRUTILLA 24X200GR</v>
      </c>
      <c r="C346" s="18" t="str">
        <f aca="false">Datos_Semanales!C346</f>
        <v>-</v>
      </c>
      <c r="D346" s="23" t="n">
        <f aca="false">SUM(Datos_Semanales!F346:K346)</f>
        <v>8352</v>
      </c>
      <c r="E346" s="23" t="n">
        <f aca="false">AVERAGE(Datos_Semanales!F346:K346)</f>
        <v>1392</v>
      </c>
      <c r="F346" s="23" t="n">
        <f aca="false">STDEV(Datos_Semanales!F346:K346)</f>
        <v>403.142853093044</v>
      </c>
      <c r="G346" s="27" t="n">
        <f aca="false">IF(E346&gt;0,F346/E346,"")</f>
        <v>0.289614118601325</v>
      </c>
      <c r="H346" s="24" t="n">
        <f aca="false">IF(SUM($D$5:$D$494)&gt;0,D346/SUM($D$5:$D$494),0)</f>
        <v>0.000348147175954755</v>
      </c>
      <c r="I346" s="24" t="n">
        <f aca="false">SUMIF($D$5:$D$494,"&gt;="&amp;D346)/SUM($D$5:$D$494)</f>
        <v>0.985348750446607</v>
      </c>
      <c r="J346" s="3" t="str">
        <f aca="false">IF(D346&lt;=0,"C",IF(I346&lt;=Parametros!$B$4,"A",IF(I346&lt;=Parametros!$B$5,"B","C")))</f>
        <v>C</v>
      </c>
      <c r="K346" s="3" t="str">
        <f aca="false">IF(E346&lt;=0,"Z",IF(G346&lt;=Parametros!$B$6,"X",IF(G346&lt;=Parametros!$B$7,"Y","Z")))</f>
        <v>X</v>
      </c>
      <c r="L346" s="3" t="str">
        <f aca="false">J346&amp;K346</f>
        <v>CX</v>
      </c>
      <c r="M346" s="3" t="str">
        <f aca="false">INDEX(Parametros!$B$23:$B$31,MATCH(L346,Parametros!$A$23:$A$31,0))</f>
        <v>Reposición simple mín/máx.</v>
      </c>
      <c r="N346" s="3" t="str">
        <f aca="false">INDEX(Parametros!$C$23:$C$31,MATCH(L346,Parametros!$A$23:$A$31,0))</f>
        <v>Trimestral</v>
      </c>
      <c r="O346" s="23" t="n">
        <f aca="false">SUM(Datos_Semanales!M346:R346)</f>
        <v>9089.6</v>
      </c>
      <c r="P346" s="24" t="n">
        <f aca="false">IF(D346&gt;0,SUMPRODUCT(ABS(Datos_Semanales!F346:K346-Datos_Semanales!M346:R346))/D346,"")</f>
        <v>0.182088122605364</v>
      </c>
      <c r="Q346" s="24" t="n">
        <f aca="false">IF(D346&gt;0,O346/D346-1,"")</f>
        <v>0.0883141762452109</v>
      </c>
      <c r="R346" s="23" t="n">
        <f aca="false">SQRT(SUMXMY2(Datos_Semanales!F346:K346,Datos_Semanales!M346:R346)/COUNT(Datos_Semanales!F346:K346))</f>
        <v>299.783032653062</v>
      </c>
    </row>
    <row r="347" customFormat="false" ht="15" hidden="false" customHeight="false" outlineLevel="0" collapsed="false">
      <c r="A347" s="18" t="n">
        <f aca="false">Datos_Semanales!A347</f>
        <v>30000436</v>
      </c>
      <c r="B347" s="18" t="str">
        <f aca="false">Datos_Semanales!B347</f>
        <v>PROT SHOT VAINILL PACK 8X6X100ML</v>
      </c>
      <c r="C347" s="18" t="str">
        <f aca="false">Datos_Semanales!C347</f>
        <v>YOGURT</v>
      </c>
      <c r="D347" s="23" t="n">
        <f aca="false">SUM(Datos_Semanales!F347:K347)</f>
        <v>8243.2</v>
      </c>
      <c r="E347" s="23" t="n">
        <f aca="false">AVERAGE(Datos_Semanales!F347:K347)</f>
        <v>1373.86666666667</v>
      </c>
      <c r="F347" s="23" t="n">
        <f aca="false">STDEV(Datos_Semanales!F347:K347)</f>
        <v>611.32599888003</v>
      </c>
      <c r="G347" s="27" t="n">
        <f aca="false">IF(E347&gt;0,F347/E347,"")</f>
        <v>0.444967487538842</v>
      </c>
      <c r="H347" s="24" t="n">
        <f aca="false">IF(SUM($D$5:$D$494)&gt;0,D347/SUM($D$5:$D$494),0)</f>
        <v>0.000343611925386762</v>
      </c>
      <c r="I347" s="24" t="n">
        <f aca="false">SUMIF($D$5:$D$494,"&gt;="&amp;D347)/SUM($D$5:$D$494)</f>
        <v>0.985692362371994</v>
      </c>
      <c r="J347" s="3" t="str">
        <f aca="false">IF(D347&lt;=0,"C",IF(I347&lt;=Parametros!$B$4,"A",IF(I347&lt;=Parametros!$B$5,"B","C")))</f>
        <v>C</v>
      </c>
      <c r="K347" s="3" t="str">
        <f aca="false">IF(E347&lt;=0,"Z",IF(G347&lt;=Parametros!$B$6,"X",IF(G347&lt;=Parametros!$B$7,"Y","Z")))</f>
        <v>X</v>
      </c>
      <c r="L347" s="3" t="str">
        <f aca="false">J347&amp;K347</f>
        <v>CX</v>
      </c>
      <c r="M347" s="3" t="str">
        <f aca="false">INDEX(Parametros!$B$23:$B$31,MATCH(L347,Parametros!$A$23:$A$31,0))</f>
        <v>Reposición simple mín/máx.</v>
      </c>
      <c r="N347" s="3" t="str">
        <f aca="false">INDEX(Parametros!$C$23:$C$31,MATCH(L347,Parametros!$A$23:$A$31,0))</f>
        <v>Trimestral</v>
      </c>
      <c r="O347" s="23" t="n">
        <f aca="false">SUM(Datos_Semanales!M347:R347)</f>
        <v>9085.06270787408</v>
      </c>
      <c r="P347" s="24" t="n">
        <f aca="false">IF(D347&gt;0,SUMPRODUCT(ABS(Datos_Semanales!F347:K347-Datos_Semanales!M347:R347))/D347,"")</f>
        <v>0.281778313258184</v>
      </c>
      <c r="Q347" s="24" t="n">
        <f aca="false">IF(D347&gt;0,O347/D347-1,"")</f>
        <v>0.102128142938917</v>
      </c>
      <c r="R347" s="23" t="n">
        <f aca="false">SQRT(SUMXMY2(Datos_Semanales!F347:K347,Datos_Semanales!M347:R347)/COUNT(Datos_Semanales!F347:K347))</f>
        <v>488.502542616276</v>
      </c>
    </row>
    <row r="348" customFormat="false" ht="15" hidden="false" customHeight="false" outlineLevel="0" collapsed="false">
      <c r="A348" s="18" t="n">
        <f aca="false">Datos_Semanales!A348</f>
        <v>30001480</v>
      </c>
      <c r="B348" s="18" t="str">
        <f aca="false">Datos_Semanales!B348</f>
        <v>POUCH WATT'S MULTIFRUTAS 36X90GR</v>
      </c>
      <c r="C348" s="18" t="str">
        <f aca="false">Datos_Semanales!C348</f>
        <v>COLACIONES EN CONSERVA</v>
      </c>
      <c r="D348" s="23" t="n">
        <f aca="false">SUM(Datos_Semanales!F348:K348)</f>
        <v>8239.32</v>
      </c>
      <c r="E348" s="23" t="n">
        <f aca="false">AVERAGE(Datos_Semanales!F348:K348)</f>
        <v>1373.22</v>
      </c>
      <c r="F348" s="23" t="n">
        <f aca="false">STDEV(Datos_Semanales!F348:K348)</f>
        <v>2136.54003656379</v>
      </c>
      <c r="G348" s="27" t="n">
        <f aca="false">IF(E348&gt;0,F348/E348,"")</f>
        <v>1.55586143266468</v>
      </c>
      <c r="H348" s="24" t="n">
        <f aca="false">IF(SUM($D$5:$D$494)&gt;0,D348/SUM($D$5:$D$494),0)</f>
        <v>0.000343450190348124</v>
      </c>
      <c r="I348" s="24" t="n">
        <f aca="false">SUMIF($D$5:$D$494,"&gt;="&amp;D348)/SUM($D$5:$D$494)</f>
        <v>0.986035812562342</v>
      </c>
      <c r="J348" s="3" t="str">
        <f aca="false">IF(D348&lt;=0,"C",IF(I348&lt;=Parametros!$B$4,"A",IF(I348&lt;=Parametros!$B$5,"B","C")))</f>
        <v>C</v>
      </c>
      <c r="K348" s="3" t="str">
        <f aca="false">IF(E348&lt;=0,"Z",IF(G348&lt;=Parametros!$B$6,"X",IF(G348&lt;=Parametros!$B$7,"Y","Z")))</f>
        <v>Z</v>
      </c>
      <c r="L348" s="3" t="str">
        <f aca="false">J348&amp;K348</f>
        <v>CZ</v>
      </c>
      <c r="M348" s="3" t="str">
        <f aca="false">INDEX(Parametros!$B$23:$B$31,MATCH(L348,Parametros!$A$23:$A$31,0))</f>
        <v>Contra pedido o stock mínimo. Candidato a racionalizar/descontinuar.</v>
      </c>
      <c r="N348" s="3" t="str">
        <f aca="false">INDEX(Parametros!$C$23:$C$31,MATCH(L348,Parametros!$A$23:$A$31,0))</f>
        <v>Mensual</v>
      </c>
      <c r="O348" s="23" t="n">
        <f aca="false">SUM(Datos_Semanales!M348:R348)</f>
        <v>5900</v>
      </c>
      <c r="P348" s="24" t="n">
        <f aca="false">IF(D348&gt;0,SUMPRODUCT(ABS(Datos_Semanales!F348:K348-Datos_Semanales!M348:R348))/D348,"")</f>
        <v>0.701975405737367</v>
      </c>
      <c r="Q348" s="24" t="n">
        <f aca="false">IF(D348&gt;0,O348/D348-1,"")</f>
        <v>-0.28392148866654</v>
      </c>
      <c r="R348" s="23" t="n">
        <f aca="false">SQRT(SUMXMY2(Datos_Semanales!F348:K348,Datos_Semanales!M348:R348)/COUNT(Datos_Semanales!F348:K348))</f>
        <v>1504.341253927</v>
      </c>
    </row>
    <row r="349" customFormat="false" ht="15" hidden="false" customHeight="false" outlineLevel="0" collapsed="false">
      <c r="A349" s="18" t="n">
        <f aca="false">Datos_Semanales!A349</f>
        <v>30002170</v>
      </c>
      <c r="B349" s="18" t="str">
        <f aca="false">Datos_Semanales!B349</f>
        <v>FRUGO FRUTILLA 6X1,6LT</v>
      </c>
      <c r="C349" s="18" t="str">
        <f aca="false">Datos_Semanales!C349</f>
        <v>JUGOS Y NECTARES</v>
      </c>
      <c r="D349" s="23" t="n">
        <f aca="false">SUM(Datos_Semanales!F349:K349)</f>
        <v>8236.8</v>
      </c>
      <c r="E349" s="23" t="n">
        <f aca="false">AVERAGE(Datos_Semanales!F349:K349)</f>
        <v>1372.8</v>
      </c>
      <c r="F349" s="23" t="n">
        <f aca="false">STDEV(Datos_Semanales!F349:K349)</f>
        <v>774.619473031759</v>
      </c>
      <c r="G349" s="27" t="n">
        <f aca="false">IF(E349&gt;0,F349/E349,"")</f>
        <v>0.564262436649008</v>
      </c>
      <c r="H349" s="24" t="n">
        <f aca="false">IF(SUM($D$5:$D$494)&gt;0,D349/SUM($D$5:$D$494),0)</f>
        <v>0.000343345145941586</v>
      </c>
      <c r="I349" s="24" t="n">
        <f aca="false">SUMIF($D$5:$D$494,"&gt;="&amp;D349)/SUM($D$5:$D$494)</f>
        <v>0.986379157708283</v>
      </c>
      <c r="J349" s="3" t="str">
        <f aca="false">IF(D349&lt;=0,"C",IF(I349&lt;=Parametros!$B$4,"A",IF(I349&lt;=Parametros!$B$5,"B","C")))</f>
        <v>C</v>
      </c>
      <c r="K349" s="3" t="str">
        <f aca="false">IF(E349&lt;=0,"Z",IF(G349&lt;=Parametros!$B$6,"X",IF(G349&lt;=Parametros!$B$7,"Y","Z")))</f>
        <v>Y</v>
      </c>
      <c r="L349" s="3" t="str">
        <f aca="false">J349&amp;K349</f>
        <v>CY</v>
      </c>
      <c r="M349" s="3" t="str">
        <f aca="false">INDEX(Parametros!$B$23:$B$31,MATCH(L349,Parametros!$A$23:$A$31,0))</f>
        <v>Mín/máx con stock bajo; evaluar continuidad del SKU.</v>
      </c>
      <c r="N349" s="3" t="str">
        <f aca="false">INDEX(Parametros!$C$23:$C$31,MATCH(L349,Parametros!$A$23:$A$31,0))</f>
        <v>Mensual</v>
      </c>
      <c r="O349" s="23" t="n">
        <f aca="false">SUM(Datos_Semanales!M349:R349)</f>
        <v>4045.45801494049</v>
      </c>
      <c r="P349" s="24" t="n">
        <f aca="false">IF(D349&gt;0,SUMPRODUCT(ABS(Datos_Semanales!F349:K349-Datos_Semanales!M349:R349))/D349,"")</f>
        <v>0.563103523605185</v>
      </c>
      <c r="Q349" s="24" t="n">
        <f aca="false">IF(D349&gt;0,O349/D349-1,"")</f>
        <v>-0.508855621729253</v>
      </c>
      <c r="R349" s="23" t="n">
        <f aca="false">SQRT(SUMXMY2(Datos_Semanales!F349:K349,Datos_Semanales!M349:R349)/COUNT(Datos_Semanales!F349:K349))</f>
        <v>1006.56328664177</v>
      </c>
    </row>
    <row r="350" customFormat="false" ht="15" hidden="false" customHeight="false" outlineLevel="0" collapsed="false">
      <c r="A350" s="18" t="n">
        <f aca="false">Datos_Semanales!A350</f>
        <v>30000499</v>
      </c>
      <c r="B350" s="18" t="str">
        <f aca="false">Datos_Semanales!B350</f>
        <v>LECHE CULTIV LIGHT VAINI 6X900ML</v>
      </c>
      <c r="C350" s="18" t="str">
        <f aca="false">Datos_Semanales!C350</f>
        <v>LECHES LIQUIDAS</v>
      </c>
      <c r="D350" s="23" t="n">
        <f aca="false">SUM(Datos_Semanales!F350:K350)</f>
        <v>8224.2</v>
      </c>
      <c r="E350" s="23" t="n">
        <f aca="false">AVERAGE(Datos_Semanales!F350:K350)</f>
        <v>1370.7</v>
      </c>
      <c r="F350" s="23" t="n">
        <f aca="false">STDEV(Datos_Semanales!F350:K350)</f>
        <v>458.97352864844</v>
      </c>
      <c r="G350" s="27" t="n">
        <f aca="false">IF(E350&gt;0,F350/E350,"")</f>
        <v>0.334846084955453</v>
      </c>
      <c r="H350" s="24" t="n">
        <f aca="false">IF(SUM($D$5:$D$494)&gt;0,D350/SUM($D$5:$D$494),0)</f>
        <v>0.000342819923908896</v>
      </c>
      <c r="I350" s="24" t="n">
        <f aca="false">SUMIF($D$5:$D$494,"&gt;="&amp;D350)/SUM($D$5:$D$494)</f>
        <v>0.986721977632192</v>
      </c>
      <c r="J350" s="3" t="str">
        <f aca="false">IF(D350&lt;=0,"C",IF(I350&lt;=Parametros!$B$4,"A",IF(I350&lt;=Parametros!$B$5,"B","C")))</f>
        <v>C</v>
      </c>
      <c r="K350" s="3" t="str">
        <f aca="false">IF(E350&lt;=0,"Z",IF(G350&lt;=Parametros!$B$6,"X",IF(G350&lt;=Parametros!$B$7,"Y","Z")))</f>
        <v>X</v>
      </c>
      <c r="L350" s="3" t="str">
        <f aca="false">J350&amp;K350</f>
        <v>CX</v>
      </c>
      <c r="M350" s="3" t="str">
        <f aca="false">INDEX(Parametros!$B$23:$B$31,MATCH(L350,Parametros!$A$23:$A$31,0))</f>
        <v>Reposición simple mín/máx.</v>
      </c>
      <c r="N350" s="3" t="str">
        <f aca="false">INDEX(Parametros!$C$23:$C$31,MATCH(L350,Parametros!$A$23:$A$31,0))</f>
        <v>Trimestral</v>
      </c>
      <c r="O350" s="23" t="n">
        <f aca="false">SUM(Datos_Semanales!M350:R350)</f>
        <v>6789.12289295358</v>
      </c>
      <c r="P350" s="24" t="n">
        <f aca="false">IF(D350&gt;0,SUMPRODUCT(ABS(Datos_Semanales!F350:K350-Datos_Semanales!M350:R350))/D350,"")</f>
        <v>0.23664204207398</v>
      </c>
      <c r="Q350" s="24" t="n">
        <f aca="false">IF(D350&gt;0,O350/D350-1,"")</f>
        <v>-0.174494431926075</v>
      </c>
      <c r="R350" s="23" t="n">
        <f aca="false">SQRT(SUMXMY2(Datos_Semanales!F350:K350,Datos_Semanales!M350:R350)/COUNT(Datos_Semanales!F350:K350))</f>
        <v>418.676734380127</v>
      </c>
    </row>
    <row r="351" customFormat="false" ht="15" hidden="false" customHeight="false" outlineLevel="0" collapsed="false">
      <c r="A351" s="18" t="n">
        <f aca="false">Datos_Semanales!A351</f>
        <v>30001924</v>
      </c>
      <c r="B351" s="18" t="str">
        <f aca="false">Datos_Semanales!B351</f>
        <v>JUGO 100% FRUTA LV WATTS NRJA MIX 12X1LT</v>
      </c>
      <c r="C351" s="18" t="str">
        <f aca="false">Datos_Semanales!C351</f>
        <v>JUGOS Y NECTARES</v>
      </c>
      <c r="D351" s="23" t="n">
        <f aca="false">SUM(Datos_Semanales!F351:K351)</f>
        <v>8220</v>
      </c>
      <c r="E351" s="23" t="n">
        <f aca="false">AVERAGE(Datos_Semanales!F351:K351)</f>
        <v>1370</v>
      </c>
      <c r="F351" s="23" t="n">
        <f aca="false">STDEV(Datos_Semanales!F351:K351)</f>
        <v>773.471137147341</v>
      </c>
      <c r="G351" s="27" t="n">
        <f aca="false">IF(E351&gt;0,F351/E351,"")</f>
        <v>0.564577472370322</v>
      </c>
      <c r="H351" s="24" t="n">
        <f aca="false">IF(SUM($D$5:$D$494)&gt;0,D351/SUM($D$5:$D$494),0)</f>
        <v>0.000342644849897999</v>
      </c>
      <c r="I351" s="24" t="n">
        <f aca="false">SUMIF($D$5:$D$494,"&gt;="&amp;D351)/SUM($D$5:$D$494)</f>
        <v>0.98706462248209</v>
      </c>
      <c r="J351" s="3" t="str">
        <f aca="false">IF(D351&lt;=0,"C",IF(I351&lt;=Parametros!$B$4,"A",IF(I351&lt;=Parametros!$B$5,"B","C")))</f>
        <v>C</v>
      </c>
      <c r="K351" s="3" t="str">
        <f aca="false">IF(E351&lt;=0,"Z",IF(G351&lt;=Parametros!$B$6,"X",IF(G351&lt;=Parametros!$B$7,"Y","Z")))</f>
        <v>Y</v>
      </c>
      <c r="L351" s="3" t="str">
        <f aca="false">J351&amp;K351</f>
        <v>CY</v>
      </c>
      <c r="M351" s="3" t="str">
        <f aca="false">INDEX(Parametros!$B$23:$B$31,MATCH(L351,Parametros!$A$23:$A$31,0))</f>
        <v>Mín/máx con stock bajo; evaluar continuidad del SKU.</v>
      </c>
      <c r="N351" s="3" t="str">
        <f aca="false">INDEX(Parametros!$C$23:$C$31,MATCH(L351,Parametros!$A$23:$A$31,0))</f>
        <v>Mensual</v>
      </c>
      <c r="O351" s="23" t="n">
        <f aca="false">SUM(Datos_Semanales!M351:R351)</f>
        <v>6738.3313556958</v>
      </c>
      <c r="P351" s="24" t="n">
        <f aca="false">IF(D351&gt;0,SUMPRODUCT(ABS(Datos_Semanales!F351:K351-Datos_Semanales!M351:R351))/D351,"")</f>
        <v>0.455209324124598</v>
      </c>
      <c r="Q351" s="24" t="n">
        <f aca="false">IF(D351&gt;0,O351/D351-1,"")</f>
        <v>-0.180251659891022</v>
      </c>
      <c r="R351" s="23" t="n">
        <f aca="false">SQRT(SUMXMY2(Datos_Semanales!F351:K351,Datos_Semanales!M351:R351)/COUNT(Datos_Semanales!F351:K351))</f>
        <v>750.472050452099</v>
      </c>
    </row>
    <row r="352" customFormat="false" ht="15" hidden="false" customHeight="false" outlineLevel="0" collapsed="false">
      <c r="A352" s="18" t="n">
        <f aca="false">Datos_Semanales!A352</f>
        <v>30002171</v>
      </c>
      <c r="B352" s="18" t="str">
        <f aca="false">Datos_Semanales!B352</f>
        <v>FRUGO PIÑA 6X1,6LT</v>
      </c>
      <c r="C352" s="18" t="str">
        <f aca="false">Datos_Semanales!C352</f>
        <v>JUGOS Y NECTARES</v>
      </c>
      <c r="D352" s="23" t="n">
        <f aca="false">SUM(Datos_Semanales!F352:K352)</f>
        <v>8064</v>
      </c>
      <c r="E352" s="23" t="n">
        <f aca="false">AVERAGE(Datos_Semanales!F352:K352)</f>
        <v>1344</v>
      </c>
      <c r="F352" s="23" t="n">
        <f aca="false">STDEV(Datos_Semanales!F352:K352)</f>
        <v>531.358048776905</v>
      </c>
      <c r="G352" s="27" t="n">
        <f aca="false">IF(E352&gt;0,F352/E352,"")</f>
        <v>0.395355691054245</v>
      </c>
      <c r="H352" s="24" t="n">
        <f aca="false">IF(SUM($D$5:$D$494)&gt;0,D352/SUM($D$5:$D$494),0)</f>
        <v>0.000336142100921833</v>
      </c>
      <c r="I352" s="24" t="n">
        <f aca="false">SUMIF($D$5:$D$494,"&gt;="&amp;D352)/SUM($D$5:$D$494)</f>
        <v>0.987400764583012</v>
      </c>
      <c r="J352" s="3" t="str">
        <f aca="false">IF(D352&lt;=0,"C",IF(I352&lt;=Parametros!$B$4,"A",IF(I352&lt;=Parametros!$B$5,"B","C")))</f>
        <v>C</v>
      </c>
      <c r="K352" s="3" t="str">
        <f aca="false">IF(E352&lt;=0,"Z",IF(G352&lt;=Parametros!$B$6,"X",IF(G352&lt;=Parametros!$B$7,"Y","Z")))</f>
        <v>X</v>
      </c>
      <c r="L352" s="3" t="str">
        <f aca="false">J352&amp;K352</f>
        <v>CX</v>
      </c>
      <c r="M352" s="3" t="str">
        <f aca="false">INDEX(Parametros!$B$23:$B$31,MATCH(L352,Parametros!$A$23:$A$31,0))</f>
        <v>Reposición simple mín/máx.</v>
      </c>
      <c r="N352" s="3" t="str">
        <f aca="false">INDEX(Parametros!$C$23:$C$31,MATCH(L352,Parametros!$A$23:$A$31,0))</f>
        <v>Trimestral</v>
      </c>
      <c r="O352" s="23" t="n">
        <f aca="false">SUM(Datos_Semanales!M352:R352)</f>
        <v>6879.44870132995</v>
      </c>
      <c r="P352" s="24" t="n">
        <f aca="false">IF(D352&gt;0,SUMPRODUCT(ABS(Datos_Semanales!F352:K352-Datos_Semanales!M352:R352))/D352,"")</f>
        <v>0.229695016922861</v>
      </c>
      <c r="Q352" s="24" t="n">
        <f aca="false">IF(D352&gt;0,O352/D352-1,"")</f>
        <v>-0.14689376223587</v>
      </c>
      <c r="R352" s="23" t="n">
        <f aca="false">SQRT(SUMXMY2(Datos_Semanales!F352:K352,Datos_Semanales!M352:R352)/COUNT(Datos_Semanales!F352:K352))</f>
        <v>408.479024231044</v>
      </c>
    </row>
    <row r="353" customFormat="false" ht="15" hidden="false" customHeight="false" outlineLevel="0" collapsed="false">
      <c r="A353" s="18" t="n">
        <f aca="false">Datos_Semanales!A353</f>
        <v>30001982</v>
      </c>
      <c r="B353" s="18" t="str">
        <f aca="false">Datos_Semanales!B353</f>
        <v>YOGURT OIKOS FOB MIEL 48X150G</v>
      </c>
      <c r="C353" s="18" t="str">
        <f aca="false">Datos_Semanales!C353</f>
        <v>YOGURT</v>
      </c>
      <c r="D353" s="23" t="n">
        <f aca="false">SUM(Datos_Semanales!F353:K353)</f>
        <v>8013.6</v>
      </c>
      <c r="E353" s="23" t="n">
        <f aca="false">AVERAGE(Datos_Semanales!F353:K353)</f>
        <v>1335.6</v>
      </c>
      <c r="F353" s="23" t="n">
        <f aca="false">STDEV(Datos_Semanales!F353:K353)</f>
        <v>397.287361993809</v>
      </c>
      <c r="G353" s="27" t="n">
        <f aca="false">IF(E353&gt;0,F353/E353,"")</f>
        <v>0.297459839767752</v>
      </c>
      <c r="H353" s="24" t="n">
        <f aca="false">IF(SUM($D$5:$D$494)&gt;0,D353/SUM($D$5:$D$494),0)</f>
        <v>0.000334041212791071</v>
      </c>
      <c r="I353" s="24" t="n">
        <f aca="false">SUMIF($D$5:$D$494,"&gt;="&amp;D353)/SUM($D$5:$D$494)</f>
        <v>0.987734805795803</v>
      </c>
      <c r="J353" s="3" t="str">
        <f aca="false">IF(D353&lt;=0,"C",IF(I353&lt;=Parametros!$B$4,"A",IF(I353&lt;=Parametros!$B$5,"B","C")))</f>
        <v>C</v>
      </c>
      <c r="K353" s="3" t="str">
        <f aca="false">IF(E353&lt;=0,"Z",IF(G353&lt;=Parametros!$B$6,"X",IF(G353&lt;=Parametros!$B$7,"Y","Z")))</f>
        <v>X</v>
      </c>
      <c r="L353" s="3" t="str">
        <f aca="false">J353&amp;K353</f>
        <v>CX</v>
      </c>
      <c r="M353" s="3" t="str">
        <f aca="false">INDEX(Parametros!$B$23:$B$31,MATCH(L353,Parametros!$A$23:$A$31,0))</f>
        <v>Reposición simple mín/máx.</v>
      </c>
      <c r="N353" s="3" t="str">
        <f aca="false">INDEX(Parametros!$C$23:$C$31,MATCH(L353,Parametros!$A$23:$A$31,0))</f>
        <v>Trimestral</v>
      </c>
      <c r="O353" s="23" t="n">
        <f aca="false">SUM(Datos_Semanales!M353:R353)</f>
        <v>7948.56421615962</v>
      </c>
      <c r="P353" s="24" t="n">
        <f aca="false">IF(D353&gt;0,SUMPRODUCT(ABS(Datos_Semanales!F353:K353-Datos_Semanales!M353:R353))/D353,"")</f>
        <v>0.326500419947123</v>
      </c>
      <c r="Q353" s="24" t="n">
        <f aca="false">IF(D353&gt;0,O353/D353-1,"")</f>
        <v>-0.00811567633028654</v>
      </c>
      <c r="R353" s="23" t="n">
        <f aca="false">SQRT(SUMXMY2(Datos_Semanales!F353:K353,Datos_Semanales!M353:R353)/COUNT(Datos_Semanales!F353:K353))</f>
        <v>558.585455474334</v>
      </c>
    </row>
    <row r="354" customFormat="false" ht="15" hidden="false" customHeight="false" outlineLevel="0" collapsed="false">
      <c r="A354" s="18" t="n">
        <f aca="false">Datos_Semanales!A354</f>
        <v>30001482</v>
      </c>
      <c r="B354" s="18" t="str">
        <f aca="false">Datos_Semanales!B354</f>
        <v>POUCH WATT'S MANZANA 36X90GR</v>
      </c>
      <c r="C354" s="18" t="str">
        <f aca="false">Datos_Semanales!C354</f>
        <v>COLACIONES EN CONSERVA</v>
      </c>
      <c r="D354" s="23" t="n">
        <f aca="false">SUM(Datos_Semanales!F354:K354)</f>
        <v>7999.56</v>
      </c>
      <c r="E354" s="23" t="n">
        <f aca="false">AVERAGE(Datos_Semanales!F354:K354)</f>
        <v>1333.26</v>
      </c>
      <c r="F354" s="23" t="n">
        <f aca="false">STDEV(Datos_Semanales!F354:K354)</f>
        <v>2146.30351251635</v>
      </c>
      <c r="G354" s="27" t="n">
        <f aca="false">IF(E354&gt;0,F354/E354,"")</f>
        <v>1.60981617427684</v>
      </c>
      <c r="H354" s="24" t="n">
        <f aca="false">IF(SUM($D$5:$D$494)&gt;0,D354/SUM($D$5:$D$494),0)</f>
        <v>0.000333455965383216</v>
      </c>
      <c r="I354" s="24" t="n">
        <f aca="false">SUMIF($D$5:$D$494,"&gt;="&amp;D354)/SUM($D$5:$D$494)</f>
        <v>0.988068261761186</v>
      </c>
      <c r="J354" s="3" t="str">
        <f aca="false">IF(D354&lt;=0,"C",IF(I354&lt;=Parametros!$B$4,"A",IF(I354&lt;=Parametros!$B$5,"B","C")))</f>
        <v>C</v>
      </c>
      <c r="K354" s="3" t="str">
        <f aca="false">IF(E354&lt;=0,"Z",IF(G354&lt;=Parametros!$B$6,"X",IF(G354&lt;=Parametros!$B$7,"Y","Z")))</f>
        <v>Z</v>
      </c>
      <c r="L354" s="3" t="str">
        <f aca="false">J354&amp;K354</f>
        <v>CZ</v>
      </c>
      <c r="M354" s="3" t="str">
        <f aca="false">INDEX(Parametros!$B$23:$B$31,MATCH(L354,Parametros!$A$23:$A$31,0))</f>
        <v>Contra pedido o stock mínimo. Candidato a racionalizar/descontinuar.</v>
      </c>
      <c r="N354" s="3" t="str">
        <f aca="false">INDEX(Parametros!$C$23:$C$31,MATCH(L354,Parametros!$A$23:$A$31,0))</f>
        <v>Mensual</v>
      </c>
      <c r="O354" s="23" t="n">
        <f aca="false">SUM(Datos_Semanales!M354:R354)</f>
        <v>6000</v>
      </c>
      <c r="P354" s="24" t="n">
        <f aca="false">IF(D354&gt;0,SUMPRODUCT(ABS(Datos_Semanales!F354:K354-Datos_Semanales!M354:R354))/D354,"")</f>
        <v>0.678572321477681</v>
      </c>
      <c r="Q354" s="24" t="n">
        <f aca="false">IF(D354&gt;0,O354/D354-1,"")</f>
        <v>-0.249958747731125</v>
      </c>
      <c r="R354" s="23" t="n">
        <f aca="false">SQRT(SUMXMY2(Datos_Semanales!F354:K354,Datos_Semanales!M354:R354)/COUNT(Datos_Semanales!F354:K354))</f>
        <v>1353.56733638683</v>
      </c>
    </row>
    <row r="355" customFormat="false" ht="15" hidden="false" customHeight="false" outlineLevel="0" collapsed="false">
      <c r="A355" s="18" t="n">
        <f aca="false">Datos_Semanales!A355</f>
        <v>30002297</v>
      </c>
      <c r="B355" s="18" t="str">
        <f aca="false">Datos_Semanales!B355</f>
        <v>MERMELADA WATTS S/A PAPAYA SACHET24X200G</v>
      </c>
      <c r="C355" s="18" t="str">
        <f aca="false">Datos_Semanales!C355</f>
        <v>-</v>
      </c>
      <c r="D355" s="23" t="n">
        <f aca="false">SUM(Datos_Semanales!F355:K355)</f>
        <v>7742.4</v>
      </c>
      <c r="E355" s="23" t="n">
        <f aca="false">AVERAGE(Datos_Semanales!F355:K355)</f>
        <v>1290.4</v>
      </c>
      <c r="F355" s="23" t="n">
        <f aca="false">STDEV(Datos_Semanales!F355:K355)</f>
        <v>516.881479644996</v>
      </c>
      <c r="G355" s="27" t="n">
        <f aca="false">IF(E355&gt;0,F355/E355,"")</f>
        <v>0.400559113178081</v>
      </c>
      <c r="H355" s="24" t="n">
        <f aca="false">IF(SUM($D$5:$D$494)&gt;0,D355/SUM($D$5:$D$494),0)</f>
        <v>0.000322736433801736</v>
      </c>
      <c r="I355" s="24" t="n">
        <f aca="false">SUMIF($D$5:$D$494,"&gt;="&amp;D355)/SUM($D$5:$D$494)</f>
        <v>0.988390998194988</v>
      </c>
      <c r="J355" s="3" t="str">
        <f aca="false">IF(D355&lt;=0,"C",IF(I355&lt;=Parametros!$B$4,"A",IF(I355&lt;=Parametros!$B$5,"B","C")))</f>
        <v>C</v>
      </c>
      <c r="K355" s="3" t="str">
        <f aca="false">IF(E355&lt;=0,"Z",IF(G355&lt;=Parametros!$B$6,"X",IF(G355&lt;=Parametros!$B$7,"Y","Z")))</f>
        <v>X</v>
      </c>
      <c r="L355" s="3" t="str">
        <f aca="false">J355&amp;K355</f>
        <v>CX</v>
      </c>
      <c r="M355" s="3" t="str">
        <f aca="false">INDEX(Parametros!$B$23:$B$31,MATCH(L355,Parametros!$A$23:$A$31,0))</f>
        <v>Reposición simple mín/máx.</v>
      </c>
      <c r="N355" s="3" t="str">
        <f aca="false">INDEX(Parametros!$C$23:$C$31,MATCH(L355,Parametros!$A$23:$A$31,0))</f>
        <v>Trimestral</v>
      </c>
      <c r="O355" s="23" t="n">
        <f aca="false">SUM(Datos_Semanales!M355:R355)</f>
        <v>8650</v>
      </c>
      <c r="P355" s="24" t="n">
        <f aca="false">IF(D355&gt;0,SUMPRODUCT(ABS(Datos_Semanales!F355:K355-Datos_Semanales!M355:R355))/D355,"")</f>
        <v>0.440638561686299</v>
      </c>
      <c r="Q355" s="24" t="n">
        <f aca="false">IF(D355&gt;0,O355/D355-1,"")</f>
        <v>0.117224633188675</v>
      </c>
      <c r="R355" s="23" t="n">
        <f aca="false">SQRT(SUMXMY2(Datos_Semanales!F355:K355,Datos_Semanales!M355:R355)/COUNT(Datos_Semanales!F355:K355))</f>
        <v>764.875292667591</v>
      </c>
    </row>
    <row r="356" customFormat="false" ht="15" hidden="false" customHeight="false" outlineLevel="0" collapsed="false">
      <c r="A356" s="18" t="n">
        <f aca="false">Datos_Semanales!A356</f>
        <v>30002106</v>
      </c>
      <c r="B356" s="18" t="str">
        <f aca="false">Datos_Semanales!B356</f>
        <v>PROBIOTICO CALAN DSCO TETRA 3X12X108ML</v>
      </c>
      <c r="C356" s="18" t="str">
        <f aca="false">Datos_Semanales!C356</f>
        <v>YOGURT</v>
      </c>
      <c r="D356" s="23" t="n">
        <f aca="false">SUM(Datos_Semanales!F356:K356)</f>
        <v>7678.8</v>
      </c>
      <c r="E356" s="23" t="n">
        <f aca="false">AVERAGE(Datos_Semanales!F356:K356)</f>
        <v>1279.8</v>
      </c>
      <c r="F356" s="23" t="n">
        <f aca="false">STDEV(Datos_Semanales!F356:K356)</f>
        <v>473.100535304707</v>
      </c>
      <c r="G356" s="27" t="n">
        <f aca="false">IF(E356&gt;0,F356/E356,"")</f>
        <v>0.369667553762078</v>
      </c>
      <c r="H356" s="24" t="n">
        <f aca="false">IF(SUM($D$5:$D$494)&gt;0,D356/SUM($D$5:$D$494),0)</f>
        <v>0.000320085313065299</v>
      </c>
      <c r="I356" s="24" t="n">
        <f aca="false">SUMIF($D$5:$D$494,"&gt;="&amp;D356)/SUM($D$5:$D$494)</f>
        <v>0.988711083508053</v>
      </c>
      <c r="J356" s="3" t="str">
        <f aca="false">IF(D356&lt;=0,"C",IF(I356&lt;=Parametros!$B$4,"A",IF(I356&lt;=Parametros!$B$5,"B","C")))</f>
        <v>C</v>
      </c>
      <c r="K356" s="3" t="str">
        <f aca="false">IF(E356&lt;=0,"Z",IF(G356&lt;=Parametros!$B$6,"X",IF(G356&lt;=Parametros!$B$7,"Y","Z")))</f>
        <v>X</v>
      </c>
      <c r="L356" s="3" t="str">
        <f aca="false">J356&amp;K356</f>
        <v>CX</v>
      </c>
      <c r="M356" s="3" t="str">
        <f aca="false">INDEX(Parametros!$B$23:$B$31,MATCH(L356,Parametros!$A$23:$A$31,0))</f>
        <v>Reposición simple mín/máx.</v>
      </c>
      <c r="N356" s="3" t="str">
        <f aca="false">INDEX(Parametros!$C$23:$C$31,MATCH(L356,Parametros!$A$23:$A$31,0))</f>
        <v>Trimestral</v>
      </c>
      <c r="O356" s="23" t="n">
        <f aca="false">SUM(Datos_Semanales!M356:R356)</f>
        <v>6229.11181559662</v>
      </c>
      <c r="P356" s="24" t="n">
        <f aca="false">IF(D356&gt;0,SUMPRODUCT(ABS(Datos_Semanales!F356:K356-Datos_Semanales!M356:R356))/D356,"")</f>
        <v>0.47687672529756</v>
      </c>
      <c r="Q356" s="24" t="n">
        <f aca="false">IF(D356&gt;0,O356/D356-1,"")</f>
        <v>-0.188790980934961</v>
      </c>
      <c r="R356" s="23" t="n">
        <f aca="false">SQRT(SUMXMY2(Datos_Semanales!F356:K356,Datos_Semanales!M356:R356)/COUNT(Datos_Semanales!F356:K356))</f>
        <v>811.726461404575</v>
      </c>
    </row>
    <row r="357" customFormat="false" ht="15" hidden="false" customHeight="false" outlineLevel="0" collapsed="false">
      <c r="A357" s="18" t="n">
        <f aca="false">Datos_Semanales!A357</f>
        <v>30001526</v>
      </c>
      <c r="B357" s="18" t="str">
        <f aca="false">Datos_Semanales!B357</f>
        <v>SALSA WASIL POMODORO 16X340GR TTR</v>
      </c>
      <c r="C357" s="18" t="str">
        <f aca="false">Datos_Semanales!C357</f>
        <v>SALSAS</v>
      </c>
      <c r="D357" s="23" t="n">
        <f aca="false">SUM(Datos_Semanales!F357:K357)</f>
        <v>7561.6</v>
      </c>
      <c r="E357" s="23" t="n">
        <f aca="false">AVERAGE(Datos_Semanales!F357:K357)</f>
        <v>1260.26666666667</v>
      </c>
      <c r="F357" s="23" t="n">
        <f aca="false">STDEV(Datos_Semanales!F357:K357)</f>
        <v>541.007019942133</v>
      </c>
      <c r="G357" s="27" t="n">
        <f aca="false">IF(E357&gt;0,F357/E357,"")</f>
        <v>0.429279797880448</v>
      </c>
      <c r="H357" s="24" t="n">
        <f aca="false">IF(SUM($D$5:$D$494)&gt;0,D357/SUM($D$5:$D$494),0)</f>
        <v>0.000315199914475512</v>
      </c>
      <c r="I357" s="24" t="n">
        <f aca="false">SUMIF($D$5:$D$494,"&gt;="&amp;D357)/SUM($D$5:$D$494)</f>
        <v>0.989026283422529</v>
      </c>
      <c r="J357" s="3" t="str">
        <f aca="false">IF(D357&lt;=0,"C",IF(I357&lt;=Parametros!$B$4,"A",IF(I357&lt;=Parametros!$B$5,"B","C")))</f>
        <v>C</v>
      </c>
      <c r="K357" s="3" t="str">
        <f aca="false">IF(E357&lt;=0,"Z",IF(G357&lt;=Parametros!$B$6,"X",IF(G357&lt;=Parametros!$B$7,"Y","Z")))</f>
        <v>X</v>
      </c>
      <c r="L357" s="3" t="str">
        <f aca="false">J357&amp;K357</f>
        <v>CX</v>
      </c>
      <c r="M357" s="3" t="str">
        <f aca="false">INDEX(Parametros!$B$23:$B$31,MATCH(L357,Parametros!$A$23:$A$31,0))</f>
        <v>Reposición simple mín/máx.</v>
      </c>
      <c r="N357" s="3" t="str">
        <f aca="false">INDEX(Parametros!$C$23:$C$31,MATCH(L357,Parametros!$A$23:$A$31,0))</f>
        <v>Trimestral</v>
      </c>
      <c r="O357" s="23" t="n">
        <f aca="false">SUM(Datos_Semanales!M357:R357)</f>
        <v>4081.6</v>
      </c>
      <c r="P357" s="24" t="n">
        <f aca="false">IF(D357&gt;0,SUMPRODUCT(ABS(Datos_Semanales!F357:K357-Datos_Semanales!M357:R357))/D357,"")</f>
        <v>0.687261955141769</v>
      </c>
      <c r="Q357" s="24" t="n">
        <f aca="false">IF(D357&gt;0,O357/D357-1,"")</f>
        <v>-0.460220059246721</v>
      </c>
      <c r="R357" s="23" t="n">
        <f aca="false">SQRT(SUMXMY2(Datos_Semanales!F357:K357,Datos_Semanales!M357:R357)/COUNT(Datos_Semanales!F357:K357))</f>
        <v>1133.4606663371</v>
      </c>
    </row>
    <row r="358" customFormat="false" ht="15" hidden="false" customHeight="false" outlineLevel="0" collapsed="false">
      <c r="A358" s="18" t="n">
        <f aca="false">Datos_Semanales!A358</f>
        <v>30000555</v>
      </c>
      <c r="B358" s="18" t="str">
        <f aca="false">Datos_Semanales!B358</f>
        <v>GOUDA CALO LAMINADO 12X1KG</v>
      </c>
      <c r="C358" s="18" t="str">
        <f aca="false">Datos_Semanales!C358</f>
        <v>QUESOS</v>
      </c>
      <c r="D358" s="23" t="n">
        <f aca="false">SUM(Datos_Semanales!F358:K358)</f>
        <v>7536</v>
      </c>
      <c r="E358" s="23" t="n">
        <f aca="false">AVERAGE(Datos_Semanales!F358:K358)</f>
        <v>1256</v>
      </c>
      <c r="F358" s="23" t="n">
        <f aca="false">STDEV(Datos_Semanales!F358:K358)</f>
        <v>631.09809063251</v>
      </c>
      <c r="G358" s="27" t="n">
        <f aca="false">IF(E358&gt;0,F358/E358,"")</f>
        <v>0.502466632669196</v>
      </c>
      <c r="H358" s="24" t="n">
        <f aca="false">IF(SUM($D$5:$D$494)&gt;0,D358/SUM($D$5:$D$494),0)</f>
        <v>0.000314132796694808</v>
      </c>
      <c r="I358" s="24" t="n">
        <f aca="false">SUMIF($D$5:$D$494,"&gt;="&amp;D358)/SUM($D$5:$D$494)</f>
        <v>0.989340416219224</v>
      </c>
      <c r="J358" s="3" t="str">
        <f aca="false">IF(D358&lt;=0,"C",IF(I358&lt;=Parametros!$B$4,"A",IF(I358&lt;=Parametros!$B$5,"B","C")))</f>
        <v>C</v>
      </c>
      <c r="K358" s="3" t="str">
        <f aca="false">IF(E358&lt;=0,"Z",IF(G358&lt;=Parametros!$B$6,"X",IF(G358&lt;=Parametros!$B$7,"Y","Z")))</f>
        <v>Y</v>
      </c>
      <c r="L358" s="3" t="str">
        <f aca="false">J358&amp;K358</f>
        <v>CY</v>
      </c>
      <c r="M358" s="3" t="str">
        <f aca="false">INDEX(Parametros!$B$23:$B$31,MATCH(L358,Parametros!$A$23:$A$31,0))</f>
        <v>Mín/máx con stock bajo; evaluar continuidad del SKU.</v>
      </c>
      <c r="N358" s="3" t="str">
        <f aca="false">INDEX(Parametros!$C$23:$C$31,MATCH(L358,Parametros!$A$23:$A$31,0))</f>
        <v>Mensual</v>
      </c>
      <c r="O358" s="23" t="n">
        <f aca="false">SUM(Datos_Semanales!M358:R358)</f>
        <v>6580.0172296106</v>
      </c>
      <c r="P358" s="24" t="n">
        <f aca="false">IF(D358&gt;0,SUMPRODUCT(ABS(Datos_Semanales!F358:K358-Datos_Semanales!M358:R358))/D358,"")</f>
        <v>0.456368130032303</v>
      </c>
      <c r="Q358" s="24" t="n">
        <f aca="false">IF(D358&gt;0,O358/D358-1,"")</f>
        <v>-0.126855463162075</v>
      </c>
      <c r="R358" s="23" t="n">
        <f aca="false">SQRT(SUMXMY2(Datos_Semanales!F358:K358,Datos_Semanales!M358:R358)/COUNT(Datos_Semanales!F358:K358))</f>
        <v>763.638845173999</v>
      </c>
    </row>
    <row r="359" customFormat="false" ht="15" hidden="false" customHeight="false" outlineLevel="0" collapsed="false">
      <c r="A359" s="18" t="n">
        <f aca="false">Datos_Semanales!A359</f>
        <v>30001537</v>
      </c>
      <c r="B359" s="18" t="str">
        <f aca="false">Datos_Semanales!B359</f>
        <v>YOG DAN L&amp;F TROZOS FRUTILLA 24X145GR</v>
      </c>
      <c r="C359" s="18" t="str">
        <f aca="false">Datos_Semanales!C359</f>
        <v>YOGURT</v>
      </c>
      <c r="D359" s="23" t="n">
        <f aca="false">SUM(Datos_Semanales!F359:K359)</f>
        <v>7485.48</v>
      </c>
      <c r="E359" s="23" t="n">
        <f aca="false">AVERAGE(Datos_Semanales!F359:K359)</f>
        <v>1247.58</v>
      </c>
      <c r="F359" s="23" t="n">
        <f aca="false">STDEV(Datos_Semanales!F359:K359)</f>
        <v>632.681801729748</v>
      </c>
      <c r="G359" s="27" t="n">
        <f aca="false">IF(E359&gt;0,F359/E359,"")</f>
        <v>0.507127239719896</v>
      </c>
      <c r="H359" s="24" t="n">
        <f aca="false">IF(SUM($D$5:$D$494)&gt;0,D359/SUM($D$5:$D$494),0)</f>
        <v>0.000312026906449449</v>
      </c>
      <c r="I359" s="24" t="n">
        <f aca="false">SUMIF($D$5:$D$494,"&gt;="&amp;D359)/SUM($D$5:$D$494)</f>
        <v>0.989652443125673</v>
      </c>
      <c r="J359" s="3" t="str">
        <f aca="false">IF(D359&lt;=0,"C",IF(I359&lt;=Parametros!$B$4,"A",IF(I359&lt;=Parametros!$B$5,"B","C")))</f>
        <v>C</v>
      </c>
      <c r="K359" s="3" t="str">
        <f aca="false">IF(E359&lt;=0,"Z",IF(G359&lt;=Parametros!$B$6,"X",IF(G359&lt;=Parametros!$B$7,"Y","Z")))</f>
        <v>Y</v>
      </c>
      <c r="L359" s="3" t="str">
        <f aca="false">J359&amp;K359</f>
        <v>CY</v>
      </c>
      <c r="M359" s="3" t="str">
        <f aca="false">INDEX(Parametros!$B$23:$B$31,MATCH(L359,Parametros!$A$23:$A$31,0))</f>
        <v>Mín/máx con stock bajo; evaluar continuidad del SKU.</v>
      </c>
      <c r="N359" s="3" t="str">
        <f aca="false">INDEX(Parametros!$C$23:$C$31,MATCH(L359,Parametros!$A$23:$A$31,0))</f>
        <v>Mensual</v>
      </c>
      <c r="O359" s="23" t="n">
        <f aca="false">SUM(Datos_Semanales!M359:R359)</f>
        <v>9878.84341519809</v>
      </c>
      <c r="P359" s="24" t="n">
        <f aca="false">IF(D359&gt;0,SUMPRODUCT(ABS(Datos_Semanales!F359:K359-Datos_Semanales!M359:R359))/D359,"")</f>
        <v>0.456858234451005</v>
      </c>
      <c r="Q359" s="24" t="n">
        <f aca="false">IF(D359&gt;0,O359/D359-1,"")</f>
        <v>0.319734127296859</v>
      </c>
      <c r="R359" s="23" t="n">
        <f aca="false">SQRT(SUMXMY2(Datos_Semanales!F359:K359,Datos_Semanales!M359:R359)/COUNT(Datos_Semanales!F359:K359))</f>
        <v>625.990095765963</v>
      </c>
    </row>
    <row r="360" customFormat="false" ht="15" hidden="false" customHeight="false" outlineLevel="0" collapsed="false">
      <c r="A360" s="18" t="n">
        <f aca="false">Datos_Semanales!A360</f>
        <v>30001665</v>
      </c>
      <c r="B360" s="18" t="str">
        <f aca="false">Datos_Semanales!B360</f>
        <v>LP LONCO EXTRA CALCIO 10X800GR</v>
      </c>
      <c r="C360" s="18" t="str">
        <f aca="false">Datos_Semanales!C360</f>
        <v>LECHES EN POLVO</v>
      </c>
      <c r="D360" s="23" t="n">
        <f aca="false">SUM(Datos_Semanales!F360:K360)</f>
        <v>7256</v>
      </c>
      <c r="E360" s="23" t="n">
        <f aca="false">AVERAGE(Datos_Semanales!F360:K360)</f>
        <v>1209.33333333333</v>
      </c>
      <c r="F360" s="23" t="n">
        <f aca="false">STDEV(Datos_Semanales!F360:K360)</f>
        <v>485.921255623446</v>
      </c>
      <c r="G360" s="27" t="n">
        <f aca="false">IF(E360&gt;0,F360/E360,"")</f>
        <v>0.401809197042541</v>
      </c>
      <c r="H360" s="24" t="n">
        <f aca="false">IF(SUM($D$5:$D$494)&gt;0,D360/SUM($D$5:$D$494),0)</f>
        <v>0.000302461195968355</v>
      </c>
      <c r="I360" s="24" t="n">
        <f aca="false">SUMIF($D$5:$D$494,"&gt;="&amp;D360)/SUM($D$5:$D$494)</f>
        <v>0.989954904321642</v>
      </c>
      <c r="J360" s="3" t="str">
        <f aca="false">IF(D360&lt;=0,"C",IF(I360&lt;=Parametros!$B$4,"A",IF(I360&lt;=Parametros!$B$5,"B","C")))</f>
        <v>C</v>
      </c>
      <c r="K360" s="3" t="str">
        <f aca="false">IF(E360&lt;=0,"Z",IF(G360&lt;=Parametros!$B$6,"X",IF(G360&lt;=Parametros!$B$7,"Y","Z")))</f>
        <v>X</v>
      </c>
      <c r="L360" s="3" t="str">
        <f aca="false">J360&amp;K360</f>
        <v>CX</v>
      </c>
      <c r="M360" s="3" t="str">
        <f aca="false">INDEX(Parametros!$B$23:$B$31,MATCH(L360,Parametros!$A$23:$A$31,0))</f>
        <v>Reposición simple mín/máx.</v>
      </c>
      <c r="N360" s="3" t="str">
        <f aca="false">INDEX(Parametros!$C$23:$C$31,MATCH(L360,Parametros!$A$23:$A$31,0))</f>
        <v>Trimestral</v>
      </c>
      <c r="O360" s="23" t="n">
        <f aca="false">SUM(Datos_Semanales!M360:R360)</f>
        <v>8312.15523754267</v>
      </c>
      <c r="P360" s="24" t="n">
        <f aca="false">IF(D360&gt;0,SUMPRODUCT(ABS(Datos_Semanales!F360:K360-Datos_Semanales!M360:R360))/D360,"")</f>
        <v>0.211157006276553</v>
      </c>
      <c r="Q360" s="24" t="n">
        <f aca="false">IF(D360&gt;0,O360/D360-1,"")</f>
        <v>0.145556124247887</v>
      </c>
      <c r="R360" s="23" t="n">
        <f aca="false">SQRT(SUMXMY2(Datos_Semanales!F360:K360,Datos_Semanales!M360:R360)/COUNT(Datos_Semanales!F360:K360))</f>
        <v>284.872379703351</v>
      </c>
    </row>
    <row r="361" customFormat="false" ht="15" hidden="false" customHeight="false" outlineLevel="0" collapsed="false">
      <c r="A361" s="18" t="n">
        <f aca="false">Datos_Semanales!A361</f>
        <v>30001748</v>
      </c>
      <c r="B361" s="18" t="str">
        <f aca="false">Datos_Semanales!B361</f>
        <v>MERMELADA CIRUELA 24X225GR</v>
      </c>
      <c r="C361" s="18" t="str">
        <f aca="false">Datos_Semanales!C361</f>
        <v>MERMELADAS</v>
      </c>
      <c r="D361" s="23" t="n">
        <f aca="false">SUM(Datos_Semanales!F361:K361)</f>
        <v>7149.6</v>
      </c>
      <c r="E361" s="23" t="n">
        <f aca="false">AVERAGE(Datos_Semanales!F361:K361)</f>
        <v>1191.6</v>
      </c>
      <c r="F361" s="23" t="n">
        <f aca="false">STDEV(Datos_Semanales!F361:K361)</f>
        <v>321.572909306739</v>
      </c>
      <c r="G361" s="27" t="n">
        <f aca="false">IF(E361&gt;0,F361/E361,"")</f>
        <v>0.269866489851241</v>
      </c>
      <c r="H361" s="24" t="n">
        <f aca="false">IF(SUM($D$5:$D$494)&gt;0,D361/SUM($D$5:$D$494),0)</f>
        <v>0.000298025987692303</v>
      </c>
      <c r="I361" s="24" t="n">
        <f aca="false">SUMIF($D$5:$D$494,"&gt;="&amp;D361)/SUM($D$5:$D$494)</f>
        <v>0.990252930309334</v>
      </c>
      <c r="J361" s="3" t="str">
        <f aca="false">IF(D361&lt;=0,"C",IF(I361&lt;=Parametros!$B$4,"A",IF(I361&lt;=Parametros!$B$5,"B","C")))</f>
        <v>C</v>
      </c>
      <c r="K361" s="3" t="str">
        <f aca="false">IF(E361&lt;=0,"Z",IF(G361&lt;=Parametros!$B$6,"X",IF(G361&lt;=Parametros!$B$7,"Y","Z")))</f>
        <v>X</v>
      </c>
      <c r="L361" s="3" t="str">
        <f aca="false">J361&amp;K361</f>
        <v>CX</v>
      </c>
      <c r="M361" s="3" t="str">
        <f aca="false">INDEX(Parametros!$B$23:$B$31,MATCH(L361,Parametros!$A$23:$A$31,0))</f>
        <v>Reposición simple mín/máx.</v>
      </c>
      <c r="N361" s="3" t="str">
        <f aca="false">INDEX(Parametros!$C$23:$C$31,MATCH(L361,Parametros!$A$23:$A$31,0))</f>
        <v>Trimestral</v>
      </c>
      <c r="O361" s="23" t="n">
        <f aca="false">SUM(Datos_Semanales!M361:R361)</f>
        <v>7087.4</v>
      </c>
      <c r="P361" s="24" t="n">
        <f aca="false">IF(D361&gt;0,SUMPRODUCT(ABS(Datos_Semanales!F361:K361-Datos_Semanales!M361:R361))/D361,"")</f>
        <v>0.281722054380665</v>
      </c>
      <c r="Q361" s="24" t="n">
        <f aca="false">IF(D361&gt;0,O361/D361-1,"")</f>
        <v>-0.00869978740069388</v>
      </c>
      <c r="R361" s="23" t="n">
        <f aca="false">SQRT(SUMXMY2(Datos_Semanales!F361:K361,Datos_Semanales!M361:R361)/COUNT(Datos_Semanales!F361:K361))</f>
        <v>409.629059841543</v>
      </c>
    </row>
    <row r="362" customFormat="false" ht="15" hidden="false" customHeight="false" outlineLevel="0" collapsed="false">
      <c r="A362" s="18" t="n">
        <f aca="false">Datos_Semanales!A362</f>
        <v>30000628</v>
      </c>
      <c r="B362" s="18" t="str">
        <f aca="false">Datos_Semanales!B362</f>
        <v>ENSALADA DE VERDURAS 16X340GR</v>
      </c>
      <c r="C362" s="18" t="str">
        <f aca="false">Datos_Semanales!C362</f>
        <v>CONSERVAS Y PLATOS LISTOS</v>
      </c>
      <c r="D362" s="23" t="n">
        <f aca="false">SUM(Datos_Semanales!F362:K362)</f>
        <v>6979.52</v>
      </c>
      <c r="E362" s="23" t="n">
        <f aca="false">AVERAGE(Datos_Semanales!F362:K362)</f>
        <v>1163.25333333333</v>
      </c>
      <c r="F362" s="23" t="n">
        <f aca="false">STDEV(Datos_Semanales!F362:K362)</f>
        <v>498.256684798776</v>
      </c>
      <c r="G362" s="27" t="n">
        <f aca="false">IF(E362&gt;0,F362/E362,"")</f>
        <v>0.428330330566093</v>
      </c>
      <c r="H362" s="24" t="n">
        <f aca="false">IF(SUM($D$5:$D$494)&gt;0,D362/SUM($D$5:$D$494),0)</f>
        <v>0.00029093632393675</v>
      </c>
      <c r="I362" s="24" t="n">
        <f aca="false">SUMIF($D$5:$D$494,"&gt;="&amp;D362)/SUM($D$5:$D$494)</f>
        <v>0.990543866633271</v>
      </c>
      <c r="J362" s="3" t="str">
        <f aca="false">IF(D362&lt;=0,"C",IF(I362&lt;=Parametros!$B$4,"A",IF(I362&lt;=Parametros!$B$5,"B","C")))</f>
        <v>C</v>
      </c>
      <c r="K362" s="3" t="str">
        <f aca="false">IF(E362&lt;=0,"Z",IF(G362&lt;=Parametros!$B$6,"X",IF(G362&lt;=Parametros!$B$7,"Y","Z")))</f>
        <v>X</v>
      </c>
      <c r="L362" s="3" t="str">
        <f aca="false">J362&amp;K362</f>
        <v>CX</v>
      </c>
      <c r="M362" s="3" t="str">
        <f aca="false">INDEX(Parametros!$B$23:$B$31,MATCH(L362,Parametros!$A$23:$A$31,0))</f>
        <v>Reposición simple mín/máx.</v>
      </c>
      <c r="N362" s="3" t="str">
        <f aca="false">INDEX(Parametros!$C$23:$C$31,MATCH(L362,Parametros!$A$23:$A$31,0))</f>
        <v>Trimestral</v>
      </c>
      <c r="O362" s="23" t="n">
        <f aca="false">SUM(Datos_Semanales!M362:R362)</f>
        <v>8620</v>
      </c>
      <c r="P362" s="24" t="n">
        <f aca="false">IF(D362&gt;0,SUMPRODUCT(ABS(Datos_Semanales!F362:K362-Datos_Semanales!M362:R362))/D362,"")</f>
        <v>0.537228921186557</v>
      </c>
      <c r="Q362" s="24" t="n">
        <f aca="false">IF(D362&gt;0,O362/D362-1,"")</f>
        <v>0.235041951308973</v>
      </c>
      <c r="R362" s="23" t="n">
        <f aca="false">SQRT(SUMXMY2(Datos_Semanales!F362:K362,Datos_Semanales!M362:R362)/COUNT(Datos_Semanales!F362:K362))</f>
        <v>670.115080266069</v>
      </c>
    </row>
    <row r="363" customFormat="false" ht="15" hidden="false" customHeight="false" outlineLevel="0" collapsed="false">
      <c r="A363" s="18" t="n">
        <f aca="false">Datos_Semanales!A363</f>
        <v>30002285</v>
      </c>
      <c r="B363" s="18" t="str">
        <f aca="false">Datos_Semanales!B363</f>
        <v>LECHE LONCO ENTERA 5X6X200ML</v>
      </c>
      <c r="C363" s="18" t="str">
        <f aca="false">Datos_Semanales!C363</f>
        <v>-</v>
      </c>
      <c r="D363" s="23" t="n">
        <f aca="false">SUM(Datos_Semanales!F363:K363)</f>
        <v>6978</v>
      </c>
      <c r="E363" s="23" t="n">
        <f aca="false">AVERAGE(Datos_Semanales!F363:K363)</f>
        <v>1163</v>
      </c>
      <c r="F363" s="23" t="n">
        <f aca="false">STDEV(Datos_Semanales!F363:K363)</f>
        <v>709.974365734426</v>
      </c>
      <c r="G363" s="27" t="n">
        <f aca="false">IF(E363&gt;0,F363/E363,"")</f>
        <v>0.610468070278956</v>
      </c>
      <c r="H363" s="24" t="n">
        <f aca="false">IF(SUM($D$5:$D$494)&gt;0,D363/SUM($D$5:$D$494),0)</f>
        <v>0.00029087296381852</v>
      </c>
      <c r="I363" s="24" t="n">
        <f aca="false">SUMIF($D$5:$D$494,"&gt;="&amp;D363)/SUM($D$5:$D$494)</f>
        <v>0.990834739597089</v>
      </c>
      <c r="J363" s="3" t="str">
        <f aca="false">IF(D363&lt;=0,"C",IF(I363&lt;=Parametros!$B$4,"A",IF(I363&lt;=Parametros!$B$5,"B","C")))</f>
        <v>C</v>
      </c>
      <c r="K363" s="3" t="str">
        <f aca="false">IF(E363&lt;=0,"Z",IF(G363&lt;=Parametros!$B$6,"X",IF(G363&lt;=Parametros!$B$7,"Y","Z")))</f>
        <v>Y</v>
      </c>
      <c r="L363" s="3" t="str">
        <f aca="false">J363&amp;K363</f>
        <v>CY</v>
      </c>
      <c r="M363" s="3" t="str">
        <f aca="false">INDEX(Parametros!$B$23:$B$31,MATCH(L363,Parametros!$A$23:$A$31,0))</f>
        <v>Mín/máx con stock bajo; evaluar continuidad del SKU.</v>
      </c>
      <c r="N363" s="3" t="str">
        <f aca="false">INDEX(Parametros!$C$23:$C$31,MATCH(L363,Parametros!$A$23:$A$31,0))</f>
        <v>Mensual</v>
      </c>
      <c r="O363" s="23" t="n">
        <f aca="false">SUM(Datos_Semanales!M363:R363)</f>
        <v>8312.79834636501</v>
      </c>
      <c r="P363" s="24" t="n">
        <f aca="false">IF(D363&gt;0,SUMPRODUCT(ABS(Datos_Semanales!F363:K363-Datos_Semanales!M363:R363))/D363,"")</f>
        <v>0.322556369499142</v>
      </c>
      <c r="Q363" s="24" t="n">
        <f aca="false">IF(D363&gt;0,O363/D363-1,"")</f>
        <v>0.19128666471267</v>
      </c>
      <c r="R363" s="23" t="n">
        <f aca="false">SQRT(SUMXMY2(Datos_Semanales!F363:K363,Datos_Semanales!M363:R363)/COUNT(Datos_Semanales!F363:K363))</f>
        <v>401.257793032563</v>
      </c>
    </row>
    <row r="364" customFormat="false" ht="15" hidden="false" customHeight="false" outlineLevel="0" collapsed="false">
      <c r="A364" s="18" t="n">
        <f aca="false">Datos_Semanales!A364</f>
        <v>30002274</v>
      </c>
      <c r="B364" s="18" t="str">
        <f aca="false">Datos_Semanales!B364</f>
        <v>LECHE POLVO CALO CRECER+1 BOLSA 6X1,35KG</v>
      </c>
      <c r="C364" s="18" t="str">
        <f aca="false">Datos_Semanales!C364</f>
        <v>-</v>
      </c>
      <c r="D364" s="23" t="n">
        <f aca="false">SUM(Datos_Semanales!F364:K364)</f>
        <v>6836.4</v>
      </c>
      <c r="E364" s="23" t="n">
        <f aca="false">AVERAGE(Datos_Semanales!F364:K364)</f>
        <v>1139.4</v>
      </c>
      <c r="F364" s="23" t="n">
        <f aca="false">STDEV(Datos_Semanales!F364:K364)</f>
        <v>415.607098110704</v>
      </c>
      <c r="G364" s="27" t="n">
        <f aca="false">IF(E364&gt;0,F364/E364,"")</f>
        <v>0.364759608663071</v>
      </c>
      <c r="H364" s="24" t="n">
        <f aca="false">IF(SUM($D$5:$D$494)&gt;0,D364/SUM($D$5:$D$494),0)</f>
        <v>0.000284970468594</v>
      </c>
      <c r="I364" s="24" t="n">
        <f aca="false">SUMIF($D$5:$D$494,"&gt;="&amp;D364)/SUM($D$5:$D$494)</f>
        <v>0.991119710065683</v>
      </c>
      <c r="J364" s="3" t="str">
        <f aca="false">IF(D364&lt;=0,"C",IF(I364&lt;=Parametros!$B$4,"A",IF(I364&lt;=Parametros!$B$5,"B","C")))</f>
        <v>C</v>
      </c>
      <c r="K364" s="3" t="str">
        <f aca="false">IF(E364&lt;=0,"Z",IF(G364&lt;=Parametros!$B$6,"X",IF(G364&lt;=Parametros!$B$7,"Y","Z")))</f>
        <v>X</v>
      </c>
      <c r="L364" s="3" t="str">
        <f aca="false">J364&amp;K364</f>
        <v>CX</v>
      </c>
      <c r="M364" s="3" t="str">
        <f aca="false">INDEX(Parametros!$B$23:$B$31,MATCH(L364,Parametros!$A$23:$A$31,0))</f>
        <v>Reposición simple mín/máx.</v>
      </c>
      <c r="N364" s="3" t="str">
        <f aca="false">INDEX(Parametros!$C$23:$C$31,MATCH(L364,Parametros!$A$23:$A$31,0))</f>
        <v>Trimestral</v>
      </c>
      <c r="O364" s="23" t="n">
        <f aca="false">SUM(Datos_Semanales!M364:R364)</f>
        <v>9339.42361992699</v>
      </c>
      <c r="P364" s="24" t="n">
        <f aca="false">IF(D364&gt;0,SUMPRODUCT(ABS(Datos_Semanales!F364:K364-Datos_Semanales!M364:R364))/D364,"")</f>
        <v>0.415667365875754</v>
      </c>
      <c r="Q364" s="24" t="n">
        <f aca="false">IF(D364&gt;0,O364/D364-1,"")</f>
        <v>0.366131826681732</v>
      </c>
      <c r="R364" s="23" t="n">
        <f aca="false">SQRT(SUMXMY2(Datos_Semanales!F364:K364,Datos_Semanales!M364:R364)/COUNT(Datos_Semanales!F364:K364))</f>
        <v>575.764425591174</v>
      </c>
    </row>
    <row r="365" customFormat="false" ht="15" hidden="false" customHeight="false" outlineLevel="0" collapsed="false">
      <c r="A365" s="18" t="n">
        <f aca="false">Datos_Semanales!A365</f>
        <v>30001152</v>
      </c>
      <c r="B365" s="18" t="str">
        <f aca="false">Datos_Semanales!B365</f>
        <v>TOMATE CUBITO WASIL 16X380GR</v>
      </c>
      <c r="C365" s="18" t="str">
        <f aca="false">Datos_Semanales!C365</f>
        <v>CONSERVAS Y PLATOS LISTOS</v>
      </c>
      <c r="D365" s="23" t="n">
        <f aca="false">SUM(Datos_Semanales!F365:K365)</f>
        <v>6827.84</v>
      </c>
      <c r="E365" s="23" t="n">
        <f aca="false">AVERAGE(Datos_Semanales!F365:K365)</f>
        <v>1137.97333333333</v>
      </c>
      <c r="F365" s="23" t="n">
        <f aca="false">STDEV(Datos_Semanales!F365:K365)</f>
        <v>476.222250411157</v>
      </c>
      <c r="G365" s="27" t="n">
        <f aca="false">IF(E365&gt;0,F365/E365,"")</f>
        <v>0.418482785546665</v>
      </c>
      <c r="H365" s="24" t="n">
        <f aca="false">IF(SUM($D$5:$D$494)&gt;0,D365/SUM($D$5:$D$494),0)</f>
        <v>0.000284613651086077</v>
      </c>
      <c r="I365" s="24" t="n">
        <f aca="false">SUMIF($D$5:$D$494,"&gt;="&amp;D365)/SUM($D$5:$D$494)</f>
        <v>0.991404323716769</v>
      </c>
      <c r="J365" s="3" t="str">
        <f aca="false">IF(D365&lt;=0,"C",IF(I365&lt;=Parametros!$B$4,"A",IF(I365&lt;=Parametros!$B$5,"B","C")))</f>
        <v>C</v>
      </c>
      <c r="K365" s="3" t="str">
        <f aca="false">IF(E365&lt;=0,"Z",IF(G365&lt;=Parametros!$B$6,"X",IF(G365&lt;=Parametros!$B$7,"Y","Z")))</f>
        <v>X</v>
      </c>
      <c r="L365" s="3" t="str">
        <f aca="false">J365&amp;K365</f>
        <v>CX</v>
      </c>
      <c r="M365" s="3" t="str">
        <f aca="false">INDEX(Parametros!$B$23:$B$31,MATCH(L365,Parametros!$A$23:$A$31,0))</f>
        <v>Reposición simple mín/máx.</v>
      </c>
      <c r="N365" s="3" t="str">
        <f aca="false">INDEX(Parametros!$C$23:$C$31,MATCH(L365,Parametros!$A$23:$A$31,0))</f>
        <v>Trimestral</v>
      </c>
      <c r="O365" s="23" t="n">
        <f aca="false">SUM(Datos_Semanales!M365:R365)</f>
        <v>6440</v>
      </c>
      <c r="P365" s="24" t="n">
        <f aca="false">IF(D365&gt;0,SUMPRODUCT(ABS(Datos_Semanales!F365:K365-Datos_Semanales!M365:R365))/D365,"")</f>
        <v>0.33805127243755</v>
      </c>
      <c r="Q365" s="24" t="n">
        <f aca="false">IF(D365&gt;0,O365/D365-1,"")</f>
        <v>-0.0568027370295731</v>
      </c>
      <c r="R365" s="23" t="n">
        <f aca="false">SQRT(SUMXMY2(Datos_Semanales!F365:K365,Datos_Semanales!M365:R365)/COUNT(Datos_Semanales!F365:K365))</f>
        <v>508.715441610861</v>
      </c>
    </row>
    <row r="366" customFormat="false" ht="15" hidden="false" customHeight="false" outlineLevel="0" collapsed="false">
      <c r="A366" s="18" t="n">
        <f aca="false">Datos_Semanales!A366</f>
        <v>30000383</v>
      </c>
      <c r="B366" s="18" t="str">
        <f aca="false">Datos_Semanales!B366</f>
        <v>CREMA S/LACT LONCOLECHE 12X1LT</v>
      </c>
      <c r="C366" s="18" t="str">
        <f aca="false">Datos_Semanales!C366</f>
        <v>-</v>
      </c>
      <c r="D366" s="23" t="n">
        <f aca="false">SUM(Datos_Semanales!F366:K366)</f>
        <v>6804</v>
      </c>
      <c r="E366" s="23" t="n">
        <f aca="false">AVERAGE(Datos_Semanales!F366:K366)</f>
        <v>1134</v>
      </c>
      <c r="F366" s="23" t="n">
        <f aca="false">STDEV(Datos_Semanales!F366:K366)</f>
        <v>469.183119900961</v>
      </c>
      <c r="G366" s="27" t="n">
        <f aca="false">IF(E366&gt;0,F366/E366,"")</f>
        <v>0.413741728307726</v>
      </c>
      <c r="H366" s="24" t="n">
        <f aca="false">IF(SUM($D$5:$D$494)&gt;0,D366/SUM($D$5:$D$494),0)</f>
        <v>0.000283619897652796</v>
      </c>
      <c r="I366" s="24" t="n">
        <f aca="false">SUMIF($D$5:$D$494,"&gt;="&amp;D366)/SUM($D$5:$D$494)</f>
        <v>0.991687943614422</v>
      </c>
      <c r="J366" s="3" t="str">
        <f aca="false">IF(D366&lt;=0,"C",IF(I366&lt;=Parametros!$B$4,"A",IF(I366&lt;=Parametros!$B$5,"B","C")))</f>
        <v>C</v>
      </c>
      <c r="K366" s="3" t="str">
        <f aca="false">IF(E366&lt;=0,"Z",IF(G366&lt;=Parametros!$B$6,"X",IF(G366&lt;=Parametros!$B$7,"Y","Z")))</f>
        <v>X</v>
      </c>
      <c r="L366" s="3" t="str">
        <f aca="false">J366&amp;K366</f>
        <v>CX</v>
      </c>
      <c r="M366" s="3" t="str">
        <f aca="false">INDEX(Parametros!$B$23:$B$31,MATCH(L366,Parametros!$A$23:$A$31,0))</f>
        <v>Reposición simple mín/máx.</v>
      </c>
      <c r="N366" s="3" t="str">
        <f aca="false">INDEX(Parametros!$C$23:$C$31,MATCH(L366,Parametros!$A$23:$A$31,0))</f>
        <v>Trimestral</v>
      </c>
      <c r="O366" s="23" t="n">
        <f aca="false">SUM(Datos_Semanales!M366:R366)</f>
        <v>9904.22511683974</v>
      </c>
      <c r="P366" s="24" t="n">
        <f aca="false">IF(D366&gt;0,SUMPRODUCT(ABS(Datos_Semanales!F366:K366-Datos_Semanales!M366:R366))/D366,"")</f>
        <v>0.536182409882384</v>
      </c>
      <c r="Q366" s="24" t="n">
        <f aca="false">IF(D366&gt;0,O366/D366-1,"")</f>
        <v>0.455647430458516</v>
      </c>
      <c r="R366" s="23" t="n">
        <f aca="false">SQRT(SUMXMY2(Datos_Semanales!F366:K366,Datos_Semanales!M366:R366)/COUNT(Datos_Semanales!F366:K366))</f>
        <v>807.051791793196</v>
      </c>
    </row>
    <row r="367" customFormat="false" ht="15" hidden="false" customHeight="false" outlineLevel="0" collapsed="false">
      <c r="A367" s="18" t="n">
        <f aca="false">Datos_Semanales!A367</f>
        <v>30002081</v>
      </c>
      <c r="B367" s="18" t="str">
        <f aca="false">Datos_Semanales!B367</f>
        <v>CHILI CON CARNE 16X380GR</v>
      </c>
      <c r="C367" s="18" t="str">
        <f aca="false">Datos_Semanales!C367</f>
        <v>CONSERVAS Y PLATOS LISTOS</v>
      </c>
      <c r="D367" s="23" t="n">
        <f aca="false">SUM(Datos_Semanales!F367:K367)</f>
        <v>6578.56</v>
      </c>
      <c r="E367" s="23" t="n">
        <f aca="false">AVERAGE(Datos_Semanales!F367:K367)</f>
        <v>1096.42666666667</v>
      </c>
      <c r="F367" s="23" t="n">
        <f aca="false">STDEV(Datos_Semanales!F367:K367)</f>
        <v>377.89372530735</v>
      </c>
      <c r="G367" s="27" t="n">
        <f aca="false">IF(E367&gt;0,F367/E367,"")</f>
        <v>0.344659371024069</v>
      </c>
      <c r="H367" s="24" t="n">
        <f aca="false">IF(SUM($D$5:$D$494)&gt;0,D367/SUM($D$5:$D$494),0)</f>
        <v>0.00027422259169647</v>
      </c>
      <c r="I367" s="24" t="n">
        <f aca="false">SUMIF($D$5:$D$494,"&gt;="&amp;D367)/SUM($D$5:$D$494)</f>
        <v>0.991962166206118</v>
      </c>
      <c r="J367" s="3" t="str">
        <f aca="false">IF(D367&lt;=0,"C",IF(I367&lt;=Parametros!$B$4,"A",IF(I367&lt;=Parametros!$B$5,"B","C")))</f>
        <v>C</v>
      </c>
      <c r="K367" s="3" t="str">
        <f aca="false">IF(E367&lt;=0,"Z",IF(G367&lt;=Parametros!$B$6,"X",IF(G367&lt;=Parametros!$B$7,"Y","Z")))</f>
        <v>X</v>
      </c>
      <c r="L367" s="3" t="str">
        <f aca="false">J367&amp;K367</f>
        <v>CX</v>
      </c>
      <c r="M367" s="3" t="str">
        <f aca="false">INDEX(Parametros!$B$23:$B$31,MATCH(L367,Parametros!$A$23:$A$31,0))</f>
        <v>Reposición simple mín/máx.</v>
      </c>
      <c r="N367" s="3" t="str">
        <f aca="false">INDEX(Parametros!$C$23:$C$31,MATCH(L367,Parametros!$A$23:$A$31,0))</f>
        <v>Trimestral</v>
      </c>
      <c r="O367" s="23" t="n">
        <f aca="false">SUM(Datos_Semanales!M367:R367)</f>
        <v>7663.6</v>
      </c>
      <c r="P367" s="24" t="n">
        <f aca="false">IF(D367&gt;0,SUMPRODUCT(ABS(Datos_Semanales!F367:K367-Datos_Semanales!M367:R367))/D367,"")</f>
        <v>0.306024418717774</v>
      </c>
      <c r="Q367" s="24" t="n">
        <f aca="false">IF(D367&gt;0,O367/D367-1,"")</f>
        <v>0.164935791419399</v>
      </c>
      <c r="R367" s="23" t="n">
        <f aca="false">SQRT(SUMXMY2(Datos_Semanales!F367:K367,Datos_Semanales!M367:R367)/COUNT(Datos_Semanales!F367:K367))</f>
        <v>408.592029290832</v>
      </c>
    </row>
    <row r="368" customFormat="false" ht="15" hidden="false" customHeight="false" outlineLevel="0" collapsed="false">
      <c r="A368" s="18" t="n">
        <f aca="false">Datos_Semanales!A368</f>
        <v>30000612</v>
      </c>
      <c r="B368" s="18" t="str">
        <f aca="false">Datos_Semanales!B368</f>
        <v>CHAMPIÑON ENTERO WSL 24X400GR</v>
      </c>
      <c r="C368" s="18" t="str">
        <f aca="false">Datos_Semanales!C368</f>
        <v>CONSERVAS Y PLATOS LISTOS</v>
      </c>
      <c r="D368" s="23" t="n">
        <f aca="false">SUM(Datos_Semanales!F368:K368)</f>
        <v>6489.6</v>
      </c>
      <c r="E368" s="23" t="n">
        <f aca="false">AVERAGE(Datos_Semanales!F368:K368)</f>
        <v>1081.6</v>
      </c>
      <c r="F368" s="23" t="n">
        <f aca="false">STDEV(Datos_Semanales!F368:K368)</f>
        <v>815.66487235874</v>
      </c>
      <c r="G368" s="27" t="n">
        <f aca="false">IF(E368&gt;0,F368/E368,"")</f>
        <v>0.754128025479604</v>
      </c>
      <c r="H368" s="24" t="n">
        <f aca="false">IF(SUM($D$5:$D$494)&gt;0,D368/SUM($D$5:$D$494),0)</f>
        <v>0.000270514357408522</v>
      </c>
      <c r="I368" s="24" t="n">
        <f aca="false">SUMIF($D$5:$D$494,"&gt;="&amp;D368)/SUM($D$5:$D$494)</f>
        <v>0.992232680563527</v>
      </c>
      <c r="J368" s="3" t="str">
        <f aca="false">IF(D368&lt;=0,"C",IF(I368&lt;=Parametros!$B$4,"A",IF(I368&lt;=Parametros!$B$5,"B","C")))</f>
        <v>C</v>
      </c>
      <c r="K368" s="3" t="str">
        <f aca="false">IF(E368&lt;=0,"Z",IF(G368&lt;=Parametros!$B$6,"X",IF(G368&lt;=Parametros!$B$7,"Y","Z")))</f>
        <v>Y</v>
      </c>
      <c r="L368" s="3" t="str">
        <f aca="false">J368&amp;K368</f>
        <v>CY</v>
      </c>
      <c r="M368" s="3" t="str">
        <f aca="false">INDEX(Parametros!$B$23:$B$31,MATCH(L368,Parametros!$A$23:$A$31,0))</f>
        <v>Mín/máx con stock bajo; evaluar continuidad del SKU.</v>
      </c>
      <c r="N368" s="3" t="str">
        <f aca="false">INDEX(Parametros!$C$23:$C$31,MATCH(L368,Parametros!$A$23:$A$31,0))</f>
        <v>Mensual</v>
      </c>
      <c r="O368" s="23" t="n">
        <f aca="false">SUM(Datos_Semanales!M368:R368)</f>
        <v>4536</v>
      </c>
      <c r="P368" s="24" t="n">
        <f aca="false">IF(D368&gt;0,SUMPRODUCT(ABS(Datos_Semanales!F368:K368-Datos_Semanales!M368:R368))/D368,"")</f>
        <v>0.822978303747534</v>
      </c>
      <c r="Q368" s="24" t="n">
        <f aca="false">IF(D368&gt;0,O368/D368-1,"")</f>
        <v>-0.30103550295858</v>
      </c>
      <c r="R368" s="23" t="n">
        <f aca="false">SQRT(SUMXMY2(Datos_Semanales!F368:K368,Datos_Semanales!M368:R368)/COUNT(Datos_Semanales!F368:K368))</f>
        <v>984.539608141795</v>
      </c>
    </row>
    <row r="369" customFormat="false" ht="15" hidden="false" customHeight="false" outlineLevel="0" collapsed="false">
      <c r="A369" s="18" t="n">
        <f aca="false">Datos_Semanales!A369</f>
        <v>30000479</v>
      </c>
      <c r="B369" s="18" t="str">
        <f aca="false">Datos_Semanales!B369</f>
        <v>CHOCO AVELLANAS LONCO 12X1LT</v>
      </c>
      <c r="C369" s="18" t="str">
        <f aca="false">Datos_Semanales!C369</f>
        <v>LECHES LIQUIDAS</v>
      </c>
      <c r="D369" s="23" t="n">
        <f aca="false">SUM(Datos_Semanales!F369:K369)</f>
        <v>6468</v>
      </c>
      <c r="E369" s="23" t="n">
        <f aca="false">AVERAGE(Datos_Semanales!F369:K369)</f>
        <v>1078</v>
      </c>
      <c r="F369" s="23" t="n">
        <f aca="false">STDEV(Datos_Semanales!F369:K369)</f>
        <v>626.782258842734</v>
      </c>
      <c r="G369" s="27" t="n">
        <f aca="false">IF(E369&gt;0,F369/E369,"")</f>
        <v>0.581430666829994</v>
      </c>
      <c r="H369" s="24" t="n">
        <f aca="false">IF(SUM($D$5:$D$494)&gt;0,D369/SUM($D$5:$D$494),0)</f>
        <v>0.000269613976781053</v>
      </c>
      <c r="I369" s="24" t="n">
        <f aca="false">SUMIF($D$5:$D$494,"&gt;="&amp;D369)/SUM($D$5:$D$494)</f>
        <v>0.992502294540308</v>
      </c>
      <c r="J369" s="3" t="str">
        <f aca="false">IF(D369&lt;=0,"C",IF(I369&lt;=Parametros!$B$4,"A",IF(I369&lt;=Parametros!$B$5,"B","C")))</f>
        <v>C</v>
      </c>
      <c r="K369" s="3" t="str">
        <f aca="false">IF(E369&lt;=0,"Z",IF(G369&lt;=Parametros!$B$6,"X",IF(G369&lt;=Parametros!$B$7,"Y","Z")))</f>
        <v>Y</v>
      </c>
      <c r="L369" s="3" t="str">
        <f aca="false">J369&amp;K369</f>
        <v>CY</v>
      </c>
      <c r="M369" s="3" t="str">
        <f aca="false">INDEX(Parametros!$B$23:$B$31,MATCH(L369,Parametros!$A$23:$A$31,0))</f>
        <v>Mín/máx con stock bajo; evaluar continuidad del SKU.</v>
      </c>
      <c r="N369" s="3" t="str">
        <f aca="false">INDEX(Parametros!$C$23:$C$31,MATCH(L369,Parametros!$A$23:$A$31,0))</f>
        <v>Mensual</v>
      </c>
      <c r="O369" s="23" t="n">
        <f aca="false">SUM(Datos_Semanales!M369:R369)</f>
        <v>3881.51971519507</v>
      </c>
      <c r="P369" s="24" t="n">
        <f aca="false">IF(D369&gt;0,SUMPRODUCT(ABS(Datos_Semanales!F369:K369-Datos_Semanales!M369:R369))/D369,"")</f>
        <v>0.836230718120737</v>
      </c>
      <c r="Q369" s="24" t="n">
        <f aca="false">IF(D369&gt;0,O369/D369-1,"")</f>
        <v>-0.399888726778746</v>
      </c>
      <c r="R369" s="23" t="n">
        <f aca="false">SQRT(SUMXMY2(Datos_Semanales!F369:K369,Datos_Semanales!M369:R369)/COUNT(Datos_Semanales!F369:K369))</f>
        <v>999.360500613864</v>
      </c>
    </row>
    <row r="370" customFormat="false" ht="15" hidden="false" customHeight="false" outlineLevel="0" collapsed="false">
      <c r="A370" s="18" t="n">
        <f aca="false">Datos_Semanales!A370</f>
        <v>30001899</v>
      </c>
      <c r="B370" s="18" t="str">
        <f aca="false">Datos_Semanales!B370</f>
        <v>YOG LONCOLECHE SL PACK 6X8X120GR</v>
      </c>
      <c r="C370" s="18" t="str">
        <f aca="false">Datos_Semanales!C370</f>
        <v>YOGURT</v>
      </c>
      <c r="D370" s="23" t="n">
        <f aca="false">SUM(Datos_Semanales!F370:K370)</f>
        <v>6186.24</v>
      </c>
      <c r="E370" s="23" t="n">
        <f aca="false">AVERAGE(Datos_Semanales!F370:K370)</f>
        <v>1031.04</v>
      </c>
      <c r="F370" s="23" t="n">
        <f aca="false">STDEV(Datos_Semanales!F370:K370)</f>
        <v>502.976973150859</v>
      </c>
      <c r="G370" s="27" t="n">
        <f aca="false">IF(E370&gt;0,F370/E370,"")</f>
        <v>0.487834587553208</v>
      </c>
      <c r="H370" s="24" t="n">
        <f aca="false">IF(SUM($D$5:$D$494)&gt;0,D370/SUM($D$5:$D$494),0)</f>
        <v>0.000257869011707177</v>
      </c>
      <c r="I370" s="24" t="n">
        <f aca="false">SUMIF($D$5:$D$494,"&gt;="&amp;D370)/SUM($D$5:$D$494)</f>
        <v>0.992760163552015</v>
      </c>
      <c r="J370" s="3" t="str">
        <f aca="false">IF(D370&lt;=0,"C",IF(I370&lt;=Parametros!$B$4,"A",IF(I370&lt;=Parametros!$B$5,"B","C")))</f>
        <v>C</v>
      </c>
      <c r="K370" s="3" t="str">
        <f aca="false">IF(E370&lt;=0,"Z",IF(G370&lt;=Parametros!$B$6,"X",IF(G370&lt;=Parametros!$B$7,"Y","Z")))</f>
        <v>X</v>
      </c>
      <c r="L370" s="3" t="str">
        <f aca="false">J370&amp;K370</f>
        <v>CX</v>
      </c>
      <c r="M370" s="3" t="str">
        <f aca="false">INDEX(Parametros!$B$23:$B$31,MATCH(L370,Parametros!$A$23:$A$31,0))</f>
        <v>Reposición simple mín/máx.</v>
      </c>
      <c r="N370" s="3" t="str">
        <f aca="false">INDEX(Parametros!$C$23:$C$31,MATCH(L370,Parametros!$A$23:$A$31,0))</f>
        <v>Trimestral</v>
      </c>
      <c r="O370" s="23" t="n">
        <f aca="false">SUM(Datos_Semanales!M370:R370)</f>
        <v>6904.90468071144</v>
      </c>
      <c r="P370" s="24" t="n">
        <f aca="false">IF(D370&gt;0,SUMPRODUCT(ABS(Datos_Semanales!F370:K370-Datos_Semanales!M370:R370))/D370,"")</f>
        <v>0.530521631444847</v>
      </c>
      <c r="Q370" s="24" t="n">
        <f aca="false">IF(D370&gt;0,O370/D370-1,"")</f>
        <v>0.116171483924232</v>
      </c>
      <c r="R370" s="23" t="n">
        <f aca="false">SQRT(SUMXMY2(Datos_Semanales!F370:K370,Datos_Semanales!M370:R370)/COUNT(Datos_Semanales!F370:K370))</f>
        <v>711.206318457345</v>
      </c>
    </row>
    <row r="371" customFormat="false" ht="15" hidden="false" customHeight="false" outlineLevel="0" collapsed="false">
      <c r="A371" s="18" t="n">
        <f aca="false">Datos_Semanales!A371</f>
        <v>30000355</v>
      </c>
      <c r="B371" s="18" t="str">
        <f aca="false">Datos_Semanales!B371</f>
        <v>LECHE LONCO DESC CHOC 5X6X200ML</v>
      </c>
      <c r="C371" s="18" t="str">
        <f aca="false">Datos_Semanales!C371</f>
        <v>LECHES LIQUIDAS</v>
      </c>
      <c r="D371" s="23" t="n">
        <f aca="false">SUM(Datos_Semanales!F371:K371)</f>
        <v>5994</v>
      </c>
      <c r="E371" s="23" t="n">
        <f aca="false">AVERAGE(Datos_Semanales!F371:K371)</f>
        <v>999</v>
      </c>
      <c r="F371" s="23" t="n">
        <f aca="false">STDEV(Datos_Semanales!F371:K371)</f>
        <v>224.843945882472</v>
      </c>
      <c r="G371" s="27" t="n">
        <f aca="false">IF(E371&gt;0,F371/E371,"")</f>
        <v>0.225069014897369</v>
      </c>
      <c r="H371" s="24" t="n">
        <f aca="false">IF(SUM($D$5:$D$494)&gt;0,D371/SUM($D$5:$D$494),0)</f>
        <v>0.000249855624122701</v>
      </c>
      <c r="I371" s="24" t="n">
        <f aca="false">SUMIF($D$5:$D$494,"&gt;="&amp;D371)/SUM($D$5:$D$494)</f>
        <v>0.993010019176138</v>
      </c>
      <c r="J371" s="3" t="str">
        <f aca="false">IF(D371&lt;=0,"C",IF(I371&lt;=Parametros!$B$4,"A",IF(I371&lt;=Parametros!$B$5,"B","C")))</f>
        <v>C</v>
      </c>
      <c r="K371" s="3" t="str">
        <f aca="false">IF(E371&lt;=0,"Z",IF(G371&lt;=Parametros!$B$6,"X",IF(G371&lt;=Parametros!$B$7,"Y","Z")))</f>
        <v>X</v>
      </c>
      <c r="L371" s="3" t="str">
        <f aca="false">J371&amp;K371</f>
        <v>CX</v>
      </c>
      <c r="M371" s="3" t="str">
        <f aca="false">INDEX(Parametros!$B$23:$B$31,MATCH(L371,Parametros!$A$23:$A$31,0))</f>
        <v>Reposición simple mín/máx.</v>
      </c>
      <c r="N371" s="3" t="str">
        <f aca="false">INDEX(Parametros!$C$23:$C$31,MATCH(L371,Parametros!$A$23:$A$31,0))</f>
        <v>Trimestral</v>
      </c>
      <c r="O371" s="23" t="n">
        <f aca="false">SUM(Datos_Semanales!M371:R371)</f>
        <v>10943.6952554218</v>
      </c>
      <c r="P371" s="24" t="n">
        <f aca="false">IF(D371&gt;0,SUMPRODUCT(ABS(Datos_Semanales!F371:K371-Datos_Semanales!M371:R371))/D371,"")</f>
        <v>0.875864500260529</v>
      </c>
      <c r="Q371" s="24" t="n">
        <f aca="false">IF(D371&gt;0,O371/D371-1,"")</f>
        <v>0.825774984221192</v>
      </c>
      <c r="R371" s="23" t="n">
        <f aca="false">SQRT(SUMXMY2(Datos_Semanales!F371:K371,Datos_Semanales!M371:R371)/COUNT(Datos_Semanales!F371:K371))</f>
        <v>960.429436299569</v>
      </c>
    </row>
    <row r="372" customFormat="false" ht="15" hidden="false" customHeight="false" outlineLevel="0" collapsed="false">
      <c r="A372" s="18" t="n">
        <f aca="false">Datos_Semanales!A372</f>
        <v>30002217</v>
      </c>
      <c r="B372" s="18" t="str">
        <f aca="false">Datos_Semanales!B372</f>
        <v>LECHE PLATANO LONCOLECHE 30X115ML</v>
      </c>
      <c r="C372" s="18" t="str">
        <f aca="false">Datos_Semanales!C372</f>
        <v>LECHES LIQUIDAS</v>
      </c>
      <c r="D372" s="23" t="n">
        <f aca="false">SUM(Datos_Semanales!F372:K372)</f>
        <v>5871.9</v>
      </c>
      <c r="E372" s="23" t="n">
        <f aca="false">AVERAGE(Datos_Semanales!F372:K372)</f>
        <v>978.65</v>
      </c>
      <c r="F372" s="23" t="n">
        <f aca="false">STDEV(Datos_Semanales!F372:K372)</f>
        <v>1032.37851343391</v>
      </c>
      <c r="G372" s="27" t="n">
        <f aca="false">IF(E372&gt;0,F372/E372,"")</f>
        <v>1.05490064214367</v>
      </c>
      <c r="H372" s="24" t="n">
        <f aca="false">IF(SUM($D$5:$D$494)&gt;0,D372/SUM($D$5:$D$494),0)</f>
        <v>0.000244765972520202</v>
      </c>
      <c r="I372" s="24" t="n">
        <f aca="false">SUMIF($D$5:$D$494,"&gt;="&amp;D372)/SUM($D$5:$D$494)</f>
        <v>0.993254785148658</v>
      </c>
      <c r="J372" s="3" t="str">
        <f aca="false">IF(D372&lt;=0,"C",IF(I372&lt;=Parametros!$B$4,"A",IF(I372&lt;=Parametros!$B$5,"B","C")))</f>
        <v>C</v>
      </c>
      <c r="K372" s="3" t="str">
        <f aca="false">IF(E372&lt;=0,"Z",IF(G372&lt;=Parametros!$B$6,"X",IF(G372&lt;=Parametros!$B$7,"Y","Z")))</f>
        <v>Z</v>
      </c>
      <c r="L372" s="3" t="str">
        <f aca="false">J372&amp;K372</f>
        <v>CZ</v>
      </c>
      <c r="M372" s="3" t="str">
        <f aca="false">INDEX(Parametros!$B$23:$B$31,MATCH(L372,Parametros!$A$23:$A$31,0))</f>
        <v>Contra pedido o stock mínimo. Candidato a racionalizar/descontinuar.</v>
      </c>
      <c r="N372" s="3" t="str">
        <f aca="false">INDEX(Parametros!$C$23:$C$31,MATCH(L372,Parametros!$A$23:$A$31,0))</f>
        <v>Mensual</v>
      </c>
      <c r="O372" s="23" t="n">
        <f aca="false">SUM(Datos_Semanales!M372:R372)</f>
        <v>12564.7379808926</v>
      </c>
      <c r="P372" s="24" t="n">
        <f aca="false">IF(D372&gt;0,SUMPRODUCT(ABS(Datos_Semanales!F372:K372-Datos_Semanales!M372:R372))/D372,"")</f>
        <v>1.40161412505195</v>
      </c>
      <c r="Q372" s="24" t="n">
        <f aca="false">IF(D372&gt;0,O372/D372-1,"")</f>
        <v>1.13980789538183</v>
      </c>
      <c r="R372" s="23" t="n">
        <f aca="false">SQRT(SUMXMY2(Datos_Semanales!F372:K372,Datos_Semanales!M372:R372)/COUNT(Datos_Semanales!F372:K372))</f>
        <v>1768.58643168209</v>
      </c>
    </row>
    <row r="373" customFormat="false" ht="15" hidden="false" customHeight="false" outlineLevel="0" collapsed="false">
      <c r="A373" s="18" t="n">
        <f aca="false">Datos_Semanales!A373</f>
        <v>30002289</v>
      </c>
      <c r="B373" s="18" t="str">
        <f aca="false">Datos_Semanales!B373</f>
        <v>JALEA LONCO PROTEIN NARANJA 6X4X100GR</v>
      </c>
      <c r="C373" s="18" t="str">
        <f aca="false">Datos_Semanales!C373</f>
        <v>-</v>
      </c>
      <c r="D373" s="23" t="n">
        <f aca="false">SUM(Datos_Semanales!F373:K373)</f>
        <v>5716.8</v>
      </c>
      <c r="E373" s="23" t="n">
        <f aca="false">AVERAGE(Datos_Semanales!F373:K373)</f>
        <v>952.8</v>
      </c>
      <c r="F373" s="23" t="n">
        <f aca="false">STDEV(Datos_Semanales!F373:K373)</f>
        <v>231.16871760686</v>
      </c>
      <c r="G373" s="27" t="n">
        <f aca="false">IF(E373&gt;0,F373/E373,"")</f>
        <v>0.242620400510978</v>
      </c>
      <c r="H373" s="24" t="n">
        <f aca="false">IF(SUM($D$5:$D$494)&gt;0,D373/SUM($D$5:$D$494),0)</f>
        <v>0.000238300739403513</v>
      </c>
      <c r="I373" s="24" t="n">
        <f aca="false">SUMIF($D$5:$D$494,"&gt;="&amp;D373)/SUM($D$5:$D$494)</f>
        <v>0.993493085888062</v>
      </c>
      <c r="J373" s="3" t="str">
        <f aca="false">IF(D373&lt;=0,"C",IF(I373&lt;=Parametros!$B$4,"A",IF(I373&lt;=Parametros!$B$5,"B","C")))</f>
        <v>C</v>
      </c>
      <c r="K373" s="3" t="str">
        <f aca="false">IF(E373&lt;=0,"Z",IF(G373&lt;=Parametros!$B$6,"X",IF(G373&lt;=Parametros!$B$7,"Y","Z")))</f>
        <v>X</v>
      </c>
      <c r="L373" s="3" t="str">
        <f aca="false">J373&amp;K373</f>
        <v>CX</v>
      </c>
      <c r="M373" s="3" t="str">
        <f aca="false">INDEX(Parametros!$B$23:$B$31,MATCH(L373,Parametros!$A$23:$A$31,0))</f>
        <v>Reposición simple mín/máx.</v>
      </c>
      <c r="N373" s="3" t="str">
        <f aca="false">INDEX(Parametros!$C$23:$C$31,MATCH(L373,Parametros!$A$23:$A$31,0))</f>
        <v>Trimestral</v>
      </c>
      <c r="O373" s="23" t="n">
        <f aca="false">SUM(Datos_Semanales!M373:R373)</f>
        <v>6497.09380517179</v>
      </c>
      <c r="P373" s="24" t="n">
        <f aca="false">IF(D373&gt;0,SUMPRODUCT(ABS(Datos_Semanales!F373:K373-Datos_Semanales!M373:R373))/D373,"")</f>
        <v>0.312349879737572</v>
      </c>
      <c r="Q373" s="24" t="n">
        <f aca="false">IF(D373&gt;0,O373/D373-1,"")</f>
        <v>0.136491359706792</v>
      </c>
      <c r="R373" s="23" t="n">
        <f aca="false">SQRT(SUMXMY2(Datos_Semanales!F373:K373,Datos_Semanales!M373:R373)/COUNT(Datos_Semanales!F373:K373))</f>
        <v>375.685596074975</v>
      </c>
    </row>
    <row r="374" customFormat="false" ht="15" hidden="false" customHeight="false" outlineLevel="0" collapsed="false">
      <c r="A374" s="18" t="n">
        <f aca="false">Datos_Semanales!A374</f>
        <v>30002132</v>
      </c>
      <c r="B374" s="18" t="str">
        <f aca="false">Datos_Semanales!B374</f>
        <v>CREMA REFRIGERADA LONCOLECHE 15X500GR</v>
      </c>
      <c r="C374" s="18" t="str">
        <f aca="false">Datos_Semanales!C374</f>
        <v>CREMA</v>
      </c>
      <c r="D374" s="23" t="n">
        <f aca="false">SUM(Datos_Semanales!F374:K374)</f>
        <v>5385</v>
      </c>
      <c r="E374" s="23" t="n">
        <f aca="false">AVERAGE(Datos_Semanales!F374:K374)</f>
        <v>897.5</v>
      </c>
      <c r="F374" s="23" t="n">
        <f aca="false">STDEV(Datos_Semanales!F374:K374)</f>
        <v>497.30523825916</v>
      </c>
      <c r="G374" s="27" t="n">
        <f aca="false">IF(E374&gt;0,F374/E374,"")</f>
        <v>0.554100544021348</v>
      </c>
      <c r="H374" s="24" t="n">
        <f aca="false">IF(SUM($D$5:$D$494)&gt;0,D374/SUM($D$5:$D$494),0)</f>
        <v>0.000224469892542667</v>
      </c>
      <c r="I374" s="24" t="n">
        <f aca="false">SUMIF($D$5:$D$494,"&gt;="&amp;D374)/SUM($D$5:$D$494)</f>
        <v>0.993717555780604</v>
      </c>
      <c r="J374" s="3" t="str">
        <f aca="false">IF(D374&lt;=0,"C",IF(I374&lt;=Parametros!$B$4,"A",IF(I374&lt;=Parametros!$B$5,"B","C")))</f>
        <v>C</v>
      </c>
      <c r="K374" s="3" t="str">
        <f aca="false">IF(E374&lt;=0,"Z",IF(G374&lt;=Parametros!$B$6,"X",IF(G374&lt;=Parametros!$B$7,"Y","Z")))</f>
        <v>Y</v>
      </c>
      <c r="L374" s="3" t="str">
        <f aca="false">J374&amp;K374</f>
        <v>CY</v>
      </c>
      <c r="M374" s="3" t="str">
        <f aca="false">INDEX(Parametros!$B$23:$B$31,MATCH(L374,Parametros!$A$23:$A$31,0))</f>
        <v>Mín/máx con stock bajo; evaluar continuidad del SKU.</v>
      </c>
      <c r="N374" s="3" t="str">
        <f aca="false">INDEX(Parametros!$C$23:$C$31,MATCH(L374,Parametros!$A$23:$A$31,0))</f>
        <v>Mensual</v>
      </c>
      <c r="O374" s="23" t="n">
        <f aca="false">SUM(Datos_Semanales!M374:R374)</f>
        <v>3121.84689320505</v>
      </c>
      <c r="P374" s="24" t="n">
        <f aca="false">IF(D374&gt;0,SUMPRODUCT(ABS(Datos_Semanales!F374:K374-Datos_Semanales!M374:R374))/D374,"")</f>
        <v>0.565388172724536</v>
      </c>
      <c r="Q374" s="24" t="n">
        <f aca="false">IF(D374&gt;0,O374/D374-1,"")</f>
        <v>-0.420269843415961</v>
      </c>
      <c r="R374" s="23" t="n">
        <f aca="false">SQRT(SUMXMY2(Datos_Semanales!F374:K374,Datos_Semanales!M374:R374)/COUNT(Datos_Semanales!F374:K374))</f>
        <v>596.985409540832</v>
      </c>
    </row>
    <row r="375" customFormat="false" ht="15" hidden="false" customHeight="false" outlineLevel="0" collapsed="false">
      <c r="A375" s="18" t="n">
        <f aca="false">Datos_Semanales!A375</f>
        <v>30000552</v>
      </c>
      <c r="B375" s="18" t="str">
        <f aca="false">Datos_Semanales!B375</f>
        <v>GAUDA CALO LAMINADO 16X233GR</v>
      </c>
      <c r="C375" s="18" t="str">
        <f aca="false">Datos_Semanales!C375</f>
        <v>QUESOS</v>
      </c>
      <c r="D375" s="23" t="n">
        <f aca="false">SUM(Datos_Semanales!F375:K375)</f>
        <v>5371.68</v>
      </c>
      <c r="E375" s="23" t="n">
        <f aca="false">AVERAGE(Datos_Semanales!F375:K375)</f>
        <v>895.28</v>
      </c>
      <c r="F375" s="23" t="n">
        <f aca="false">STDEV(Datos_Semanales!F375:K375)</f>
        <v>695.023705610104</v>
      </c>
      <c r="G375" s="27" t="n">
        <f aca="false">IF(E375&gt;0,F375/E375,"")</f>
        <v>0.77631992852527</v>
      </c>
      <c r="H375" s="24" t="n">
        <f aca="false">IF(SUM($D$5:$D$494)&gt;0,D375/SUM($D$5:$D$494),0)</f>
        <v>0.000223914657822394</v>
      </c>
      <c r="I375" s="24" t="n">
        <f aca="false">SUMIF($D$5:$D$494,"&gt;="&amp;D375)/SUM($D$5:$D$494)</f>
        <v>0.993941470438427</v>
      </c>
      <c r="J375" s="3" t="str">
        <f aca="false">IF(D375&lt;=0,"C",IF(I375&lt;=Parametros!$B$4,"A",IF(I375&lt;=Parametros!$B$5,"B","C")))</f>
        <v>C</v>
      </c>
      <c r="K375" s="3" t="str">
        <f aca="false">IF(E375&lt;=0,"Z",IF(G375&lt;=Parametros!$B$6,"X",IF(G375&lt;=Parametros!$B$7,"Y","Z")))</f>
        <v>Y</v>
      </c>
      <c r="L375" s="3" t="str">
        <f aca="false">J375&amp;K375</f>
        <v>CY</v>
      </c>
      <c r="M375" s="3" t="str">
        <f aca="false">INDEX(Parametros!$B$23:$B$31,MATCH(L375,Parametros!$A$23:$A$31,0))</f>
        <v>Mín/máx con stock bajo; evaluar continuidad del SKU.</v>
      </c>
      <c r="N375" s="3" t="str">
        <f aca="false">INDEX(Parametros!$C$23:$C$31,MATCH(L375,Parametros!$A$23:$A$31,0))</f>
        <v>Mensual</v>
      </c>
      <c r="O375" s="23" t="n">
        <f aca="false">SUM(Datos_Semanales!M375:R375)</f>
        <v>6245.1607220162</v>
      </c>
      <c r="P375" s="24" t="n">
        <f aca="false">IF(D375&gt;0,SUMPRODUCT(ABS(Datos_Semanales!F375:K375-Datos_Semanales!M375:R375))/D375,"")</f>
        <v>0.339940704464676</v>
      </c>
      <c r="Q375" s="24" t="n">
        <f aca="false">IF(D375&gt;0,O375/D375-1,"")</f>
        <v>0.162608480403934</v>
      </c>
      <c r="R375" s="23" t="n">
        <f aca="false">SQRT(SUMXMY2(Datos_Semanales!F375:K375,Datos_Semanales!M375:R375)/COUNT(Datos_Semanales!F375:K375))</f>
        <v>334.168712363367</v>
      </c>
    </row>
    <row r="376" customFormat="false" ht="15" hidden="false" customHeight="false" outlineLevel="0" collapsed="false">
      <c r="A376" s="18" t="n">
        <f aca="false">Datos_Semanales!A376</f>
        <v>30001481</v>
      </c>
      <c r="B376" s="18" t="str">
        <f aca="false">Datos_Semanales!B376</f>
        <v>POUCH WATT'S DURAZNO 36X90GR</v>
      </c>
      <c r="C376" s="18" t="str">
        <f aca="false">Datos_Semanales!C376</f>
        <v>-</v>
      </c>
      <c r="D376" s="23" t="n">
        <f aca="false">SUM(Datos_Semanales!F376:K376)</f>
        <v>5355.72</v>
      </c>
      <c r="E376" s="23" t="n">
        <f aca="false">AVERAGE(Datos_Semanales!F376:K376)</f>
        <v>892.62</v>
      </c>
      <c r="F376" s="23" t="n">
        <f aca="false">STDEV(Datos_Semanales!F376:K376)</f>
        <v>1369.43842428931</v>
      </c>
      <c r="G376" s="27" t="n">
        <f aca="false">IF(E376&gt;0,F376/E376,"")</f>
        <v>1.53417851301709</v>
      </c>
      <c r="H376" s="24" t="n">
        <f aca="false">IF(SUM($D$5:$D$494)&gt;0,D376/SUM($D$5:$D$494),0)</f>
        <v>0.000223249376580987</v>
      </c>
      <c r="I376" s="24" t="n">
        <f aca="false">SUMIF($D$5:$D$494,"&gt;="&amp;D376)/SUM($D$5:$D$494)</f>
        <v>0.994164719815008</v>
      </c>
      <c r="J376" s="3" t="str">
        <f aca="false">IF(D376&lt;=0,"C",IF(I376&lt;=Parametros!$B$4,"A",IF(I376&lt;=Parametros!$B$5,"B","C")))</f>
        <v>C</v>
      </c>
      <c r="K376" s="3" t="str">
        <f aca="false">IF(E376&lt;=0,"Z",IF(G376&lt;=Parametros!$B$6,"X",IF(G376&lt;=Parametros!$B$7,"Y","Z")))</f>
        <v>Z</v>
      </c>
      <c r="L376" s="3" t="str">
        <f aca="false">J376&amp;K376</f>
        <v>CZ</v>
      </c>
      <c r="M376" s="3" t="str">
        <f aca="false">INDEX(Parametros!$B$23:$B$31,MATCH(L376,Parametros!$A$23:$A$31,0))</f>
        <v>Contra pedido o stock mínimo. Candidato a racionalizar/descontinuar.</v>
      </c>
      <c r="N376" s="3" t="str">
        <f aca="false">INDEX(Parametros!$C$23:$C$31,MATCH(L376,Parametros!$A$23:$A$31,0))</f>
        <v>Mensual</v>
      </c>
      <c r="O376" s="23" t="n">
        <f aca="false">SUM(Datos_Semanales!M376:R376)</f>
        <v>3800</v>
      </c>
      <c r="P376" s="24" t="n">
        <f aca="false">IF(D376&gt;0,SUMPRODUCT(ABS(Datos_Semanales!F376:K376-Datos_Semanales!M376:R376))/D376,"")</f>
        <v>0.741539886327142</v>
      </c>
      <c r="Q376" s="24" t="n">
        <f aca="false">IF(D376&gt;0,O376/D376-1,"")</f>
        <v>-0.290478217681283</v>
      </c>
      <c r="R376" s="23" t="n">
        <f aca="false">SQRT(SUMXMY2(Datos_Semanales!F376:K376,Datos_Semanales!M376:R376)/COUNT(Datos_Semanales!F376:K376))</f>
        <v>979.657318998162</v>
      </c>
    </row>
    <row r="377" customFormat="false" ht="15" hidden="false" customHeight="false" outlineLevel="0" collapsed="false">
      <c r="A377" s="18" t="n">
        <f aca="false">Datos_Semanales!A377</f>
        <v>30001479</v>
      </c>
      <c r="B377" s="18" t="str">
        <f aca="false">Datos_Semanales!B377</f>
        <v>POUCH WATT'S PERA 36X90GR</v>
      </c>
      <c r="C377" s="18" t="str">
        <f aca="false">Datos_Semanales!C377</f>
        <v>COLACIONES EN CONSERVA</v>
      </c>
      <c r="D377" s="23" t="n">
        <f aca="false">SUM(Datos_Semanales!F377:K377)</f>
        <v>5229.36</v>
      </c>
      <c r="E377" s="23" t="n">
        <f aca="false">AVERAGE(Datos_Semanales!F377:K377)</f>
        <v>871.56</v>
      </c>
      <c r="F377" s="23" t="n">
        <f aca="false">STDEV(Datos_Semanales!F377:K377)</f>
        <v>1267.26502333174</v>
      </c>
      <c r="G377" s="27" t="n">
        <f aca="false">IF(E377&gt;0,F377/E377,"")</f>
        <v>1.45401925665673</v>
      </c>
      <c r="H377" s="24" t="n">
        <f aca="false">IF(SUM($D$5:$D$494)&gt;0,D377/SUM($D$5:$D$494),0)</f>
        <v>0.000217982149910292</v>
      </c>
      <c r="I377" s="24" t="n">
        <f aca="false">SUMIF($D$5:$D$494,"&gt;="&amp;D377)/SUM($D$5:$D$494)</f>
        <v>0.994382701964918</v>
      </c>
      <c r="J377" s="3" t="str">
        <f aca="false">IF(D377&lt;=0,"C",IF(I377&lt;=Parametros!$B$4,"A",IF(I377&lt;=Parametros!$B$5,"B","C")))</f>
        <v>C</v>
      </c>
      <c r="K377" s="3" t="str">
        <f aca="false">IF(E377&lt;=0,"Z",IF(G377&lt;=Parametros!$B$6,"X",IF(G377&lt;=Parametros!$B$7,"Y","Z")))</f>
        <v>Z</v>
      </c>
      <c r="L377" s="3" t="str">
        <f aca="false">J377&amp;K377</f>
        <v>CZ</v>
      </c>
      <c r="M377" s="3" t="str">
        <f aca="false">INDEX(Parametros!$B$23:$B$31,MATCH(L377,Parametros!$A$23:$A$31,0))</f>
        <v>Contra pedido o stock mínimo. Candidato a racionalizar/descontinuar.</v>
      </c>
      <c r="N377" s="3" t="str">
        <f aca="false">INDEX(Parametros!$C$23:$C$31,MATCH(L377,Parametros!$A$23:$A$31,0))</f>
        <v>Mensual</v>
      </c>
      <c r="O377" s="23" t="n">
        <f aca="false">SUM(Datos_Semanales!M377:R377)</f>
        <v>4600</v>
      </c>
      <c r="P377" s="24" t="n">
        <f aca="false">IF(D377&gt;0,SUMPRODUCT(ABS(Datos_Semanales!F377:K377-Datos_Semanales!M377:R377))/D377,"")</f>
        <v>0.754493857756972</v>
      </c>
      <c r="Q377" s="24" t="n">
        <f aca="false">IF(D377&gt;0,O377/D377-1,"")</f>
        <v>-0.120351247571404</v>
      </c>
      <c r="R377" s="23" t="n">
        <f aca="false">SQRT(SUMXMY2(Datos_Semanales!F377:K377,Datos_Semanales!M377:R377)/COUNT(Datos_Semanales!F377:K377))</f>
        <v>1045.67619258226</v>
      </c>
    </row>
    <row r="378" customFormat="false" ht="15" hidden="false" customHeight="false" outlineLevel="0" collapsed="false">
      <c r="A378" s="18" t="n">
        <f aca="false">Datos_Semanales!A378</f>
        <v>30000447</v>
      </c>
      <c r="B378" s="18" t="str">
        <f aca="false">Datos_Semanales!B378</f>
        <v>MANTECOSO VALDIVIA PIEZA 1X10KG</v>
      </c>
      <c r="C378" s="18" t="str">
        <f aca="false">Datos_Semanales!C378</f>
        <v>QUESOS</v>
      </c>
      <c r="D378" s="23" t="n">
        <f aca="false">SUM(Datos_Semanales!F378:K378)</f>
        <v>5000</v>
      </c>
      <c r="E378" s="23" t="n">
        <f aca="false">AVERAGE(Datos_Semanales!F378:K378)</f>
        <v>833.333333333333</v>
      </c>
      <c r="F378" s="23" t="n">
        <f aca="false">STDEV(Datos_Semanales!F378:K378)</f>
        <v>2041.24145231932</v>
      </c>
      <c r="G378" s="27" t="n">
        <f aca="false">IF(E378&gt;0,F378/E378,"")</f>
        <v>2.44948974278318</v>
      </c>
      <c r="H378" s="24" t="n">
        <f aca="false">IF(SUM($D$5:$D$494)&gt;0,D378/SUM($D$5:$D$494),0)</f>
        <v>0.000208421441543795</v>
      </c>
      <c r="I378" s="24" t="n">
        <f aca="false">SUMIF($D$5:$D$494,"&gt;="&amp;D378)/SUM($D$5:$D$494)</f>
        <v>0.994591123406462</v>
      </c>
      <c r="J378" s="3" t="str">
        <f aca="false">IF(D378&lt;=0,"C",IF(I378&lt;=Parametros!$B$4,"A",IF(I378&lt;=Parametros!$B$5,"B","C")))</f>
        <v>C</v>
      </c>
      <c r="K378" s="3" t="str">
        <f aca="false">IF(E378&lt;=0,"Z",IF(G378&lt;=Parametros!$B$6,"X",IF(G378&lt;=Parametros!$B$7,"Y","Z")))</f>
        <v>Z</v>
      </c>
      <c r="L378" s="3" t="str">
        <f aca="false">J378&amp;K378</f>
        <v>CZ</v>
      </c>
      <c r="M378" s="3" t="str">
        <f aca="false">INDEX(Parametros!$B$23:$B$31,MATCH(L378,Parametros!$A$23:$A$31,0))</f>
        <v>Contra pedido o stock mínimo. Candidato a racionalizar/descontinuar.</v>
      </c>
      <c r="N378" s="3" t="str">
        <f aca="false">INDEX(Parametros!$C$23:$C$31,MATCH(L378,Parametros!$A$23:$A$31,0))</f>
        <v>Mensual</v>
      </c>
      <c r="O378" s="23" t="n">
        <f aca="false">SUM(Datos_Semanales!M378:R378)</f>
        <v>10500</v>
      </c>
      <c r="P378" s="24" t="n">
        <f aca="false">IF(D378&gt;0,SUMPRODUCT(ABS(Datos_Semanales!F378:K378-Datos_Semanales!M378:R378))/D378,"")</f>
        <v>3.1</v>
      </c>
      <c r="Q378" s="24" t="n">
        <f aca="false">IF(D378&gt;0,O378/D378-1,"")</f>
        <v>1.1</v>
      </c>
      <c r="R378" s="23" t="n">
        <f aca="false">SQRT(SUMXMY2(Datos_Semanales!F378:K378,Datos_Semanales!M378:R378)/COUNT(Datos_Semanales!F378:K378))</f>
        <v>3208.06275915336</v>
      </c>
    </row>
    <row r="379" customFormat="false" ht="15" hidden="false" customHeight="false" outlineLevel="0" collapsed="false">
      <c r="A379" s="18" t="n">
        <f aca="false">Datos_Semanales!A379</f>
        <v>30001541</v>
      </c>
      <c r="B379" s="18" t="str">
        <f aca="false">Datos_Semanales!B379</f>
        <v>QUESO CREMA CALO TRIPA 40X100G</v>
      </c>
      <c r="C379" s="18" t="str">
        <f aca="false">Datos_Semanales!C379</f>
        <v>QUESOS</v>
      </c>
      <c r="D379" s="23" t="n">
        <f aca="false">SUM(Datos_Semanales!F379:K379)</f>
        <v>4880</v>
      </c>
      <c r="E379" s="23" t="n">
        <f aca="false">AVERAGE(Datos_Semanales!F379:K379)</f>
        <v>813.333333333333</v>
      </c>
      <c r="F379" s="23" t="n">
        <f aca="false">STDEV(Datos_Semanales!F379:K379)</f>
        <v>193.538282173493</v>
      </c>
      <c r="G379" s="27" t="n">
        <f aca="false">IF(E379&gt;0,F379/E379,"")</f>
        <v>0.237956904311672</v>
      </c>
      <c r="H379" s="24" t="n">
        <f aca="false">IF(SUM($D$5:$D$494)&gt;0,D379/SUM($D$5:$D$494),0)</f>
        <v>0.000203419326946744</v>
      </c>
      <c r="I379" s="24" t="n">
        <f aca="false">SUMIF($D$5:$D$494,"&gt;="&amp;D379)/SUM($D$5:$D$494)</f>
        <v>0.994794542733408</v>
      </c>
      <c r="J379" s="3" t="str">
        <f aca="false">IF(D379&lt;=0,"C",IF(I379&lt;=Parametros!$B$4,"A",IF(I379&lt;=Parametros!$B$5,"B","C")))</f>
        <v>C</v>
      </c>
      <c r="K379" s="3" t="str">
        <f aca="false">IF(E379&lt;=0,"Z",IF(G379&lt;=Parametros!$B$6,"X",IF(G379&lt;=Parametros!$B$7,"Y","Z")))</f>
        <v>X</v>
      </c>
      <c r="L379" s="3" t="str">
        <f aca="false">J379&amp;K379</f>
        <v>CX</v>
      </c>
      <c r="M379" s="3" t="str">
        <f aca="false">INDEX(Parametros!$B$23:$B$31,MATCH(L379,Parametros!$A$23:$A$31,0))</f>
        <v>Reposición simple mín/máx.</v>
      </c>
      <c r="N379" s="3" t="str">
        <f aca="false">INDEX(Parametros!$C$23:$C$31,MATCH(L379,Parametros!$A$23:$A$31,0))</f>
        <v>Trimestral</v>
      </c>
      <c r="O379" s="23" t="n">
        <f aca="false">SUM(Datos_Semanales!M379:R379)</f>
        <v>9858.4638732791</v>
      </c>
      <c r="P379" s="24" t="n">
        <f aca="false">IF(D379&gt;0,SUMPRODUCT(ABS(Datos_Semanales!F379:K379-Datos_Semanales!M379:R379))/D379,"")</f>
        <v>1.02017702321293</v>
      </c>
      <c r="Q379" s="24" t="n">
        <f aca="false">IF(D379&gt;0,O379/D379-1,"")</f>
        <v>1.02017702321293</v>
      </c>
      <c r="R379" s="23" t="n">
        <f aca="false">SQRT(SUMXMY2(Datos_Semanales!F379:K379,Datos_Semanales!M379:R379)/COUNT(Datos_Semanales!F379:K379))</f>
        <v>869.543349594523</v>
      </c>
    </row>
    <row r="380" customFormat="false" ht="15" hidden="false" customHeight="false" outlineLevel="0" collapsed="false">
      <c r="A380" s="18" t="n">
        <f aca="false">Datos_Semanales!A380</f>
        <v>30000666</v>
      </c>
      <c r="B380" s="18" t="str">
        <f aca="false">Datos_Semanales!B380</f>
        <v>CREMA DE ZAPALLO WASIL 16X380GR</v>
      </c>
      <c r="C380" s="18" t="str">
        <f aca="false">Datos_Semanales!C380</f>
        <v>CONSERVAS Y PLATOS LISTOS</v>
      </c>
      <c r="D380" s="23" t="n">
        <f aca="false">SUM(Datos_Semanales!F380:K380)</f>
        <v>4857.92</v>
      </c>
      <c r="E380" s="23" t="n">
        <f aca="false">AVERAGE(Datos_Semanales!F380:K380)</f>
        <v>809.653333333333</v>
      </c>
      <c r="F380" s="23" t="n">
        <f aca="false">STDEV(Datos_Semanales!F380:K380)</f>
        <v>243.941137380858</v>
      </c>
      <c r="G380" s="27" t="n">
        <f aca="false">IF(E380&gt;0,F380/E380,"")</f>
        <v>0.301290845523423</v>
      </c>
      <c r="H380" s="24" t="n">
        <f aca="false">IF(SUM($D$5:$D$494)&gt;0,D380/SUM($D$5:$D$494),0)</f>
        <v>0.000202498937860887</v>
      </c>
      <c r="I380" s="24" t="n">
        <f aca="false">SUMIF($D$5:$D$494,"&gt;="&amp;D380)/SUM($D$5:$D$494)</f>
        <v>0.99499704167127</v>
      </c>
      <c r="J380" s="3" t="str">
        <f aca="false">IF(D380&lt;=0,"C",IF(I380&lt;=Parametros!$B$4,"A",IF(I380&lt;=Parametros!$B$5,"B","C")))</f>
        <v>C</v>
      </c>
      <c r="K380" s="3" t="str">
        <f aca="false">IF(E380&lt;=0,"Z",IF(G380&lt;=Parametros!$B$6,"X",IF(G380&lt;=Parametros!$B$7,"Y","Z")))</f>
        <v>X</v>
      </c>
      <c r="L380" s="3" t="str">
        <f aca="false">J380&amp;K380</f>
        <v>CX</v>
      </c>
      <c r="M380" s="3" t="str">
        <f aca="false">INDEX(Parametros!$B$23:$B$31,MATCH(L380,Parametros!$A$23:$A$31,0))</f>
        <v>Reposición simple mín/máx.</v>
      </c>
      <c r="N380" s="3" t="str">
        <f aca="false">INDEX(Parametros!$C$23:$C$31,MATCH(L380,Parametros!$A$23:$A$31,0))</f>
        <v>Trimestral</v>
      </c>
      <c r="O380" s="23" t="n">
        <f aca="false">SUM(Datos_Semanales!M380:R380)</f>
        <v>5911.6</v>
      </c>
      <c r="P380" s="24" t="n">
        <f aca="false">IF(D380&gt;0,SUMPRODUCT(ABS(Datos_Semanales!F380:K380-Datos_Semanales!M380:R380))/D380,"")</f>
        <v>0.269465120874778</v>
      </c>
      <c r="Q380" s="24" t="n">
        <f aca="false">IF(D380&gt;0,O380/D380-1,"")</f>
        <v>0.21689941374086</v>
      </c>
      <c r="R380" s="23" t="n">
        <f aca="false">SQRT(SUMXMY2(Datos_Semanales!F380:K380,Datos_Semanales!M380:R380)/COUNT(Datos_Semanales!F380:K380))</f>
        <v>255.583425649369</v>
      </c>
    </row>
    <row r="381" customFormat="false" ht="15" hidden="false" customHeight="false" outlineLevel="0" collapsed="false">
      <c r="A381" s="18" t="n">
        <f aca="false">Datos_Semanales!A381</f>
        <v>30002282</v>
      </c>
      <c r="B381" s="18" t="str">
        <f aca="false">Datos_Semanales!B381</f>
        <v>LECHE LONCO SEMI DESCR 5X6X200ML</v>
      </c>
      <c r="C381" s="18" t="str">
        <f aca="false">Datos_Semanales!C381</f>
        <v>-</v>
      </c>
      <c r="D381" s="23" t="n">
        <f aca="false">SUM(Datos_Semanales!F381:K381)</f>
        <v>4716</v>
      </c>
      <c r="E381" s="23" t="n">
        <f aca="false">AVERAGE(Datos_Semanales!F381:K381)</f>
        <v>786</v>
      </c>
      <c r="F381" s="23" t="n">
        <f aca="false">STDEV(Datos_Semanales!F381:K381)</f>
        <v>378.884679025162</v>
      </c>
      <c r="G381" s="27" t="n">
        <f aca="false">IF(E381&gt;0,F381/E381,"")</f>
        <v>0.482041576367891</v>
      </c>
      <c r="H381" s="24" t="n">
        <f aca="false">IF(SUM($D$5:$D$494)&gt;0,D381/SUM($D$5:$D$494),0)</f>
        <v>0.000196583103664107</v>
      </c>
      <c r="I381" s="24" t="n">
        <f aca="false">SUMIF($D$5:$D$494,"&gt;="&amp;D381)/SUM($D$5:$D$494)</f>
        <v>0.995193624774934</v>
      </c>
      <c r="J381" s="3" t="str">
        <f aca="false">IF(D381&lt;=0,"C",IF(I381&lt;=Parametros!$B$4,"A",IF(I381&lt;=Parametros!$B$5,"B","C")))</f>
        <v>C</v>
      </c>
      <c r="K381" s="3" t="str">
        <f aca="false">IF(E381&lt;=0,"Z",IF(G381&lt;=Parametros!$B$6,"X",IF(G381&lt;=Parametros!$B$7,"Y","Z")))</f>
        <v>X</v>
      </c>
      <c r="L381" s="3" t="str">
        <f aca="false">J381&amp;K381</f>
        <v>CX</v>
      </c>
      <c r="M381" s="3" t="str">
        <f aca="false">INDEX(Parametros!$B$23:$B$31,MATCH(L381,Parametros!$A$23:$A$31,0))</f>
        <v>Reposición simple mín/máx.</v>
      </c>
      <c r="N381" s="3" t="str">
        <f aca="false">INDEX(Parametros!$C$23:$C$31,MATCH(L381,Parametros!$A$23:$A$31,0))</f>
        <v>Trimestral</v>
      </c>
      <c r="O381" s="23" t="n">
        <f aca="false">SUM(Datos_Semanales!M381:R381)</f>
        <v>5859.32808373585</v>
      </c>
      <c r="P381" s="24" t="n">
        <f aca="false">IF(D381&gt;0,SUMPRODUCT(ABS(Datos_Semanales!F381:K381-Datos_Semanales!M381:R381))/D381,"")</f>
        <v>0.534771688663242</v>
      </c>
      <c r="Q381" s="24" t="n">
        <f aca="false">IF(D381&gt;0,O381/D381-1,"")</f>
        <v>0.242435980435931</v>
      </c>
      <c r="R381" s="23" t="n">
        <f aca="false">SQRT(SUMXMY2(Datos_Semanales!F381:K381,Datos_Semanales!M381:R381)/COUNT(Datos_Semanales!F381:K381))</f>
        <v>508.335709802796</v>
      </c>
    </row>
    <row r="382" customFormat="false" ht="15" hidden="false" customHeight="false" outlineLevel="0" collapsed="false">
      <c r="A382" s="18" t="n">
        <f aca="false">Datos_Semanales!A382</f>
        <v>30000087</v>
      </c>
      <c r="B382" s="18" t="str">
        <f aca="false">Datos_Semanales!B382</f>
        <v>MANTEQ LONCO S/COL PAN 20X250GR</v>
      </c>
      <c r="C382" s="18" t="str">
        <f aca="false">Datos_Semanales!C382</f>
        <v>MANTEQUILLAS</v>
      </c>
      <c r="D382" s="23" t="n">
        <f aca="false">SUM(Datos_Semanales!F382:K382)</f>
        <v>4680</v>
      </c>
      <c r="E382" s="23" t="n">
        <f aca="false">AVERAGE(Datos_Semanales!F382:K382)</f>
        <v>780</v>
      </c>
      <c r="F382" s="23" t="n">
        <f aca="false">STDEV(Datos_Semanales!F382:K382)</f>
        <v>297.791873629889</v>
      </c>
      <c r="G382" s="27" t="n">
        <f aca="false">IF(E382&gt;0,F382/E382,"")</f>
        <v>0.381784453371653</v>
      </c>
      <c r="H382" s="24" t="n">
        <f aca="false">IF(SUM($D$5:$D$494)&gt;0,D382/SUM($D$5:$D$494),0)</f>
        <v>0.000195082469284992</v>
      </c>
      <c r="I382" s="24" t="n">
        <f aca="false">SUMIF($D$5:$D$494,"&gt;="&amp;D382)/SUM($D$5:$D$494)</f>
        <v>0.995388707244219</v>
      </c>
      <c r="J382" s="3" t="str">
        <f aca="false">IF(D382&lt;=0,"C",IF(I382&lt;=Parametros!$B$4,"A",IF(I382&lt;=Parametros!$B$5,"B","C")))</f>
        <v>C</v>
      </c>
      <c r="K382" s="3" t="str">
        <f aca="false">IF(E382&lt;=0,"Z",IF(G382&lt;=Parametros!$B$6,"X",IF(G382&lt;=Parametros!$B$7,"Y","Z")))</f>
        <v>X</v>
      </c>
      <c r="L382" s="3" t="str">
        <f aca="false">J382&amp;K382</f>
        <v>CX</v>
      </c>
      <c r="M382" s="3" t="str">
        <f aca="false">INDEX(Parametros!$B$23:$B$31,MATCH(L382,Parametros!$A$23:$A$31,0))</f>
        <v>Reposición simple mín/máx.</v>
      </c>
      <c r="N382" s="3" t="str">
        <f aca="false">INDEX(Parametros!$C$23:$C$31,MATCH(L382,Parametros!$A$23:$A$31,0))</f>
        <v>Trimestral</v>
      </c>
      <c r="O382" s="23" t="n">
        <f aca="false">SUM(Datos_Semanales!M382:R382)</f>
        <v>4272.00101175428</v>
      </c>
      <c r="P382" s="24" t="n">
        <f aca="false">IF(D382&gt;0,SUMPRODUCT(ABS(Datos_Semanales!F382:K382-Datos_Semanales!M382:R382))/D382,"")</f>
        <v>0.427890411039763</v>
      </c>
      <c r="Q382" s="24" t="n">
        <f aca="false">IF(D382&gt;0,O382/D382-1,"")</f>
        <v>-0.0871792709926762</v>
      </c>
      <c r="R382" s="23" t="n">
        <f aca="false">SQRT(SUMXMY2(Datos_Semanales!F382:K382,Datos_Semanales!M382:R382)/COUNT(Datos_Semanales!F382:K382))</f>
        <v>349.390569210277</v>
      </c>
    </row>
    <row r="383" customFormat="false" ht="15" hidden="false" customHeight="false" outlineLevel="0" collapsed="false">
      <c r="A383" s="18" t="n">
        <f aca="false">Datos_Semanales!A383</f>
        <v>30002087</v>
      </c>
      <c r="B383" s="18" t="str">
        <f aca="false">Datos_Semanales!B383</f>
        <v>YOG POTE ACTIVIA NATURAL 24X140GR</v>
      </c>
      <c r="C383" s="18" t="str">
        <f aca="false">Datos_Semanales!C383</f>
        <v>YOGURT</v>
      </c>
      <c r="D383" s="23" t="n">
        <f aca="false">SUM(Datos_Semanales!F383:K383)</f>
        <v>4677.12</v>
      </c>
      <c r="E383" s="23" t="n">
        <f aca="false">AVERAGE(Datos_Semanales!F383:K383)</f>
        <v>779.52</v>
      </c>
      <c r="F383" s="23" t="n">
        <f aca="false">STDEV(Datos_Semanales!F383:K383)</f>
        <v>182.779058756741</v>
      </c>
      <c r="G383" s="27" t="n">
        <f aca="false">IF(E383&gt;0,F383/E383,"")</f>
        <v>0.234476419792617</v>
      </c>
      <c r="H383" s="24" t="n">
        <f aca="false">IF(SUM($D$5:$D$494)&gt;0,D383/SUM($D$5:$D$494),0)</f>
        <v>0.000194962418534663</v>
      </c>
      <c r="I383" s="24" t="n">
        <f aca="false">SUMIF($D$5:$D$494,"&gt;="&amp;D383)/SUM($D$5:$D$494)</f>
        <v>0.995583669662753</v>
      </c>
      <c r="J383" s="3" t="str">
        <f aca="false">IF(D383&lt;=0,"C",IF(I383&lt;=Parametros!$B$4,"A",IF(I383&lt;=Parametros!$B$5,"B","C")))</f>
        <v>C</v>
      </c>
      <c r="K383" s="3" t="str">
        <f aca="false">IF(E383&lt;=0,"Z",IF(G383&lt;=Parametros!$B$6,"X",IF(G383&lt;=Parametros!$B$7,"Y","Z")))</f>
        <v>X</v>
      </c>
      <c r="L383" s="3" t="str">
        <f aca="false">J383&amp;K383</f>
        <v>CX</v>
      </c>
      <c r="M383" s="3" t="str">
        <f aca="false">INDEX(Parametros!$B$23:$B$31,MATCH(L383,Parametros!$A$23:$A$31,0))</f>
        <v>Reposición simple mín/máx.</v>
      </c>
      <c r="N383" s="3" t="str">
        <f aca="false">INDEX(Parametros!$C$23:$C$31,MATCH(L383,Parametros!$A$23:$A$31,0))</f>
        <v>Trimestral</v>
      </c>
      <c r="O383" s="23" t="n">
        <f aca="false">SUM(Datos_Semanales!M383:R383)</f>
        <v>3549.72574429442</v>
      </c>
      <c r="P383" s="24" t="n">
        <f aca="false">IF(D383&gt;0,SUMPRODUCT(ABS(Datos_Semanales!F383:K383-Datos_Semanales!M383:R383))/D383,"")</f>
        <v>0.268555730972604</v>
      </c>
      <c r="Q383" s="24" t="n">
        <f aca="false">IF(D383&gt;0,O383/D383-1,"")</f>
        <v>-0.241044543587845</v>
      </c>
      <c r="R383" s="23" t="n">
        <f aca="false">SQRT(SUMXMY2(Datos_Semanales!F383:K383,Datos_Semanales!M383:R383)/COUNT(Datos_Semanales!F383:K383))</f>
        <v>256.502963378879</v>
      </c>
    </row>
    <row r="384" customFormat="false" ht="15" hidden="false" customHeight="false" outlineLevel="0" collapsed="false">
      <c r="A384" s="18" t="n">
        <f aca="false">Datos_Semanales!A384</f>
        <v>30000653</v>
      </c>
      <c r="B384" s="18" t="str">
        <f aca="false">Datos_Semanales!B384</f>
        <v>TOMATICAN WSL 16X380GR</v>
      </c>
      <c r="C384" s="18" t="str">
        <f aca="false">Datos_Semanales!C384</f>
        <v>CONSERVAS Y PLATOS LISTOS</v>
      </c>
      <c r="D384" s="23" t="n">
        <f aca="false">SUM(Datos_Semanales!F384:K384)</f>
        <v>4547.84</v>
      </c>
      <c r="E384" s="23" t="n">
        <f aca="false">AVERAGE(Datos_Semanales!F384:K384)</f>
        <v>757.973333333333</v>
      </c>
      <c r="F384" s="23" t="n">
        <f aca="false">STDEV(Datos_Semanales!F384:K384)</f>
        <v>341.47017923483</v>
      </c>
      <c r="G384" s="27" t="n">
        <f aca="false">IF(E384&gt;0,F384/E384,"")</f>
        <v>0.450504211979528</v>
      </c>
      <c r="H384" s="24" t="n">
        <f aca="false">IF(SUM($D$5:$D$494)&gt;0,D384/SUM($D$5:$D$494),0)</f>
        <v>0.000189573473742106</v>
      </c>
      <c r="I384" s="24" t="n">
        <f aca="false">SUMIF($D$5:$D$494,"&gt;="&amp;D384)/SUM($D$5:$D$494)</f>
        <v>0.995773243136495</v>
      </c>
      <c r="J384" s="3" t="str">
        <f aca="false">IF(D384&lt;=0,"C",IF(I384&lt;=Parametros!$B$4,"A",IF(I384&lt;=Parametros!$B$5,"B","C")))</f>
        <v>C</v>
      </c>
      <c r="K384" s="3" t="str">
        <f aca="false">IF(E384&lt;=0,"Z",IF(G384&lt;=Parametros!$B$6,"X",IF(G384&lt;=Parametros!$B$7,"Y","Z")))</f>
        <v>X</v>
      </c>
      <c r="L384" s="3" t="str">
        <f aca="false">J384&amp;K384</f>
        <v>CX</v>
      </c>
      <c r="M384" s="3" t="str">
        <f aca="false">INDEX(Parametros!$B$23:$B$31,MATCH(L384,Parametros!$A$23:$A$31,0))</f>
        <v>Reposición simple mín/máx.</v>
      </c>
      <c r="N384" s="3" t="str">
        <f aca="false">INDEX(Parametros!$C$23:$C$31,MATCH(L384,Parametros!$A$23:$A$31,0))</f>
        <v>Trimestral</v>
      </c>
      <c r="O384" s="23" t="n">
        <f aca="false">SUM(Datos_Semanales!M384:R384)</f>
        <v>5013.44</v>
      </c>
      <c r="P384" s="24" t="n">
        <f aca="false">IF(D384&gt;0,SUMPRODUCT(ABS(Datos_Semanales!F384:K384-Datos_Semanales!M384:R384))/D384,"")</f>
        <v>0.302350126653532</v>
      </c>
      <c r="Q384" s="24" t="n">
        <f aca="false">IF(D384&gt;0,O384/D384-1,"")</f>
        <v>0.102378271882916</v>
      </c>
      <c r="R384" s="23" t="n">
        <f aca="false">SQRT(SUMXMY2(Datos_Semanales!F384:K384,Datos_Semanales!M384:R384)/COUNT(Datos_Semanales!F384:K384))</f>
        <v>277.131758795944</v>
      </c>
    </row>
    <row r="385" customFormat="false" ht="15" hidden="false" customHeight="false" outlineLevel="0" collapsed="false">
      <c r="A385" s="18" t="n">
        <f aca="false">Datos_Semanales!A385</f>
        <v>30000067</v>
      </c>
      <c r="B385" s="18" t="str">
        <f aca="false">Datos_Semanales!B385</f>
        <v>MARGARINA PAMPERITA 40X250GR</v>
      </c>
      <c r="C385" s="18" t="str">
        <f aca="false">Datos_Semanales!C385</f>
        <v>MARGARINAS</v>
      </c>
      <c r="D385" s="23" t="n">
        <f aca="false">SUM(Datos_Semanales!F385:K385)</f>
        <v>4450</v>
      </c>
      <c r="E385" s="23" t="n">
        <f aca="false">AVERAGE(Datos_Semanales!F385:K385)</f>
        <v>741.666666666667</v>
      </c>
      <c r="F385" s="23" t="n">
        <f aca="false">STDEV(Datos_Semanales!F385:K385)</f>
        <v>586.972458184084</v>
      </c>
      <c r="G385" s="27" t="n">
        <f aca="false">IF(E385&gt;0,F385/E385,"")</f>
        <v>0.791423539124608</v>
      </c>
      <c r="H385" s="24" t="n">
        <f aca="false">IF(SUM($D$5:$D$494)&gt;0,D385/SUM($D$5:$D$494),0)</f>
        <v>0.000185495082973978</v>
      </c>
      <c r="I385" s="24" t="n">
        <f aca="false">SUMIF($D$5:$D$494,"&gt;="&amp;D385)/SUM($D$5:$D$494)</f>
        <v>0.995958738219469</v>
      </c>
      <c r="J385" s="3" t="str">
        <f aca="false">IF(D385&lt;=0,"C",IF(I385&lt;=Parametros!$B$4,"A",IF(I385&lt;=Parametros!$B$5,"B","C")))</f>
        <v>C</v>
      </c>
      <c r="K385" s="3" t="str">
        <f aca="false">IF(E385&lt;=0,"Z",IF(G385&lt;=Parametros!$B$6,"X",IF(G385&lt;=Parametros!$B$7,"Y","Z")))</f>
        <v>Y</v>
      </c>
      <c r="L385" s="3" t="str">
        <f aca="false">J385&amp;K385</f>
        <v>CY</v>
      </c>
      <c r="M385" s="3" t="str">
        <f aca="false">INDEX(Parametros!$B$23:$B$31,MATCH(L385,Parametros!$A$23:$A$31,0))</f>
        <v>Mín/máx con stock bajo; evaluar continuidad del SKU.</v>
      </c>
      <c r="N385" s="3" t="str">
        <f aca="false">INDEX(Parametros!$C$23:$C$31,MATCH(L385,Parametros!$A$23:$A$31,0))</f>
        <v>Mensual</v>
      </c>
      <c r="O385" s="23" t="n">
        <f aca="false">SUM(Datos_Semanales!M385:R385)</f>
        <v>2628.92369954109</v>
      </c>
      <c r="P385" s="24" t="n">
        <f aca="false">IF(D385&gt;0,SUMPRODUCT(ABS(Datos_Semanales!F385:K385-Datos_Semanales!M385:R385))/D385,"")</f>
        <v>0.4350945028406</v>
      </c>
      <c r="Q385" s="24" t="n">
        <f aca="false">IF(D385&gt;0,O385/D385-1,"")</f>
        <v>-0.409230629316609</v>
      </c>
      <c r="R385" s="23" t="n">
        <f aca="false">SQRT(SUMXMY2(Datos_Semanales!F385:K385,Datos_Semanales!M385:R385)/COUNT(Datos_Semanales!F385:K385))</f>
        <v>592.642771634529</v>
      </c>
    </row>
    <row r="386" customFormat="false" ht="15" hidden="false" customHeight="false" outlineLevel="0" collapsed="false">
      <c r="A386" s="18" t="n">
        <f aca="false">Datos_Semanales!A386</f>
        <v>30002120</v>
      </c>
      <c r="B386" s="18" t="str">
        <f aca="false">Datos_Semanales!B386</f>
        <v>QUESO CHANCO LAS PARCELAS 24X148G</v>
      </c>
      <c r="C386" s="18" t="str">
        <f aca="false">Datos_Semanales!C386</f>
        <v>QUESOS</v>
      </c>
      <c r="D386" s="23" t="n">
        <f aca="false">SUM(Datos_Semanales!F386:K386)</f>
        <v>4411.584</v>
      </c>
      <c r="E386" s="23" t="n">
        <f aca="false">AVERAGE(Datos_Semanales!F386:K386)</f>
        <v>735.264</v>
      </c>
      <c r="F386" s="23" t="n">
        <f aca="false">STDEV(Datos_Semanales!F386:K386)</f>
        <v>453.388834149232</v>
      </c>
      <c r="G386" s="27" t="n">
        <f aca="false">IF(E386&gt;0,F386/E386,"")</f>
        <v>0.616634071774536</v>
      </c>
      <c r="H386" s="24" t="n">
        <f aca="false">IF(SUM($D$5:$D$494)&gt;0,D386/SUM($D$5:$D$494),0)</f>
        <v>0.000183893739354308</v>
      </c>
      <c r="I386" s="24" t="n">
        <f aca="false">SUMIF($D$5:$D$494,"&gt;="&amp;D386)/SUM($D$5:$D$494)</f>
        <v>0.996142631958824</v>
      </c>
      <c r="J386" s="3" t="str">
        <f aca="false">IF(D386&lt;=0,"C",IF(I386&lt;=Parametros!$B$4,"A",IF(I386&lt;=Parametros!$B$5,"B","C")))</f>
        <v>C</v>
      </c>
      <c r="K386" s="3" t="str">
        <f aca="false">IF(E386&lt;=0,"Z",IF(G386&lt;=Parametros!$B$6,"X",IF(G386&lt;=Parametros!$B$7,"Y","Z")))</f>
        <v>Y</v>
      </c>
      <c r="L386" s="3" t="str">
        <f aca="false">J386&amp;K386</f>
        <v>CY</v>
      </c>
      <c r="M386" s="3" t="str">
        <f aca="false">INDEX(Parametros!$B$23:$B$31,MATCH(L386,Parametros!$A$23:$A$31,0))</f>
        <v>Mín/máx con stock bajo; evaluar continuidad del SKU.</v>
      </c>
      <c r="N386" s="3" t="str">
        <f aca="false">INDEX(Parametros!$C$23:$C$31,MATCH(L386,Parametros!$A$23:$A$31,0))</f>
        <v>Mensual</v>
      </c>
      <c r="O386" s="23" t="n">
        <f aca="false">SUM(Datos_Semanales!M386:R386)</f>
        <v>3353.44142924008</v>
      </c>
      <c r="P386" s="24" t="n">
        <f aca="false">IF(D386&gt;0,SUMPRODUCT(ABS(Datos_Semanales!F386:K386-Datos_Semanales!M386:R386))/D386,"")</f>
        <v>0.302832141298926</v>
      </c>
      <c r="Q386" s="24" t="n">
        <f aca="false">IF(D386&gt;0,O386/D386-1,"")</f>
        <v>-0.239855473852457</v>
      </c>
      <c r="R386" s="23" t="n">
        <f aca="false">SQRT(SUMXMY2(Datos_Semanales!F386:K386,Datos_Semanales!M386:R386)/COUNT(Datos_Semanales!F386:K386))</f>
        <v>280.880075543037</v>
      </c>
    </row>
    <row r="387" customFormat="false" ht="15" hidden="false" customHeight="false" outlineLevel="0" collapsed="false">
      <c r="A387" s="18" t="n">
        <f aca="false">Datos_Semanales!A387</f>
        <v>30001988</v>
      </c>
      <c r="B387" s="18" t="str">
        <f aca="false">Datos_Semanales!B387</f>
        <v>LECHE FRUTILLA LONCO LECHE 30X115ML</v>
      </c>
      <c r="C387" s="18" t="str">
        <f aca="false">Datos_Semanales!C387</f>
        <v>LECHES LIQUIDAS</v>
      </c>
      <c r="D387" s="23" t="n">
        <f aca="false">SUM(Datos_Semanales!F387:K387)</f>
        <v>4350.45</v>
      </c>
      <c r="E387" s="23" t="n">
        <f aca="false">AVERAGE(Datos_Semanales!F387:K387)</f>
        <v>725.075</v>
      </c>
      <c r="F387" s="23" t="n">
        <f aca="false">STDEV(Datos_Semanales!F387:K387)</f>
        <v>584.480980657198</v>
      </c>
      <c r="G387" s="27" t="n">
        <f aca="false">IF(E387&gt;0,F387/E387,"")</f>
        <v>0.806097273602314</v>
      </c>
      <c r="H387" s="24" t="n">
        <f aca="false">IF(SUM($D$5:$D$494)&gt;0,D387/SUM($D$5:$D$494),0)</f>
        <v>0.000181345412072841</v>
      </c>
      <c r="I387" s="24" t="n">
        <f aca="false">SUMIF($D$5:$D$494,"&gt;="&amp;D387)/SUM($D$5:$D$494)</f>
        <v>0.996323977370896</v>
      </c>
      <c r="J387" s="3" t="str">
        <f aca="false">IF(D387&lt;=0,"C",IF(I387&lt;=Parametros!$B$4,"A",IF(I387&lt;=Parametros!$B$5,"B","C")))</f>
        <v>C</v>
      </c>
      <c r="K387" s="3" t="str">
        <f aca="false">IF(E387&lt;=0,"Z",IF(G387&lt;=Parametros!$B$6,"X",IF(G387&lt;=Parametros!$B$7,"Y","Z")))</f>
        <v>Y</v>
      </c>
      <c r="L387" s="3" t="str">
        <f aca="false">J387&amp;K387</f>
        <v>CY</v>
      </c>
      <c r="M387" s="3" t="str">
        <f aca="false">INDEX(Parametros!$B$23:$B$31,MATCH(L387,Parametros!$A$23:$A$31,0))</f>
        <v>Mín/máx con stock bajo; evaluar continuidad del SKU.</v>
      </c>
      <c r="N387" s="3" t="str">
        <f aca="false">INDEX(Parametros!$C$23:$C$31,MATCH(L387,Parametros!$A$23:$A$31,0))</f>
        <v>Mensual</v>
      </c>
      <c r="O387" s="23" t="n">
        <f aca="false">SUM(Datos_Semanales!M387:R387)</f>
        <v>10873.605</v>
      </c>
      <c r="P387" s="24" t="n">
        <f aca="false">IF(D387&gt;0,SUMPRODUCT(ABS(Datos_Semanales!F387:K387-Datos_Semanales!M387:R387))/D387,"")</f>
        <v>1.63299313864083</v>
      </c>
      <c r="Q387" s="24" t="n">
        <f aca="false">IF(D387&gt;0,O387/D387-1,"")</f>
        <v>1.49942074957763</v>
      </c>
      <c r="R387" s="23" t="n">
        <f aca="false">SQRT(SUMXMY2(Datos_Semanales!F387:K387,Datos_Semanales!M387:R387)/COUNT(Datos_Semanales!F387:K387))</f>
        <v>1542.36290114794</v>
      </c>
    </row>
    <row r="388" customFormat="false" ht="15" hidden="false" customHeight="false" outlineLevel="0" collapsed="false">
      <c r="A388" s="18" t="n">
        <f aca="false">Datos_Semanales!A388</f>
        <v>30002114</v>
      </c>
      <c r="B388" s="18" t="str">
        <f aca="false">Datos_Semanales!B388</f>
        <v>MERMELADA WATTS NARANJA FRASCO 10X500G</v>
      </c>
      <c r="C388" s="18" t="str">
        <f aca="false">Datos_Semanales!C388</f>
        <v>MERMELADAS</v>
      </c>
      <c r="D388" s="23" t="n">
        <f aca="false">SUM(Datos_Semanales!F388:K388)</f>
        <v>4330</v>
      </c>
      <c r="E388" s="23" t="n">
        <f aca="false">AVERAGE(Datos_Semanales!F388:K388)</f>
        <v>721.666666666667</v>
      </c>
      <c r="F388" s="23" t="n">
        <f aca="false">STDEV(Datos_Semanales!F388:K388)</f>
        <v>424.67242277627</v>
      </c>
      <c r="G388" s="27" t="n">
        <f aca="false">IF(E388&gt;0,F388/E388,"")</f>
        <v>0.588460632022545</v>
      </c>
      <c r="H388" s="24" t="n">
        <f aca="false">IF(SUM($D$5:$D$494)&gt;0,D388/SUM($D$5:$D$494),0)</f>
        <v>0.000180492968376926</v>
      </c>
      <c r="I388" s="24" t="n">
        <f aca="false">SUMIF($D$5:$D$494,"&gt;="&amp;D388)/SUM($D$5:$D$494)</f>
        <v>0.996504470339273</v>
      </c>
      <c r="J388" s="3" t="str">
        <f aca="false">IF(D388&lt;=0,"C",IF(I388&lt;=Parametros!$B$4,"A",IF(I388&lt;=Parametros!$B$5,"B","C")))</f>
        <v>C</v>
      </c>
      <c r="K388" s="3" t="str">
        <f aca="false">IF(E388&lt;=0,"Z",IF(G388&lt;=Parametros!$B$6,"X",IF(G388&lt;=Parametros!$B$7,"Y","Z")))</f>
        <v>Y</v>
      </c>
      <c r="L388" s="3" t="str">
        <f aca="false">J388&amp;K388</f>
        <v>CY</v>
      </c>
      <c r="M388" s="3" t="str">
        <f aca="false">INDEX(Parametros!$B$23:$B$31,MATCH(L388,Parametros!$A$23:$A$31,0))</f>
        <v>Mín/máx con stock bajo; evaluar continuidad del SKU.</v>
      </c>
      <c r="N388" s="3" t="str">
        <f aca="false">INDEX(Parametros!$C$23:$C$31,MATCH(L388,Parametros!$A$23:$A$31,0))</f>
        <v>Mensual</v>
      </c>
      <c r="O388" s="23" t="n">
        <f aca="false">SUM(Datos_Semanales!M388:R388)</f>
        <v>4360</v>
      </c>
      <c r="P388" s="24" t="n">
        <f aca="false">IF(D388&gt;0,SUMPRODUCT(ABS(Datos_Semanales!F388:K388-Datos_Semanales!M388:R388))/D388,"")</f>
        <v>0.441108545034642</v>
      </c>
      <c r="Q388" s="24" t="n">
        <f aca="false">IF(D388&gt;0,O388/D388-1,"")</f>
        <v>0.00692840646651272</v>
      </c>
      <c r="R388" s="23" t="n">
        <f aca="false">SQRT(SUMXMY2(Datos_Semanales!F388:K388,Datos_Semanales!M388:R388)/COUNT(Datos_Semanales!F388:K388))</f>
        <v>375.943258129912</v>
      </c>
    </row>
    <row r="389" customFormat="false" ht="15" hidden="false" customHeight="false" outlineLevel="0" collapsed="false">
      <c r="A389" s="18" t="n">
        <f aca="false">Datos_Semanales!A389</f>
        <v>30002162</v>
      </c>
      <c r="B389" s="18" t="str">
        <f aca="false">Datos_Semanales!B389</f>
        <v>QUESO LPV MANTECOSO RUEDA 20X500G</v>
      </c>
      <c r="C389" s="18" t="str">
        <f aca="false">Datos_Semanales!C389</f>
        <v>QUESOS</v>
      </c>
      <c r="D389" s="23" t="n">
        <f aca="false">SUM(Datos_Semanales!F389:K389)</f>
        <v>4194</v>
      </c>
      <c r="E389" s="23" t="n">
        <f aca="false">AVERAGE(Datos_Semanales!F389:K389)</f>
        <v>699</v>
      </c>
      <c r="F389" s="23" t="n">
        <f aca="false">STDEV(Datos_Semanales!F389:K389)</f>
        <v>228.512581710505</v>
      </c>
      <c r="G389" s="27" t="n">
        <f aca="false">IF(E389&gt;0,F389/E389,"")</f>
        <v>0.326913564678833</v>
      </c>
      <c r="H389" s="24" t="n">
        <f aca="false">IF(SUM($D$5:$D$494)&gt;0,D389/SUM($D$5:$D$494),0)</f>
        <v>0.000174823905166935</v>
      </c>
      <c r="I389" s="24" t="n">
        <f aca="false">SUMIF($D$5:$D$494,"&gt;="&amp;D389)/SUM($D$5:$D$494)</f>
        <v>0.99667929424444</v>
      </c>
      <c r="J389" s="3" t="str">
        <f aca="false">IF(D389&lt;=0,"C",IF(I389&lt;=Parametros!$B$4,"A",IF(I389&lt;=Parametros!$B$5,"B","C")))</f>
        <v>C</v>
      </c>
      <c r="K389" s="3" t="str">
        <f aca="false">IF(E389&lt;=0,"Z",IF(G389&lt;=Parametros!$B$6,"X",IF(G389&lt;=Parametros!$B$7,"Y","Z")))</f>
        <v>X</v>
      </c>
      <c r="L389" s="3" t="str">
        <f aca="false">J389&amp;K389</f>
        <v>CX</v>
      </c>
      <c r="M389" s="3" t="str">
        <f aca="false">INDEX(Parametros!$B$23:$B$31,MATCH(L389,Parametros!$A$23:$A$31,0))</f>
        <v>Reposición simple mín/máx.</v>
      </c>
      <c r="N389" s="3" t="str">
        <f aca="false">INDEX(Parametros!$C$23:$C$31,MATCH(L389,Parametros!$A$23:$A$31,0))</f>
        <v>Trimestral</v>
      </c>
      <c r="O389" s="23" t="n">
        <f aca="false">SUM(Datos_Semanales!M389:R389)</f>
        <v>2944.64915605727</v>
      </c>
      <c r="P389" s="24" t="n">
        <f aca="false">IF(D389&gt;0,SUMPRODUCT(ABS(Datos_Semanales!F389:K389-Datos_Semanales!M389:R389))/D389,"")</f>
        <v>0.468839552027407</v>
      </c>
      <c r="Q389" s="24" t="n">
        <f aca="false">IF(D389&gt;0,O389/D389-1,"")</f>
        <v>-0.297890043858543</v>
      </c>
      <c r="R389" s="23" t="n">
        <f aca="false">SQRT(SUMXMY2(Datos_Semanales!F389:K389,Datos_Semanales!M389:R389)/COUNT(Datos_Semanales!F389:K389))</f>
        <v>367.143799992868</v>
      </c>
    </row>
    <row r="390" customFormat="false" ht="15" hidden="false" customHeight="false" outlineLevel="0" collapsed="false">
      <c r="A390" s="18" t="n">
        <f aca="false">Datos_Semanales!A390</f>
        <v>30000052</v>
      </c>
      <c r="B390" s="18" t="str">
        <f aca="false">Datos_Semanales!B390</f>
        <v>ACEITE CHEF MAIZ 12X1LT</v>
      </c>
      <c r="C390" s="18" t="str">
        <f aca="false">Datos_Semanales!C390</f>
        <v>ACEITES</v>
      </c>
      <c r="D390" s="23" t="n">
        <f aca="false">SUM(Datos_Semanales!F390:K390)</f>
        <v>4129.2</v>
      </c>
      <c r="E390" s="23" t="n">
        <f aca="false">AVERAGE(Datos_Semanales!F390:K390)</f>
        <v>688.2</v>
      </c>
      <c r="F390" s="23" t="n">
        <f aca="false">STDEV(Datos_Semanales!F390:K390)</f>
        <v>317.70053824317</v>
      </c>
      <c r="G390" s="27" t="n">
        <f aca="false">IF(E390&gt;0,F390/E390,"")</f>
        <v>0.461639840516086</v>
      </c>
      <c r="H390" s="24" t="n">
        <f aca="false">IF(SUM($D$5:$D$494)&gt;0,D390/SUM($D$5:$D$494),0)</f>
        <v>0.000172122763284528</v>
      </c>
      <c r="I390" s="24" t="n">
        <f aca="false">SUMIF($D$5:$D$494,"&gt;="&amp;D390)/SUM($D$5:$D$494)</f>
        <v>0.996851417007725</v>
      </c>
      <c r="J390" s="3" t="str">
        <f aca="false">IF(D390&lt;=0,"C",IF(I390&lt;=Parametros!$B$4,"A",IF(I390&lt;=Parametros!$B$5,"B","C")))</f>
        <v>C</v>
      </c>
      <c r="K390" s="3" t="str">
        <f aca="false">IF(E390&lt;=0,"Z",IF(G390&lt;=Parametros!$B$6,"X",IF(G390&lt;=Parametros!$B$7,"Y","Z")))</f>
        <v>X</v>
      </c>
      <c r="L390" s="3" t="str">
        <f aca="false">J390&amp;K390</f>
        <v>CX</v>
      </c>
      <c r="M390" s="3" t="str">
        <f aca="false">INDEX(Parametros!$B$23:$B$31,MATCH(L390,Parametros!$A$23:$A$31,0))</f>
        <v>Reposición simple mín/máx.</v>
      </c>
      <c r="N390" s="3" t="str">
        <f aca="false">INDEX(Parametros!$C$23:$C$31,MATCH(L390,Parametros!$A$23:$A$31,0))</f>
        <v>Trimestral</v>
      </c>
      <c r="O390" s="23" t="n">
        <f aca="false">SUM(Datos_Semanales!M390:R390)</f>
        <v>4551.4</v>
      </c>
      <c r="P390" s="24" t="n">
        <f aca="false">IF(D390&gt;0,SUMPRODUCT(ABS(Datos_Semanales!F390:K390-Datos_Semanales!M390:R390))/D390,"")</f>
        <v>0.592511866705415</v>
      </c>
      <c r="Q390" s="24" t="n">
        <f aca="false">IF(D390&gt;0,O390/D390-1,"")</f>
        <v>0.102247408699021</v>
      </c>
      <c r="R390" s="23" t="n">
        <f aca="false">SQRT(SUMXMY2(Datos_Semanales!F390:K390,Datos_Semanales!M390:R390)/COUNT(Datos_Semanales!F390:K390))</f>
        <v>472.230311041833</v>
      </c>
    </row>
    <row r="391" customFormat="false" ht="15" hidden="false" customHeight="false" outlineLevel="0" collapsed="false">
      <c r="A391" s="18" t="n">
        <f aca="false">Datos_Semanales!A391</f>
        <v>30001342</v>
      </c>
      <c r="B391" s="18" t="str">
        <f aca="false">Datos_Semanales!B391</f>
        <v>SUREÑA MIX PAN 40X200</v>
      </c>
      <c r="C391" s="18" t="str">
        <f aca="false">Datos_Semanales!C391</f>
        <v>MARGARINAS</v>
      </c>
      <c r="D391" s="23" t="n">
        <f aca="false">SUM(Datos_Semanales!F391:K391)</f>
        <v>4096</v>
      </c>
      <c r="E391" s="23" t="n">
        <f aca="false">AVERAGE(Datos_Semanales!F391:K391)</f>
        <v>682.666666666667</v>
      </c>
      <c r="F391" s="23" t="n">
        <f aca="false">STDEV(Datos_Semanales!F391:K391)</f>
        <v>222.547672795441</v>
      </c>
      <c r="G391" s="27" t="n">
        <f aca="false">IF(E391&gt;0,F391/E391,"")</f>
        <v>0.325997567571447</v>
      </c>
      <c r="H391" s="24" t="n">
        <f aca="false">IF(SUM($D$5:$D$494)&gt;0,D391/SUM($D$5:$D$494),0)</f>
        <v>0.000170738844912677</v>
      </c>
      <c r="I391" s="24" t="n">
        <f aca="false">SUMIF($D$5:$D$494,"&gt;="&amp;D391)/SUM($D$5:$D$494)</f>
        <v>0.997022155852637</v>
      </c>
      <c r="J391" s="3" t="str">
        <f aca="false">IF(D391&lt;=0,"C",IF(I391&lt;=Parametros!$B$4,"A",IF(I391&lt;=Parametros!$B$5,"B","C")))</f>
        <v>C</v>
      </c>
      <c r="K391" s="3" t="str">
        <f aca="false">IF(E391&lt;=0,"Z",IF(G391&lt;=Parametros!$B$6,"X",IF(G391&lt;=Parametros!$B$7,"Y","Z")))</f>
        <v>X</v>
      </c>
      <c r="L391" s="3" t="str">
        <f aca="false">J391&amp;K391</f>
        <v>CX</v>
      </c>
      <c r="M391" s="3" t="str">
        <f aca="false">INDEX(Parametros!$B$23:$B$31,MATCH(L391,Parametros!$A$23:$A$31,0))</f>
        <v>Reposición simple mín/máx.</v>
      </c>
      <c r="N391" s="3" t="str">
        <f aca="false">INDEX(Parametros!$C$23:$C$31,MATCH(L391,Parametros!$A$23:$A$31,0))</f>
        <v>Trimestral</v>
      </c>
      <c r="O391" s="23" t="n">
        <f aca="false">SUM(Datos_Semanales!M391:R391)</f>
        <v>5221.21572572385</v>
      </c>
      <c r="P391" s="24" t="n">
        <f aca="false">IF(D391&gt;0,SUMPRODUCT(ABS(Datos_Semanales!F391:K391-Datos_Semanales!M391:R391))/D391,"")</f>
        <v>0.528419601689961</v>
      </c>
      <c r="Q391" s="24" t="n">
        <f aca="false">IF(D391&gt;0,O391/D391-1,"")</f>
        <v>0.27471087053805</v>
      </c>
      <c r="R391" s="23" t="n">
        <f aca="false">SQRT(SUMXMY2(Datos_Semanales!F391:K391,Datos_Semanales!M391:R391)/COUNT(Datos_Semanales!F391:K391))</f>
        <v>374.37251755879</v>
      </c>
    </row>
    <row r="392" customFormat="false" ht="15" hidden="false" customHeight="false" outlineLevel="0" collapsed="false">
      <c r="A392" s="18" t="n">
        <f aca="false">Datos_Semanales!A392</f>
        <v>30000050</v>
      </c>
      <c r="B392" s="18" t="str">
        <f aca="false">Datos_Semanales!B392</f>
        <v>ACEITE CHEF MARAVILLA 30X500ML</v>
      </c>
      <c r="C392" s="18" t="str">
        <f aca="false">Datos_Semanales!C392</f>
        <v>ACEITES</v>
      </c>
      <c r="D392" s="23" t="n">
        <f aca="false">SUM(Datos_Semanales!F392:K392)</f>
        <v>4057.2</v>
      </c>
      <c r="E392" s="23" t="n">
        <f aca="false">AVERAGE(Datos_Semanales!F392:K392)</f>
        <v>676.2</v>
      </c>
      <c r="F392" s="23" t="n">
        <f aca="false">STDEV(Datos_Semanales!F392:K392)</f>
        <v>319.015886751742</v>
      </c>
      <c r="G392" s="27" t="n">
        <f aca="false">IF(E392&gt;0,F392/E392,"")</f>
        <v>0.471777413119996</v>
      </c>
      <c r="H392" s="24" t="n">
        <f aca="false">IF(SUM($D$5:$D$494)&gt;0,D392/SUM($D$5:$D$494),0)</f>
        <v>0.000169121494526297</v>
      </c>
      <c r="I392" s="24" t="n">
        <f aca="false">SUMIF($D$5:$D$494,"&gt;="&amp;D392)/SUM($D$5:$D$494)</f>
        <v>0.997191277347164</v>
      </c>
      <c r="J392" s="3" t="str">
        <f aca="false">IF(D392&lt;=0,"C",IF(I392&lt;=Parametros!$B$4,"A",IF(I392&lt;=Parametros!$B$5,"B","C")))</f>
        <v>C</v>
      </c>
      <c r="K392" s="3" t="str">
        <f aca="false">IF(E392&lt;=0,"Z",IF(G392&lt;=Parametros!$B$6,"X",IF(G392&lt;=Parametros!$B$7,"Y","Z")))</f>
        <v>X</v>
      </c>
      <c r="L392" s="3" t="str">
        <f aca="false">J392&amp;K392</f>
        <v>CX</v>
      </c>
      <c r="M392" s="3" t="str">
        <f aca="false">INDEX(Parametros!$B$23:$B$31,MATCH(L392,Parametros!$A$23:$A$31,0))</f>
        <v>Reposición simple mín/máx.</v>
      </c>
      <c r="N392" s="3" t="str">
        <f aca="false">INDEX(Parametros!$C$23:$C$31,MATCH(L392,Parametros!$A$23:$A$31,0))</f>
        <v>Trimestral</v>
      </c>
      <c r="O392" s="23" t="n">
        <f aca="false">SUM(Datos_Semanales!M392:R392)</f>
        <v>3397.6</v>
      </c>
      <c r="P392" s="24" t="n">
        <f aca="false">IF(D392&gt;0,SUMPRODUCT(ABS(Datos_Semanales!F392:K392-Datos_Semanales!M392:R392))/D392,"")</f>
        <v>0.246672582076309</v>
      </c>
      <c r="Q392" s="24" t="n">
        <f aca="false">IF(D392&gt;0,O392/D392-1,"")</f>
        <v>-0.162575174997535</v>
      </c>
      <c r="R392" s="23" t="n">
        <f aca="false">SQRT(SUMXMY2(Datos_Semanales!F392:K392,Datos_Semanales!M392:R392)/COUNT(Datos_Semanales!F392:K392))</f>
        <v>235.908711157515</v>
      </c>
    </row>
    <row r="393" customFormat="false" ht="15" hidden="false" customHeight="false" outlineLevel="0" collapsed="false">
      <c r="A393" s="18" t="n">
        <f aca="false">Datos_Semanales!A393</f>
        <v>30001776</v>
      </c>
      <c r="B393" s="18" t="str">
        <f aca="false">Datos_Semanales!B393</f>
        <v>JUGO 100% FRUTA LV WATTS MZNA 12X1LT</v>
      </c>
      <c r="C393" s="18" t="str">
        <f aca="false">Datos_Semanales!C393</f>
        <v>JUGOS Y NECTARES</v>
      </c>
      <c r="D393" s="23" t="n">
        <f aca="false">SUM(Datos_Semanales!F393:K393)</f>
        <v>3960</v>
      </c>
      <c r="E393" s="23" t="n">
        <f aca="false">AVERAGE(Datos_Semanales!F393:K393)</f>
        <v>660</v>
      </c>
      <c r="F393" s="23" t="n">
        <f aca="false">STDEV(Datos_Semanales!F393:K393)</f>
        <v>640.039998750078</v>
      </c>
      <c r="G393" s="27" t="n">
        <f aca="false">IF(E393&gt;0,F393/E393,"")</f>
        <v>0.969757573863755</v>
      </c>
      <c r="H393" s="24" t="n">
        <f aca="false">IF(SUM($D$5:$D$494)&gt;0,D393/SUM($D$5:$D$494),0)</f>
        <v>0.000165069781702686</v>
      </c>
      <c r="I393" s="24" t="n">
        <f aca="false">SUMIF($D$5:$D$494,"&gt;="&amp;D393)/SUM($D$5:$D$494)</f>
        <v>0.997356347128866</v>
      </c>
      <c r="J393" s="3" t="str">
        <f aca="false">IF(D393&lt;=0,"C",IF(I393&lt;=Parametros!$B$4,"A",IF(I393&lt;=Parametros!$B$5,"B","C")))</f>
        <v>C</v>
      </c>
      <c r="K393" s="3" t="str">
        <f aca="false">IF(E393&lt;=0,"Z",IF(G393&lt;=Parametros!$B$6,"X",IF(G393&lt;=Parametros!$B$7,"Y","Z")))</f>
        <v>Y</v>
      </c>
      <c r="L393" s="3" t="str">
        <f aca="false">J393&amp;K393</f>
        <v>CY</v>
      </c>
      <c r="M393" s="3" t="str">
        <f aca="false">INDEX(Parametros!$B$23:$B$31,MATCH(L393,Parametros!$A$23:$A$31,0))</f>
        <v>Mín/máx con stock bajo; evaluar continuidad del SKU.</v>
      </c>
      <c r="N393" s="3" t="str">
        <f aca="false">INDEX(Parametros!$C$23:$C$31,MATCH(L393,Parametros!$A$23:$A$31,0))</f>
        <v>Mensual</v>
      </c>
      <c r="O393" s="23" t="n">
        <f aca="false">SUM(Datos_Semanales!M393:R393)</f>
        <v>3913.06985267747</v>
      </c>
      <c r="P393" s="24" t="n">
        <f aca="false">IF(D393&gt;0,SUMPRODUCT(ABS(Datos_Semanales!F393:K393-Datos_Semanales!M393:R393))/D393,"")</f>
        <v>0.873930133242307</v>
      </c>
      <c r="Q393" s="24" t="n">
        <f aca="false">IF(D393&gt;0,O393/D393-1,"")</f>
        <v>-0.0118510473036683</v>
      </c>
      <c r="R393" s="23" t="n">
        <f aca="false">SQRT(SUMXMY2(Datos_Semanales!F393:K393,Datos_Semanales!M393:R393)/COUNT(Datos_Semanales!F393:K393))</f>
        <v>668.028139916847</v>
      </c>
    </row>
    <row r="394" customFormat="false" ht="15" hidden="false" customHeight="false" outlineLevel="0" collapsed="false">
      <c r="A394" s="18" t="n">
        <f aca="false">Datos_Semanales!A394</f>
        <v>30000640</v>
      </c>
      <c r="B394" s="18" t="str">
        <f aca="false">Datos_Semanales!B394</f>
        <v>ARANDANOS WASIL 16X380GR</v>
      </c>
      <c r="C394" s="18" t="str">
        <f aca="false">Datos_Semanales!C394</f>
        <v>CONSERVAS Y PLATOS LISTOS</v>
      </c>
      <c r="D394" s="23" t="n">
        <f aca="false">SUM(Datos_Semanales!F394:K394)</f>
        <v>3635.84</v>
      </c>
      <c r="E394" s="23" t="n">
        <f aca="false">AVERAGE(Datos_Semanales!F394:K394)</f>
        <v>605.973333333333</v>
      </c>
      <c r="F394" s="23" t="n">
        <f aca="false">STDEV(Datos_Semanales!F394:K394)</f>
        <v>103.013694364714</v>
      </c>
      <c r="G394" s="27" t="n">
        <f aca="false">IF(E394&gt;0,F394/E394,"")</f>
        <v>0.169997075280618</v>
      </c>
      <c r="H394" s="24" t="n">
        <f aca="false">IF(SUM($D$5:$D$494)&gt;0,D394/SUM($D$5:$D$494),0)</f>
        <v>0.000151557402804518</v>
      </c>
      <c r="I394" s="24" t="n">
        <f aca="false">SUMIF($D$5:$D$494,"&gt;="&amp;D394)/SUM($D$5:$D$494)</f>
        <v>0.997507904531671</v>
      </c>
      <c r="J394" s="3" t="str">
        <f aca="false">IF(D394&lt;=0,"C",IF(I394&lt;=Parametros!$B$4,"A",IF(I394&lt;=Parametros!$B$5,"B","C")))</f>
        <v>C</v>
      </c>
      <c r="K394" s="3" t="str">
        <f aca="false">IF(E394&lt;=0,"Z",IF(G394&lt;=Parametros!$B$6,"X",IF(G394&lt;=Parametros!$B$7,"Y","Z")))</f>
        <v>X</v>
      </c>
      <c r="L394" s="3" t="str">
        <f aca="false">J394&amp;K394</f>
        <v>CX</v>
      </c>
      <c r="M394" s="3" t="str">
        <f aca="false">INDEX(Parametros!$B$23:$B$31,MATCH(L394,Parametros!$A$23:$A$31,0))</f>
        <v>Reposición simple mín/máx.</v>
      </c>
      <c r="N394" s="3" t="str">
        <f aca="false">INDEX(Parametros!$C$23:$C$31,MATCH(L394,Parametros!$A$23:$A$31,0))</f>
        <v>Trimestral</v>
      </c>
      <c r="O394" s="23" t="n">
        <f aca="false">SUM(Datos_Semanales!M394:R394)</f>
        <v>3653.2</v>
      </c>
      <c r="P394" s="24" t="n">
        <f aca="false">IF(D394&gt;0,SUMPRODUCT(ABS(Datos_Semanales!F394:K394-Datos_Semanales!M394:R394))/D394,"")</f>
        <v>0.152371941559585</v>
      </c>
      <c r="Q394" s="24" t="n">
        <f aca="false">IF(D394&gt;0,O394/D394-1,"")</f>
        <v>0.00477468755500787</v>
      </c>
      <c r="R394" s="23" t="n">
        <f aca="false">SQRT(SUMXMY2(Datos_Semanales!F394:K394,Datos_Semanales!M394:R394)/COUNT(Datos_Semanales!F394:K394))</f>
        <v>115.527603627878</v>
      </c>
    </row>
    <row r="395" customFormat="false" ht="15" hidden="false" customHeight="false" outlineLevel="0" collapsed="false">
      <c r="A395" s="18" t="n">
        <f aca="false">Datos_Semanales!A395</f>
        <v>30002085</v>
      </c>
      <c r="B395" s="18" t="str">
        <f aca="false">Datos_Semanales!B395</f>
        <v>YOG POTE ACTIVIA FLLA 24X140GR</v>
      </c>
      <c r="C395" s="18" t="str">
        <f aca="false">Datos_Semanales!C395</f>
        <v>YOGURT</v>
      </c>
      <c r="D395" s="23" t="n">
        <f aca="false">SUM(Datos_Semanales!F395:K395)</f>
        <v>3575.04</v>
      </c>
      <c r="E395" s="23" t="n">
        <f aca="false">AVERAGE(Datos_Semanales!F395:K395)</f>
        <v>595.84</v>
      </c>
      <c r="F395" s="23" t="n">
        <f aca="false">STDEV(Datos_Semanales!F395:K395)</f>
        <v>256.679956989244</v>
      </c>
      <c r="G395" s="27" t="n">
        <f aca="false">IF(E395&gt;0,F395/E395,"")</f>
        <v>0.430786716214493</v>
      </c>
      <c r="H395" s="24" t="n">
        <f aca="false">IF(SUM($D$5:$D$494)&gt;0,D395/SUM($D$5:$D$494),0)</f>
        <v>0.000149022998075346</v>
      </c>
      <c r="I395" s="24" t="n">
        <f aca="false">SUMIF($D$5:$D$494,"&gt;="&amp;D395)/SUM($D$5:$D$494)</f>
        <v>0.997656927529746</v>
      </c>
      <c r="J395" s="3" t="str">
        <f aca="false">IF(D395&lt;=0,"C",IF(I395&lt;=Parametros!$B$4,"A",IF(I395&lt;=Parametros!$B$5,"B","C")))</f>
        <v>C</v>
      </c>
      <c r="K395" s="3" t="str">
        <f aca="false">IF(E395&lt;=0,"Z",IF(G395&lt;=Parametros!$B$6,"X",IF(G395&lt;=Parametros!$B$7,"Y","Z")))</f>
        <v>X</v>
      </c>
      <c r="L395" s="3" t="str">
        <f aca="false">J395&amp;K395</f>
        <v>CX</v>
      </c>
      <c r="M395" s="3" t="str">
        <f aca="false">INDEX(Parametros!$B$23:$B$31,MATCH(L395,Parametros!$A$23:$A$31,0))</f>
        <v>Reposición simple mín/máx.</v>
      </c>
      <c r="N395" s="3" t="str">
        <f aca="false">INDEX(Parametros!$C$23:$C$31,MATCH(L395,Parametros!$A$23:$A$31,0))</f>
        <v>Trimestral</v>
      </c>
      <c r="O395" s="23" t="n">
        <f aca="false">SUM(Datos_Semanales!M395:R395)</f>
        <v>3603.12995024678</v>
      </c>
      <c r="P395" s="24" t="n">
        <f aca="false">IF(D395&gt;0,SUMPRODUCT(ABS(Datos_Semanales!F395:K395-Datos_Semanales!M395:R395))/D395,"")</f>
        <v>0.266497894064862</v>
      </c>
      <c r="Q395" s="24" t="n">
        <f aca="false">IF(D395&gt;0,O395/D395-1,"")</f>
        <v>0.00785724082717465</v>
      </c>
      <c r="R395" s="23" t="n">
        <f aca="false">SQRT(SUMXMY2(Datos_Semanales!F395:K395,Datos_Semanales!M395:R395)/COUNT(Datos_Semanales!F395:K395))</f>
        <v>211.577241265465</v>
      </c>
    </row>
    <row r="396" customFormat="false" ht="15" hidden="false" customHeight="false" outlineLevel="0" collapsed="false">
      <c r="A396" s="18" t="n">
        <f aca="false">Datos_Semanales!A396</f>
        <v>30000667</v>
      </c>
      <c r="B396" s="18" t="str">
        <f aca="false">Datos_Semanales!B396</f>
        <v>CREMA DE LENTEJAS WASIL 16X380GR</v>
      </c>
      <c r="C396" s="18" t="str">
        <f aca="false">Datos_Semanales!C396</f>
        <v>CONSERVAS Y PLATOS LISTOS</v>
      </c>
      <c r="D396" s="23" t="n">
        <f aca="false">SUM(Datos_Semanales!F396:K396)</f>
        <v>3550.72</v>
      </c>
      <c r="E396" s="23" t="n">
        <f aca="false">AVERAGE(Datos_Semanales!F396:K396)</f>
        <v>591.786666666667</v>
      </c>
      <c r="F396" s="23" t="n">
        <f aca="false">STDEV(Datos_Semanales!F396:K396)</f>
        <v>224.504909048035</v>
      </c>
      <c r="G396" s="27" t="n">
        <f aca="false">IF(E396&gt;0,F396/E396,"")</f>
        <v>0.379367974463831</v>
      </c>
      <c r="H396" s="24" t="n">
        <f aca="false">IF(SUM($D$5:$D$494)&gt;0,D396/SUM($D$5:$D$494),0)</f>
        <v>0.000148009236183677</v>
      </c>
      <c r="I396" s="24" t="n">
        <f aca="false">SUMIF($D$5:$D$494,"&gt;="&amp;D396)/SUM($D$5:$D$494)</f>
        <v>0.99780493676593</v>
      </c>
      <c r="J396" s="3" t="str">
        <f aca="false">IF(D396&lt;=0,"C",IF(I396&lt;=Parametros!$B$4,"A",IF(I396&lt;=Parametros!$B$5,"B","C")))</f>
        <v>C</v>
      </c>
      <c r="K396" s="3" t="str">
        <f aca="false">IF(E396&lt;=0,"Z",IF(G396&lt;=Parametros!$B$6,"X",IF(G396&lt;=Parametros!$B$7,"Y","Z")))</f>
        <v>X</v>
      </c>
      <c r="L396" s="3" t="str">
        <f aca="false">J396&amp;K396</f>
        <v>CX</v>
      </c>
      <c r="M396" s="3" t="str">
        <f aca="false">INDEX(Parametros!$B$23:$B$31,MATCH(L396,Parametros!$A$23:$A$31,0))</f>
        <v>Reposición simple mín/máx.</v>
      </c>
      <c r="N396" s="3" t="str">
        <f aca="false">INDEX(Parametros!$C$23:$C$31,MATCH(L396,Parametros!$A$23:$A$31,0))</f>
        <v>Trimestral</v>
      </c>
      <c r="O396" s="23" t="n">
        <f aca="false">SUM(Datos_Semanales!M396:R396)</f>
        <v>3967.68</v>
      </c>
      <c r="P396" s="24" t="n">
        <f aca="false">IF(D396&gt;0,SUMPRODUCT(ABS(Datos_Semanales!F396:K396-Datos_Semanales!M396:R396))/D396,"")</f>
        <v>0.308804974765681</v>
      </c>
      <c r="Q396" s="24" t="n">
        <f aca="false">IF(D396&gt;0,O396/D396-1,"")</f>
        <v>0.117429704397981</v>
      </c>
      <c r="R396" s="23" t="n">
        <f aca="false">SQRT(SUMXMY2(Datos_Semanales!F396:K396,Datos_Semanales!M396:R396)/COUNT(Datos_Semanales!F396:K396))</f>
        <v>217.944810139326</v>
      </c>
    </row>
    <row r="397" customFormat="false" ht="15" hidden="false" customHeight="false" outlineLevel="0" collapsed="false">
      <c r="A397" s="18" t="n">
        <f aca="false">Datos_Semanales!A397</f>
        <v>30001716</v>
      </c>
      <c r="B397" s="18" t="str">
        <f aca="false">Datos_Semanales!B397</f>
        <v>CREMA LISTA LONCO 18X250ML</v>
      </c>
      <c r="C397" s="18" t="str">
        <f aca="false">Datos_Semanales!C397</f>
        <v>CREMA</v>
      </c>
      <c r="D397" s="23" t="n">
        <f aca="false">SUM(Datos_Semanales!F397:K397)</f>
        <v>3510</v>
      </c>
      <c r="E397" s="23" t="n">
        <f aca="false">AVERAGE(Datos_Semanales!F397:K397)</f>
        <v>585</v>
      </c>
      <c r="F397" s="23" t="n">
        <f aca="false">STDEV(Datos_Semanales!F397:K397)</f>
        <v>424.214214754763</v>
      </c>
      <c r="G397" s="27" t="n">
        <f aca="false">IF(E397&gt;0,F397/E397,"")</f>
        <v>0.725152503854295</v>
      </c>
      <c r="H397" s="24" t="n">
        <f aca="false">IF(SUM($D$5:$D$494)&gt;0,D397/SUM($D$5:$D$494),0)</f>
        <v>0.000146311851963744</v>
      </c>
      <c r="I397" s="24" t="n">
        <f aca="false">SUMIF($D$5:$D$494,"&gt;="&amp;D397)/SUM($D$5:$D$494)</f>
        <v>0.997951248617894</v>
      </c>
      <c r="J397" s="3" t="str">
        <f aca="false">IF(D397&lt;=0,"C",IF(I397&lt;=Parametros!$B$4,"A",IF(I397&lt;=Parametros!$B$5,"B","C")))</f>
        <v>C</v>
      </c>
      <c r="K397" s="3" t="str">
        <f aca="false">IF(E397&lt;=0,"Z",IF(G397&lt;=Parametros!$B$6,"X",IF(G397&lt;=Parametros!$B$7,"Y","Z")))</f>
        <v>Y</v>
      </c>
      <c r="L397" s="3" t="str">
        <f aca="false">J397&amp;K397</f>
        <v>CY</v>
      </c>
      <c r="M397" s="3" t="str">
        <f aca="false">INDEX(Parametros!$B$23:$B$31,MATCH(L397,Parametros!$A$23:$A$31,0))</f>
        <v>Mín/máx con stock bajo; evaluar continuidad del SKU.</v>
      </c>
      <c r="N397" s="3" t="str">
        <f aca="false">INDEX(Parametros!$C$23:$C$31,MATCH(L397,Parametros!$A$23:$A$31,0))</f>
        <v>Mensual</v>
      </c>
      <c r="O397" s="23" t="n">
        <f aca="false">SUM(Datos_Semanales!M397:R397)</f>
        <v>6813.05208333333</v>
      </c>
      <c r="P397" s="24" t="n">
        <f aca="false">IF(D397&gt;0,SUMPRODUCT(ABS(Datos_Semanales!F397:K397-Datos_Semanales!M397:R397))/D397,"")</f>
        <v>1.16027124881292</v>
      </c>
      <c r="Q397" s="24" t="n">
        <f aca="false">IF(D397&gt;0,O397/D397-1,"")</f>
        <v>0.941040479582146</v>
      </c>
      <c r="R397" s="23" t="n">
        <f aca="false">SQRT(SUMXMY2(Datos_Semanales!F397:K397,Datos_Semanales!M397:R397)/COUNT(Datos_Semanales!F397:K397))</f>
        <v>751.634315130223</v>
      </c>
    </row>
    <row r="398" customFormat="false" ht="15" hidden="false" customHeight="false" outlineLevel="0" collapsed="false">
      <c r="A398" s="18" t="n">
        <f aca="false">Datos_Semanales!A398</f>
        <v>30001036</v>
      </c>
      <c r="B398" s="18" t="str">
        <f aca="false">Datos_Semanales!B398</f>
        <v>YOG DAN L&amp;F BOT FRUT 6X900GR</v>
      </c>
      <c r="C398" s="18" t="str">
        <f aca="false">Datos_Semanales!C398</f>
        <v>YOGURT</v>
      </c>
      <c r="D398" s="23" t="n">
        <f aca="false">SUM(Datos_Semanales!F398:K398)</f>
        <v>3391.2</v>
      </c>
      <c r="E398" s="23" t="n">
        <f aca="false">AVERAGE(Datos_Semanales!F398:K398)</f>
        <v>565.2</v>
      </c>
      <c r="F398" s="23" t="n">
        <f aca="false">STDEV(Datos_Semanales!F398:K398)</f>
        <v>161.374793570743</v>
      </c>
      <c r="G398" s="27" t="n">
        <f aca="false">IF(E398&gt;0,F398/E398,"")</f>
        <v>0.285518035333941</v>
      </c>
      <c r="H398" s="24" t="n">
        <f aca="false">IF(SUM($D$5:$D$494)&gt;0,D398/SUM($D$5:$D$494),0)</f>
        <v>0.000141359758512664</v>
      </c>
      <c r="I398" s="24" t="n">
        <f aca="false">SUMIF($D$5:$D$494,"&gt;="&amp;D398)/SUM($D$5:$D$494)</f>
        <v>0.998092608376406</v>
      </c>
      <c r="J398" s="3" t="str">
        <f aca="false">IF(D398&lt;=0,"C",IF(I398&lt;=Parametros!$B$4,"A",IF(I398&lt;=Parametros!$B$5,"B","C")))</f>
        <v>C</v>
      </c>
      <c r="K398" s="3" t="str">
        <f aca="false">IF(E398&lt;=0,"Z",IF(G398&lt;=Parametros!$B$6,"X",IF(G398&lt;=Parametros!$B$7,"Y","Z")))</f>
        <v>X</v>
      </c>
      <c r="L398" s="3" t="str">
        <f aca="false">J398&amp;K398</f>
        <v>CX</v>
      </c>
      <c r="M398" s="3" t="str">
        <f aca="false">INDEX(Parametros!$B$23:$B$31,MATCH(L398,Parametros!$A$23:$A$31,0))</f>
        <v>Reposición simple mín/máx.</v>
      </c>
      <c r="N398" s="3" t="str">
        <f aca="false">INDEX(Parametros!$C$23:$C$31,MATCH(L398,Parametros!$A$23:$A$31,0))</f>
        <v>Trimestral</v>
      </c>
      <c r="O398" s="23" t="n">
        <f aca="false">SUM(Datos_Semanales!M398:R398)</f>
        <v>3418.52542069489</v>
      </c>
      <c r="P398" s="24" t="n">
        <f aca="false">IF(D398&gt;0,SUMPRODUCT(ABS(Datos_Semanales!F398:K398-Datos_Semanales!M398:R398))/D398,"")</f>
        <v>0.382476618294686</v>
      </c>
      <c r="Q398" s="24" t="n">
        <f aca="false">IF(D398&gt;0,O398/D398-1,"")</f>
        <v>0.00805774377650659</v>
      </c>
      <c r="R398" s="23" t="n">
        <f aca="false">SQRT(SUMXMY2(Datos_Semanales!F398:K398,Datos_Semanales!M398:R398)/COUNT(Datos_Semanales!F398:K398))</f>
        <v>257.043116348206</v>
      </c>
    </row>
    <row r="399" customFormat="false" ht="15" hidden="false" customHeight="false" outlineLevel="0" collapsed="false">
      <c r="A399" s="18" t="n">
        <f aca="false">Datos_Semanales!A399</f>
        <v>30000494</v>
      </c>
      <c r="B399" s="18" t="str">
        <f aca="false">Datos_Semanales!B399</f>
        <v>YOG S/LACT LCO VAIN BOT 6X900GR</v>
      </c>
      <c r="C399" s="18" t="str">
        <f aca="false">Datos_Semanales!C399</f>
        <v>YOGURT</v>
      </c>
      <c r="D399" s="23" t="n">
        <f aca="false">SUM(Datos_Semanales!F399:K399)</f>
        <v>3083.4</v>
      </c>
      <c r="E399" s="23" t="n">
        <f aca="false">AVERAGE(Datos_Semanales!F399:K399)</f>
        <v>513.9</v>
      </c>
      <c r="F399" s="23" t="n">
        <f aca="false">STDEV(Datos_Semanales!F399:K399)</f>
        <v>439.699511029976</v>
      </c>
      <c r="G399" s="27" t="n">
        <f aca="false">IF(E399&gt;0,F399/E399,"")</f>
        <v>0.855612981183063</v>
      </c>
      <c r="H399" s="24" t="n">
        <f aca="false">IF(SUM($D$5:$D$494)&gt;0,D399/SUM($D$5:$D$494),0)</f>
        <v>0.000128529334571228</v>
      </c>
      <c r="I399" s="24" t="n">
        <f aca="false">SUMIF($D$5:$D$494,"&gt;="&amp;D399)/SUM($D$5:$D$494)</f>
        <v>0.998221137710978</v>
      </c>
      <c r="J399" s="3" t="str">
        <f aca="false">IF(D399&lt;=0,"C",IF(I399&lt;=Parametros!$B$4,"A",IF(I399&lt;=Parametros!$B$5,"B","C")))</f>
        <v>C</v>
      </c>
      <c r="K399" s="3" t="str">
        <f aca="false">IF(E399&lt;=0,"Z",IF(G399&lt;=Parametros!$B$6,"X",IF(G399&lt;=Parametros!$B$7,"Y","Z")))</f>
        <v>Y</v>
      </c>
      <c r="L399" s="3" t="str">
        <f aca="false">J399&amp;K399</f>
        <v>CY</v>
      </c>
      <c r="M399" s="3" t="str">
        <f aca="false">INDEX(Parametros!$B$23:$B$31,MATCH(L399,Parametros!$A$23:$A$31,0))</f>
        <v>Mín/máx con stock bajo; evaluar continuidad del SKU.</v>
      </c>
      <c r="N399" s="3" t="str">
        <f aca="false">INDEX(Parametros!$C$23:$C$31,MATCH(L399,Parametros!$A$23:$A$31,0))</f>
        <v>Mensual</v>
      </c>
      <c r="O399" s="23" t="n">
        <f aca="false">SUM(Datos_Semanales!M399:R399)</f>
        <v>5258.18920611449</v>
      </c>
      <c r="P399" s="24" t="n">
        <f aca="false">IF(D399&gt;0,SUMPRODUCT(ABS(Datos_Semanales!F399:K399-Datos_Semanales!M399:R399))/D399,"")</f>
        <v>0.963963532077491</v>
      </c>
      <c r="Q399" s="24" t="n">
        <f aca="false">IF(D399&gt;0,O399/D399-1,"")</f>
        <v>0.705321789620058</v>
      </c>
      <c r="R399" s="23" t="n">
        <f aca="false">SQRT(SUMXMY2(Datos_Semanales!F399:K399,Datos_Semanales!M399:R399)/COUNT(Datos_Semanales!F399:K399))</f>
        <v>536.328903624024</v>
      </c>
    </row>
    <row r="400" customFormat="false" ht="15" hidden="false" customHeight="false" outlineLevel="0" collapsed="false">
      <c r="A400" s="18" t="n">
        <f aca="false">Datos_Semanales!A400</f>
        <v>30000464</v>
      </c>
      <c r="B400" s="18" t="str">
        <f aca="false">Datos_Semanales!B400</f>
        <v>QUESO LPV RESERVA PREMIUM 1X10KG</v>
      </c>
      <c r="C400" s="18" t="str">
        <f aca="false">Datos_Semanales!C400</f>
        <v>QUESOS</v>
      </c>
      <c r="D400" s="23" t="n">
        <f aca="false">SUM(Datos_Semanales!F400:K400)</f>
        <v>3060</v>
      </c>
      <c r="E400" s="23" t="n">
        <f aca="false">AVERAGE(Datos_Semanales!F400:K400)</f>
        <v>510</v>
      </c>
      <c r="F400" s="23" t="n">
        <f aca="false">STDEV(Datos_Semanales!F400:K400)</f>
        <v>185.040536099526</v>
      </c>
      <c r="G400" s="27" t="n">
        <f aca="false">IF(E400&gt;0,F400/E400,"")</f>
        <v>0.362824580587306</v>
      </c>
      <c r="H400" s="24" t="n">
        <f aca="false">IF(SUM($D$5:$D$494)&gt;0,D400/SUM($D$5:$D$494),0)</f>
        <v>0.000127553922224803</v>
      </c>
      <c r="I400" s="24" t="n">
        <f aca="false">SUMIF($D$5:$D$494,"&gt;="&amp;D400)/SUM($D$5:$D$494)</f>
        <v>0.998348691633203</v>
      </c>
      <c r="J400" s="3" t="str">
        <f aca="false">IF(D400&lt;=0,"C",IF(I400&lt;=Parametros!$B$4,"A",IF(I400&lt;=Parametros!$B$5,"B","C")))</f>
        <v>C</v>
      </c>
      <c r="K400" s="3" t="str">
        <f aca="false">IF(E400&lt;=0,"Z",IF(G400&lt;=Parametros!$B$6,"X",IF(G400&lt;=Parametros!$B$7,"Y","Z")))</f>
        <v>X</v>
      </c>
      <c r="L400" s="3" t="str">
        <f aca="false">J400&amp;K400</f>
        <v>CX</v>
      </c>
      <c r="M400" s="3" t="str">
        <f aca="false">INDEX(Parametros!$B$23:$B$31,MATCH(L400,Parametros!$A$23:$A$31,0))</f>
        <v>Reposición simple mín/máx.</v>
      </c>
      <c r="N400" s="3" t="str">
        <f aca="false">INDEX(Parametros!$C$23:$C$31,MATCH(L400,Parametros!$A$23:$A$31,0))</f>
        <v>Trimestral</v>
      </c>
      <c r="O400" s="23" t="n">
        <f aca="false">SUM(Datos_Semanales!M400:R400)</f>
        <v>6911.46561527128</v>
      </c>
      <c r="P400" s="24" t="n">
        <f aca="false">IF(D400&gt;0,SUMPRODUCT(ABS(Datos_Semanales!F400:K400-Datos_Semanales!M400:R400))/D400,"")</f>
        <v>1.2586488938795</v>
      </c>
      <c r="Q400" s="24" t="n">
        <f aca="false">IF(D400&gt;0,O400/D400-1,"")</f>
        <v>1.2586488938795</v>
      </c>
      <c r="R400" s="23" t="n">
        <f aca="false">SQRT(SUMXMY2(Datos_Semanales!F400:K400,Datos_Semanales!M400:R400)/COUNT(Datos_Semanales!F400:K400))</f>
        <v>695.414467570515</v>
      </c>
    </row>
    <row r="401" customFormat="false" ht="15" hidden="false" customHeight="false" outlineLevel="0" collapsed="false">
      <c r="A401" s="18" t="n">
        <f aca="false">Datos_Semanales!A401</f>
        <v>30000495</v>
      </c>
      <c r="B401" s="18" t="str">
        <f aca="false">Datos_Semanales!B401</f>
        <v>YOG S/LACT LCO CHIRI BOT 6X900GR</v>
      </c>
      <c r="C401" s="18" t="str">
        <f aca="false">Datos_Semanales!C401</f>
        <v>YOGURT</v>
      </c>
      <c r="D401" s="23" t="n">
        <f aca="false">SUM(Datos_Semanales!F401:K401)</f>
        <v>2818.8</v>
      </c>
      <c r="E401" s="23" t="n">
        <f aca="false">AVERAGE(Datos_Semanales!F401:K401)</f>
        <v>469.8</v>
      </c>
      <c r="F401" s="23" t="n">
        <f aca="false">STDEV(Datos_Semanales!F401:K401)</f>
        <v>422.761720121394</v>
      </c>
      <c r="G401" s="27" t="n">
        <f aca="false">IF(E401&gt;0,F401/E401,"")</f>
        <v>0.899875947469975</v>
      </c>
      <c r="H401" s="24" t="n">
        <f aca="false">IF(SUM($D$5:$D$494)&gt;0,D401/SUM($D$5:$D$494),0)</f>
        <v>0.00011749967188473</v>
      </c>
      <c r="I401" s="24" t="n">
        <f aca="false">SUMIF($D$5:$D$494,"&gt;="&amp;D401)/SUM($D$5:$D$494)</f>
        <v>0.998466191305087</v>
      </c>
      <c r="J401" s="3" t="str">
        <f aca="false">IF(D401&lt;=0,"C",IF(I401&lt;=Parametros!$B$4,"A",IF(I401&lt;=Parametros!$B$5,"B","C")))</f>
        <v>C</v>
      </c>
      <c r="K401" s="3" t="str">
        <f aca="false">IF(E401&lt;=0,"Z",IF(G401&lt;=Parametros!$B$6,"X",IF(G401&lt;=Parametros!$B$7,"Y","Z")))</f>
        <v>Y</v>
      </c>
      <c r="L401" s="3" t="str">
        <f aca="false">J401&amp;K401</f>
        <v>CY</v>
      </c>
      <c r="M401" s="3" t="str">
        <f aca="false">INDEX(Parametros!$B$23:$B$31,MATCH(L401,Parametros!$A$23:$A$31,0))</f>
        <v>Mín/máx con stock bajo; evaluar continuidad del SKU.</v>
      </c>
      <c r="N401" s="3" t="str">
        <f aca="false">INDEX(Parametros!$C$23:$C$31,MATCH(L401,Parametros!$A$23:$A$31,0))</f>
        <v>Mensual</v>
      </c>
      <c r="O401" s="23" t="n">
        <f aca="false">SUM(Datos_Semanales!M401:R401)</f>
        <v>3068.43681142149</v>
      </c>
      <c r="P401" s="24" t="n">
        <f aca="false">IF(D401&gt;0,SUMPRODUCT(ABS(Datos_Semanales!F401:K401-Datos_Semanales!M401:R401))/D401,"")</f>
        <v>0.585625001325723</v>
      </c>
      <c r="Q401" s="24" t="n">
        <f aca="false">IF(D401&gt;0,O401/D401-1,"")</f>
        <v>0.0885613776860668</v>
      </c>
      <c r="R401" s="23" t="n">
        <f aca="false">SQRT(SUMXMY2(Datos_Semanales!F401:K401,Datos_Semanales!M401:R401)/COUNT(Datos_Semanales!F401:K401))</f>
        <v>302.296071819679</v>
      </c>
    </row>
    <row r="402" customFormat="false" ht="15" hidden="false" customHeight="false" outlineLevel="0" collapsed="false">
      <c r="A402" s="18" t="n">
        <f aca="false">Datos_Semanales!A402</f>
        <v>30001037</v>
      </c>
      <c r="B402" s="18" t="str">
        <f aca="false">Datos_Semanales!B402</f>
        <v>YOG DAN L&amp;F BOT NAT 6X900GR</v>
      </c>
      <c r="C402" s="18" t="str">
        <f aca="false">Datos_Semanales!C402</f>
        <v>YOGURT</v>
      </c>
      <c r="D402" s="23" t="n">
        <f aca="false">SUM(Datos_Semanales!F402:K402)</f>
        <v>2786.4</v>
      </c>
      <c r="E402" s="23" t="n">
        <f aca="false">AVERAGE(Datos_Semanales!F402:K402)</f>
        <v>464.4</v>
      </c>
      <c r="F402" s="23" t="n">
        <f aca="false">STDEV(Datos_Semanales!F402:K402)</f>
        <v>127.192641296578</v>
      </c>
      <c r="G402" s="27" t="n">
        <f aca="false">IF(E402&gt;0,F402/E402,"")</f>
        <v>0.273885963170926</v>
      </c>
      <c r="H402" s="24" t="n">
        <f aca="false">IF(SUM($D$5:$D$494)&gt;0,D402/SUM($D$5:$D$494),0)</f>
        <v>0.000116149100943526</v>
      </c>
      <c r="I402" s="24" t="n">
        <f aca="false">SUMIF($D$5:$D$494,"&gt;="&amp;D402)/SUM($D$5:$D$494)</f>
        <v>0.998582340406031</v>
      </c>
      <c r="J402" s="3" t="str">
        <f aca="false">IF(D402&lt;=0,"C",IF(I402&lt;=Parametros!$B$4,"A",IF(I402&lt;=Parametros!$B$5,"B","C")))</f>
        <v>C</v>
      </c>
      <c r="K402" s="3" t="str">
        <f aca="false">IF(E402&lt;=0,"Z",IF(G402&lt;=Parametros!$B$6,"X",IF(G402&lt;=Parametros!$B$7,"Y","Z")))</f>
        <v>X</v>
      </c>
      <c r="L402" s="3" t="str">
        <f aca="false">J402&amp;K402</f>
        <v>CX</v>
      </c>
      <c r="M402" s="3" t="str">
        <f aca="false">INDEX(Parametros!$B$23:$B$31,MATCH(L402,Parametros!$A$23:$A$31,0))</f>
        <v>Reposición simple mín/máx.</v>
      </c>
      <c r="N402" s="3" t="str">
        <f aca="false">INDEX(Parametros!$C$23:$C$31,MATCH(L402,Parametros!$A$23:$A$31,0))</f>
        <v>Trimestral</v>
      </c>
      <c r="O402" s="23" t="n">
        <f aca="false">SUM(Datos_Semanales!M402:R402)</f>
        <v>2409.58545507787</v>
      </c>
      <c r="P402" s="24" t="n">
        <f aca="false">IF(D402&gt;0,SUMPRODUCT(ABS(Datos_Semanales!F402:K402-Datos_Semanales!M402:R402))/D402,"")</f>
        <v>0.534242700285347</v>
      </c>
      <c r="Q402" s="24" t="n">
        <f aca="false">IF(D402&gt;0,O402/D402-1,"")</f>
        <v>-0.135233471476503</v>
      </c>
      <c r="R402" s="23" t="n">
        <f aca="false">SQRT(SUMXMY2(Datos_Semanales!F402:K402,Datos_Semanales!M402:R402)/COUNT(Datos_Semanales!F402:K402))</f>
        <v>322.781964613247</v>
      </c>
    </row>
    <row r="403" customFormat="false" ht="15" hidden="false" customHeight="false" outlineLevel="0" collapsed="false">
      <c r="A403" s="18" t="n">
        <f aca="false">Datos_Semanales!A403</f>
        <v>30000251</v>
      </c>
      <c r="B403" s="18" t="str">
        <f aca="false">Datos_Semanales!B403</f>
        <v>NEC W SELECCION GUAYABA 6X1LT</v>
      </c>
      <c r="C403" s="18" t="str">
        <f aca="false">Datos_Semanales!C403</f>
        <v>JUGOS Y NECTARES</v>
      </c>
      <c r="D403" s="23" t="n">
        <f aca="false">SUM(Datos_Semanales!F403:K403)</f>
        <v>2694</v>
      </c>
      <c r="E403" s="23" t="n">
        <f aca="false">AVERAGE(Datos_Semanales!F403:K403)</f>
        <v>449</v>
      </c>
      <c r="F403" s="23" t="n">
        <f aca="false">STDEV(Datos_Semanales!F403:K403)</f>
        <v>335.172194550801</v>
      </c>
      <c r="G403" s="27" t="n">
        <f aca="false">IF(E403&gt;0,F403/E403,"")</f>
        <v>0.746485956683298</v>
      </c>
      <c r="H403" s="24" t="n">
        <f aca="false">IF(SUM($D$5:$D$494)&gt;0,D403/SUM($D$5:$D$494),0)</f>
        <v>0.000112297472703797</v>
      </c>
      <c r="I403" s="24" t="n">
        <f aca="false">SUMIF($D$5:$D$494,"&gt;="&amp;D403)/SUM($D$5:$D$494)</f>
        <v>0.998694637878735</v>
      </c>
      <c r="J403" s="3" t="str">
        <f aca="false">IF(D403&lt;=0,"C",IF(I403&lt;=Parametros!$B$4,"A",IF(I403&lt;=Parametros!$B$5,"B","C")))</f>
        <v>C</v>
      </c>
      <c r="K403" s="3" t="str">
        <f aca="false">IF(E403&lt;=0,"Z",IF(G403&lt;=Parametros!$B$6,"X",IF(G403&lt;=Parametros!$B$7,"Y","Z")))</f>
        <v>Y</v>
      </c>
      <c r="L403" s="3" t="str">
        <f aca="false">J403&amp;K403</f>
        <v>CY</v>
      </c>
      <c r="M403" s="3" t="str">
        <f aca="false">INDEX(Parametros!$B$23:$B$31,MATCH(L403,Parametros!$A$23:$A$31,0))</f>
        <v>Mín/máx con stock bajo; evaluar continuidad del SKU.</v>
      </c>
      <c r="N403" s="3" t="str">
        <f aca="false">INDEX(Parametros!$C$23:$C$31,MATCH(L403,Parametros!$A$23:$A$31,0))</f>
        <v>Mensual</v>
      </c>
      <c r="O403" s="23" t="n">
        <f aca="false">SUM(Datos_Semanales!M403:R403)</f>
        <v>3349.68248143472</v>
      </c>
      <c r="P403" s="24" t="n">
        <f aca="false">IF(D403&gt;0,SUMPRODUCT(ABS(Datos_Semanales!F403:K403-Datos_Semanales!M403:R403))/D403,"")</f>
        <v>0.469573599253571</v>
      </c>
      <c r="Q403" s="24" t="n">
        <f aca="false">IF(D403&gt;0,O403/D403-1,"")</f>
        <v>0.243386221764928</v>
      </c>
      <c r="R403" s="23" t="n">
        <f aca="false">SQRT(SUMXMY2(Datos_Semanales!F403:K403,Datos_Semanales!M403:R403)/COUNT(Datos_Semanales!F403:K403))</f>
        <v>256.88981652565</v>
      </c>
    </row>
    <row r="404" customFormat="false" ht="15" hidden="false" customHeight="false" outlineLevel="0" collapsed="false">
      <c r="A404" s="18" t="n">
        <f aca="false">Datos_Semanales!A404</f>
        <v>30000542</v>
      </c>
      <c r="B404" s="18" t="str">
        <f aca="false">Datos_Semanales!B404</f>
        <v>LONCO EXT PROT POLVO 14X550GR</v>
      </c>
      <c r="C404" s="18" t="str">
        <f aca="false">Datos_Semanales!C404</f>
        <v>LECHES EN POLVO</v>
      </c>
      <c r="D404" s="23" t="n">
        <f aca="false">SUM(Datos_Semanales!F404:K404)</f>
        <v>2517.9</v>
      </c>
      <c r="E404" s="23" t="n">
        <f aca="false">AVERAGE(Datos_Semanales!F404:K404)</f>
        <v>419.65</v>
      </c>
      <c r="F404" s="23" t="n">
        <f aca="false">STDEV(Datos_Semanales!F404:K404)</f>
        <v>280.548525214445</v>
      </c>
      <c r="G404" s="27" t="n">
        <f aca="false">IF(E404&gt;0,F404/E404,"")</f>
        <v>0.668529787238043</v>
      </c>
      <c r="H404" s="24" t="n">
        <f aca="false">IF(SUM($D$5:$D$494)&gt;0,D404/SUM($D$5:$D$494),0)</f>
        <v>0.000104956869532624</v>
      </c>
      <c r="I404" s="24" t="n">
        <f aca="false">SUMIF($D$5:$D$494,"&gt;="&amp;D404)/SUM($D$5:$D$494)</f>
        <v>0.998799594748267</v>
      </c>
      <c r="J404" s="3" t="str">
        <f aca="false">IF(D404&lt;=0,"C",IF(I404&lt;=Parametros!$B$4,"A",IF(I404&lt;=Parametros!$B$5,"B","C")))</f>
        <v>C</v>
      </c>
      <c r="K404" s="3" t="str">
        <f aca="false">IF(E404&lt;=0,"Z",IF(G404&lt;=Parametros!$B$6,"X",IF(G404&lt;=Parametros!$B$7,"Y","Z")))</f>
        <v>Y</v>
      </c>
      <c r="L404" s="3" t="str">
        <f aca="false">J404&amp;K404</f>
        <v>CY</v>
      </c>
      <c r="M404" s="3" t="str">
        <f aca="false">INDEX(Parametros!$B$23:$B$31,MATCH(L404,Parametros!$A$23:$A$31,0))</f>
        <v>Mín/máx con stock bajo; evaluar continuidad del SKU.</v>
      </c>
      <c r="N404" s="3" t="str">
        <f aca="false">INDEX(Parametros!$C$23:$C$31,MATCH(L404,Parametros!$A$23:$A$31,0))</f>
        <v>Mensual</v>
      </c>
      <c r="O404" s="23" t="n">
        <f aca="false">SUM(Datos_Semanales!M404:R404)</f>
        <v>3665.67952393219</v>
      </c>
      <c r="P404" s="24" t="n">
        <f aca="false">IF(D404&gt;0,SUMPRODUCT(ABS(Datos_Semanales!F404:K404-Datos_Semanales!M404:R404))/D404,"")</f>
        <v>0.608418302526784</v>
      </c>
      <c r="Q404" s="24" t="n">
        <f aca="false">IF(D404&gt;0,O404/D404-1,"")</f>
        <v>0.455847938334402</v>
      </c>
      <c r="R404" s="23" t="n">
        <f aca="false">SQRT(SUMXMY2(Datos_Semanales!F404:K404,Datos_Semanales!M404:R404)/COUNT(Datos_Semanales!F404:K404))</f>
        <v>334.560826845909</v>
      </c>
    </row>
    <row r="405" customFormat="false" ht="15" hidden="false" customHeight="false" outlineLevel="0" collapsed="false">
      <c r="A405" s="18" t="n">
        <f aca="false">Datos_Semanales!A405</f>
        <v>30000665</v>
      </c>
      <c r="B405" s="18" t="str">
        <f aca="false">Datos_Semanales!B405</f>
        <v>CREMA DE ESPARRAGOS 16X380GR</v>
      </c>
      <c r="C405" s="18" t="str">
        <f aca="false">Datos_Semanales!C405</f>
        <v>CONSERVAS Y PLATOS LISTOS</v>
      </c>
      <c r="D405" s="23" t="n">
        <f aca="false">SUM(Datos_Semanales!F405:K405)</f>
        <v>2425.92</v>
      </c>
      <c r="E405" s="23" t="n">
        <f aca="false">AVERAGE(Datos_Semanales!F405:K405)</f>
        <v>404.32</v>
      </c>
      <c r="F405" s="23" t="n">
        <f aca="false">STDEV(Datos_Semanales!F405:K405)</f>
        <v>297.951018793358</v>
      </c>
      <c r="G405" s="27" t="n">
        <f aca="false">IF(E405&gt;0,F405/E405,"")</f>
        <v>0.736918823687569</v>
      </c>
      <c r="H405" s="24" t="n">
        <f aca="false">IF(SUM($D$5:$D$494)&gt;0,D405/SUM($D$5:$D$494),0)</f>
        <v>0.000101122748693985</v>
      </c>
      <c r="I405" s="24" t="n">
        <f aca="false">SUMIF($D$5:$D$494,"&gt;="&amp;D405)/SUM($D$5:$D$494)</f>
        <v>0.998900717496961</v>
      </c>
      <c r="J405" s="3" t="str">
        <f aca="false">IF(D405&lt;=0,"C",IF(I405&lt;=Parametros!$B$4,"A",IF(I405&lt;=Parametros!$B$5,"B","C")))</f>
        <v>C</v>
      </c>
      <c r="K405" s="3" t="str">
        <f aca="false">IF(E405&lt;=0,"Z",IF(G405&lt;=Parametros!$B$6,"X",IF(G405&lt;=Parametros!$B$7,"Y","Z")))</f>
        <v>Y</v>
      </c>
      <c r="L405" s="3" t="str">
        <f aca="false">J405&amp;K405</f>
        <v>CY</v>
      </c>
      <c r="M405" s="3" t="str">
        <f aca="false">INDEX(Parametros!$B$23:$B$31,MATCH(L405,Parametros!$A$23:$A$31,0))</f>
        <v>Mín/máx con stock bajo; evaluar continuidad del SKU.</v>
      </c>
      <c r="N405" s="3" t="str">
        <f aca="false">INDEX(Parametros!$C$23:$C$31,MATCH(L405,Parametros!$A$23:$A$31,0))</f>
        <v>Mensual</v>
      </c>
      <c r="O405" s="23" t="n">
        <f aca="false">SUM(Datos_Semanales!M405:R405)</f>
        <v>1912</v>
      </c>
      <c r="P405" s="24" t="n">
        <f aca="false">IF(D405&gt;0,SUMPRODUCT(ABS(Datos_Semanales!F405:K405-Datos_Semanales!M405:R405))/D405,"")</f>
        <v>0.404695950402322</v>
      </c>
      <c r="Q405" s="24" t="n">
        <f aca="false">IF(D405&gt;0,O405/D405-1,"")</f>
        <v>-0.211845402981137</v>
      </c>
      <c r="R405" s="23" t="n">
        <f aca="false">SQRT(SUMXMY2(Datos_Semanales!F405:K405,Datos_Semanales!M405:R405)/COUNT(Datos_Semanales!F405:K405))</f>
        <v>268.021896617919</v>
      </c>
    </row>
    <row r="406" customFormat="false" ht="15" hidden="false" customHeight="false" outlineLevel="0" collapsed="false">
      <c r="A406" s="18" t="n">
        <f aca="false">Datos_Semanales!A406</f>
        <v>30001527</v>
      </c>
      <c r="B406" s="18" t="str">
        <f aca="false">Datos_Semanales!B406</f>
        <v>SALSA WASIL BOLOGNESA VEGGIE 16X340 TTR</v>
      </c>
      <c r="C406" s="18" t="str">
        <f aca="false">Datos_Semanales!C406</f>
        <v>SALSAS</v>
      </c>
      <c r="D406" s="23" t="n">
        <f aca="false">SUM(Datos_Semanales!F406:K406)</f>
        <v>2382.72</v>
      </c>
      <c r="E406" s="23" t="n">
        <f aca="false">AVERAGE(Datos_Semanales!F406:K406)</f>
        <v>397.12</v>
      </c>
      <c r="F406" s="23" t="n">
        <f aca="false">STDEV(Datos_Semanales!F406:K406)</f>
        <v>306.904724759982</v>
      </c>
      <c r="G406" s="27" t="n">
        <f aca="false">IF(E406&gt;0,F406/E406,"")</f>
        <v>0.772826160253781</v>
      </c>
      <c r="H406" s="24" t="n">
        <f aca="false">IF(SUM($D$5:$D$494)&gt;0,D406/SUM($D$5:$D$494),0)</f>
        <v>9.93219874390462E-005</v>
      </c>
      <c r="I406" s="24" t="n">
        <f aca="false">SUMIF($D$5:$D$494,"&gt;="&amp;D406)/SUM($D$5:$D$494)</f>
        <v>0.9990000394844</v>
      </c>
      <c r="J406" s="3" t="str">
        <f aca="false">IF(D406&lt;=0,"C",IF(I406&lt;=Parametros!$B$4,"A",IF(I406&lt;=Parametros!$B$5,"B","C")))</f>
        <v>C</v>
      </c>
      <c r="K406" s="3" t="str">
        <f aca="false">IF(E406&lt;=0,"Z",IF(G406&lt;=Parametros!$B$6,"X",IF(G406&lt;=Parametros!$B$7,"Y","Z")))</f>
        <v>Y</v>
      </c>
      <c r="L406" s="3" t="str">
        <f aca="false">J406&amp;K406</f>
        <v>CY</v>
      </c>
      <c r="M406" s="3" t="str">
        <f aca="false">INDEX(Parametros!$B$23:$B$31,MATCH(L406,Parametros!$A$23:$A$31,0))</f>
        <v>Mín/máx con stock bajo; evaluar continuidad del SKU.</v>
      </c>
      <c r="N406" s="3" t="str">
        <f aca="false">INDEX(Parametros!$C$23:$C$31,MATCH(L406,Parametros!$A$23:$A$31,0))</f>
        <v>Mensual</v>
      </c>
      <c r="O406" s="23" t="n">
        <f aca="false">SUM(Datos_Semanales!M406:R406)</f>
        <v>1931.6</v>
      </c>
      <c r="P406" s="24" t="n">
        <f aca="false">IF(D406&gt;0,SUMPRODUCT(ABS(Datos_Semanales!F406:K406-Datos_Semanales!M406:R406))/D406,"")</f>
        <v>0.827793446145582</v>
      </c>
      <c r="Q406" s="24" t="n">
        <f aca="false">IF(D406&gt;0,O406/D406-1,"")</f>
        <v>-0.189329841525651</v>
      </c>
      <c r="R406" s="23" t="n">
        <f aca="false">SQRT(SUMXMY2(Datos_Semanales!F406:K406,Datos_Semanales!M406:R406)/COUNT(Datos_Semanales!F406:K406))</f>
        <v>409.309492682493</v>
      </c>
    </row>
    <row r="407" customFormat="false" ht="15" hidden="false" customHeight="false" outlineLevel="0" collapsed="false">
      <c r="A407" s="18" t="n">
        <f aca="false">Datos_Semanales!A407</f>
        <v>30001820</v>
      </c>
      <c r="B407" s="18" t="str">
        <f aca="false">Datos_Semanales!B407</f>
        <v>CURRY DE GARBANZOS 16X380G</v>
      </c>
      <c r="C407" s="18" t="str">
        <f aca="false">Datos_Semanales!C407</f>
        <v>CONSERVAS Y PLATOS LISTOS</v>
      </c>
      <c r="D407" s="23" t="n">
        <f aca="false">SUM(Datos_Semanales!F407:K407)</f>
        <v>2194.88</v>
      </c>
      <c r="E407" s="23" t="n">
        <f aca="false">AVERAGE(Datos_Semanales!F407:K407)</f>
        <v>365.813333333333</v>
      </c>
      <c r="F407" s="23" t="n">
        <f aca="false">STDEV(Datos_Semanales!F407:K407)</f>
        <v>211.961624702838</v>
      </c>
      <c r="G407" s="27" t="n">
        <f aca="false">IF(E407&gt;0,F407/E407,"")</f>
        <v>0.579425639769385</v>
      </c>
      <c r="H407" s="24" t="n">
        <f aca="false">IF(SUM($D$5:$D$494)&gt;0,D407/SUM($D$5:$D$494),0)</f>
        <v>9.1492010723129E-005</v>
      </c>
      <c r="I407" s="24" t="n">
        <f aca="false">SUMIF($D$5:$D$494,"&gt;="&amp;D407)/SUM($D$5:$D$494)</f>
        <v>0.999091531495123</v>
      </c>
      <c r="J407" s="3" t="str">
        <f aca="false">IF(D407&lt;=0,"C",IF(I407&lt;=Parametros!$B$4,"A",IF(I407&lt;=Parametros!$B$5,"B","C")))</f>
        <v>C</v>
      </c>
      <c r="K407" s="3" t="str">
        <f aca="false">IF(E407&lt;=0,"Z",IF(G407&lt;=Parametros!$B$6,"X",IF(G407&lt;=Parametros!$B$7,"Y","Z")))</f>
        <v>Y</v>
      </c>
      <c r="L407" s="3" t="str">
        <f aca="false">J407&amp;K407</f>
        <v>CY</v>
      </c>
      <c r="M407" s="3" t="str">
        <f aca="false">INDEX(Parametros!$B$23:$B$31,MATCH(L407,Parametros!$A$23:$A$31,0))</f>
        <v>Mín/máx con stock bajo; evaluar continuidad del SKU.</v>
      </c>
      <c r="N407" s="3" t="str">
        <f aca="false">INDEX(Parametros!$C$23:$C$31,MATCH(L407,Parametros!$A$23:$A$31,0))</f>
        <v>Mensual</v>
      </c>
      <c r="O407" s="23" t="n">
        <f aca="false">SUM(Datos_Semanales!M407:R407)</f>
        <v>3458.44</v>
      </c>
      <c r="P407" s="24" t="n">
        <f aca="false">IF(D407&gt;0,SUMPRODUCT(ABS(Datos_Semanales!F407:K407-Datos_Semanales!M407:R407))/D407,"")</f>
        <v>0.656236331826797</v>
      </c>
      <c r="Q407" s="24" t="n">
        <f aca="false">IF(D407&gt;0,O407/D407-1,"")</f>
        <v>0.575685231083248</v>
      </c>
      <c r="R407" s="23" t="n">
        <f aca="false">SQRT(SUMXMY2(Datos_Semanales!F407:K407,Datos_Semanales!M407:R407)/COUNT(Datos_Semanales!F407:K407))</f>
        <v>269.748037002434</v>
      </c>
    </row>
    <row r="408" customFormat="false" ht="15" hidden="false" customHeight="false" outlineLevel="0" collapsed="false">
      <c r="A408" s="18" t="n">
        <f aca="false">Datos_Semanales!A408</f>
        <v>30002046</v>
      </c>
      <c r="B408" s="18" t="str">
        <f aca="false">Datos_Semanales!B408</f>
        <v>ACEITE CHEF EXTRAVIRGEN SPRAY 12X180ML</v>
      </c>
      <c r="C408" s="18" t="str">
        <f aca="false">Datos_Semanales!C408</f>
        <v>ACEITES</v>
      </c>
      <c r="D408" s="23" t="n">
        <f aca="false">SUM(Datos_Semanales!F408:K408)</f>
        <v>2112.66</v>
      </c>
      <c r="E408" s="23" t="n">
        <f aca="false">AVERAGE(Datos_Semanales!F408:K408)</f>
        <v>352.11</v>
      </c>
      <c r="F408" s="23" t="n">
        <f aca="false">STDEV(Datos_Semanales!F408:K408)</f>
        <v>112.323197069884</v>
      </c>
      <c r="G408" s="27" t="n">
        <f aca="false">IF(E408&gt;0,F408/E408,"")</f>
        <v>0.319000304080782</v>
      </c>
      <c r="H408" s="24" t="n">
        <f aca="false">IF(SUM($D$5:$D$494)&gt;0,D408/SUM($D$5:$D$494),0)</f>
        <v>8.80647285383828E-005</v>
      </c>
      <c r="I408" s="24" t="n">
        <f aca="false">SUMIF($D$5:$D$494,"&gt;="&amp;D408)/SUM($D$5:$D$494)</f>
        <v>0.999179596223662</v>
      </c>
      <c r="J408" s="3" t="str">
        <f aca="false">IF(D408&lt;=0,"C",IF(I408&lt;=Parametros!$B$4,"A",IF(I408&lt;=Parametros!$B$5,"B","C")))</f>
        <v>C</v>
      </c>
      <c r="K408" s="3" t="str">
        <f aca="false">IF(E408&lt;=0,"Z",IF(G408&lt;=Parametros!$B$6,"X",IF(G408&lt;=Parametros!$B$7,"Y","Z")))</f>
        <v>X</v>
      </c>
      <c r="L408" s="3" t="str">
        <f aca="false">J408&amp;K408</f>
        <v>CX</v>
      </c>
      <c r="M408" s="3" t="str">
        <f aca="false">INDEX(Parametros!$B$23:$B$31,MATCH(L408,Parametros!$A$23:$A$31,0))</f>
        <v>Reposición simple mín/máx.</v>
      </c>
      <c r="N408" s="3" t="str">
        <f aca="false">INDEX(Parametros!$C$23:$C$31,MATCH(L408,Parametros!$A$23:$A$31,0))</f>
        <v>Trimestral</v>
      </c>
      <c r="O408" s="23" t="n">
        <f aca="false">SUM(Datos_Semanales!M408:R408)</f>
        <v>2528.58</v>
      </c>
      <c r="P408" s="24" t="n">
        <f aca="false">IF(D408&gt;0,SUMPRODUCT(ABS(Datos_Semanales!F408:K408-Datos_Semanales!M408:R408))/D408,"")</f>
        <v>0.243238381945036</v>
      </c>
      <c r="Q408" s="24" t="n">
        <f aca="false">IF(D408&gt;0,O408/D408-1,"")</f>
        <v>0.196870296214251</v>
      </c>
      <c r="R408" s="23" t="n">
        <f aca="false">SQRT(SUMXMY2(Datos_Semanales!F408:K408,Datos_Semanales!M408:R408)/COUNT(Datos_Semanales!F408:K408))</f>
        <v>109.192808065977</v>
      </c>
    </row>
    <row r="409" customFormat="false" ht="15" hidden="false" customHeight="false" outlineLevel="0" collapsed="false">
      <c r="A409" s="18" t="n">
        <f aca="false">Datos_Semanales!A409</f>
        <v>30001363</v>
      </c>
      <c r="B409" s="18" t="str">
        <f aca="false">Datos_Semanales!B409</f>
        <v>ACEITE CHEF EXTRAVIRGEN 12X250ML</v>
      </c>
      <c r="C409" s="18" t="str">
        <f aca="false">Datos_Semanales!C409</f>
        <v>ACEITES</v>
      </c>
      <c r="D409" s="23" t="n">
        <f aca="false">SUM(Datos_Semanales!F409:K409)</f>
        <v>2097.6</v>
      </c>
      <c r="E409" s="23" t="n">
        <f aca="false">AVERAGE(Datos_Semanales!F409:K409)</f>
        <v>349.6</v>
      </c>
      <c r="F409" s="23" t="n">
        <f aca="false">STDEV(Datos_Semanales!F409:K409)</f>
        <v>203.826825319927</v>
      </c>
      <c r="G409" s="27" t="n">
        <f aca="false">IF(E409&gt;0,F409/E409,"")</f>
        <v>0.583028676544413</v>
      </c>
      <c r="H409" s="24" t="n">
        <f aca="false">IF(SUM($D$5:$D$494)&gt;0,D409/SUM($D$5:$D$494),0)</f>
        <v>8.74369631564529E-005</v>
      </c>
      <c r="I409" s="24" t="n">
        <f aca="false">SUMIF($D$5:$D$494,"&gt;="&amp;D409)/SUM($D$5:$D$494)</f>
        <v>0.999267033186818</v>
      </c>
      <c r="J409" s="3" t="str">
        <f aca="false">IF(D409&lt;=0,"C",IF(I409&lt;=Parametros!$B$4,"A",IF(I409&lt;=Parametros!$B$5,"B","C")))</f>
        <v>C</v>
      </c>
      <c r="K409" s="3" t="str">
        <f aca="false">IF(E409&lt;=0,"Z",IF(G409&lt;=Parametros!$B$6,"X",IF(G409&lt;=Parametros!$B$7,"Y","Z")))</f>
        <v>Y</v>
      </c>
      <c r="L409" s="3" t="str">
        <f aca="false">J409&amp;K409</f>
        <v>CY</v>
      </c>
      <c r="M409" s="3" t="str">
        <f aca="false">INDEX(Parametros!$B$23:$B$31,MATCH(L409,Parametros!$A$23:$A$31,0))</f>
        <v>Mín/máx con stock bajo; evaluar continuidad del SKU.</v>
      </c>
      <c r="N409" s="3" t="str">
        <f aca="false">INDEX(Parametros!$C$23:$C$31,MATCH(L409,Parametros!$A$23:$A$31,0))</f>
        <v>Mensual</v>
      </c>
      <c r="O409" s="23" t="n">
        <f aca="false">SUM(Datos_Semanales!M409:R409)</f>
        <v>3426.2</v>
      </c>
      <c r="P409" s="24" t="n">
        <f aca="false">IF(D409&gt;0,SUMPRODUCT(ABS(Datos_Semanales!F409:K409-Datos_Semanales!M409:R409))/D409,"")</f>
        <v>0.840446224256293</v>
      </c>
      <c r="Q409" s="24" t="n">
        <f aca="false">IF(D409&gt;0,O409/D409-1,"")</f>
        <v>0.63339054157132</v>
      </c>
      <c r="R409" s="23" t="n">
        <f aca="false">SQRT(SUMXMY2(Datos_Semanales!F409:K409,Datos_Semanales!M409:R409)/COUNT(Datos_Semanales!F409:K409))</f>
        <v>324.603790900024</v>
      </c>
    </row>
    <row r="410" customFormat="false" ht="15" hidden="false" customHeight="false" outlineLevel="0" collapsed="false">
      <c r="A410" s="18" t="n">
        <f aca="false">Datos_Semanales!A410</f>
        <v>30000446</v>
      </c>
      <c r="B410" s="18" t="str">
        <f aca="false">Datos_Semanales!B410</f>
        <v>MANTECOSO ISLA TEJA PIEZA 1X10KG</v>
      </c>
      <c r="C410" s="18" t="str">
        <f aca="false">Datos_Semanales!C410</f>
        <v>QUESOS</v>
      </c>
      <c r="D410" s="23" t="n">
        <f aca="false">SUM(Datos_Semanales!F410:K410)</f>
        <v>2000</v>
      </c>
      <c r="E410" s="23" t="n">
        <f aca="false">AVERAGE(Datos_Semanales!F410:K410)</f>
        <v>333.333333333333</v>
      </c>
      <c r="F410" s="23" t="n">
        <f aca="false">STDEV(Datos_Semanales!F410:K410)</f>
        <v>816.496580927726</v>
      </c>
      <c r="G410" s="27" t="n">
        <f aca="false">IF(E410&gt;0,F410/E410,"")</f>
        <v>2.44948974278318</v>
      </c>
      <c r="H410" s="24" t="n">
        <f aca="false">IF(SUM($D$5:$D$494)&gt;0,D410/SUM($D$5:$D$494),0)</f>
        <v>8.3368576617518E-005</v>
      </c>
      <c r="I410" s="24" t="n">
        <f aca="false">SUMIF($D$5:$D$494,"&gt;="&amp;D410)/SUM($D$5:$D$494)</f>
        <v>0.999350401763436</v>
      </c>
      <c r="J410" s="3" t="str">
        <f aca="false">IF(D410&lt;=0,"C",IF(I410&lt;=Parametros!$B$4,"A",IF(I410&lt;=Parametros!$B$5,"B","C")))</f>
        <v>C</v>
      </c>
      <c r="K410" s="3" t="str">
        <f aca="false">IF(E410&lt;=0,"Z",IF(G410&lt;=Parametros!$B$6,"X",IF(G410&lt;=Parametros!$B$7,"Y","Z")))</f>
        <v>Z</v>
      </c>
      <c r="L410" s="3" t="str">
        <f aca="false">J410&amp;K410</f>
        <v>CZ</v>
      </c>
      <c r="M410" s="3" t="str">
        <f aca="false">INDEX(Parametros!$B$23:$B$31,MATCH(L410,Parametros!$A$23:$A$31,0))</f>
        <v>Contra pedido o stock mínimo. Candidato a racionalizar/descontinuar.</v>
      </c>
      <c r="N410" s="3" t="str">
        <f aca="false">INDEX(Parametros!$C$23:$C$31,MATCH(L410,Parametros!$A$23:$A$31,0))</f>
        <v>Mensual</v>
      </c>
      <c r="O410" s="23" t="n">
        <f aca="false">SUM(Datos_Semanales!M410:R410)</f>
        <v>1500</v>
      </c>
      <c r="P410" s="24" t="n">
        <f aca="false">IF(D410&gt;0,SUMPRODUCT(ABS(Datos_Semanales!F410:K410-Datos_Semanales!M410:R410))/D410,"")</f>
        <v>1.25</v>
      </c>
      <c r="Q410" s="24" t="n">
        <f aca="false">IF(D410&gt;0,O410/D410-1,"")</f>
        <v>-0.25</v>
      </c>
      <c r="R410" s="23" t="n">
        <f aca="false">SQRT(SUMXMY2(Datos_Semanales!F410:K410,Datos_Semanales!M410:R410)/COUNT(Datos_Semanales!F410:K410))</f>
        <v>677.00320038633</v>
      </c>
    </row>
    <row r="411" customFormat="false" ht="15" hidden="false" customHeight="false" outlineLevel="0" collapsed="false">
      <c r="A411" s="18" t="n">
        <f aca="false">Datos_Semanales!A411</f>
        <v>30002186</v>
      </c>
      <c r="B411" s="18" t="str">
        <f aca="false">Datos_Semanales!B411</f>
        <v>YOGU YOGU MORA 5X6X115ML</v>
      </c>
      <c r="C411" s="18" t="str">
        <f aca="false">Datos_Semanales!C411</f>
        <v>LECHES LIQUIDAS</v>
      </c>
      <c r="D411" s="23" t="n">
        <f aca="false">SUM(Datos_Semanales!F411:K411)</f>
        <v>1866.45</v>
      </c>
      <c r="E411" s="23" t="n">
        <f aca="false">AVERAGE(Datos_Semanales!F411:K411)</f>
        <v>311.075</v>
      </c>
      <c r="F411" s="23" t="n">
        <f aca="false">STDEV(Datos_Semanales!F411:K411)</f>
        <v>741.733685867104</v>
      </c>
      <c r="G411" s="27" t="n">
        <f aca="false">IF(E411&gt;0,F411/E411,"")</f>
        <v>2.38442075341028</v>
      </c>
      <c r="H411" s="24" t="n">
        <f aca="false">IF(SUM($D$5:$D$494)&gt;0,D411/SUM($D$5:$D$494),0)</f>
        <v>7.78016399138832E-005</v>
      </c>
      <c r="I411" s="24" t="n">
        <f aca="false">SUMIF($D$5:$D$494,"&gt;="&amp;D411)/SUM($D$5:$D$494)</f>
        <v>0.99942820340335</v>
      </c>
      <c r="J411" s="3" t="str">
        <f aca="false">IF(D411&lt;=0,"C",IF(I411&lt;=Parametros!$B$4,"A",IF(I411&lt;=Parametros!$B$5,"B","C")))</f>
        <v>C</v>
      </c>
      <c r="K411" s="3" t="str">
        <f aca="false">IF(E411&lt;=0,"Z",IF(G411&lt;=Parametros!$B$6,"X",IF(G411&lt;=Parametros!$B$7,"Y","Z")))</f>
        <v>Z</v>
      </c>
      <c r="L411" s="3" t="str">
        <f aca="false">J411&amp;K411</f>
        <v>CZ</v>
      </c>
      <c r="M411" s="3" t="str">
        <f aca="false">INDEX(Parametros!$B$23:$B$31,MATCH(L411,Parametros!$A$23:$A$31,0))</f>
        <v>Contra pedido o stock mínimo. Candidato a racionalizar/descontinuar.</v>
      </c>
      <c r="N411" s="3" t="str">
        <f aca="false">INDEX(Parametros!$C$23:$C$31,MATCH(L411,Parametros!$A$23:$A$31,0))</f>
        <v>Mensual</v>
      </c>
      <c r="O411" s="23" t="n">
        <f aca="false">SUM(Datos_Semanales!M411:R411)</f>
        <v>15200</v>
      </c>
      <c r="P411" s="24" t="n">
        <f aca="false">IF(D411&gt;0,SUMPRODUCT(ABS(Datos_Semanales!F411:K411-Datos_Semanales!M411:R411))/D411,"")</f>
        <v>9.13640869029441</v>
      </c>
      <c r="Q411" s="24" t="n">
        <f aca="false">IF(D411&gt;0,O411/D411-1,"")</f>
        <v>7.14380240563637</v>
      </c>
      <c r="R411" s="23" t="n">
        <f aca="false">SQRT(SUMXMY2(Datos_Semanales!F411:K411,Datos_Semanales!M411:R411)/COUNT(Datos_Semanales!F411:K411))</f>
        <v>4136.72274144441</v>
      </c>
    </row>
    <row r="412" customFormat="false" ht="15" hidden="false" customHeight="false" outlineLevel="0" collapsed="false">
      <c r="A412" s="18" t="n">
        <f aca="false">Datos_Semanales!A412</f>
        <v>30002126</v>
      </c>
      <c r="B412" s="18" t="str">
        <f aca="false">Datos_Semanales!B412</f>
        <v>CREMA ACIDA LONCOLECHE 12X140GR</v>
      </c>
      <c r="C412" s="18" t="str">
        <f aca="false">Datos_Semanales!C412</f>
        <v>CREMA</v>
      </c>
      <c r="D412" s="23" t="n">
        <f aca="false">SUM(Datos_Semanales!F412:K412)</f>
        <v>1738.8</v>
      </c>
      <c r="E412" s="23" t="n">
        <f aca="false">AVERAGE(Datos_Semanales!F412:K412)</f>
        <v>289.8</v>
      </c>
      <c r="F412" s="23" t="n">
        <f aca="false">STDEV(Datos_Semanales!F412:K412)</f>
        <v>208.362673048701</v>
      </c>
      <c r="G412" s="27" t="n">
        <f aca="false">IF(E412&gt;0,F412/E412,"")</f>
        <v>0.718987829705664</v>
      </c>
      <c r="H412" s="24" t="n">
        <f aca="false">IF(SUM($D$5:$D$494)&gt;0,D412/SUM($D$5:$D$494),0)</f>
        <v>7.24806405112702E-005</v>
      </c>
      <c r="I412" s="24" t="n">
        <f aca="false">SUMIF($D$5:$D$494,"&gt;="&amp;D412)/SUM($D$5:$D$494)</f>
        <v>0.999500684043861</v>
      </c>
      <c r="J412" s="3" t="str">
        <f aca="false">IF(D412&lt;=0,"C",IF(I412&lt;=Parametros!$B$4,"A",IF(I412&lt;=Parametros!$B$5,"B","C")))</f>
        <v>C</v>
      </c>
      <c r="K412" s="3" t="str">
        <f aca="false">IF(E412&lt;=0,"Z",IF(G412&lt;=Parametros!$B$6,"X",IF(G412&lt;=Parametros!$B$7,"Y","Z")))</f>
        <v>Y</v>
      </c>
      <c r="L412" s="3" t="str">
        <f aca="false">J412&amp;K412</f>
        <v>CY</v>
      </c>
      <c r="M412" s="3" t="str">
        <f aca="false">INDEX(Parametros!$B$23:$B$31,MATCH(L412,Parametros!$A$23:$A$31,0))</f>
        <v>Mín/máx con stock bajo; evaluar continuidad del SKU.</v>
      </c>
      <c r="N412" s="3" t="str">
        <f aca="false">INDEX(Parametros!$C$23:$C$31,MATCH(L412,Parametros!$A$23:$A$31,0))</f>
        <v>Mensual</v>
      </c>
      <c r="O412" s="23" t="n">
        <f aca="false">SUM(Datos_Semanales!M412:R412)</f>
        <v>3494.27238820354</v>
      </c>
      <c r="P412" s="24" t="n">
        <f aca="false">IF(D412&gt;0,SUMPRODUCT(ABS(Datos_Semanales!F412:K412-Datos_Semanales!M412:R412))/D412,"")</f>
        <v>1.00958844502159</v>
      </c>
      <c r="Q412" s="24" t="n">
        <f aca="false">IF(D412&gt;0,O412/D412-1,"")</f>
        <v>1.00958844502159</v>
      </c>
      <c r="R412" s="23" t="n">
        <f aca="false">SQRT(SUMXMY2(Datos_Semanales!F412:K412,Datos_Semanales!M412:R412)/COUNT(Datos_Semanales!F412:K412))</f>
        <v>351.003719787399</v>
      </c>
    </row>
    <row r="413" customFormat="false" ht="15" hidden="false" customHeight="false" outlineLevel="0" collapsed="false">
      <c r="A413" s="18" t="n">
        <f aca="false">Datos_Semanales!A413</f>
        <v>30002284</v>
      </c>
      <c r="B413" s="18" t="str">
        <f aca="false">Datos_Semanales!B413</f>
        <v>MANJAR EN BARRA LONCOLECHE 120X35GR</v>
      </c>
      <c r="C413" s="18" t="str">
        <f aca="false">Datos_Semanales!C413</f>
        <v>-</v>
      </c>
      <c r="D413" s="23" t="n">
        <f aca="false">SUM(Datos_Semanales!F413:K413)</f>
        <v>1671.6</v>
      </c>
      <c r="E413" s="23" t="n">
        <f aca="false">AVERAGE(Datos_Semanales!F413:K413)</f>
        <v>278.6</v>
      </c>
      <c r="F413" s="23" t="n">
        <f aca="false">STDEV(Datos_Semanales!F413:K413)</f>
        <v>275.292833179507</v>
      </c>
      <c r="G413" s="27" t="n">
        <f aca="false">IF(E413&gt;0,F413/E413,"")</f>
        <v>0.988129336609861</v>
      </c>
      <c r="H413" s="24" t="n">
        <f aca="false">IF(SUM($D$5:$D$494)&gt;0,D413/SUM($D$5:$D$494),0)</f>
        <v>6.96794563369215E-005</v>
      </c>
      <c r="I413" s="24" t="n">
        <f aca="false">SUMIF($D$5:$D$494,"&gt;="&amp;D413)/SUM($D$5:$D$494)</f>
        <v>0.999570363500198</v>
      </c>
      <c r="J413" s="3" t="str">
        <f aca="false">IF(D413&lt;=0,"C",IF(I413&lt;=Parametros!$B$4,"A",IF(I413&lt;=Parametros!$B$5,"B","C")))</f>
        <v>C</v>
      </c>
      <c r="K413" s="3" t="str">
        <f aca="false">IF(E413&lt;=0,"Z",IF(G413&lt;=Parametros!$B$6,"X",IF(G413&lt;=Parametros!$B$7,"Y","Z")))</f>
        <v>Y</v>
      </c>
      <c r="L413" s="3" t="str">
        <f aca="false">J413&amp;K413</f>
        <v>CY</v>
      </c>
      <c r="M413" s="3" t="str">
        <f aca="false">INDEX(Parametros!$B$23:$B$31,MATCH(L413,Parametros!$A$23:$A$31,0))</f>
        <v>Mín/máx con stock bajo; evaluar continuidad del SKU.</v>
      </c>
      <c r="N413" s="3" t="str">
        <f aca="false">INDEX(Parametros!$C$23:$C$31,MATCH(L413,Parametros!$A$23:$A$31,0))</f>
        <v>Mensual</v>
      </c>
      <c r="O413" s="23" t="n">
        <f aca="false">SUM(Datos_Semanales!M413:R413)</f>
        <v>2158.995</v>
      </c>
      <c r="P413" s="24" t="n">
        <f aca="false">IF(D413&gt;0,SUMPRODUCT(ABS(Datos_Semanales!F413:K413-Datos_Semanales!M413:R413))/D413,"")</f>
        <v>0.962314548935152</v>
      </c>
      <c r="Q413" s="24" t="n">
        <f aca="false">IF(D413&gt;0,O413/D413-1,"")</f>
        <v>0.291573941134243</v>
      </c>
      <c r="R413" s="23" t="n">
        <f aca="false">SQRT(SUMXMY2(Datos_Semanales!F413:K413,Datos_Semanales!M413:R413)/COUNT(Datos_Semanales!F413:K413))</f>
        <v>298.976327107738</v>
      </c>
    </row>
    <row r="414" customFormat="false" ht="15" hidden="false" customHeight="false" outlineLevel="0" collapsed="false">
      <c r="A414" s="18" t="n">
        <f aca="false">Datos_Semanales!A414</f>
        <v>30001860</v>
      </c>
      <c r="B414" s="18" t="str">
        <f aca="false">Datos_Semanales!B414</f>
        <v>ACEITE CHEF MARAVILLA SPRAY 12X180 ML</v>
      </c>
      <c r="C414" s="18" t="str">
        <f aca="false">Datos_Semanales!C414</f>
        <v>ACEITES</v>
      </c>
      <c r="D414" s="23" t="n">
        <f aca="false">SUM(Datos_Semanales!F414:K414)</f>
        <v>1651.197</v>
      </c>
      <c r="E414" s="23" t="n">
        <f aca="false">AVERAGE(Datos_Semanales!F414:K414)</f>
        <v>275.1995</v>
      </c>
      <c r="F414" s="23" t="n">
        <f aca="false">STDEV(Datos_Semanales!F414:K414)</f>
        <v>106.424209700143</v>
      </c>
      <c r="G414" s="27" t="n">
        <f aca="false">IF(E414&gt;0,F414/E414,"")</f>
        <v>0.386716580880935</v>
      </c>
      <c r="H414" s="24" t="n">
        <f aca="false">IF(SUM($D$5:$D$494)&gt;0,D414/SUM($D$5:$D$494),0)</f>
        <v>6.88289718025579E-005</v>
      </c>
      <c r="I414" s="24" t="n">
        <f aca="false">SUMIF($D$5:$D$494,"&gt;="&amp;D414)/SUM($D$5:$D$494)</f>
        <v>0.999639192472</v>
      </c>
      <c r="J414" s="3" t="str">
        <f aca="false">IF(D414&lt;=0,"C",IF(I414&lt;=Parametros!$B$4,"A",IF(I414&lt;=Parametros!$B$5,"B","C")))</f>
        <v>C</v>
      </c>
      <c r="K414" s="3" t="str">
        <f aca="false">IF(E414&lt;=0,"Z",IF(G414&lt;=Parametros!$B$6,"X",IF(G414&lt;=Parametros!$B$7,"Y","Z")))</f>
        <v>X</v>
      </c>
      <c r="L414" s="3" t="str">
        <f aca="false">J414&amp;K414</f>
        <v>CX</v>
      </c>
      <c r="M414" s="3" t="str">
        <f aca="false">INDEX(Parametros!$B$23:$B$31,MATCH(L414,Parametros!$A$23:$A$31,0))</f>
        <v>Reposición simple mín/máx.</v>
      </c>
      <c r="N414" s="3" t="str">
        <f aca="false">INDEX(Parametros!$C$23:$C$31,MATCH(L414,Parametros!$A$23:$A$31,0))</f>
        <v>Trimestral</v>
      </c>
      <c r="O414" s="23" t="n">
        <f aca="false">SUM(Datos_Semanales!M414:R414)</f>
        <v>2016.337</v>
      </c>
      <c r="P414" s="24" t="n">
        <f aca="false">IF(D414&gt;0,SUMPRODUCT(ABS(Datos_Semanales!F414:K414-Datos_Semanales!M414:R414))/D414,"")</f>
        <v>0.345212594257378</v>
      </c>
      <c r="Q414" s="24" t="n">
        <f aca="false">IF(D414&gt;0,O414/D414-1,"")</f>
        <v>0.221136545185099</v>
      </c>
      <c r="R414" s="23" t="n">
        <f aca="false">SQRT(SUMXMY2(Datos_Semanales!F414:K414,Datos_Semanales!M414:R414)/COUNT(Datos_Semanales!F414:K414))</f>
        <v>107.011680549368</v>
      </c>
    </row>
    <row r="415" customFormat="false" ht="15" hidden="false" customHeight="false" outlineLevel="0" collapsed="false">
      <c r="A415" s="18" t="n">
        <f aca="false">Datos_Semanales!A415</f>
        <v>30002137</v>
      </c>
      <c r="B415" s="18" t="str">
        <f aca="false">Datos_Semanales!B415</f>
        <v>QUESO CREMA LPV NATURAL TUBO 28X150GR</v>
      </c>
      <c r="C415" s="18" t="str">
        <f aca="false">Datos_Semanales!C415</f>
        <v>QUESOS</v>
      </c>
      <c r="D415" s="23" t="n">
        <f aca="false">SUM(Datos_Semanales!F415:K415)</f>
        <v>1419.6</v>
      </c>
      <c r="E415" s="23" t="n">
        <f aca="false">AVERAGE(Datos_Semanales!F415:K415)</f>
        <v>236.6</v>
      </c>
      <c r="F415" s="23" t="n">
        <f aca="false">STDEV(Datos_Semanales!F415:K415)</f>
        <v>40.7782294858421</v>
      </c>
      <c r="G415" s="27" t="n">
        <f aca="false">IF(E415&gt;0,F415/E415,"")</f>
        <v>0.172350927666281</v>
      </c>
      <c r="H415" s="24" t="n">
        <f aca="false">IF(SUM($D$5:$D$494)&gt;0,D415/SUM($D$5:$D$494),0)</f>
        <v>5.91750156831143E-005</v>
      </c>
      <c r="I415" s="24" t="n">
        <f aca="false">SUMIF($D$5:$D$494,"&gt;="&amp;D415)/SUM($D$5:$D$494)</f>
        <v>0.999698367487683</v>
      </c>
      <c r="J415" s="3" t="str">
        <f aca="false">IF(D415&lt;=0,"C",IF(I415&lt;=Parametros!$B$4,"A",IF(I415&lt;=Parametros!$B$5,"B","C")))</f>
        <v>C</v>
      </c>
      <c r="K415" s="3" t="str">
        <f aca="false">IF(E415&lt;=0,"Z",IF(G415&lt;=Parametros!$B$6,"X",IF(G415&lt;=Parametros!$B$7,"Y","Z")))</f>
        <v>X</v>
      </c>
      <c r="L415" s="3" t="str">
        <f aca="false">J415&amp;K415</f>
        <v>CX</v>
      </c>
      <c r="M415" s="3" t="str">
        <f aca="false">INDEX(Parametros!$B$23:$B$31,MATCH(L415,Parametros!$A$23:$A$31,0))</f>
        <v>Reposición simple mín/máx.</v>
      </c>
      <c r="N415" s="3" t="str">
        <f aca="false">INDEX(Parametros!$C$23:$C$31,MATCH(L415,Parametros!$A$23:$A$31,0))</f>
        <v>Trimestral</v>
      </c>
      <c r="O415" s="23" t="n">
        <f aca="false">SUM(Datos_Semanales!M415:R415)</f>
        <v>2957.53916198373</v>
      </c>
      <c r="P415" s="24" t="n">
        <f aca="false">IF(D415&gt;0,SUMPRODUCT(ABS(Datos_Semanales!F415:K415-Datos_Semanales!M415:R415))/D415,"")</f>
        <v>1.083360919966</v>
      </c>
      <c r="Q415" s="24" t="n">
        <f aca="false">IF(D415&gt;0,O415/D415-1,"")</f>
        <v>1.083360919966</v>
      </c>
      <c r="R415" s="23" t="n">
        <f aca="false">SQRT(SUMXMY2(Datos_Semanales!F415:K415,Datos_Semanales!M415:R415)/COUNT(Datos_Semanales!F415:K415))</f>
        <v>279.363327508699</v>
      </c>
    </row>
    <row r="416" customFormat="false" ht="15" hidden="false" customHeight="false" outlineLevel="0" collapsed="false">
      <c r="A416" s="18" t="n">
        <f aca="false">Datos_Semanales!A416</f>
        <v>30000662</v>
      </c>
      <c r="B416" s="18" t="str">
        <f aca="false">Datos_Semanales!B416</f>
        <v>CREMA TOMATE WASIL 16X380GR</v>
      </c>
      <c r="C416" s="18" t="str">
        <f aca="false">Datos_Semanales!C416</f>
        <v>CONSERVAS Y PLATOS LISTOS</v>
      </c>
      <c r="D416" s="23" t="n">
        <f aca="false">SUM(Datos_Semanales!F416:K416)</f>
        <v>1313.28</v>
      </c>
      <c r="E416" s="23" t="n">
        <f aca="false">AVERAGE(Datos_Semanales!F416:K416)</f>
        <v>218.88</v>
      </c>
      <c r="F416" s="23" t="n">
        <f aca="false">STDEV(Datos_Semanales!F416:K416)</f>
        <v>147.482303209572</v>
      </c>
      <c r="G416" s="27" t="n">
        <f aca="false">IF(E416&gt;0,F416/E416,"")</f>
        <v>0.673804382353671</v>
      </c>
      <c r="H416" s="24" t="n">
        <f aca="false">IF(SUM($D$5:$D$494)&gt;0,D416/SUM($D$5:$D$494),0)</f>
        <v>5.4743142150127E-005</v>
      </c>
      <c r="I416" s="24" t="n">
        <f aca="false">SUMIF($D$5:$D$494,"&gt;="&amp;D416)/SUM($D$5:$D$494)</f>
        <v>0.999753110629834</v>
      </c>
      <c r="J416" s="3" t="str">
        <f aca="false">IF(D416&lt;=0,"C",IF(I416&lt;=Parametros!$B$4,"A",IF(I416&lt;=Parametros!$B$5,"B","C")))</f>
        <v>C</v>
      </c>
      <c r="K416" s="3" t="str">
        <f aca="false">IF(E416&lt;=0,"Z",IF(G416&lt;=Parametros!$B$6,"X",IF(G416&lt;=Parametros!$B$7,"Y","Z")))</f>
        <v>Y</v>
      </c>
      <c r="L416" s="3" t="str">
        <f aca="false">J416&amp;K416</f>
        <v>CY</v>
      </c>
      <c r="M416" s="3" t="str">
        <f aca="false">INDEX(Parametros!$B$23:$B$31,MATCH(L416,Parametros!$A$23:$A$31,0))</f>
        <v>Mín/máx con stock bajo; evaluar continuidad del SKU.</v>
      </c>
      <c r="N416" s="3" t="str">
        <f aca="false">INDEX(Parametros!$C$23:$C$31,MATCH(L416,Parametros!$A$23:$A$31,0))</f>
        <v>Mensual</v>
      </c>
      <c r="O416" s="23" t="n">
        <f aca="false">SUM(Datos_Semanales!M416:R416)</f>
        <v>1819.72</v>
      </c>
      <c r="P416" s="24" t="n">
        <f aca="false">IF(D416&gt;0,SUMPRODUCT(ABS(Datos_Semanales!F416:K416-Datos_Semanales!M416:R416))/D416,"")</f>
        <v>0.594389619883041</v>
      </c>
      <c r="Q416" s="24" t="n">
        <f aca="false">IF(D416&gt;0,O416/D416-1,"")</f>
        <v>0.385629873294347</v>
      </c>
      <c r="R416" s="23" t="n">
        <f aca="false">SQRT(SUMXMY2(Datos_Semanales!F416:K416,Datos_Semanales!M416:R416)/COUNT(Datos_Semanales!F416:K416))</f>
        <v>160.71378036746</v>
      </c>
    </row>
    <row r="417" customFormat="false" ht="15" hidden="false" customHeight="false" outlineLevel="0" collapsed="false">
      <c r="A417" s="18" t="n">
        <f aca="false">Datos_Semanales!A417</f>
        <v>30002101</v>
      </c>
      <c r="B417" s="18" t="str">
        <f aca="false">Datos_Semanales!B417</f>
        <v>ACEITE BELMONT 12X750ML</v>
      </c>
      <c r="C417" s="18" t="str">
        <f aca="false">Datos_Semanales!C417</f>
        <v>ACEITES</v>
      </c>
      <c r="D417" s="23" t="n">
        <f aca="false">SUM(Datos_Semanales!F417:K417)</f>
        <v>1275.12</v>
      </c>
      <c r="E417" s="23" t="n">
        <f aca="false">AVERAGE(Datos_Semanales!F417:K417)</f>
        <v>212.52</v>
      </c>
      <c r="F417" s="23" t="n">
        <f aca="false">STDEV(Datos_Semanales!F417:K417)</f>
        <v>122.43952303076</v>
      </c>
      <c r="G417" s="27" t="n">
        <f aca="false">IF(E417&gt;0,F417/E417,"")</f>
        <v>0.576131766566723</v>
      </c>
      <c r="H417" s="24" t="n">
        <f aca="false">IF(SUM($D$5:$D$494)&gt;0,D417/SUM($D$5:$D$494),0)</f>
        <v>5.31524697082648E-005</v>
      </c>
      <c r="I417" s="24" t="n">
        <f aca="false">SUMIF($D$5:$D$494,"&gt;="&amp;D417)/SUM($D$5:$D$494)</f>
        <v>0.999806263099542</v>
      </c>
      <c r="J417" s="3" t="str">
        <f aca="false">IF(D417&lt;=0,"C",IF(I417&lt;=Parametros!$B$4,"A",IF(I417&lt;=Parametros!$B$5,"B","C")))</f>
        <v>C</v>
      </c>
      <c r="K417" s="3" t="str">
        <f aca="false">IF(E417&lt;=0,"Z",IF(G417&lt;=Parametros!$B$6,"X",IF(G417&lt;=Parametros!$B$7,"Y","Z")))</f>
        <v>Y</v>
      </c>
      <c r="L417" s="3" t="str">
        <f aca="false">J417&amp;K417</f>
        <v>CY</v>
      </c>
      <c r="M417" s="3" t="str">
        <f aca="false">INDEX(Parametros!$B$23:$B$31,MATCH(L417,Parametros!$A$23:$A$31,0))</f>
        <v>Mín/máx con stock bajo; evaluar continuidad del SKU.</v>
      </c>
      <c r="N417" s="3" t="str">
        <f aca="false">INDEX(Parametros!$C$23:$C$31,MATCH(L417,Parametros!$A$23:$A$31,0))</f>
        <v>Mensual</v>
      </c>
      <c r="O417" s="23" t="n">
        <f aca="false">SUM(Datos_Semanales!M417:R417)</f>
        <v>750</v>
      </c>
      <c r="P417" s="24" t="n">
        <f aca="false">IF(D417&gt;0,SUMPRODUCT(ABS(Datos_Semanales!F417:K417-Datos_Semanales!M417:R417))/D417,"")</f>
        <v>0.54520358868185</v>
      </c>
      <c r="Q417" s="24" t="n">
        <f aca="false">IF(D417&gt;0,O417/D417-1,"")</f>
        <v>-0.411820063993977</v>
      </c>
      <c r="R417" s="23" t="n">
        <f aca="false">SQRT(SUMXMY2(Datos_Semanales!F417:K417,Datos_Semanales!M417:R417)/COUNT(Datos_Semanales!F417:K417))</f>
        <v>160.471018359495</v>
      </c>
    </row>
    <row r="418" customFormat="false" ht="15" hidden="false" customHeight="false" outlineLevel="0" collapsed="false">
      <c r="A418" s="18" t="n">
        <f aca="false">Datos_Semanales!A418</f>
        <v>30002163</v>
      </c>
      <c r="B418" s="18" t="str">
        <f aca="false">Datos_Semanales!B418</f>
        <v>QUESO LPV ALBAHACA RUEDA 16X200G</v>
      </c>
      <c r="C418" s="18" t="str">
        <f aca="false">Datos_Semanales!C418</f>
        <v>QUESOS</v>
      </c>
      <c r="D418" s="23" t="n">
        <f aca="false">SUM(Datos_Semanales!F418:K418)</f>
        <v>1001.6</v>
      </c>
      <c r="E418" s="23" t="n">
        <f aca="false">AVERAGE(Datos_Semanales!F418:K418)</f>
        <v>166.933333333333</v>
      </c>
      <c r="F418" s="23" t="n">
        <f aca="false">STDEV(Datos_Semanales!F418:K418)</f>
        <v>47.1787522796721</v>
      </c>
      <c r="G418" s="27" t="n">
        <f aca="false">IF(E418&gt;0,F418/E418,"")</f>
        <v>0.28262032116417</v>
      </c>
      <c r="H418" s="24" t="n">
        <f aca="false">IF(SUM($D$5:$D$494)&gt;0,D418/SUM($D$5:$D$494),0)</f>
        <v>4.1750983170053E-005</v>
      </c>
      <c r="I418" s="24" t="n">
        <f aca="false">SUMIF($D$5:$D$494,"&gt;="&amp;D418)/SUM($D$5:$D$494)</f>
        <v>0.999848014082712</v>
      </c>
      <c r="J418" s="3" t="str">
        <f aca="false">IF(D418&lt;=0,"C",IF(I418&lt;=Parametros!$B$4,"A",IF(I418&lt;=Parametros!$B$5,"B","C")))</f>
        <v>C</v>
      </c>
      <c r="K418" s="3" t="str">
        <f aca="false">IF(E418&lt;=0,"Z",IF(G418&lt;=Parametros!$B$6,"X",IF(G418&lt;=Parametros!$B$7,"Y","Z")))</f>
        <v>X</v>
      </c>
      <c r="L418" s="3" t="str">
        <f aca="false">J418&amp;K418</f>
        <v>CX</v>
      </c>
      <c r="M418" s="3" t="str">
        <f aca="false">INDEX(Parametros!$B$23:$B$31,MATCH(L418,Parametros!$A$23:$A$31,0))</f>
        <v>Reposición simple mín/máx.</v>
      </c>
      <c r="N418" s="3" t="str">
        <f aca="false">INDEX(Parametros!$C$23:$C$31,MATCH(L418,Parametros!$A$23:$A$31,0))</f>
        <v>Trimestral</v>
      </c>
      <c r="O418" s="23" t="n">
        <f aca="false">SUM(Datos_Semanales!M418:R418)</f>
        <v>1725.55535852627</v>
      </c>
      <c r="P418" s="24" t="n">
        <f aca="false">IF(D418&gt;0,SUMPRODUCT(ABS(Datos_Semanales!F418:K418-Datos_Semanales!M418:R418))/D418,"")</f>
        <v>0.840686645013535</v>
      </c>
      <c r="Q418" s="24" t="n">
        <f aca="false">IF(D418&gt;0,O418/D418-1,"")</f>
        <v>0.722798880317758</v>
      </c>
      <c r="R418" s="23" t="n">
        <f aca="false">SQRT(SUMXMY2(Datos_Semanales!F418:K418,Datos_Semanales!M418:R418)/COUNT(Datos_Semanales!F418:K418))</f>
        <v>154.630333857355</v>
      </c>
    </row>
    <row r="419" customFormat="false" ht="15" hidden="false" customHeight="false" outlineLevel="0" collapsed="false">
      <c r="A419" s="18" t="n">
        <f aca="false">Datos_Semanales!A419</f>
        <v>30002145</v>
      </c>
      <c r="B419" s="18" t="str">
        <f aca="false">Datos_Semanales!B419</f>
        <v>QUESO CREMA LPV MERKEN TUBO 28X150GR</v>
      </c>
      <c r="C419" s="18" t="str">
        <f aca="false">Datos_Semanales!C419</f>
        <v>QUESOS</v>
      </c>
      <c r="D419" s="23" t="n">
        <f aca="false">SUM(Datos_Semanales!F419:K419)</f>
        <v>987</v>
      </c>
      <c r="E419" s="23" t="n">
        <f aca="false">AVERAGE(Datos_Semanales!F419:K419)</f>
        <v>164.5</v>
      </c>
      <c r="F419" s="23" t="n">
        <f aca="false">STDEV(Datos_Semanales!F419:K419)</f>
        <v>66.0037271674865</v>
      </c>
      <c r="G419" s="27" t="n">
        <f aca="false">IF(E419&gt;0,F419/E419,"")</f>
        <v>0.401238463024234</v>
      </c>
      <c r="H419" s="24" t="n">
        <f aca="false">IF(SUM($D$5:$D$494)&gt;0,D419/SUM($D$5:$D$494),0)</f>
        <v>4.11423925607451E-005</v>
      </c>
      <c r="I419" s="24" t="n">
        <f aca="false">SUMIF($D$5:$D$494,"&gt;="&amp;D419)/SUM($D$5:$D$494)</f>
        <v>0.999889156475273</v>
      </c>
      <c r="J419" s="3" t="str">
        <f aca="false">IF(D419&lt;=0,"C",IF(I419&lt;=Parametros!$B$4,"A",IF(I419&lt;=Parametros!$B$5,"B","C")))</f>
        <v>C</v>
      </c>
      <c r="K419" s="3" t="str">
        <f aca="false">IF(E419&lt;=0,"Z",IF(G419&lt;=Parametros!$B$6,"X",IF(G419&lt;=Parametros!$B$7,"Y","Z")))</f>
        <v>X</v>
      </c>
      <c r="L419" s="3" t="str">
        <f aca="false">J419&amp;K419</f>
        <v>CX</v>
      </c>
      <c r="M419" s="3" t="str">
        <f aca="false">INDEX(Parametros!$B$23:$B$31,MATCH(L419,Parametros!$A$23:$A$31,0))</f>
        <v>Reposición simple mín/máx.</v>
      </c>
      <c r="N419" s="3" t="str">
        <f aca="false">INDEX(Parametros!$C$23:$C$31,MATCH(L419,Parametros!$A$23:$A$31,0))</f>
        <v>Trimestral</v>
      </c>
      <c r="O419" s="23" t="n">
        <f aca="false">SUM(Datos_Semanales!M419:R419)</f>
        <v>2168.8620521214</v>
      </c>
      <c r="P419" s="24" t="n">
        <f aca="false">IF(D419&gt;0,SUMPRODUCT(ABS(Datos_Semanales!F419:K419-Datos_Semanales!M419:R419))/D419,"")</f>
        <v>1.20265155183427</v>
      </c>
      <c r="Q419" s="24" t="n">
        <f aca="false">IF(D419&gt;0,O419/D419-1,"")</f>
        <v>1.19742862423648</v>
      </c>
      <c r="R419" s="23" t="n">
        <f aca="false">SQRT(SUMXMY2(Datos_Semanales!F419:K419,Datos_Semanales!M419:R419)/COUNT(Datos_Semanales!F419:K419))</f>
        <v>227.065331796628</v>
      </c>
    </row>
    <row r="420" customFormat="false" ht="15" hidden="false" customHeight="false" outlineLevel="0" collapsed="false">
      <c r="A420" s="18" t="n">
        <f aca="false">Datos_Semanales!A420</f>
        <v>30002164</v>
      </c>
      <c r="B420" s="18" t="str">
        <f aca="false">Datos_Semanales!B420</f>
        <v>QUESO LPV MERKEN RUEDA 16X200G</v>
      </c>
      <c r="C420" s="18" t="str">
        <f aca="false">Datos_Semanales!C420</f>
        <v>QUESOS</v>
      </c>
      <c r="D420" s="23" t="n">
        <f aca="false">SUM(Datos_Semanales!F420:K420)</f>
        <v>982.4</v>
      </c>
      <c r="E420" s="23" t="n">
        <f aca="false">AVERAGE(Datos_Semanales!F420:K420)</f>
        <v>163.733333333333</v>
      </c>
      <c r="F420" s="23" t="n">
        <f aca="false">STDEV(Datos_Semanales!F420:K420)</f>
        <v>43.0951814785211</v>
      </c>
      <c r="G420" s="27" t="n">
        <f aca="false">IF(E420&gt;0,F420/E420,"")</f>
        <v>0.263203469942108</v>
      </c>
      <c r="H420" s="24" t="n">
        <f aca="false">IF(SUM($D$5:$D$494)&gt;0,D420/SUM($D$5:$D$494),0)</f>
        <v>4.09506448345248E-005</v>
      </c>
      <c r="I420" s="24" t="n">
        <f aca="false">SUMIF($D$5:$D$494,"&gt;="&amp;D420)/SUM($D$5:$D$494)</f>
        <v>0.999930107120107</v>
      </c>
      <c r="J420" s="3" t="str">
        <f aca="false">IF(D420&lt;=0,"C",IF(I420&lt;=Parametros!$B$4,"A",IF(I420&lt;=Parametros!$B$5,"B","C")))</f>
        <v>C</v>
      </c>
      <c r="K420" s="3" t="str">
        <f aca="false">IF(E420&lt;=0,"Z",IF(G420&lt;=Parametros!$B$6,"X",IF(G420&lt;=Parametros!$B$7,"Y","Z")))</f>
        <v>X</v>
      </c>
      <c r="L420" s="3" t="str">
        <f aca="false">J420&amp;K420</f>
        <v>CX</v>
      </c>
      <c r="M420" s="3" t="str">
        <f aca="false">INDEX(Parametros!$B$23:$B$31,MATCH(L420,Parametros!$A$23:$A$31,0))</f>
        <v>Reposición simple mín/máx.</v>
      </c>
      <c r="N420" s="3" t="str">
        <f aca="false">INDEX(Parametros!$C$23:$C$31,MATCH(L420,Parametros!$A$23:$A$31,0))</f>
        <v>Trimestral</v>
      </c>
      <c r="O420" s="23" t="n">
        <f aca="false">SUM(Datos_Semanales!M420:R420)</f>
        <v>1826.73076545783</v>
      </c>
      <c r="P420" s="24" t="n">
        <f aca="false">IF(D420&gt;0,SUMPRODUCT(ABS(Datos_Semanales!F420:K420-Datos_Semanales!M420:R420))/D420,"")</f>
        <v>0.864910478722818</v>
      </c>
      <c r="Q420" s="24" t="n">
        <f aca="false">IF(D420&gt;0,O420/D420-1,"")</f>
        <v>0.859457212395998</v>
      </c>
      <c r="R420" s="23" t="n">
        <f aca="false">SQRT(SUMXMY2(Datos_Semanales!F420:K420,Datos_Semanales!M420:R420)/COUNT(Datos_Semanales!F420:K420))</f>
        <v>175.146306659174</v>
      </c>
    </row>
    <row r="421" customFormat="false" ht="15" hidden="false" customHeight="false" outlineLevel="0" collapsed="false">
      <c r="A421" s="18" t="n">
        <f aca="false">Datos_Semanales!A421</f>
        <v>30000681</v>
      </c>
      <c r="B421" s="18" t="str">
        <f aca="false">Datos_Semanales!B421</f>
        <v>GARBANZO WASIL 16X500GR</v>
      </c>
      <c r="C421" s="18" t="str">
        <f aca="false">Datos_Semanales!C421</f>
        <v>CONSERVAS Y PLATOS LISTOS</v>
      </c>
      <c r="D421" s="23" t="n">
        <f aca="false">SUM(Datos_Semanales!F421:K421)</f>
        <v>336</v>
      </c>
      <c r="E421" s="23" t="n">
        <f aca="false">AVERAGE(Datos_Semanales!F421:K421)</f>
        <v>56</v>
      </c>
      <c r="F421" s="23" t="n">
        <f aca="false">STDEV(Datos_Semanales!F421:K421)</f>
        <v>22.0544780033444</v>
      </c>
      <c r="G421" s="27" t="n">
        <f aca="false">IF(E421&gt;0,F421/E421,"")</f>
        <v>0.393829964345435</v>
      </c>
      <c r="H421" s="24" t="n">
        <f aca="false">IF(SUM($D$5:$D$494)&gt;0,D421/SUM($D$5:$D$494),0)</f>
        <v>1.4005920871743E-005</v>
      </c>
      <c r="I421" s="24" t="n">
        <f aca="false">SUMIF($D$5:$D$494,"&gt;="&amp;D421)/SUM($D$5:$D$494)</f>
        <v>0.999944113040979</v>
      </c>
      <c r="J421" s="3" t="str">
        <f aca="false">IF(D421&lt;=0,"C",IF(I421&lt;=Parametros!$B$4,"A",IF(I421&lt;=Parametros!$B$5,"B","C")))</f>
        <v>C</v>
      </c>
      <c r="K421" s="3" t="str">
        <f aca="false">IF(E421&lt;=0,"Z",IF(G421&lt;=Parametros!$B$6,"X",IF(G421&lt;=Parametros!$B$7,"Y","Z")))</f>
        <v>X</v>
      </c>
      <c r="L421" s="3" t="str">
        <f aca="false">J421&amp;K421</f>
        <v>CX</v>
      </c>
      <c r="M421" s="3" t="str">
        <f aca="false">INDEX(Parametros!$B$23:$B$31,MATCH(L421,Parametros!$A$23:$A$31,0))</f>
        <v>Reposición simple mín/máx.</v>
      </c>
      <c r="N421" s="3" t="str">
        <f aca="false">INDEX(Parametros!$C$23:$C$31,MATCH(L421,Parametros!$A$23:$A$31,0))</f>
        <v>Trimestral</v>
      </c>
      <c r="O421" s="23" t="n">
        <f aca="false">SUM(Datos_Semanales!M421:R421)</f>
        <v>0</v>
      </c>
      <c r="P421" s="24" t="n">
        <f aca="false">IF(D421&gt;0,SUMPRODUCT(ABS(Datos_Semanales!F421:K421-Datos_Semanales!M421:R421))/D421,"")</f>
        <v>1</v>
      </c>
      <c r="Q421" s="24" t="n">
        <f aca="false">IF(D421&gt;0,O421/D421-1,"")</f>
        <v>-1</v>
      </c>
      <c r="R421" s="23" t="n">
        <f aca="false">SQRT(SUMXMY2(Datos_Semanales!F421:K421,Datos_Semanales!M421:R421)/COUNT(Datos_Semanales!F421:K421))</f>
        <v>59.5091029451237</v>
      </c>
    </row>
    <row r="422" customFormat="false" ht="15" hidden="false" customHeight="false" outlineLevel="0" collapsed="false">
      <c r="A422" s="18" t="n">
        <f aca="false">Datos_Semanales!A422</f>
        <v>30002302</v>
      </c>
      <c r="B422" s="18" t="str">
        <f aca="false">Datos_Semanales!B422</f>
        <v>SALSA WASIL POMODORO 24X200GR</v>
      </c>
      <c r="C422" s="18" t="str">
        <f aca="false">Datos_Semanales!C422</f>
        <v>-</v>
      </c>
      <c r="D422" s="23" t="n">
        <f aca="false">SUM(Datos_Semanales!F422:K422)</f>
        <v>331.2</v>
      </c>
      <c r="E422" s="23" t="n">
        <f aca="false">AVERAGE(Datos_Semanales!F422:K422)</f>
        <v>55.2</v>
      </c>
      <c r="F422" s="23" t="n">
        <f aca="false">STDEV(Datos_Semanales!F422:K422)</f>
        <v>64.0939310699539</v>
      </c>
      <c r="G422" s="27" t="n">
        <f aca="false">IF(E422&gt;0,F422/E422,"")</f>
        <v>1.16112193967308</v>
      </c>
      <c r="H422" s="24" t="n">
        <f aca="false">IF(SUM($D$5:$D$494)&gt;0,D422/SUM($D$5:$D$494),0)</f>
        <v>1.3805836287861E-005</v>
      </c>
      <c r="I422" s="24" t="n">
        <f aca="false">SUMIF($D$5:$D$494,"&gt;="&amp;D422)/SUM($D$5:$D$494)</f>
        <v>0.999957918877267</v>
      </c>
      <c r="J422" s="3" t="str">
        <f aca="false">IF(D422&lt;=0,"C",IF(I422&lt;=Parametros!$B$4,"A",IF(I422&lt;=Parametros!$B$5,"B","C")))</f>
        <v>C</v>
      </c>
      <c r="K422" s="3" t="str">
        <f aca="false">IF(E422&lt;=0,"Z",IF(G422&lt;=Parametros!$B$6,"X",IF(G422&lt;=Parametros!$B$7,"Y","Z")))</f>
        <v>Z</v>
      </c>
      <c r="L422" s="3" t="str">
        <f aca="false">J422&amp;K422</f>
        <v>CZ</v>
      </c>
      <c r="M422" s="3" t="str">
        <f aca="false">INDEX(Parametros!$B$23:$B$31,MATCH(L422,Parametros!$A$23:$A$31,0))</f>
        <v>Contra pedido o stock mínimo. Candidato a racionalizar/descontinuar.</v>
      </c>
      <c r="N422" s="3" t="str">
        <f aca="false">INDEX(Parametros!$C$23:$C$31,MATCH(L422,Parametros!$A$23:$A$31,0))</f>
        <v>Mensual</v>
      </c>
      <c r="O422" s="23" t="n">
        <f aca="false">SUM(Datos_Semanales!M422:R422)</f>
        <v>3800</v>
      </c>
      <c r="P422" s="24" t="n">
        <f aca="false">IF(D422&gt;0,SUMPRODUCT(ABS(Datos_Semanales!F422:K422-Datos_Semanales!M422:R422))/D422,"")</f>
        <v>11.1400966183575</v>
      </c>
      <c r="Q422" s="24" t="n">
        <f aca="false">IF(D422&gt;0,O422/D422-1,"")</f>
        <v>10.4734299516908</v>
      </c>
      <c r="R422" s="23" t="n">
        <f aca="false">SQRT(SUMXMY2(Datos_Semanales!F422:K422,Datos_Semanales!M422:R422)/COUNT(Datos_Semanales!F422:K422))</f>
        <v>1124.88980201025</v>
      </c>
    </row>
    <row r="423" customFormat="false" ht="15" hidden="false" customHeight="false" outlineLevel="0" collapsed="false">
      <c r="A423" s="18" t="n">
        <f aca="false">Datos_Semanales!A423</f>
        <v>30001412</v>
      </c>
      <c r="B423" s="18" t="str">
        <f aca="false">Datos_Semanales!B423</f>
        <v>LONCO PROTEIN CHOCOLATE 18X200ML</v>
      </c>
      <c r="C423" s="18" t="str">
        <f aca="false">Datos_Semanales!C423</f>
        <v>LECHES LIQUIDAS</v>
      </c>
      <c r="D423" s="23" t="n">
        <f aca="false">SUM(Datos_Semanales!F423:K423)</f>
        <v>277.2</v>
      </c>
      <c r="E423" s="23" t="n">
        <f aca="false">AVERAGE(Datos_Semanales!F423:K423)</f>
        <v>46.2</v>
      </c>
      <c r="F423" s="23" t="n">
        <f aca="false">STDEV(Datos_Semanales!F423:K423)</f>
        <v>80.1569460496095</v>
      </c>
      <c r="G423" s="27" t="n">
        <f aca="false">IF(E423&gt;0,F423/E423,"")</f>
        <v>1.73499883224263</v>
      </c>
      <c r="H423" s="24" t="n">
        <f aca="false">IF(SUM($D$5:$D$494)&gt;0,D423/SUM($D$5:$D$494),0)</f>
        <v>1.1554884719188E-005</v>
      </c>
      <c r="I423" s="24" t="n">
        <f aca="false">SUMIF($D$5:$D$494,"&gt;="&amp;D423)/SUM($D$5:$D$494)</f>
        <v>0.999969473761986</v>
      </c>
      <c r="J423" s="3" t="str">
        <f aca="false">IF(D423&lt;=0,"C",IF(I423&lt;=Parametros!$B$4,"A",IF(I423&lt;=Parametros!$B$5,"B","C")))</f>
        <v>C</v>
      </c>
      <c r="K423" s="3" t="str">
        <f aca="false">IF(E423&lt;=0,"Z",IF(G423&lt;=Parametros!$B$6,"X",IF(G423&lt;=Parametros!$B$7,"Y","Z")))</f>
        <v>Z</v>
      </c>
      <c r="L423" s="3" t="str">
        <f aca="false">J423&amp;K423</f>
        <v>CZ</v>
      </c>
      <c r="M423" s="3" t="str">
        <f aca="false">INDEX(Parametros!$B$23:$B$31,MATCH(L423,Parametros!$A$23:$A$31,0))</f>
        <v>Contra pedido o stock mínimo. Candidato a racionalizar/descontinuar.</v>
      </c>
      <c r="N423" s="3" t="str">
        <f aca="false">INDEX(Parametros!$C$23:$C$31,MATCH(L423,Parametros!$A$23:$A$31,0))</f>
        <v>Mensual</v>
      </c>
      <c r="O423" s="23" t="n">
        <f aca="false">SUM(Datos_Semanales!M423:R423)</f>
        <v>101.348582240631</v>
      </c>
      <c r="P423" s="24" t="n">
        <f aca="false">IF(D423&gt;0,SUMPRODUCT(ABS(Datos_Semanales!F423:K423-Datos_Semanales!M423:R423))/D423,"")</f>
        <v>1.36561537604845</v>
      </c>
      <c r="Q423" s="24" t="n">
        <f aca="false">IF(D423&gt;0,O423/D423-1,"")</f>
        <v>-0.634384623951548</v>
      </c>
      <c r="R423" s="23" t="n">
        <f aca="false">SQRT(SUMXMY2(Datos_Semanales!F423:K423,Datos_Semanales!M423:R423)/COUNT(Datos_Semanales!F423:K423))</f>
        <v>95.9199797767093</v>
      </c>
    </row>
    <row r="424" customFormat="false" ht="15" hidden="false" customHeight="false" outlineLevel="0" collapsed="false">
      <c r="A424" s="18" t="n">
        <f aca="false">Datos_Semanales!A424</f>
        <v>30000046</v>
      </c>
      <c r="B424" s="18" t="str">
        <f aca="false">Datos_Semanales!B424</f>
        <v>ACEITE MAZOLA CANOLA 12X1LT</v>
      </c>
      <c r="C424" s="18" t="str">
        <f aca="false">Datos_Semanales!C424</f>
        <v>ACEITES</v>
      </c>
      <c r="D424" s="23" t="n">
        <f aca="false">SUM(Datos_Semanales!F424:K424)</f>
        <v>132.48</v>
      </c>
      <c r="E424" s="23" t="n">
        <f aca="false">AVERAGE(Datos_Semanales!F424:K424)</f>
        <v>22.08</v>
      </c>
      <c r="F424" s="23" t="n">
        <f aca="false">STDEV(Datos_Semanales!F424:K424)</f>
        <v>54.0847335206526</v>
      </c>
      <c r="G424" s="27" t="n">
        <f aca="false">IF(E424&gt;0,F424/E424,"")</f>
        <v>2.44948974278318</v>
      </c>
      <c r="H424" s="24" t="n">
        <f aca="false">IF(SUM($D$5:$D$494)&gt;0,D424/SUM($D$5:$D$494),0)</f>
        <v>5.52233451514439E-006</v>
      </c>
      <c r="I424" s="24" t="n">
        <f aca="false">SUMIF($D$5:$D$494,"&gt;="&amp;D424)/SUM($D$5:$D$494)</f>
        <v>0.999974996096501</v>
      </c>
      <c r="J424" s="3" t="str">
        <f aca="false">IF(D424&lt;=0,"C",IF(I424&lt;=Parametros!$B$4,"A",IF(I424&lt;=Parametros!$B$5,"B","C")))</f>
        <v>C</v>
      </c>
      <c r="K424" s="3" t="str">
        <f aca="false">IF(E424&lt;=0,"Z",IF(G424&lt;=Parametros!$B$6,"X",IF(G424&lt;=Parametros!$B$7,"Y","Z")))</f>
        <v>Z</v>
      </c>
      <c r="L424" s="3" t="str">
        <f aca="false">J424&amp;K424</f>
        <v>CZ</v>
      </c>
      <c r="M424" s="3" t="str">
        <f aca="false">INDEX(Parametros!$B$23:$B$31,MATCH(L424,Parametros!$A$23:$A$31,0))</f>
        <v>Contra pedido o stock mínimo. Candidato a racionalizar/descontinuar.</v>
      </c>
      <c r="N424" s="3" t="str">
        <f aca="false">INDEX(Parametros!$C$23:$C$31,MATCH(L424,Parametros!$A$23:$A$31,0))</f>
        <v>Mensual</v>
      </c>
      <c r="O424" s="23" t="n">
        <f aca="false">SUM(Datos_Semanales!M424:R424)</f>
        <v>0</v>
      </c>
      <c r="P424" s="24" t="n">
        <f aca="false">IF(D424&gt;0,SUMPRODUCT(ABS(Datos_Semanales!F424:K424-Datos_Semanales!M424:R424))/D424,"")</f>
        <v>1</v>
      </c>
      <c r="Q424" s="24" t="n">
        <f aca="false">IF(D424&gt;0,O424/D424-1,"")</f>
        <v>-1</v>
      </c>
      <c r="R424" s="23" t="n">
        <f aca="false">SQRT(SUMXMY2(Datos_Semanales!F424:K424,Datos_Semanales!M424:R424)/COUNT(Datos_Semanales!F424:K424))</f>
        <v>54.0847335206526</v>
      </c>
    </row>
    <row r="425" customFormat="false" ht="15" hidden="false" customHeight="false" outlineLevel="0" collapsed="false">
      <c r="A425" s="18" t="n">
        <f aca="false">Datos_Semanales!A425</f>
        <v>30002303</v>
      </c>
      <c r="B425" s="18" t="str">
        <f aca="false">Datos_Semanales!B425</f>
        <v>SALSA WASIL ESTILO BOLOGNESA 24X200GR</v>
      </c>
      <c r="C425" s="18" t="str">
        <f aca="false">Datos_Semanales!C425</f>
        <v>-</v>
      </c>
      <c r="D425" s="23" t="n">
        <f aca="false">SUM(Datos_Semanales!F425:K425)</f>
        <v>100.8</v>
      </c>
      <c r="E425" s="23" t="n">
        <f aca="false">AVERAGE(Datos_Semanales!F425:K425)</f>
        <v>16.8</v>
      </c>
      <c r="F425" s="23" t="n">
        <f aca="false">STDEV(Datos_Semanales!F425:K425)</f>
        <v>41.1514276787574</v>
      </c>
      <c r="G425" s="27" t="n">
        <f aca="false">IF(E425&gt;0,F425/E425,"")</f>
        <v>2.44948974278318</v>
      </c>
      <c r="H425" s="24" t="n">
        <f aca="false">IF(SUM($D$5:$D$494)&gt;0,D425/SUM($D$5:$D$494),0)</f>
        <v>4.20177626152291E-006</v>
      </c>
      <c r="I425" s="24" t="n">
        <f aca="false">SUMIF($D$5:$D$494,"&gt;="&amp;D425)/SUM($D$5:$D$494)</f>
        <v>0.999979197872763</v>
      </c>
      <c r="J425" s="3" t="str">
        <f aca="false">IF(D425&lt;=0,"C",IF(I425&lt;=Parametros!$B$4,"A",IF(I425&lt;=Parametros!$B$5,"B","C")))</f>
        <v>C</v>
      </c>
      <c r="K425" s="3" t="str">
        <f aca="false">IF(E425&lt;=0,"Z",IF(G425&lt;=Parametros!$B$6,"X",IF(G425&lt;=Parametros!$B$7,"Y","Z")))</f>
        <v>Z</v>
      </c>
      <c r="L425" s="3" t="str">
        <f aca="false">J425&amp;K425</f>
        <v>CZ</v>
      </c>
      <c r="M425" s="3" t="str">
        <f aca="false">INDEX(Parametros!$B$23:$B$31,MATCH(L425,Parametros!$A$23:$A$31,0))</f>
        <v>Contra pedido o stock mínimo. Candidato a racionalizar/descontinuar.</v>
      </c>
      <c r="N425" s="3" t="str">
        <f aca="false">INDEX(Parametros!$C$23:$C$31,MATCH(L425,Parametros!$A$23:$A$31,0))</f>
        <v>Mensual</v>
      </c>
      <c r="O425" s="23" t="n">
        <f aca="false">SUM(Datos_Semanales!M425:R425)</f>
        <v>1300</v>
      </c>
      <c r="P425" s="24" t="n">
        <f aca="false">IF(D425&gt;0,SUMPRODUCT(ABS(Datos_Semanales!F425:K425-Datos_Semanales!M425:R425))/D425,"")</f>
        <v>11.8968253968254</v>
      </c>
      <c r="Q425" s="24" t="n">
        <f aca="false">IF(D425&gt;0,O425/D425-1,"")</f>
        <v>11.8968253968254</v>
      </c>
      <c r="R425" s="23" t="n">
        <f aca="false">SQRT(SUMXMY2(Datos_Semanales!F425:K425,Datos_Semanales!M425:R425)/COUNT(Datos_Semanales!F425:K425))</f>
        <v>346.179298437481</v>
      </c>
    </row>
    <row r="426" customFormat="false" ht="15" hidden="false" customHeight="false" outlineLevel="0" collapsed="false">
      <c r="A426" s="18" t="n">
        <f aca="false">Datos_Semanales!A426</f>
        <v>30001411</v>
      </c>
      <c r="B426" s="18" t="str">
        <f aca="false">Datos_Semanales!B426</f>
        <v>LONCO PROTEIN CAPPUCCINO 18X200ML</v>
      </c>
      <c r="C426" s="18" t="str">
        <f aca="false">Datos_Semanales!C426</f>
        <v>LECHES LIQUIDAS</v>
      </c>
      <c r="D426" s="23" t="n">
        <f aca="false">SUM(Datos_Semanales!F426:K426)</f>
        <v>93.6</v>
      </c>
      <c r="E426" s="23" t="n">
        <f aca="false">AVERAGE(Datos_Semanales!F426:K426)</f>
        <v>15.6</v>
      </c>
      <c r="F426" s="23" t="n">
        <f aca="false">STDEV(Datos_Semanales!F426:K426)</f>
        <v>36.4768419685696</v>
      </c>
      <c r="G426" s="27" t="n">
        <f aca="false">IF(E426&gt;0,F426/E426,"")</f>
        <v>2.33825910054933</v>
      </c>
      <c r="H426" s="24" t="n">
        <f aca="false">IF(SUM($D$5:$D$494)&gt;0,D426/SUM($D$5:$D$494),0)</f>
        <v>3.90164938569984E-006</v>
      </c>
      <c r="I426" s="24" t="n">
        <f aca="false">SUMIF($D$5:$D$494,"&gt;="&amp;D426)/SUM($D$5:$D$494)</f>
        <v>0.999983099522148</v>
      </c>
      <c r="J426" s="3" t="str">
        <f aca="false">IF(D426&lt;=0,"C",IF(I426&lt;=Parametros!$B$4,"A",IF(I426&lt;=Parametros!$B$5,"B","C")))</f>
        <v>C</v>
      </c>
      <c r="K426" s="3" t="str">
        <f aca="false">IF(E426&lt;=0,"Z",IF(G426&lt;=Parametros!$B$6,"X",IF(G426&lt;=Parametros!$B$7,"Y","Z")))</f>
        <v>Z</v>
      </c>
      <c r="L426" s="3" t="str">
        <f aca="false">J426&amp;K426</f>
        <v>CZ</v>
      </c>
      <c r="M426" s="3" t="str">
        <f aca="false">INDEX(Parametros!$B$23:$B$31,MATCH(L426,Parametros!$A$23:$A$31,0))</f>
        <v>Contra pedido o stock mínimo. Candidato a racionalizar/descontinuar.</v>
      </c>
      <c r="N426" s="3" t="str">
        <f aca="false">INDEX(Parametros!$C$23:$C$31,MATCH(L426,Parametros!$A$23:$A$31,0))</f>
        <v>Mensual</v>
      </c>
      <c r="O426" s="23" t="n">
        <f aca="false">SUM(Datos_Semanales!M426:R426)</f>
        <v>965.443564002189</v>
      </c>
      <c r="P426" s="24" t="n">
        <f aca="false">IF(D426&gt;0,SUMPRODUCT(ABS(Datos_Semanales!F426:K426-Datos_Semanales!M426:R426))/D426,"")</f>
        <v>11.2376449145533</v>
      </c>
      <c r="Q426" s="24" t="n">
        <f aca="false">IF(D426&gt;0,O426/D426-1,"")</f>
        <v>9.31456799147638</v>
      </c>
      <c r="R426" s="23" t="n">
        <f aca="false">SQRT(SUMXMY2(Datos_Semanales!F426:K426,Datos_Semanales!M426:R426)/COUNT(Datos_Semanales!F426:K426))</f>
        <v>394.386240803867</v>
      </c>
    </row>
    <row r="427" customFormat="false" ht="15" hidden="false" customHeight="false" outlineLevel="0" collapsed="false">
      <c r="A427" s="18" t="n">
        <f aca="false">Datos_Semanales!A427</f>
        <v>30001743</v>
      </c>
      <c r="B427" s="18" t="str">
        <f aca="false">Datos_Semanales!B427</f>
        <v>POROTOS NEGROS SIN SAL WASIL 16X340GR</v>
      </c>
      <c r="C427" s="18" t="str">
        <f aca="false">Datos_Semanales!C427</f>
        <v>CONSERVAS Y PLATOS LISTOS</v>
      </c>
      <c r="D427" s="23" t="n">
        <f aca="false">SUM(Datos_Semanales!F427:K427)</f>
        <v>81.6</v>
      </c>
      <c r="E427" s="23" t="n">
        <f aca="false">AVERAGE(Datos_Semanales!F427:K427)</f>
        <v>13.6</v>
      </c>
      <c r="F427" s="23" t="n">
        <f aca="false">STDEV(Datos_Semanales!F427:K427)</f>
        <v>12.2852496922122</v>
      </c>
      <c r="G427" s="27" t="n">
        <f aca="false">IF(E427&gt;0,F427/E427,"")</f>
        <v>0.903327183250897</v>
      </c>
      <c r="H427" s="24" t="n">
        <f aca="false">IF(SUM($D$5:$D$494)&gt;0,D427/SUM($D$5:$D$494),0)</f>
        <v>3.40143792599473E-006</v>
      </c>
      <c r="I427" s="24" t="n">
        <f aca="false">SUMIF($D$5:$D$494,"&gt;="&amp;D427)/SUM($D$5:$D$494)</f>
        <v>0.999986500960074</v>
      </c>
      <c r="J427" s="3" t="str">
        <f aca="false">IF(D427&lt;=0,"C",IF(I427&lt;=Parametros!$B$4,"A",IF(I427&lt;=Parametros!$B$5,"B","C")))</f>
        <v>C</v>
      </c>
      <c r="K427" s="3" t="str">
        <f aca="false">IF(E427&lt;=0,"Z",IF(G427&lt;=Parametros!$B$6,"X",IF(G427&lt;=Parametros!$B$7,"Y","Z")))</f>
        <v>Y</v>
      </c>
      <c r="L427" s="3" t="str">
        <f aca="false">J427&amp;K427</f>
        <v>CY</v>
      </c>
      <c r="M427" s="3" t="str">
        <f aca="false">INDEX(Parametros!$B$23:$B$31,MATCH(L427,Parametros!$A$23:$A$31,0))</f>
        <v>Mín/máx con stock bajo; evaluar continuidad del SKU.</v>
      </c>
      <c r="N427" s="3" t="str">
        <f aca="false">INDEX(Parametros!$C$23:$C$31,MATCH(L427,Parametros!$A$23:$A$31,0))</f>
        <v>Mensual</v>
      </c>
      <c r="O427" s="23" t="n">
        <f aca="false">SUM(Datos_Semanales!M427:R427)</f>
        <v>0</v>
      </c>
      <c r="P427" s="24" t="n">
        <f aca="false">IF(D427&gt;0,SUMPRODUCT(ABS(Datos_Semanales!F427:K427-Datos_Semanales!M427:R427))/D427,"")</f>
        <v>1</v>
      </c>
      <c r="Q427" s="24" t="n">
        <f aca="false">IF(D427&gt;0,O427/D427-1,"")</f>
        <v>-1</v>
      </c>
      <c r="R427" s="23" t="n">
        <f aca="false">SQRT(SUMXMY2(Datos_Semanales!F427:K427,Datos_Semanales!M427:R427)/COUNT(Datos_Semanales!F427:K427))</f>
        <v>17.6276146996694</v>
      </c>
    </row>
    <row r="428" customFormat="false" ht="15" hidden="false" customHeight="false" outlineLevel="0" collapsed="false">
      <c r="A428" s="18" t="n">
        <f aca="false">Datos_Semanales!A428</f>
        <v>30000068</v>
      </c>
      <c r="B428" s="18" t="str">
        <f aca="false">Datos_Semanales!B428</f>
        <v>MARGARINA SUREÑA LIGHT 6X1KG</v>
      </c>
      <c r="C428" s="18" t="str">
        <f aca="false">Datos_Semanales!C428</f>
        <v>MARGARINAS</v>
      </c>
      <c r="D428" s="23" t="n">
        <f aca="false">SUM(Datos_Semanales!F428:K428)</f>
        <v>66</v>
      </c>
      <c r="E428" s="23" t="n">
        <f aca="false">AVERAGE(Datos_Semanales!F428:K428)</f>
        <v>11</v>
      </c>
      <c r="F428" s="23" t="n">
        <f aca="false">STDEV(Datos_Semanales!F428:K428)</f>
        <v>16.7212439728628</v>
      </c>
      <c r="G428" s="27" t="n">
        <f aca="false">IF(E428&gt;0,F428/E428,"")</f>
        <v>1.52011308844207</v>
      </c>
      <c r="H428" s="24" t="n">
        <f aca="false">IF(SUM($D$5:$D$494)&gt;0,D428/SUM($D$5:$D$494),0)</f>
        <v>2.75116302837809E-006</v>
      </c>
      <c r="I428" s="24" t="n">
        <f aca="false">SUMIF($D$5:$D$494,"&gt;="&amp;D428)/SUM($D$5:$D$494)</f>
        <v>0.999989252123103</v>
      </c>
      <c r="J428" s="3" t="str">
        <f aca="false">IF(D428&lt;=0,"C",IF(I428&lt;=Parametros!$B$4,"A",IF(I428&lt;=Parametros!$B$5,"B","C")))</f>
        <v>C</v>
      </c>
      <c r="K428" s="3" t="str">
        <f aca="false">IF(E428&lt;=0,"Z",IF(G428&lt;=Parametros!$B$6,"X",IF(G428&lt;=Parametros!$B$7,"Y","Z")))</f>
        <v>Z</v>
      </c>
      <c r="L428" s="3" t="str">
        <f aca="false">J428&amp;K428</f>
        <v>CZ</v>
      </c>
      <c r="M428" s="3" t="str">
        <f aca="false">INDEX(Parametros!$B$23:$B$31,MATCH(L428,Parametros!$A$23:$A$31,0))</f>
        <v>Contra pedido o stock mínimo. Candidato a racionalizar/descontinuar.</v>
      </c>
      <c r="N428" s="3" t="str">
        <f aca="false">INDEX(Parametros!$C$23:$C$31,MATCH(L428,Parametros!$A$23:$A$31,0))</f>
        <v>Mensual</v>
      </c>
      <c r="O428" s="23" t="n">
        <f aca="false">SUM(Datos_Semanales!M428:R428)</f>
        <v>0</v>
      </c>
      <c r="P428" s="24" t="n">
        <f aca="false">IF(D428&gt;0,SUMPRODUCT(ABS(Datos_Semanales!F428:K428-Datos_Semanales!M428:R428))/D428,"")</f>
        <v>1</v>
      </c>
      <c r="Q428" s="24" t="n">
        <f aca="false">IF(D428&gt;0,O428/D428-1,"")</f>
        <v>-1</v>
      </c>
      <c r="R428" s="23" t="n">
        <f aca="false">SQRT(SUMXMY2(Datos_Semanales!F428:K428,Datos_Semanales!M428:R428)/COUNT(Datos_Semanales!F428:K428))</f>
        <v>18.8148877222268</v>
      </c>
    </row>
    <row r="429" customFormat="false" ht="15" hidden="false" customHeight="false" outlineLevel="0" collapsed="false">
      <c r="A429" s="18" t="n">
        <f aca="false">Datos_Semanales!A429</f>
        <v>30001735</v>
      </c>
      <c r="B429" s="18" t="str">
        <f aca="false">Datos_Semanales!B429</f>
        <v>QUESO LPV CHANCO P3</v>
      </c>
      <c r="C429" s="18" t="str">
        <f aca="false">Datos_Semanales!C429</f>
        <v>QUESOS</v>
      </c>
      <c r="D429" s="23" t="n">
        <f aca="false">SUM(Datos_Semanales!F429:K429)</f>
        <v>60</v>
      </c>
      <c r="E429" s="23" t="n">
        <f aca="false">AVERAGE(Datos_Semanales!F429:K429)</f>
        <v>10</v>
      </c>
      <c r="F429" s="23" t="n">
        <f aca="false">STDEV(Datos_Semanales!F429:K429)</f>
        <v>18.165902124585</v>
      </c>
      <c r="G429" s="27" t="n">
        <f aca="false">IF(E429&gt;0,F429/E429,"")</f>
        <v>1.8165902124585</v>
      </c>
      <c r="H429" s="24" t="n">
        <f aca="false">IF(SUM($D$5:$D$494)&gt;0,D429/SUM($D$5:$D$494),0)</f>
        <v>2.50105729852554E-006</v>
      </c>
      <c r="I429" s="24" t="n">
        <f aca="false">SUMIF($D$5:$D$494,"&gt;="&amp;D429)/SUM($D$5:$D$494)</f>
        <v>0.999991753180401</v>
      </c>
      <c r="J429" s="3" t="str">
        <f aca="false">IF(D429&lt;=0,"C",IF(I429&lt;=Parametros!$B$4,"A",IF(I429&lt;=Parametros!$B$5,"B","C")))</f>
        <v>C</v>
      </c>
      <c r="K429" s="3" t="str">
        <f aca="false">IF(E429&lt;=0,"Z",IF(G429&lt;=Parametros!$B$6,"X",IF(G429&lt;=Parametros!$B$7,"Y","Z")))</f>
        <v>Z</v>
      </c>
      <c r="L429" s="3" t="str">
        <f aca="false">J429&amp;K429</f>
        <v>CZ</v>
      </c>
      <c r="M429" s="3" t="str">
        <f aca="false">INDEX(Parametros!$B$23:$B$31,MATCH(L429,Parametros!$A$23:$A$31,0))</f>
        <v>Contra pedido o stock mínimo. Candidato a racionalizar/descontinuar.</v>
      </c>
      <c r="N429" s="3" t="str">
        <f aca="false">INDEX(Parametros!$C$23:$C$31,MATCH(L429,Parametros!$A$23:$A$31,0))</f>
        <v>Mensual</v>
      </c>
      <c r="O429" s="23" t="n">
        <f aca="false">SUM(Datos_Semanales!M429:R429)</f>
        <v>0</v>
      </c>
      <c r="P429" s="24" t="n">
        <f aca="false">IF(D429&gt;0,SUMPRODUCT(ABS(Datos_Semanales!F429:K429-Datos_Semanales!M429:R429))/D429,"")</f>
        <v>1</v>
      </c>
      <c r="Q429" s="24" t="n">
        <f aca="false">IF(D429&gt;0,O429/D429-1,"")</f>
        <v>-1</v>
      </c>
      <c r="R429" s="23" t="n">
        <f aca="false">SQRT(SUMXMY2(Datos_Semanales!F429:K429,Datos_Semanales!M429:R429)/COUNT(Datos_Semanales!F429:K429))</f>
        <v>19.3649167310371</v>
      </c>
    </row>
    <row r="430" customFormat="false" ht="15" hidden="false" customHeight="false" outlineLevel="0" collapsed="false">
      <c r="A430" s="18" t="n">
        <f aca="false">Datos_Semanales!A430</f>
        <v>30002187</v>
      </c>
      <c r="B430" s="18" t="str">
        <f aca="false">Datos_Semanales!B430</f>
        <v>YOGU YOGU FRUTILLA 5X6X115 ML</v>
      </c>
      <c r="C430" s="18" t="str">
        <f aca="false">Datos_Semanales!C430</f>
        <v>LECHES LIQUIDAS</v>
      </c>
      <c r="D430" s="23" t="n">
        <f aca="false">SUM(Datos_Semanales!F430:K430)</f>
        <v>55.2</v>
      </c>
      <c r="E430" s="23" t="n">
        <f aca="false">AVERAGE(Datos_Semanales!F430:K430)</f>
        <v>9.2</v>
      </c>
      <c r="F430" s="23" t="n">
        <f aca="false">STDEV(Datos_Semanales!F430:K430)</f>
        <v>8.06641184170508</v>
      </c>
      <c r="G430" s="27" t="n">
        <f aca="false">IF(E430&gt;0,F430/E430,"")</f>
        <v>0.876783895837509</v>
      </c>
      <c r="H430" s="24" t="n">
        <f aca="false">IF(SUM($D$5:$D$494)&gt;0,D430/SUM($D$5:$D$494),0)</f>
        <v>2.3009727146435E-006</v>
      </c>
      <c r="I430" s="24" t="n">
        <f aca="false">SUMIF($D$5:$D$494,"&gt;="&amp;D430)/SUM($D$5:$D$494)</f>
        <v>0.999994054153116</v>
      </c>
      <c r="J430" s="3" t="str">
        <f aca="false">IF(D430&lt;=0,"C",IF(I430&lt;=Parametros!$B$4,"A",IF(I430&lt;=Parametros!$B$5,"B","C")))</f>
        <v>C</v>
      </c>
      <c r="K430" s="3" t="str">
        <f aca="false">IF(E430&lt;=0,"Z",IF(G430&lt;=Parametros!$B$6,"X",IF(G430&lt;=Parametros!$B$7,"Y","Z")))</f>
        <v>Y</v>
      </c>
      <c r="L430" s="3" t="str">
        <f aca="false">J430&amp;K430</f>
        <v>CY</v>
      </c>
      <c r="M430" s="3" t="str">
        <f aca="false">INDEX(Parametros!$B$23:$B$31,MATCH(L430,Parametros!$A$23:$A$31,0))</f>
        <v>Mín/máx con stock bajo; evaluar continuidad del SKU.</v>
      </c>
      <c r="N430" s="3" t="str">
        <f aca="false">INDEX(Parametros!$C$23:$C$31,MATCH(L430,Parametros!$A$23:$A$31,0))</f>
        <v>Mensual</v>
      </c>
      <c r="O430" s="23" t="n">
        <f aca="false">SUM(Datos_Semanales!M430:R430)</f>
        <v>3200</v>
      </c>
      <c r="P430" s="24" t="n">
        <f aca="false">IF(D430&gt;0,SUMPRODUCT(ABS(Datos_Semanales!F430:K430-Datos_Semanales!M430:R430))/D430,"")</f>
        <v>58.2210144927536</v>
      </c>
      <c r="Q430" s="24" t="n">
        <f aca="false">IF(D430&gt;0,O430/D430-1,"")</f>
        <v>56.9710144927536</v>
      </c>
      <c r="R430" s="23" t="n">
        <f aca="false">SQRT(SUMXMY2(Datos_Semanales!F430:K430,Datos_Semanales!M430:R430)/COUNT(Datos_Semanales!F430:K430))</f>
        <v>752.098528009019</v>
      </c>
    </row>
    <row r="431" customFormat="false" ht="15" hidden="false" customHeight="false" outlineLevel="0" collapsed="false">
      <c r="A431" s="18" t="n">
        <f aca="false">Datos_Semanales!A431</f>
        <v>30001408</v>
      </c>
      <c r="B431" s="18" t="str">
        <f aca="false">Datos_Semanales!B431</f>
        <v>LECHE POLVO SUPER CALO 20X850GR</v>
      </c>
      <c r="C431" s="18" t="str">
        <f aca="false">Datos_Semanales!C431</f>
        <v>LECHES EN POLVO</v>
      </c>
      <c r="D431" s="23" t="n">
        <f aca="false">SUM(Datos_Semanales!F431:K431)</f>
        <v>51</v>
      </c>
      <c r="E431" s="23" t="n">
        <f aca="false">AVERAGE(Datos_Semanales!F431:K431)</f>
        <v>8.5</v>
      </c>
      <c r="F431" s="23" t="n">
        <f aca="false">STDEV(Datos_Semanales!F431:K431)</f>
        <v>9.31128347758783</v>
      </c>
      <c r="G431" s="27" t="n">
        <f aca="false">IF(E431&gt;0,F431/E431,"")</f>
        <v>1.09544511501033</v>
      </c>
      <c r="H431" s="24" t="n">
        <f aca="false">IF(SUM($D$5:$D$494)&gt;0,D431/SUM($D$5:$D$494),0)</f>
        <v>2.12589870374671E-006</v>
      </c>
      <c r="I431" s="24" t="n">
        <f aca="false">SUMIF($D$5:$D$494,"&gt;="&amp;D431)/SUM($D$5:$D$494)</f>
        <v>0.99999618005182</v>
      </c>
      <c r="J431" s="3" t="str">
        <f aca="false">IF(D431&lt;=0,"C",IF(I431&lt;=Parametros!$B$4,"A",IF(I431&lt;=Parametros!$B$5,"B","C")))</f>
        <v>C</v>
      </c>
      <c r="K431" s="3" t="str">
        <f aca="false">IF(E431&lt;=0,"Z",IF(G431&lt;=Parametros!$B$6,"X",IF(G431&lt;=Parametros!$B$7,"Y","Z")))</f>
        <v>Z</v>
      </c>
      <c r="L431" s="3" t="str">
        <f aca="false">J431&amp;K431</f>
        <v>CZ</v>
      </c>
      <c r="M431" s="3" t="str">
        <f aca="false">INDEX(Parametros!$B$23:$B$31,MATCH(L431,Parametros!$A$23:$A$31,0))</f>
        <v>Contra pedido o stock mínimo. Candidato a racionalizar/descontinuar.</v>
      </c>
      <c r="N431" s="3" t="str">
        <f aca="false">INDEX(Parametros!$C$23:$C$31,MATCH(L431,Parametros!$A$23:$A$31,0))</f>
        <v>Mensual</v>
      </c>
      <c r="O431" s="23" t="n">
        <f aca="false">SUM(Datos_Semanales!M431:R431)</f>
        <v>0</v>
      </c>
      <c r="P431" s="24" t="n">
        <f aca="false">IF(D431&gt;0,SUMPRODUCT(ABS(Datos_Semanales!F431:K431-Datos_Semanales!M431:R431))/D431,"")</f>
        <v>1</v>
      </c>
      <c r="Q431" s="24" t="n">
        <f aca="false">IF(D431&gt;0,O431/D431-1,"")</f>
        <v>-1</v>
      </c>
      <c r="R431" s="23" t="n">
        <f aca="false">SQRT(SUMXMY2(Datos_Semanales!F431:K431,Datos_Semanales!M431:R431)/COUNT(Datos_Semanales!F431:K431))</f>
        <v>12.0208152801713</v>
      </c>
    </row>
    <row r="432" customFormat="false" ht="15" hidden="false" customHeight="false" outlineLevel="0" collapsed="false">
      <c r="A432" s="18" t="n">
        <f aca="false">Datos_Semanales!A432</f>
        <v>30000239</v>
      </c>
      <c r="B432" s="18" t="str">
        <f aca="false">Datos_Semanales!B432</f>
        <v>JUGO FRESCO PINA 6X1LT</v>
      </c>
      <c r="C432" s="18" t="str">
        <f aca="false">Datos_Semanales!C432</f>
        <v>JUGOS Y NECTARES</v>
      </c>
      <c r="D432" s="23" t="n">
        <f aca="false">SUM(Datos_Semanales!F432:K432)</f>
        <v>24</v>
      </c>
      <c r="E432" s="23" t="n">
        <f aca="false">AVERAGE(Datos_Semanales!F432:K432)</f>
        <v>4</v>
      </c>
      <c r="F432" s="23" t="n">
        <f aca="false">STDEV(Datos_Semanales!F432:K432)</f>
        <v>6.19677335393187</v>
      </c>
      <c r="G432" s="27" t="n">
        <f aca="false">IF(E432&gt;0,F432/E432,"")</f>
        <v>1.54919333848297</v>
      </c>
      <c r="H432" s="24" t="n">
        <f aca="false">IF(SUM($D$5:$D$494)&gt;0,D432/SUM($D$5:$D$494),0)</f>
        <v>1.00042291941022E-006</v>
      </c>
      <c r="I432" s="24" t="n">
        <f aca="false">SUMIF($D$5:$D$494,"&gt;="&amp;D432)/SUM($D$5:$D$494)</f>
        <v>0.999997180474739</v>
      </c>
      <c r="J432" s="3" t="str">
        <f aca="false">IF(D432&lt;=0,"C",IF(I432&lt;=Parametros!$B$4,"A",IF(I432&lt;=Parametros!$B$5,"B","C")))</f>
        <v>C</v>
      </c>
      <c r="K432" s="3" t="str">
        <f aca="false">IF(E432&lt;=0,"Z",IF(G432&lt;=Parametros!$B$6,"X",IF(G432&lt;=Parametros!$B$7,"Y","Z")))</f>
        <v>Z</v>
      </c>
      <c r="L432" s="3" t="str">
        <f aca="false">J432&amp;K432</f>
        <v>CZ</v>
      </c>
      <c r="M432" s="3" t="str">
        <f aca="false">INDEX(Parametros!$B$23:$B$31,MATCH(L432,Parametros!$A$23:$A$31,0))</f>
        <v>Contra pedido o stock mínimo. Candidato a racionalizar/descontinuar.</v>
      </c>
      <c r="N432" s="3" t="str">
        <f aca="false">INDEX(Parametros!$C$23:$C$31,MATCH(L432,Parametros!$A$23:$A$31,0))</f>
        <v>Mensual</v>
      </c>
      <c r="O432" s="23" t="n">
        <f aca="false">SUM(Datos_Semanales!M432:R432)</f>
        <v>0</v>
      </c>
      <c r="P432" s="24" t="n">
        <f aca="false">IF(D432&gt;0,SUMPRODUCT(ABS(Datos_Semanales!F432:K432-Datos_Semanales!M432:R432))/D432,"")</f>
        <v>1</v>
      </c>
      <c r="Q432" s="24" t="n">
        <f aca="false">IF(D432&gt;0,O432/D432-1,"")</f>
        <v>-1</v>
      </c>
      <c r="R432" s="23" t="n">
        <f aca="false">SQRT(SUMXMY2(Datos_Semanales!F432:K432,Datos_Semanales!M432:R432)/COUNT(Datos_Semanales!F432:K432))</f>
        <v>6.92820323027551</v>
      </c>
    </row>
    <row r="433" customFormat="false" ht="15" hidden="false" customHeight="false" outlineLevel="0" collapsed="false">
      <c r="A433" s="18" t="n">
        <f aca="false">Datos_Semanales!A433</f>
        <v>30000210</v>
      </c>
      <c r="B433" s="18" t="str">
        <f aca="false">Datos_Semanales!B433</f>
        <v>JUGO EXPRIMIDO WATTS NJA 6X1,7LT</v>
      </c>
      <c r="C433" s="18" t="str">
        <f aca="false">Datos_Semanales!C433</f>
        <v>JUGOS Y NECTARES</v>
      </c>
      <c r="D433" s="23" t="n">
        <f aca="false">SUM(Datos_Semanales!F433:K433)</f>
        <v>22.04</v>
      </c>
      <c r="E433" s="23" t="n">
        <f aca="false">AVERAGE(Datos_Semanales!F433:K433)</f>
        <v>3.67333333333333</v>
      </c>
      <c r="F433" s="23" t="n">
        <f aca="false">STDEV(Datos_Semanales!F433:K433)</f>
        <v>8.99779232182354</v>
      </c>
      <c r="G433" s="27" t="n">
        <f aca="false">IF(E433&gt;0,F433/E433,"")</f>
        <v>2.44948974278318</v>
      </c>
      <c r="H433" s="24" t="n">
        <f aca="false">IF(SUM($D$5:$D$494)&gt;0,D433/SUM($D$5:$D$494),0)</f>
        <v>9.18721714325048E-007</v>
      </c>
      <c r="I433" s="24" t="n">
        <f aca="false">SUMIF($D$5:$D$494,"&gt;="&amp;D433)/SUM($D$5:$D$494)</f>
        <v>0.999998099196453</v>
      </c>
      <c r="J433" s="3" t="str">
        <f aca="false">IF(D433&lt;=0,"C",IF(I433&lt;=Parametros!$B$4,"A",IF(I433&lt;=Parametros!$B$5,"B","C")))</f>
        <v>C</v>
      </c>
      <c r="K433" s="3" t="str">
        <f aca="false">IF(E433&lt;=0,"Z",IF(G433&lt;=Parametros!$B$6,"X",IF(G433&lt;=Parametros!$B$7,"Y","Z")))</f>
        <v>Z</v>
      </c>
      <c r="L433" s="3" t="str">
        <f aca="false">J433&amp;K433</f>
        <v>CZ</v>
      </c>
      <c r="M433" s="3" t="str">
        <f aca="false">INDEX(Parametros!$B$23:$B$31,MATCH(L433,Parametros!$A$23:$A$31,0))</f>
        <v>Contra pedido o stock mínimo. Candidato a racionalizar/descontinuar.</v>
      </c>
      <c r="N433" s="3" t="str">
        <f aca="false">INDEX(Parametros!$C$23:$C$31,MATCH(L433,Parametros!$A$23:$A$31,0))</f>
        <v>Mensual</v>
      </c>
      <c r="O433" s="23" t="n">
        <f aca="false">SUM(Datos_Semanales!M433:R433)</f>
        <v>0</v>
      </c>
      <c r="P433" s="24" t="n">
        <f aca="false">IF(D433&gt;0,SUMPRODUCT(ABS(Datos_Semanales!F433:K433-Datos_Semanales!M433:R433))/D433,"")</f>
        <v>1</v>
      </c>
      <c r="Q433" s="24" t="n">
        <f aca="false">IF(D433&gt;0,O433/D433-1,"")</f>
        <v>-1</v>
      </c>
      <c r="R433" s="23" t="n">
        <f aca="false">SQRT(SUMXMY2(Datos_Semanales!F433:K433,Datos_Semanales!M433:R433)/COUNT(Datos_Semanales!F433:K433))</f>
        <v>8.99779232182354</v>
      </c>
    </row>
    <row r="434" customFormat="false" ht="15" hidden="false" customHeight="false" outlineLevel="0" collapsed="false">
      <c r="A434" s="18" t="n">
        <f aca="false">Datos_Semanales!A434</f>
        <v>30000611</v>
      </c>
      <c r="B434" s="18" t="str">
        <f aca="false">Datos_Semanales!B434</f>
        <v>COCTEL WSL 24X820GR</v>
      </c>
      <c r="C434" s="18" t="str">
        <f aca="false">Datos_Semanales!C434</f>
        <v>-</v>
      </c>
      <c r="D434" s="23" t="n">
        <f aca="false">SUM(Datos_Semanales!F434:K434)</f>
        <v>19.68</v>
      </c>
      <c r="E434" s="23" t="n">
        <f aca="false">AVERAGE(Datos_Semanales!F434:K434)</f>
        <v>3.28</v>
      </c>
      <c r="F434" s="23" t="n">
        <f aca="false">STDEV(Datos_Semanales!F434:K434)</f>
        <v>8.03432635632882</v>
      </c>
      <c r="G434" s="27" t="n">
        <f aca="false">IF(E434&gt;0,F434/E434,"")</f>
        <v>2.44948974278318</v>
      </c>
      <c r="H434" s="24" t="n">
        <f aca="false">IF(SUM($D$5:$D$494)&gt;0,D434/SUM($D$5:$D$494),0)</f>
        <v>8.20346793916377E-007</v>
      </c>
      <c r="I434" s="24" t="n">
        <f aca="false">SUMIF($D$5:$D$494,"&gt;="&amp;D434)/SUM($D$5:$D$494)</f>
        <v>0.999998919543247</v>
      </c>
      <c r="J434" s="3" t="str">
        <f aca="false">IF(D434&lt;=0,"C",IF(I434&lt;=Parametros!$B$4,"A",IF(I434&lt;=Parametros!$B$5,"B","C")))</f>
        <v>C</v>
      </c>
      <c r="K434" s="3" t="str">
        <f aca="false">IF(E434&lt;=0,"Z",IF(G434&lt;=Parametros!$B$6,"X",IF(G434&lt;=Parametros!$B$7,"Y","Z")))</f>
        <v>Z</v>
      </c>
      <c r="L434" s="3" t="str">
        <f aca="false">J434&amp;K434</f>
        <v>CZ</v>
      </c>
      <c r="M434" s="3" t="str">
        <f aca="false">INDEX(Parametros!$B$23:$B$31,MATCH(L434,Parametros!$A$23:$A$31,0))</f>
        <v>Contra pedido o stock mínimo. Candidato a racionalizar/descontinuar.</v>
      </c>
      <c r="N434" s="3" t="str">
        <f aca="false">INDEX(Parametros!$C$23:$C$31,MATCH(L434,Parametros!$A$23:$A$31,0))</f>
        <v>Mensual</v>
      </c>
      <c r="O434" s="23" t="n">
        <f aca="false">SUM(Datos_Semanales!M434:R434)</f>
        <v>0</v>
      </c>
      <c r="P434" s="24" t="n">
        <f aca="false">IF(D434&gt;0,SUMPRODUCT(ABS(Datos_Semanales!F434:K434-Datos_Semanales!M434:R434))/D434,"")</f>
        <v>1</v>
      </c>
      <c r="Q434" s="24" t="n">
        <f aca="false">IF(D434&gt;0,O434/D434-1,"")</f>
        <v>-1</v>
      </c>
      <c r="R434" s="23" t="n">
        <f aca="false">SQRT(SUMXMY2(Datos_Semanales!F434:K434,Datos_Semanales!M434:R434)/COUNT(Datos_Semanales!F434:K434))</f>
        <v>8.03432635632882</v>
      </c>
    </row>
    <row r="435" customFormat="false" ht="15" hidden="false" customHeight="false" outlineLevel="0" collapsed="false">
      <c r="A435" s="18" t="n">
        <f aca="false">Datos_Semanales!A435</f>
        <v>30001415</v>
      </c>
      <c r="B435" s="18" t="str">
        <f aca="false">Datos_Semanales!B435</f>
        <v>BON MOMENT MOCACCINO 18X200ML</v>
      </c>
      <c r="C435" s="18" t="str">
        <f aca="false">Datos_Semanales!C435</f>
        <v>LECHES LIQUIDAS</v>
      </c>
      <c r="D435" s="23" t="n">
        <f aca="false">SUM(Datos_Semanales!F435:K435)</f>
        <v>18</v>
      </c>
      <c r="E435" s="23" t="n">
        <f aca="false">AVERAGE(Datos_Semanales!F435:K435)</f>
        <v>3</v>
      </c>
      <c r="F435" s="23" t="n">
        <f aca="false">STDEV(Datos_Semanales!F435:K435)</f>
        <v>7.34846922834953</v>
      </c>
      <c r="G435" s="27" t="n">
        <f aca="false">IF(E435&gt;0,F435/E435,"")</f>
        <v>2.44948974278318</v>
      </c>
      <c r="H435" s="24" t="n">
        <f aca="false">IF(SUM($D$5:$D$494)&gt;0,D435/SUM($D$5:$D$494),0)</f>
        <v>7.50317189557662E-007</v>
      </c>
      <c r="I435" s="24" t="n">
        <f aca="false">SUMIF($D$5:$D$494,"&gt;="&amp;D435)/SUM($D$5:$D$494)</f>
        <v>0.999999669860437</v>
      </c>
      <c r="J435" s="3" t="str">
        <f aca="false">IF(D435&lt;=0,"C",IF(I435&lt;=Parametros!$B$4,"A",IF(I435&lt;=Parametros!$B$5,"B","C")))</f>
        <v>C</v>
      </c>
      <c r="K435" s="3" t="str">
        <f aca="false">IF(E435&lt;=0,"Z",IF(G435&lt;=Parametros!$B$6,"X",IF(G435&lt;=Parametros!$B$7,"Y","Z")))</f>
        <v>Z</v>
      </c>
      <c r="L435" s="3" t="str">
        <f aca="false">J435&amp;K435</f>
        <v>CZ</v>
      </c>
      <c r="M435" s="3" t="str">
        <f aca="false">INDEX(Parametros!$B$23:$B$31,MATCH(L435,Parametros!$A$23:$A$31,0))</f>
        <v>Contra pedido o stock mínimo. Candidato a racionalizar/descontinuar.</v>
      </c>
      <c r="N435" s="3" t="str">
        <f aca="false">INDEX(Parametros!$C$23:$C$31,MATCH(L435,Parametros!$A$23:$A$31,0))</f>
        <v>Mensual</v>
      </c>
      <c r="O435" s="23" t="n">
        <f aca="false">SUM(Datos_Semanales!M435:R435)</f>
        <v>0</v>
      </c>
      <c r="P435" s="24" t="n">
        <f aca="false">IF(D435&gt;0,SUMPRODUCT(ABS(Datos_Semanales!F435:K435-Datos_Semanales!M435:R435))/D435,"")</f>
        <v>1</v>
      </c>
      <c r="Q435" s="24" t="n">
        <f aca="false">IF(D435&gt;0,O435/D435-1,"")</f>
        <v>-1</v>
      </c>
      <c r="R435" s="23" t="n">
        <f aca="false">SQRT(SUMXMY2(Datos_Semanales!F435:K435,Datos_Semanales!M435:R435)/COUNT(Datos_Semanales!F435:K435))</f>
        <v>7.34846922834953</v>
      </c>
    </row>
    <row r="436" customFormat="false" ht="15" hidden="false" customHeight="false" outlineLevel="0" collapsed="false">
      <c r="A436" s="18" t="n">
        <f aca="false">Datos_Semanales!A436</f>
        <v>30000026</v>
      </c>
      <c r="B436" s="18" t="str">
        <f aca="false">Datos_Semanales!B436</f>
        <v>ACEITE CHEF EXTRAVIRGEN 12X250ML</v>
      </c>
      <c r="C436" s="18" t="str">
        <f aca="false">Datos_Semanales!C436</f>
        <v>-</v>
      </c>
      <c r="D436" s="23" t="n">
        <f aca="false">SUM(Datos_Semanales!F436:K436)</f>
        <v>5.52</v>
      </c>
      <c r="E436" s="23" t="n">
        <f aca="false">AVERAGE(Datos_Semanales!F436:K436)</f>
        <v>0.92</v>
      </c>
      <c r="F436" s="23" t="n">
        <f aca="false">STDEV(Datos_Semanales!F436:K436)</f>
        <v>2.25353056336052</v>
      </c>
      <c r="G436" s="27" t="n">
        <f aca="false">IF(E436&gt;0,F436/E436,"")</f>
        <v>2.44948974278318</v>
      </c>
      <c r="H436" s="24" t="n">
        <f aca="false">IF(SUM($D$5:$D$494)&gt;0,D436/SUM($D$5:$D$494),0)</f>
        <v>2.3009727146435E-007</v>
      </c>
      <c r="I436" s="24" t="n">
        <f aca="false">SUMIF($D$5:$D$494,"&gt;="&amp;D436)/SUM($D$5:$D$494)</f>
        <v>0.999999899957708</v>
      </c>
      <c r="J436" s="3" t="str">
        <f aca="false">IF(D436&lt;=0,"C",IF(I436&lt;=Parametros!$B$4,"A",IF(I436&lt;=Parametros!$B$5,"B","C")))</f>
        <v>C</v>
      </c>
      <c r="K436" s="3" t="str">
        <f aca="false">IF(E436&lt;=0,"Z",IF(G436&lt;=Parametros!$B$6,"X",IF(G436&lt;=Parametros!$B$7,"Y","Z")))</f>
        <v>Z</v>
      </c>
      <c r="L436" s="3" t="str">
        <f aca="false">J436&amp;K436</f>
        <v>CZ</v>
      </c>
      <c r="M436" s="3" t="str">
        <f aca="false">INDEX(Parametros!$B$23:$B$31,MATCH(L436,Parametros!$A$23:$A$31,0))</f>
        <v>Contra pedido o stock mínimo. Candidato a racionalizar/descontinuar.</v>
      </c>
      <c r="N436" s="3" t="str">
        <f aca="false">INDEX(Parametros!$C$23:$C$31,MATCH(L436,Parametros!$A$23:$A$31,0))</f>
        <v>Mensual</v>
      </c>
      <c r="O436" s="23" t="n">
        <f aca="false">SUM(Datos_Semanales!M436:R436)</f>
        <v>0</v>
      </c>
      <c r="P436" s="24" t="n">
        <f aca="false">IF(D436&gt;0,SUMPRODUCT(ABS(Datos_Semanales!F436:K436-Datos_Semanales!M436:R436))/D436,"")</f>
        <v>1</v>
      </c>
      <c r="Q436" s="24" t="n">
        <f aca="false">IF(D436&gt;0,O436/D436-1,"")</f>
        <v>-1</v>
      </c>
      <c r="R436" s="23" t="n">
        <f aca="false">SQRT(SUMXMY2(Datos_Semanales!F436:K436,Datos_Semanales!M436:R436)/COUNT(Datos_Semanales!F436:K436))</f>
        <v>2.25353056336052</v>
      </c>
    </row>
    <row r="437" customFormat="false" ht="15" hidden="false" customHeight="false" outlineLevel="0" collapsed="false">
      <c r="A437" s="18" t="n">
        <f aca="false">Datos_Semanales!A437</f>
        <v>30000659</v>
      </c>
      <c r="B437" s="18" t="str">
        <f aca="false">Datos_Semanales!B437</f>
        <v>JALEA REG LIMONADA MENTA 6X4X100GR</v>
      </c>
      <c r="C437" s="18" t="str">
        <f aca="false">Datos_Semanales!C437</f>
        <v>POSTRES</v>
      </c>
      <c r="D437" s="23" t="n">
        <f aca="false">SUM(Datos_Semanales!F437:K437)</f>
        <v>2.4</v>
      </c>
      <c r="E437" s="23" t="n">
        <f aca="false">AVERAGE(Datos_Semanales!F437:K437)</f>
        <v>0.4</v>
      </c>
      <c r="F437" s="23" t="n">
        <f aca="false">STDEV(Datos_Semanales!F437:K437)</f>
        <v>0.979795897113271</v>
      </c>
      <c r="G437" s="27" t="n">
        <f aca="false">IF(E437&gt;0,F437/E437,"")</f>
        <v>2.44948974278318</v>
      </c>
      <c r="H437" s="24" t="n">
        <f aca="false">IF(SUM($D$5:$D$494)&gt;0,D437/SUM($D$5:$D$494),0)</f>
        <v>1.00042291941022E-007</v>
      </c>
      <c r="I437" s="24" t="n">
        <f aca="false">SUMIF($D$5:$D$494,"&gt;="&amp;D437)/SUM($D$5:$D$494)</f>
        <v>1</v>
      </c>
      <c r="J437" s="3" t="str">
        <f aca="false">IF(D437&lt;=0,"C",IF(I437&lt;=Parametros!$B$4,"A",IF(I437&lt;=Parametros!$B$5,"B","C")))</f>
        <v>C</v>
      </c>
      <c r="K437" s="3" t="str">
        <f aca="false">IF(E437&lt;=0,"Z",IF(G437&lt;=Parametros!$B$6,"X",IF(G437&lt;=Parametros!$B$7,"Y","Z")))</f>
        <v>Z</v>
      </c>
      <c r="L437" s="3" t="str">
        <f aca="false">J437&amp;K437</f>
        <v>CZ</v>
      </c>
      <c r="M437" s="3" t="str">
        <f aca="false">INDEX(Parametros!$B$23:$B$31,MATCH(L437,Parametros!$A$23:$A$31,0))</f>
        <v>Contra pedido o stock mínimo. Candidato a racionalizar/descontinuar.</v>
      </c>
      <c r="N437" s="3" t="str">
        <f aca="false">INDEX(Parametros!$C$23:$C$31,MATCH(L437,Parametros!$A$23:$A$31,0))</f>
        <v>Mensual</v>
      </c>
      <c r="O437" s="23" t="n">
        <f aca="false">SUM(Datos_Semanales!M437:R437)</f>
        <v>0</v>
      </c>
      <c r="P437" s="24" t="n">
        <f aca="false">IF(D437&gt;0,SUMPRODUCT(ABS(Datos_Semanales!F437:K437-Datos_Semanales!M437:R437))/D437,"")</f>
        <v>1</v>
      </c>
      <c r="Q437" s="24" t="n">
        <f aca="false">IF(D437&gt;0,O437/D437-1,"")</f>
        <v>-1</v>
      </c>
      <c r="R437" s="23" t="n">
        <f aca="false">SQRT(SUMXMY2(Datos_Semanales!F437:K437,Datos_Semanales!M437:R437)/COUNT(Datos_Semanales!F437:K437))</f>
        <v>0.979795897113271</v>
      </c>
    </row>
    <row r="438" customFormat="false" ht="15" hidden="false" customHeight="false" outlineLevel="0" collapsed="false">
      <c r="A438" s="18" t="n">
        <f aca="false">Datos_Semanales!A438</f>
        <v>30000394</v>
      </c>
      <c r="B438" s="18" t="str">
        <f aca="false">Datos_Semanales!B438</f>
        <v>LP CALO CRECER 1+ 10X800GR</v>
      </c>
      <c r="C438" s="18" t="str">
        <f aca="false">Datos_Semanales!C438</f>
        <v>LECHES EN POLVO</v>
      </c>
      <c r="D438" s="23" t="n">
        <f aca="false">SUM(Datos_Semanales!F438:K438)</f>
        <v>0</v>
      </c>
      <c r="E438" s="23" t="n">
        <f aca="false">AVERAGE(Datos_Semanales!F438:K438)</f>
        <v>0</v>
      </c>
      <c r="F438" s="23" t="n">
        <f aca="false">STDEV(Datos_Semanales!F438:K438)</f>
        <v>0</v>
      </c>
      <c r="G438" s="27" t="str">
        <f aca="false">IF(E438&gt;0,F438/E438,"")</f>
        <v/>
      </c>
      <c r="H438" s="24" t="n">
        <f aca="false">IF(SUM($D$5:$D$494)&gt;0,D438/SUM($D$5:$D$494),0)</f>
        <v>0</v>
      </c>
      <c r="I438" s="24" t="n">
        <f aca="false">SUMIF($D$5:$D$494,"&gt;="&amp;D438)/SUM($D$5:$D$494)</f>
        <v>1</v>
      </c>
      <c r="J438" s="3" t="str">
        <f aca="false">IF(D438&lt;=0,"C",IF(I438&lt;=Parametros!$B$4,"A",IF(I438&lt;=Parametros!$B$5,"B","C")))</f>
        <v>C</v>
      </c>
      <c r="K438" s="3" t="str">
        <f aca="false">IF(E438&lt;=0,"Z",IF(G438&lt;=Parametros!$B$6,"X",IF(G438&lt;=Parametros!$B$7,"Y","Z")))</f>
        <v>Z</v>
      </c>
      <c r="L438" s="3" t="str">
        <f aca="false">J438&amp;K438</f>
        <v>CZ</v>
      </c>
      <c r="M438" s="3" t="str">
        <f aca="false">INDEX(Parametros!$B$23:$B$31,MATCH(L438,Parametros!$A$23:$A$31,0))</f>
        <v>Contra pedido o stock mínimo. Candidato a racionalizar/descontinuar.</v>
      </c>
      <c r="N438" s="3" t="str">
        <f aca="false">INDEX(Parametros!$C$23:$C$31,MATCH(L438,Parametros!$A$23:$A$31,0))</f>
        <v>Mensual</v>
      </c>
      <c r="O438" s="23" t="n">
        <f aca="false">SUM(Datos_Semanales!M438:R438)</f>
        <v>0</v>
      </c>
      <c r="P438" s="24" t="str">
        <f aca="false">IF(D438&gt;0,SUMPRODUCT(ABS(Datos_Semanales!F438:K438-Datos_Semanales!M438:R438))/D438,"")</f>
        <v/>
      </c>
      <c r="Q438" s="24" t="str">
        <f aca="false">IF(D438&gt;0,O438/D438-1,"")</f>
        <v/>
      </c>
      <c r="R438" s="23" t="n">
        <f aca="false">SQRT(SUMXMY2(Datos_Semanales!F438:K438,Datos_Semanales!M438:R438)/COUNT(Datos_Semanales!F438:K438))</f>
        <v>0</v>
      </c>
    </row>
    <row r="439" customFormat="false" ht="15" hidden="false" customHeight="false" outlineLevel="0" collapsed="false">
      <c r="A439" s="18" t="n">
        <f aca="false">Datos_Semanales!A439</f>
        <v>30000609</v>
      </c>
      <c r="B439" s="18" t="str">
        <f aca="false">Datos_Semanales!B439</f>
        <v>PIÑA RODAJAS SUD WSL 24X560GR</v>
      </c>
      <c r="C439" s="18" t="str">
        <f aca="false">Datos_Semanales!C439</f>
        <v>CONSERVAS Y PLATOS LISTOS</v>
      </c>
      <c r="D439" s="23" t="n">
        <f aca="false">SUM(Datos_Semanales!F439:K439)</f>
        <v>0</v>
      </c>
      <c r="E439" s="23" t="n">
        <f aca="false">AVERAGE(Datos_Semanales!F439:K439)</f>
        <v>0</v>
      </c>
      <c r="F439" s="23" t="n">
        <f aca="false">STDEV(Datos_Semanales!F439:K439)</f>
        <v>0</v>
      </c>
      <c r="G439" s="27" t="str">
        <f aca="false">IF(E439&gt;0,F439/E439,"")</f>
        <v/>
      </c>
      <c r="H439" s="24" t="n">
        <f aca="false">IF(SUM($D$5:$D$494)&gt;0,D439/SUM($D$5:$D$494),0)</f>
        <v>0</v>
      </c>
      <c r="I439" s="24" t="n">
        <f aca="false">SUMIF($D$5:$D$494,"&gt;="&amp;D439)/SUM($D$5:$D$494)</f>
        <v>1</v>
      </c>
      <c r="J439" s="3" t="str">
        <f aca="false">IF(D439&lt;=0,"C",IF(I439&lt;=Parametros!$B$4,"A",IF(I439&lt;=Parametros!$B$5,"B","C")))</f>
        <v>C</v>
      </c>
      <c r="K439" s="3" t="str">
        <f aca="false">IF(E439&lt;=0,"Z",IF(G439&lt;=Parametros!$B$6,"X",IF(G439&lt;=Parametros!$B$7,"Y","Z")))</f>
        <v>Z</v>
      </c>
      <c r="L439" s="3" t="str">
        <f aca="false">J439&amp;K439</f>
        <v>CZ</v>
      </c>
      <c r="M439" s="3" t="str">
        <f aca="false">INDEX(Parametros!$B$23:$B$31,MATCH(L439,Parametros!$A$23:$A$31,0))</f>
        <v>Contra pedido o stock mínimo. Candidato a racionalizar/descontinuar.</v>
      </c>
      <c r="N439" s="3" t="str">
        <f aca="false">INDEX(Parametros!$C$23:$C$31,MATCH(L439,Parametros!$A$23:$A$31,0))</f>
        <v>Mensual</v>
      </c>
      <c r="O439" s="23" t="n">
        <f aca="false">SUM(Datos_Semanales!M439:R439)</f>
        <v>0</v>
      </c>
      <c r="P439" s="24" t="str">
        <f aca="false">IF(D439&gt;0,SUMPRODUCT(ABS(Datos_Semanales!F439:K439-Datos_Semanales!M439:R439))/D439,"")</f>
        <v/>
      </c>
      <c r="Q439" s="24" t="str">
        <f aca="false">IF(D439&gt;0,O439/D439-1,"")</f>
        <v/>
      </c>
      <c r="R439" s="23" t="n">
        <f aca="false">SQRT(SUMXMY2(Datos_Semanales!F439:K439,Datos_Semanales!M439:R439)/COUNT(Datos_Semanales!F439:K439))</f>
        <v>0</v>
      </c>
    </row>
    <row r="440" customFormat="false" ht="15" hidden="false" customHeight="false" outlineLevel="0" collapsed="false">
      <c r="A440" s="18" t="n">
        <f aca="false">Datos_Semanales!A440</f>
        <v>30000145</v>
      </c>
      <c r="B440" s="18" t="str">
        <f aca="false">Datos_Semanales!B440</f>
        <v>MERMELADA CIRUELA 24X250GR</v>
      </c>
      <c r="C440" s="18" t="str">
        <f aca="false">Datos_Semanales!C440</f>
        <v>MERMELADAS</v>
      </c>
      <c r="D440" s="23" t="n">
        <f aca="false">SUM(Datos_Semanales!F440:K440)</f>
        <v>0</v>
      </c>
      <c r="E440" s="23" t="n">
        <f aca="false">AVERAGE(Datos_Semanales!F440:K440)</f>
        <v>0</v>
      </c>
      <c r="F440" s="23" t="n">
        <f aca="false">STDEV(Datos_Semanales!F440:K440)</f>
        <v>0</v>
      </c>
      <c r="G440" s="27" t="str">
        <f aca="false">IF(E440&gt;0,F440/E440,"")</f>
        <v/>
      </c>
      <c r="H440" s="24" t="n">
        <f aca="false">IF(SUM($D$5:$D$494)&gt;0,D440/SUM($D$5:$D$494),0)</f>
        <v>0</v>
      </c>
      <c r="I440" s="24" t="n">
        <f aca="false">SUMIF($D$5:$D$494,"&gt;="&amp;D440)/SUM($D$5:$D$494)</f>
        <v>1</v>
      </c>
      <c r="J440" s="3" t="str">
        <f aca="false">IF(D440&lt;=0,"C",IF(I440&lt;=Parametros!$B$4,"A",IF(I440&lt;=Parametros!$B$5,"B","C")))</f>
        <v>C</v>
      </c>
      <c r="K440" s="3" t="str">
        <f aca="false">IF(E440&lt;=0,"Z",IF(G440&lt;=Parametros!$B$6,"X",IF(G440&lt;=Parametros!$B$7,"Y","Z")))</f>
        <v>Z</v>
      </c>
      <c r="L440" s="3" t="str">
        <f aca="false">J440&amp;K440</f>
        <v>CZ</v>
      </c>
      <c r="M440" s="3" t="str">
        <f aca="false">INDEX(Parametros!$B$23:$B$31,MATCH(L440,Parametros!$A$23:$A$31,0))</f>
        <v>Contra pedido o stock mínimo. Candidato a racionalizar/descontinuar.</v>
      </c>
      <c r="N440" s="3" t="str">
        <f aca="false">INDEX(Parametros!$C$23:$C$31,MATCH(L440,Parametros!$A$23:$A$31,0))</f>
        <v>Mensual</v>
      </c>
      <c r="O440" s="23" t="n">
        <f aca="false">SUM(Datos_Semanales!M440:R440)</f>
        <v>0</v>
      </c>
      <c r="P440" s="24" t="str">
        <f aca="false">IF(D440&gt;0,SUMPRODUCT(ABS(Datos_Semanales!F440:K440-Datos_Semanales!M440:R440))/D440,"")</f>
        <v/>
      </c>
      <c r="Q440" s="24" t="str">
        <f aca="false">IF(D440&gt;0,O440/D440-1,"")</f>
        <v/>
      </c>
      <c r="R440" s="23" t="n">
        <f aca="false">SQRT(SUMXMY2(Datos_Semanales!F440:K440,Datos_Semanales!M440:R440)/COUNT(Datos_Semanales!F440:K440))</f>
        <v>0</v>
      </c>
    </row>
    <row r="441" customFormat="false" ht="15" hidden="false" customHeight="false" outlineLevel="0" collapsed="false">
      <c r="A441" s="18" t="n">
        <f aca="false">Datos_Semanales!A441</f>
        <v>30000064</v>
      </c>
      <c r="B441" s="18" t="str">
        <f aca="false">Datos_Semanales!B441</f>
        <v>MARGARINA SUREÑA 40X250GR</v>
      </c>
      <c r="C441" s="18" t="str">
        <f aca="false">Datos_Semanales!C441</f>
        <v>MARGARINAS</v>
      </c>
      <c r="D441" s="23" t="n">
        <f aca="false">SUM(Datos_Semanales!F441:K441)</f>
        <v>0</v>
      </c>
      <c r="E441" s="23" t="n">
        <f aca="false">AVERAGE(Datos_Semanales!F441:K441)</f>
        <v>0</v>
      </c>
      <c r="F441" s="23" t="n">
        <f aca="false">STDEV(Datos_Semanales!F441:K441)</f>
        <v>0</v>
      </c>
      <c r="G441" s="27" t="str">
        <f aca="false">IF(E441&gt;0,F441/E441,"")</f>
        <v/>
      </c>
      <c r="H441" s="24" t="n">
        <f aca="false">IF(SUM($D$5:$D$494)&gt;0,D441/SUM($D$5:$D$494),0)</f>
        <v>0</v>
      </c>
      <c r="I441" s="24" t="n">
        <f aca="false">SUMIF($D$5:$D$494,"&gt;="&amp;D441)/SUM($D$5:$D$494)</f>
        <v>1</v>
      </c>
      <c r="J441" s="3" t="str">
        <f aca="false">IF(D441&lt;=0,"C",IF(I441&lt;=Parametros!$B$4,"A",IF(I441&lt;=Parametros!$B$5,"B","C")))</f>
        <v>C</v>
      </c>
      <c r="K441" s="3" t="str">
        <f aca="false">IF(E441&lt;=0,"Z",IF(G441&lt;=Parametros!$B$6,"X",IF(G441&lt;=Parametros!$B$7,"Y","Z")))</f>
        <v>Z</v>
      </c>
      <c r="L441" s="3" t="str">
        <f aca="false">J441&amp;K441</f>
        <v>CZ</v>
      </c>
      <c r="M441" s="3" t="str">
        <f aca="false">INDEX(Parametros!$B$23:$B$31,MATCH(L441,Parametros!$A$23:$A$31,0))</f>
        <v>Contra pedido o stock mínimo. Candidato a racionalizar/descontinuar.</v>
      </c>
      <c r="N441" s="3" t="str">
        <f aca="false">INDEX(Parametros!$C$23:$C$31,MATCH(L441,Parametros!$A$23:$A$31,0))</f>
        <v>Mensual</v>
      </c>
      <c r="O441" s="23" t="n">
        <f aca="false">SUM(Datos_Semanales!M441:R441)</f>
        <v>0</v>
      </c>
      <c r="P441" s="24" t="str">
        <f aca="false">IF(D441&gt;0,SUMPRODUCT(ABS(Datos_Semanales!F441:K441-Datos_Semanales!M441:R441))/D441,"")</f>
        <v/>
      </c>
      <c r="Q441" s="24" t="str">
        <f aca="false">IF(D441&gt;0,O441/D441-1,"")</f>
        <v/>
      </c>
      <c r="R441" s="23" t="n">
        <f aca="false">SQRT(SUMXMY2(Datos_Semanales!F441:K441,Datos_Semanales!M441:R441)/COUNT(Datos_Semanales!F441:K441))</f>
        <v>0</v>
      </c>
    </row>
    <row r="442" customFormat="false" ht="15" hidden="false" customHeight="false" outlineLevel="0" collapsed="false">
      <c r="A442" s="18" t="n">
        <f aca="false">Datos_Semanales!A442</f>
        <v>30000071</v>
      </c>
      <c r="B442" s="18" t="str">
        <f aca="false">Datos_Semanales!B442</f>
        <v>MARGARINA SUREÑA 12X500GR</v>
      </c>
      <c r="C442" s="18" t="str">
        <f aca="false">Datos_Semanales!C442</f>
        <v>MARGARINAS</v>
      </c>
      <c r="D442" s="23" t="n">
        <f aca="false">SUM(Datos_Semanales!F442:K442)</f>
        <v>0</v>
      </c>
      <c r="E442" s="23" t="n">
        <f aca="false">AVERAGE(Datos_Semanales!F442:K442)</f>
        <v>0</v>
      </c>
      <c r="F442" s="23" t="n">
        <f aca="false">STDEV(Datos_Semanales!F442:K442)</f>
        <v>0</v>
      </c>
      <c r="G442" s="27" t="str">
        <f aca="false">IF(E442&gt;0,F442/E442,"")</f>
        <v/>
      </c>
      <c r="H442" s="24" t="n">
        <f aca="false">IF(SUM($D$5:$D$494)&gt;0,D442/SUM($D$5:$D$494),0)</f>
        <v>0</v>
      </c>
      <c r="I442" s="24" t="n">
        <f aca="false">SUMIF($D$5:$D$494,"&gt;="&amp;D442)/SUM($D$5:$D$494)</f>
        <v>1</v>
      </c>
      <c r="J442" s="3" t="str">
        <f aca="false">IF(D442&lt;=0,"C",IF(I442&lt;=Parametros!$B$4,"A",IF(I442&lt;=Parametros!$B$5,"B","C")))</f>
        <v>C</v>
      </c>
      <c r="K442" s="3" t="str">
        <f aca="false">IF(E442&lt;=0,"Z",IF(G442&lt;=Parametros!$B$6,"X",IF(G442&lt;=Parametros!$B$7,"Y","Z")))</f>
        <v>Z</v>
      </c>
      <c r="L442" s="3" t="str">
        <f aca="false">J442&amp;K442</f>
        <v>CZ</v>
      </c>
      <c r="M442" s="3" t="str">
        <f aca="false">INDEX(Parametros!$B$23:$B$31,MATCH(L442,Parametros!$A$23:$A$31,0))</f>
        <v>Contra pedido o stock mínimo. Candidato a racionalizar/descontinuar.</v>
      </c>
      <c r="N442" s="3" t="str">
        <f aca="false">INDEX(Parametros!$C$23:$C$31,MATCH(L442,Parametros!$A$23:$A$31,0))</f>
        <v>Mensual</v>
      </c>
      <c r="O442" s="23" t="n">
        <f aca="false">SUM(Datos_Semanales!M442:R442)</f>
        <v>0</v>
      </c>
      <c r="P442" s="24" t="str">
        <f aca="false">IF(D442&gt;0,SUMPRODUCT(ABS(Datos_Semanales!F442:K442-Datos_Semanales!M442:R442))/D442,"")</f>
        <v/>
      </c>
      <c r="Q442" s="24" t="str">
        <f aca="false">IF(D442&gt;0,O442/D442-1,"")</f>
        <v/>
      </c>
      <c r="R442" s="23" t="n">
        <f aca="false">SQRT(SUMXMY2(Datos_Semanales!F442:K442,Datos_Semanales!M442:R442)/COUNT(Datos_Semanales!F442:K442))</f>
        <v>0</v>
      </c>
    </row>
    <row r="443" customFormat="false" ht="15" hidden="false" customHeight="false" outlineLevel="0" collapsed="false">
      <c r="A443" s="18" t="n">
        <f aca="false">Datos_Semanales!A443</f>
        <v>30000390</v>
      </c>
      <c r="B443" s="18" t="str">
        <f aca="false">Datos_Semanales!B443</f>
        <v>ALIMEN SOYA LIQUIDO NATU 12X1LT</v>
      </c>
      <c r="C443" s="18" t="str">
        <f aca="false">Datos_Semanales!C443</f>
        <v>LECHES LIQUIDAS</v>
      </c>
      <c r="D443" s="23" t="n">
        <f aca="false">SUM(Datos_Semanales!F443:K443)</f>
        <v>0</v>
      </c>
      <c r="E443" s="23" t="n">
        <f aca="false">AVERAGE(Datos_Semanales!F443:K443)</f>
        <v>0</v>
      </c>
      <c r="F443" s="23" t="n">
        <f aca="false">STDEV(Datos_Semanales!F443:K443)</f>
        <v>0</v>
      </c>
      <c r="G443" s="27" t="str">
        <f aca="false">IF(E443&gt;0,F443/E443,"")</f>
        <v/>
      </c>
      <c r="H443" s="24" t="n">
        <f aca="false">IF(SUM($D$5:$D$494)&gt;0,D443/SUM($D$5:$D$494),0)</f>
        <v>0</v>
      </c>
      <c r="I443" s="24" t="n">
        <f aca="false">SUMIF($D$5:$D$494,"&gt;="&amp;D443)/SUM($D$5:$D$494)</f>
        <v>1</v>
      </c>
      <c r="J443" s="3" t="str">
        <f aca="false">IF(D443&lt;=0,"C",IF(I443&lt;=Parametros!$B$4,"A",IF(I443&lt;=Parametros!$B$5,"B","C")))</f>
        <v>C</v>
      </c>
      <c r="K443" s="3" t="str">
        <f aca="false">IF(E443&lt;=0,"Z",IF(G443&lt;=Parametros!$B$6,"X",IF(G443&lt;=Parametros!$B$7,"Y","Z")))</f>
        <v>Z</v>
      </c>
      <c r="L443" s="3" t="str">
        <f aca="false">J443&amp;K443</f>
        <v>CZ</v>
      </c>
      <c r="M443" s="3" t="str">
        <f aca="false">INDEX(Parametros!$B$23:$B$31,MATCH(L443,Parametros!$A$23:$A$31,0))</f>
        <v>Contra pedido o stock mínimo. Candidato a racionalizar/descontinuar.</v>
      </c>
      <c r="N443" s="3" t="str">
        <f aca="false">INDEX(Parametros!$C$23:$C$31,MATCH(L443,Parametros!$A$23:$A$31,0))</f>
        <v>Mensual</v>
      </c>
      <c r="O443" s="23" t="n">
        <f aca="false">SUM(Datos_Semanales!M443:R443)</f>
        <v>0</v>
      </c>
      <c r="P443" s="24" t="str">
        <f aca="false">IF(D443&gt;0,SUMPRODUCT(ABS(Datos_Semanales!F443:K443-Datos_Semanales!M443:R443))/D443,"")</f>
        <v/>
      </c>
      <c r="Q443" s="24" t="str">
        <f aca="false">IF(D443&gt;0,O443/D443-1,"")</f>
        <v/>
      </c>
      <c r="R443" s="23" t="n">
        <f aca="false">SQRT(SUMXMY2(Datos_Semanales!F443:K443,Datos_Semanales!M443:R443)/COUNT(Datos_Semanales!F443:K443))</f>
        <v>0</v>
      </c>
    </row>
    <row r="444" customFormat="false" ht="15" hidden="false" customHeight="false" outlineLevel="0" collapsed="false">
      <c r="A444" s="18" t="n">
        <f aca="false">Datos_Semanales!A444</f>
        <v>30001676</v>
      </c>
      <c r="B444" s="18" t="str">
        <f aca="false">Datos_Semanales!B444</f>
        <v>CREMA VEGETAL LCO SOYA TTP24X200</v>
      </c>
      <c r="C444" s="18" t="str">
        <f aca="false">Datos_Semanales!C444</f>
        <v>CREMA</v>
      </c>
      <c r="D444" s="23" t="n">
        <f aca="false">SUM(Datos_Semanales!F444:K444)</f>
        <v>0</v>
      </c>
      <c r="E444" s="23" t="n">
        <f aca="false">AVERAGE(Datos_Semanales!F444:K444)</f>
        <v>0</v>
      </c>
      <c r="F444" s="23" t="n">
        <f aca="false">STDEV(Datos_Semanales!F444:K444)</f>
        <v>0</v>
      </c>
      <c r="G444" s="27" t="str">
        <f aca="false">IF(E444&gt;0,F444/E444,"")</f>
        <v/>
      </c>
      <c r="H444" s="24" t="n">
        <f aca="false">IF(SUM($D$5:$D$494)&gt;0,D444/SUM($D$5:$D$494),0)</f>
        <v>0</v>
      </c>
      <c r="I444" s="24" t="n">
        <f aca="false">SUMIF($D$5:$D$494,"&gt;="&amp;D444)/SUM($D$5:$D$494)</f>
        <v>1</v>
      </c>
      <c r="J444" s="3" t="str">
        <f aca="false">IF(D444&lt;=0,"C",IF(I444&lt;=Parametros!$B$4,"A",IF(I444&lt;=Parametros!$B$5,"B","C")))</f>
        <v>C</v>
      </c>
      <c r="K444" s="3" t="str">
        <f aca="false">IF(E444&lt;=0,"Z",IF(G444&lt;=Parametros!$B$6,"X",IF(G444&lt;=Parametros!$B$7,"Y","Z")))</f>
        <v>Z</v>
      </c>
      <c r="L444" s="3" t="str">
        <f aca="false">J444&amp;K444</f>
        <v>CZ</v>
      </c>
      <c r="M444" s="3" t="str">
        <f aca="false">INDEX(Parametros!$B$23:$B$31,MATCH(L444,Parametros!$A$23:$A$31,0))</f>
        <v>Contra pedido o stock mínimo. Candidato a racionalizar/descontinuar.</v>
      </c>
      <c r="N444" s="3" t="str">
        <f aca="false">INDEX(Parametros!$C$23:$C$31,MATCH(L444,Parametros!$A$23:$A$31,0))</f>
        <v>Mensual</v>
      </c>
      <c r="O444" s="23" t="n">
        <f aca="false">SUM(Datos_Semanales!M444:R444)</f>
        <v>0</v>
      </c>
      <c r="P444" s="24" t="str">
        <f aca="false">IF(D444&gt;0,SUMPRODUCT(ABS(Datos_Semanales!F444:K444-Datos_Semanales!M444:R444))/D444,"")</f>
        <v/>
      </c>
      <c r="Q444" s="24" t="str">
        <f aca="false">IF(D444&gt;0,O444/D444-1,"")</f>
        <v/>
      </c>
      <c r="R444" s="23" t="n">
        <f aca="false">SQRT(SUMXMY2(Datos_Semanales!F444:K444,Datos_Semanales!M444:R444)/COUNT(Datos_Semanales!F444:K444))</f>
        <v>0</v>
      </c>
    </row>
    <row r="445" customFormat="false" ht="15" hidden="false" customHeight="false" outlineLevel="0" collapsed="false">
      <c r="A445" s="18" t="n">
        <f aca="false">Datos_Semanales!A445</f>
        <v>30001677</v>
      </c>
      <c r="B445" s="18" t="str">
        <f aca="false">Datos_Semanales!B445</f>
        <v>PROBIOTICO CALAN FLLA TETRA 3X12X98ML</v>
      </c>
      <c r="C445" s="18" t="str">
        <f aca="false">Datos_Semanales!C445</f>
        <v>YOGURT</v>
      </c>
      <c r="D445" s="23" t="n">
        <f aca="false">SUM(Datos_Semanales!F445:K445)</f>
        <v>0</v>
      </c>
      <c r="E445" s="23" t="n">
        <f aca="false">AVERAGE(Datos_Semanales!F445:K445)</f>
        <v>0</v>
      </c>
      <c r="F445" s="23" t="n">
        <f aca="false">STDEV(Datos_Semanales!F445:K445)</f>
        <v>0</v>
      </c>
      <c r="G445" s="27" t="str">
        <f aca="false">IF(E445&gt;0,F445/E445,"")</f>
        <v/>
      </c>
      <c r="H445" s="24" t="n">
        <f aca="false">IF(SUM($D$5:$D$494)&gt;0,D445/SUM($D$5:$D$494),0)</f>
        <v>0</v>
      </c>
      <c r="I445" s="24" t="n">
        <f aca="false">SUMIF($D$5:$D$494,"&gt;="&amp;D445)/SUM($D$5:$D$494)</f>
        <v>1</v>
      </c>
      <c r="J445" s="3" t="str">
        <f aca="false">IF(D445&lt;=0,"C",IF(I445&lt;=Parametros!$B$4,"A",IF(I445&lt;=Parametros!$B$5,"B","C")))</f>
        <v>C</v>
      </c>
      <c r="K445" s="3" t="str">
        <f aca="false">IF(E445&lt;=0,"Z",IF(G445&lt;=Parametros!$B$6,"X",IF(G445&lt;=Parametros!$B$7,"Y","Z")))</f>
        <v>Z</v>
      </c>
      <c r="L445" s="3" t="str">
        <f aca="false">J445&amp;K445</f>
        <v>CZ</v>
      </c>
      <c r="M445" s="3" t="str">
        <f aca="false">INDEX(Parametros!$B$23:$B$31,MATCH(L445,Parametros!$A$23:$A$31,0))</f>
        <v>Contra pedido o stock mínimo. Candidato a racionalizar/descontinuar.</v>
      </c>
      <c r="N445" s="3" t="str">
        <f aca="false">INDEX(Parametros!$C$23:$C$31,MATCH(L445,Parametros!$A$23:$A$31,0))</f>
        <v>Mensual</v>
      </c>
      <c r="O445" s="23" t="n">
        <f aca="false">SUM(Datos_Semanales!M445:R445)</f>
        <v>0</v>
      </c>
      <c r="P445" s="24" t="str">
        <f aca="false">IF(D445&gt;0,SUMPRODUCT(ABS(Datos_Semanales!F445:K445-Datos_Semanales!M445:R445))/D445,"")</f>
        <v/>
      </c>
      <c r="Q445" s="24" t="str">
        <f aca="false">IF(D445&gt;0,O445/D445-1,"")</f>
        <v/>
      </c>
      <c r="R445" s="23" t="n">
        <f aca="false">SQRT(SUMXMY2(Datos_Semanales!F445:K445,Datos_Semanales!M445:R445)/COUNT(Datos_Semanales!F445:K445))</f>
        <v>0</v>
      </c>
    </row>
    <row r="446" customFormat="false" ht="15" hidden="false" customHeight="false" outlineLevel="0" collapsed="false">
      <c r="A446" s="18" t="n">
        <f aca="false">Datos_Semanales!A446</f>
        <v>30002175</v>
      </c>
      <c r="B446" s="18" t="str">
        <f aca="false">Datos_Semanales!B446</f>
        <v>NECTAR WATTS DAMASCO SIXPACK 5X6X115ML</v>
      </c>
      <c r="C446" s="18" t="str">
        <f aca="false">Datos_Semanales!C446</f>
        <v>JUGOS Y NECTARES</v>
      </c>
      <c r="D446" s="23" t="n">
        <f aca="false">SUM(Datos_Semanales!F446:K446)</f>
        <v>0</v>
      </c>
      <c r="E446" s="23" t="n">
        <f aca="false">AVERAGE(Datos_Semanales!F446:K446)</f>
        <v>0</v>
      </c>
      <c r="F446" s="23" t="n">
        <f aca="false">STDEV(Datos_Semanales!F446:K446)</f>
        <v>0</v>
      </c>
      <c r="G446" s="27" t="str">
        <f aca="false">IF(E446&gt;0,F446/E446,"")</f>
        <v/>
      </c>
      <c r="H446" s="24" t="n">
        <f aca="false">IF(SUM($D$5:$D$494)&gt;0,D446/SUM($D$5:$D$494),0)</f>
        <v>0</v>
      </c>
      <c r="I446" s="24" t="n">
        <f aca="false">SUMIF($D$5:$D$494,"&gt;="&amp;D446)/SUM($D$5:$D$494)</f>
        <v>1</v>
      </c>
      <c r="J446" s="3" t="str">
        <f aca="false">IF(D446&lt;=0,"C",IF(I446&lt;=Parametros!$B$4,"A",IF(I446&lt;=Parametros!$B$5,"B","C")))</f>
        <v>C</v>
      </c>
      <c r="K446" s="3" t="str">
        <f aca="false">IF(E446&lt;=0,"Z",IF(G446&lt;=Parametros!$B$6,"X",IF(G446&lt;=Parametros!$B$7,"Y","Z")))</f>
        <v>Z</v>
      </c>
      <c r="L446" s="3" t="str">
        <f aca="false">J446&amp;K446</f>
        <v>CZ</v>
      </c>
      <c r="M446" s="3" t="str">
        <f aca="false">INDEX(Parametros!$B$23:$B$31,MATCH(L446,Parametros!$A$23:$A$31,0))</f>
        <v>Contra pedido o stock mínimo. Candidato a racionalizar/descontinuar.</v>
      </c>
      <c r="N446" s="3" t="str">
        <f aca="false">INDEX(Parametros!$C$23:$C$31,MATCH(L446,Parametros!$A$23:$A$31,0))</f>
        <v>Mensual</v>
      </c>
      <c r="O446" s="23" t="n">
        <f aca="false">SUM(Datos_Semanales!M446:R446)</f>
        <v>0</v>
      </c>
      <c r="P446" s="24" t="str">
        <f aca="false">IF(D446&gt;0,SUMPRODUCT(ABS(Datos_Semanales!F446:K446-Datos_Semanales!M446:R446))/D446,"")</f>
        <v/>
      </c>
      <c r="Q446" s="24" t="str">
        <f aca="false">IF(D446&gt;0,O446/D446-1,"")</f>
        <v/>
      </c>
      <c r="R446" s="23" t="n">
        <f aca="false">SQRT(SUMXMY2(Datos_Semanales!F446:K446,Datos_Semanales!M446:R446)/COUNT(Datos_Semanales!F446:K446))</f>
        <v>0</v>
      </c>
    </row>
    <row r="447" customFormat="false" ht="15" hidden="false" customHeight="false" outlineLevel="0" collapsed="false">
      <c r="A447" s="18" t="n">
        <f aca="false">Datos_Semanales!A447</f>
        <v>30000409</v>
      </c>
      <c r="B447" s="18" t="str">
        <f aca="false">Datos_Semanales!B447</f>
        <v>YOG POT LON TRO S/L BER 48X120GR</v>
      </c>
      <c r="C447" s="18" t="str">
        <f aca="false">Datos_Semanales!C447</f>
        <v>YOGURT</v>
      </c>
      <c r="D447" s="23" t="n">
        <f aca="false">SUM(Datos_Semanales!F447:K447)</f>
        <v>0</v>
      </c>
      <c r="E447" s="23" t="n">
        <f aca="false">AVERAGE(Datos_Semanales!F447:K447)</f>
        <v>0</v>
      </c>
      <c r="F447" s="23" t="n">
        <f aca="false">STDEV(Datos_Semanales!F447:K447)</f>
        <v>0</v>
      </c>
      <c r="G447" s="27" t="str">
        <f aca="false">IF(E447&gt;0,F447/E447,"")</f>
        <v/>
      </c>
      <c r="H447" s="24" t="n">
        <f aca="false">IF(SUM($D$5:$D$494)&gt;0,D447/SUM($D$5:$D$494),0)</f>
        <v>0</v>
      </c>
      <c r="I447" s="24" t="n">
        <f aca="false">SUMIF($D$5:$D$494,"&gt;="&amp;D447)/SUM($D$5:$D$494)</f>
        <v>1</v>
      </c>
      <c r="J447" s="3" t="str">
        <f aca="false">IF(D447&lt;=0,"C",IF(I447&lt;=Parametros!$B$4,"A",IF(I447&lt;=Parametros!$B$5,"B","C")))</f>
        <v>C</v>
      </c>
      <c r="K447" s="3" t="str">
        <f aca="false">IF(E447&lt;=0,"Z",IF(G447&lt;=Parametros!$B$6,"X",IF(G447&lt;=Parametros!$B$7,"Y","Z")))</f>
        <v>Z</v>
      </c>
      <c r="L447" s="3" t="str">
        <f aca="false">J447&amp;K447</f>
        <v>CZ</v>
      </c>
      <c r="M447" s="3" t="str">
        <f aca="false">INDEX(Parametros!$B$23:$B$31,MATCH(L447,Parametros!$A$23:$A$31,0))</f>
        <v>Contra pedido o stock mínimo. Candidato a racionalizar/descontinuar.</v>
      </c>
      <c r="N447" s="3" t="str">
        <f aca="false">INDEX(Parametros!$C$23:$C$31,MATCH(L447,Parametros!$A$23:$A$31,0))</f>
        <v>Mensual</v>
      </c>
      <c r="O447" s="23" t="n">
        <f aca="false">SUM(Datos_Semanales!M447:R447)</f>
        <v>0</v>
      </c>
      <c r="P447" s="24" t="str">
        <f aca="false">IF(D447&gt;0,SUMPRODUCT(ABS(Datos_Semanales!F447:K447-Datos_Semanales!M447:R447))/D447,"")</f>
        <v/>
      </c>
      <c r="Q447" s="24" t="str">
        <f aca="false">IF(D447&gt;0,O447/D447-1,"")</f>
        <v/>
      </c>
      <c r="R447" s="23" t="n">
        <f aca="false">SQRT(SUMXMY2(Datos_Semanales!F447:K447,Datos_Semanales!M447:R447)/COUNT(Datos_Semanales!F447:K447))</f>
        <v>0</v>
      </c>
    </row>
    <row r="448" customFormat="false" ht="15" hidden="false" customHeight="false" outlineLevel="0" collapsed="false">
      <c r="A448" s="18" t="n">
        <f aca="false">Datos_Semanales!A448</f>
        <v>30000408</v>
      </c>
      <c r="B448" s="18" t="str">
        <f aca="false">Datos_Semanales!B448</f>
        <v>YOG POT LON TRO S/L DUR 48X120GR</v>
      </c>
      <c r="C448" s="18" t="str">
        <f aca="false">Datos_Semanales!C448</f>
        <v>YOGURT</v>
      </c>
      <c r="D448" s="23" t="n">
        <f aca="false">SUM(Datos_Semanales!F448:K448)</f>
        <v>0</v>
      </c>
      <c r="E448" s="23" t="n">
        <f aca="false">AVERAGE(Datos_Semanales!F448:K448)</f>
        <v>0</v>
      </c>
      <c r="F448" s="23" t="n">
        <f aca="false">STDEV(Datos_Semanales!F448:K448)</f>
        <v>0</v>
      </c>
      <c r="G448" s="27" t="str">
        <f aca="false">IF(E448&gt;0,F448/E448,"")</f>
        <v/>
      </c>
      <c r="H448" s="24" t="n">
        <f aca="false">IF(SUM($D$5:$D$494)&gt;0,D448/SUM($D$5:$D$494),0)</f>
        <v>0</v>
      </c>
      <c r="I448" s="24" t="n">
        <f aca="false">SUMIF($D$5:$D$494,"&gt;="&amp;D448)/SUM($D$5:$D$494)</f>
        <v>1</v>
      </c>
      <c r="J448" s="3" t="str">
        <f aca="false">IF(D448&lt;=0,"C",IF(I448&lt;=Parametros!$B$4,"A",IF(I448&lt;=Parametros!$B$5,"B","C")))</f>
        <v>C</v>
      </c>
      <c r="K448" s="3" t="str">
        <f aca="false">IF(E448&lt;=0,"Z",IF(G448&lt;=Parametros!$B$6,"X",IF(G448&lt;=Parametros!$B$7,"Y","Z")))</f>
        <v>Z</v>
      </c>
      <c r="L448" s="3" t="str">
        <f aca="false">J448&amp;K448</f>
        <v>CZ</v>
      </c>
      <c r="M448" s="3" t="str">
        <f aca="false">INDEX(Parametros!$B$23:$B$31,MATCH(L448,Parametros!$A$23:$A$31,0))</f>
        <v>Contra pedido o stock mínimo. Candidato a racionalizar/descontinuar.</v>
      </c>
      <c r="N448" s="3" t="str">
        <f aca="false">INDEX(Parametros!$C$23:$C$31,MATCH(L448,Parametros!$A$23:$A$31,0))</f>
        <v>Mensual</v>
      </c>
      <c r="O448" s="23" t="n">
        <f aca="false">SUM(Datos_Semanales!M448:R448)</f>
        <v>0</v>
      </c>
      <c r="P448" s="24" t="str">
        <f aca="false">IF(D448&gt;0,SUMPRODUCT(ABS(Datos_Semanales!F448:K448-Datos_Semanales!M448:R448))/D448,"")</f>
        <v/>
      </c>
      <c r="Q448" s="24" t="str">
        <f aca="false">IF(D448&gt;0,O448/D448-1,"")</f>
        <v/>
      </c>
      <c r="R448" s="23" t="n">
        <f aca="false">SQRT(SUMXMY2(Datos_Semanales!F448:K448,Datos_Semanales!M448:R448)/COUNT(Datos_Semanales!F448:K448))</f>
        <v>0</v>
      </c>
    </row>
    <row r="449" customFormat="false" ht="15" hidden="false" customHeight="false" outlineLevel="0" collapsed="false">
      <c r="A449" s="18" t="n">
        <f aca="false">Datos_Semanales!A449</f>
        <v>30000395</v>
      </c>
      <c r="B449" s="18" t="str">
        <f aca="false">Datos_Semanales!B449</f>
        <v>LP CALO CRECER 4+ 10X800GR</v>
      </c>
      <c r="C449" s="18" t="str">
        <f aca="false">Datos_Semanales!C449</f>
        <v>LECHES EN POLVO</v>
      </c>
      <c r="D449" s="23" t="n">
        <f aca="false">SUM(Datos_Semanales!F449:K449)</f>
        <v>0</v>
      </c>
      <c r="E449" s="23" t="n">
        <f aca="false">AVERAGE(Datos_Semanales!F449:K449)</f>
        <v>0</v>
      </c>
      <c r="F449" s="23" t="n">
        <f aca="false">STDEV(Datos_Semanales!F449:K449)</f>
        <v>0</v>
      </c>
      <c r="G449" s="27" t="str">
        <f aca="false">IF(E449&gt;0,F449/E449,"")</f>
        <v/>
      </c>
      <c r="H449" s="24" t="n">
        <f aca="false">IF(SUM($D$5:$D$494)&gt;0,D449/SUM($D$5:$D$494),0)</f>
        <v>0</v>
      </c>
      <c r="I449" s="24" t="n">
        <f aca="false">SUMIF($D$5:$D$494,"&gt;="&amp;D449)/SUM($D$5:$D$494)</f>
        <v>1</v>
      </c>
      <c r="J449" s="3" t="str">
        <f aca="false">IF(D449&lt;=0,"C",IF(I449&lt;=Parametros!$B$4,"A",IF(I449&lt;=Parametros!$B$5,"B","C")))</f>
        <v>C</v>
      </c>
      <c r="K449" s="3" t="str">
        <f aca="false">IF(E449&lt;=0,"Z",IF(G449&lt;=Parametros!$B$6,"X",IF(G449&lt;=Parametros!$B$7,"Y","Z")))</f>
        <v>Z</v>
      </c>
      <c r="L449" s="3" t="str">
        <f aca="false">J449&amp;K449</f>
        <v>CZ</v>
      </c>
      <c r="M449" s="3" t="str">
        <f aca="false">INDEX(Parametros!$B$23:$B$31,MATCH(L449,Parametros!$A$23:$A$31,0))</f>
        <v>Contra pedido o stock mínimo. Candidato a racionalizar/descontinuar.</v>
      </c>
      <c r="N449" s="3" t="str">
        <f aca="false">INDEX(Parametros!$C$23:$C$31,MATCH(L449,Parametros!$A$23:$A$31,0))</f>
        <v>Mensual</v>
      </c>
      <c r="O449" s="23" t="n">
        <f aca="false">SUM(Datos_Semanales!M449:R449)</f>
        <v>0</v>
      </c>
      <c r="P449" s="24" t="str">
        <f aca="false">IF(D449&gt;0,SUMPRODUCT(ABS(Datos_Semanales!F449:K449-Datos_Semanales!M449:R449))/D449,"")</f>
        <v/>
      </c>
      <c r="Q449" s="24" t="str">
        <f aca="false">IF(D449&gt;0,O449/D449-1,"")</f>
        <v/>
      </c>
      <c r="R449" s="23" t="n">
        <f aca="false">SQRT(SUMXMY2(Datos_Semanales!F449:K449,Datos_Semanales!M449:R449)/COUNT(Datos_Semanales!F449:K449))</f>
        <v>0</v>
      </c>
    </row>
    <row r="450" customFormat="false" ht="15" hidden="false" customHeight="false" outlineLevel="0" collapsed="false">
      <c r="A450" s="18" t="n">
        <f aca="false">Datos_Semanales!A450</f>
        <v>30001485</v>
      </c>
      <c r="B450" s="18" t="str">
        <f aca="false">Datos_Semanales!B450</f>
        <v>ALIMENTO LIQUIDO ALMENDRA NATURAL 12X1LT</v>
      </c>
      <c r="C450" s="18" t="str">
        <f aca="false">Datos_Semanales!C450</f>
        <v>LECHES LIQUIDAS</v>
      </c>
      <c r="D450" s="23" t="n">
        <f aca="false">SUM(Datos_Semanales!F450:K450)</f>
        <v>0</v>
      </c>
      <c r="E450" s="23" t="n">
        <f aca="false">AVERAGE(Datos_Semanales!F450:K450)</f>
        <v>0</v>
      </c>
      <c r="F450" s="23" t="n">
        <f aca="false">STDEV(Datos_Semanales!F450:K450)</f>
        <v>0</v>
      </c>
      <c r="G450" s="27" t="str">
        <f aca="false">IF(E450&gt;0,F450/E450,"")</f>
        <v/>
      </c>
      <c r="H450" s="24" t="n">
        <f aca="false">IF(SUM($D$5:$D$494)&gt;0,D450/SUM($D$5:$D$494),0)</f>
        <v>0</v>
      </c>
      <c r="I450" s="24" t="n">
        <f aca="false">SUMIF($D$5:$D$494,"&gt;="&amp;D450)/SUM($D$5:$D$494)</f>
        <v>1</v>
      </c>
      <c r="J450" s="3" t="str">
        <f aca="false">IF(D450&lt;=0,"C",IF(I450&lt;=Parametros!$B$4,"A",IF(I450&lt;=Parametros!$B$5,"B","C")))</f>
        <v>C</v>
      </c>
      <c r="K450" s="3" t="str">
        <f aca="false">IF(E450&lt;=0,"Z",IF(G450&lt;=Parametros!$B$6,"X",IF(G450&lt;=Parametros!$B$7,"Y","Z")))</f>
        <v>Z</v>
      </c>
      <c r="L450" s="3" t="str">
        <f aca="false">J450&amp;K450</f>
        <v>CZ</v>
      </c>
      <c r="M450" s="3" t="str">
        <f aca="false">INDEX(Parametros!$B$23:$B$31,MATCH(L450,Parametros!$A$23:$A$31,0))</f>
        <v>Contra pedido o stock mínimo. Candidato a racionalizar/descontinuar.</v>
      </c>
      <c r="N450" s="3" t="str">
        <f aca="false">INDEX(Parametros!$C$23:$C$31,MATCH(L450,Parametros!$A$23:$A$31,0))</f>
        <v>Mensual</v>
      </c>
      <c r="O450" s="23" t="n">
        <f aca="false">SUM(Datos_Semanales!M450:R450)</f>
        <v>0</v>
      </c>
      <c r="P450" s="24" t="str">
        <f aca="false">IF(D450&gt;0,SUMPRODUCT(ABS(Datos_Semanales!F450:K450-Datos_Semanales!M450:R450))/D450,"")</f>
        <v/>
      </c>
      <c r="Q450" s="24" t="str">
        <f aca="false">IF(D450&gt;0,O450/D450-1,"")</f>
        <v/>
      </c>
      <c r="R450" s="23" t="n">
        <f aca="false">SQRT(SUMXMY2(Datos_Semanales!F450:K450,Datos_Semanales!M450:R450)/COUNT(Datos_Semanales!F450:K450))</f>
        <v>0</v>
      </c>
    </row>
    <row r="451" customFormat="false" ht="15" hidden="false" customHeight="false" outlineLevel="0" collapsed="false">
      <c r="A451" s="18" t="n">
        <f aca="false">Datos_Semanales!A451</f>
        <v>30001521</v>
      </c>
      <c r="B451" s="18" t="str">
        <f aca="false">Datos_Semanales!B451</f>
        <v>PINO VEGETAL WASIL 16X380GR</v>
      </c>
      <c r="C451" s="18" t="str">
        <f aca="false">Datos_Semanales!C451</f>
        <v>CONSERVAS Y PLATOS LISTOS</v>
      </c>
      <c r="D451" s="23" t="n">
        <f aca="false">SUM(Datos_Semanales!F451:K451)</f>
        <v>0</v>
      </c>
      <c r="E451" s="23" t="n">
        <f aca="false">AVERAGE(Datos_Semanales!F451:K451)</f>
        <v>0</v>
      </c>
      <c r="F451" s="23" t="n">
        <f aca="false">STDEV(Datos_Semanales!F451:K451)</f>
        <v>0</v>
      </c>
      <c r="G451" s="27" t="str">
        <f aca="false">IF(E451&gt;0,F451/E451,"")</f>
        <v/>
      </c>
      <c r="H451" s="24" t="n">
        <f aca="false">IF(SUM($D$5:$D$494)&gt;0,D451/SUM($D$5:$D$494),0)</f>
        <v>0</v>
      </c>
      <c r="I451" s="24" t="n">
        <f aca="false">SUMIF($D$5:$D$494,"&gt;="&amp;D451)/SUM($D$5:$D$494)</f>
        <v>1</v>
      </c>
      <c r="J451" s="3" t="str">
        <f aca="false">IF(D451&lt;=0,"C",IF(I451&lt;=Parametros!$B$4,"A",IF(I451&lt;=Parametros!$B$5,"B","C")))</f>
        <v>C</v>
      </c>
      <c r="K451" s="3" t="str">
        <f aca="false">IF(E451&lt;=0,"Z",IF(G451&lt;=Parametros!$B$6,"X",IF(G451&lt;=Parametros!$B$7,"Y","Z")))</f>
        <v>Z</v>
      </c>
      <c r="L451" s="3" t="str">
        <f aca="false">J451&amp;K451</f>
        <v>CZ</v>
      </c>
      <c r="M451" s="3" t="str">
        <f aca="false">INDEX(Parametros!$B$23:$B$31,MATCH(L451,Parametros!$A$23:$A$31,0))</f>
        <v>Contra pedido o stock mínimo. Candidato a racionalizar/descontinuar.</v>
      </c>
      <c r="N451" s="3" t="str">
        <f aca="false">INDEX(Parametros!$C$23:$C$31,MATCH(L451,Parametros!$A$23:$A$31,0))</f>
        <v>Mensual</v>
      </c>
      <c r="O451" s="23" t="n">
        <f aca="false">SUM(Datos_Semanales!M451:R451)</f>
        <v>0</v>
      </c>
      <c r="P451" s="24" t="str">
        <f aca="false">IF(D451&gt;0,SUMPRODUCT(ABS(Datos_Semanales!F451:K451-Datos_Semanales!M451:R451))/D451,"")</f>
        <v/>
      </c>
      <c r="Q451" s="24" t="str">
        <f aca="false">IF(D451&gt;0,O451/D451-1,"")</f>
        <v/>
      </c>
      <c r="R451" s="23" t="n">
        <f aca="false">SQRT(SUMXMY2(Datos_Semanales!F451:K451,Datos_Semanales!M451:R451)/COUNT(Datos_Semanales!F451:K451))</f>
        <v>0</v>
      </c>
    </row>
    <row r="452" customFormat="false" ht="15" hidden="false" customHeight="false" outlineLevel="0" collapsed="false">
      <c r="A452" s="18" t="n">
        <f aca="false">Datos_Semanales!A452</f>
        <v>30000458</v>
      </c>
      <c r="B452" s="18" t="str">
        <f aca="false">Datos_Semanales!B452</f>
        <v>TROZOS QUESO MANTECOSO</v>
      </c>
      <c r="C452" s="18" t="str">
        <f aca="false">Datos_Semanales!C452</f>
        <v>QUESOS</v>
      </c>
      <c r="D452" s="23" t="n">
        <f aca="false">SUM(Datos_Semanales!F452:K452)</f>
        <v>0</v>
      </c>
      <c r="E452" s="23" t="n">
        <f aca="false">AVERAGE(Datos_Semanales!F452:K452)</f>
        <v>0</v>
      </c>
      <c r="F452" s="23" t="n">
        <f aca="false">STDEV(Datos_Semanales!F452:K452)</f>
        <v>0</v>
      </c>
      <c r="G452" s="27" t="str">
        <f aca="false">IF(E452&gt;0,F452/E452,"")</f>
        <v/>
      </c>
      <c r="H452" s="24" t="n">
        <f aca="false">IF(SUM($D$5:$D$494)&gt;0,D452/SUM($D$5:$D$494),0)</f>
        <v>0</v>
      </c>
      <c r="I452" s="24" t="n">
        <f aca="false">SUMIF($D$5:$D$494,"&gt;="&amp;D452)/SUM($D$5:$D$494)</f>
        <v>1</v>
      </c>
      <c r="J452" s="3" t="str">
        <f aca="false">IF(D452&lt;=0,"C",IF(I452&lt;=Parametros!$B$4,"A",IF(I452&lt;=Parametros!$B$5,"B","C")))</f>
        <v>C</v>
      </c>
      <c r="K452" s="3" t="str">
        <f aca="false">IF(E452&lt;=0,"Z",IF(G452&lt;=Parametros!$B$6,"X",IF(G452&lt;=Parametros!$B$7,"Y","Z")))</f>
        <v>Z</v>
      </c>
      <c r="L452" s="3" t="str">
        <f aca="false">J452&amp;K452</f>
        <v>CZ</v>
      </c>
      <c r="M452" s="3" t="str">
        <f aca="false">INDEX(Parametros!$B$23:$B$31,MATCH(L452,Parametros!$A$23:$A$31,0))</f>
        <v>Contra pedido o stock mínimo. Candidato a racionalizar/descontinuar.</v>
      </c>
      <c r="N452" s="3" t="str">
        <f aca="false">INDEX(Parametros!$C$23:$C$31,MATCH(L452,Parametros!$A$23:$A$31,0))</f>
        <v>Mensual</v>
      </c>
      <c r="O452" s="23" t="n">
        <f aca="false">SUM(Datos_Semanales!M452:R452)</f>
        <v>0</v>
      </c>
      <c r="P452" s="24" t="str">
        <f aca="false">IF(D452&gt;0,SUMPRODUCT(ABS(Datos_Semanales!F452:K452-Datos_Semanales!M452:R452))/D452,"")</f>
        <v/>
      </c>
      <c r="Q452" s="24" t="str">
        <f aca="false">IF(D452&gt;0,O452/D452-1,"")</f>
        <v/>
      </c>
      <c r="R452" s="23" t="n">
        <f aca="false">SQRT(SUMXMY2(Datos_Semanales!F452:K452,Datos_Semanales!M452:R452)/COUNT(Datos_Semanales!F452:K452))</f>
        <v>0</v>
      </c>
    </row>
    <row r="453" customFormat="false" ht="15" hidden="false" customHeight="false" outlineLevel="0" collapsed="false">
      <c r="A453" s="18" t="n">
        <f aca="false">Datos_Semanales!A453</f>
        <v>30000420</v>
      </c>
      <c r="B453" s="18" t="str">
        <f aca="false">Datos_Semanales!B453</f>
        <v>LECHE REGIMEL CHOCOLATE 30X200ML</v>
      </c>
      <c r="C453" s="18" t="str">
        <f aca="false">Datos_Semanales!C453</f>
        <v>LECHES LIQUIDAS</v>
      </c>
      <c r="D453" s="23" t="n">
        <f aca="false">SUM(Datos_Semanales!F453:K453)</f>
        <v>0</v>
      </c>
      <c r="E453" s="23" t="n">
        <f aca="false">AVERAGE(Datos_Semanales!F453:K453)</f>
        <v>0</v>
      </c>
      <c r="F453" s="23" t="n">
        <f aca="false">STDEV(Datos_Semanales!F453:K453)</f>
        <v>0</v>
      </c>
      <c r="G453" s="27" t="str">
        <f aca="false">IF(E453&gt;0,F453/E453,"")</f>
        <v/>
      </c>
      <c r="H453" s="24" t="n">
        <f aca="false">IF(SUM($D$5:$D$494)&gt;0,D453/SUM($D$5:$D$494),0)</f>
        <v>0</v>
      </c>
      <c r="I453" s="24" t="n">
        <f aca="false">SUMIF($D$5:$D$494,"&gt;="&amp;D453)/SUM($D$5:$D$494)</f>
        <v>1</v>
      </c>
      <c r="J453" s="3" t="str">
        <f aca="false">IF(D453&lt;=0,"C",IF(I453&lt;=Parametros!$B$4,"A",IF(I453&lt;=Parametros!$B$5,"B","C")))</f>
        <v>C</v>
      </c>
      <c r="K453" s="3" t="str">
        <f aca="false">IF(E453&lt;=0,"Z",IF(G453&lt;=Parametros!$B$6,"X",IF(G453&lt;=Parametros!$B$7,"Y","Z")))</f>
        <v>Z</v>
      </c>
      <c r="L453" s="3" t="str">
        <f aca="false">J453&amp;K453</f>
        <v>CZ</v>
      </c>
      <c r="M453" s="3" t="str">
        <f aca="false">INDEX(Parametros!$B$23:$B$31,MATCH(L453,Parametros!$A$23:$A$31,0))</f>
        <v>Contra pedido o stock mínimo. Candidato a racionalizar/descontinuar.</v>
      </c>
      <c r="N453" s="3" t="str">
        <f aca="false">INDEX(Parametros!$C$23:$C$31,MATCH(L453,Parametros!$A$23:$A$31,0))</f>
        <v>Mensual</v>
      </c>
      <c r="O453" s="23" t="n">
        <f aca="false">SUM(Datos_Semanales!M453:R453)</f>
        <v>0</v>
      </c>
      <c r="P453" s="24" t="str">
        <f aca="false">IF(D453&gt;0,SUMPRODUCT(ABS(Datos_Semanales!F453:K453-Datos_Semanales!M453:R453))/D453,"")</f>
        <v/>
      </c>
      <c r="Q453" s="24" t="str">
        <f aca="false">IF(D453&gt;0,O453/D453-1,"")</f>
        <v/>
      </c>
      <c r="R453" s="23" t="n">
        <f aca="false">SQRT(SUMXMY2(Datos_Semanales!F453:K453,Datos_Semanales!M453:R453)/COUNT(Datos_Semanales!F453:K453))</f>
        <v>0</v>
      </c>
    </row>
    <row r="454" customFormat="false" ht="15" hidden="false" customHeight="false" outlineLevel="0" collapsed="false">
      <c r="A454" s="18" t="n">
        <f aca="false">Datos_Semanales!A454</f>
        <v>30001414</v>
      </c>
      <c r="B454" s="18" t="str">
        <f aca="false">Datos_Semanales!B454</f>
        <v>BON MOMENT CAPPUCCINO 18X200ML</v>
      </c>
      <c r="C454" s="18" t="str">
        <f aca="false">Datos_Semanales!C454</f>
        <v>LECHES LIQUIDAS</v>
      </c>
      <c r="D454" s="23" t="n">
        <f aca="false">SUM(Datos_Semanales!F454:K454)</f>
        <v>0</v>
      </c>
      <c r="E454" s="23" t="n">
        <f aca="false">AVERAGE(Datos_Semanales!F454:K454)</f>
        <v>0</v>
      </c>
      <c r="F454" s="23" t="n">
        <f aca="false">STDEV(Datos_Semanales!F454:K454)</f>
        <v>0</v>
      </c>
      <c r="G454" s="27" t="str">
        <f aca="false">IF(E454&gt;0,F454/E454,"")</f>
        <v/>
      </c>
      <c r="H454" s="24" t="n">
        <f aca="false">IF(SUM($D$5:$D$494)&gt;0,D454/SUM($D$5:$D$494),0)</f>
        <v>0</v>
      </c>
      <c r="I454" s="24" t="n">
        <f aca="false">SUMIF($D$5:$D$494,"&gt;="&amp;D454)/SUM($D$5:$D$494)</f>
        <v>1</v>
      </c>
      <c r="J454" s="3" t="str">
        <f aca="false">IF(D454&lt;=0,"C",IF(I454&lt;=Parametros!$B$4,"A",IF(I454&lt;=Parametros!$B$5,"B","C")))</f>
        <v>C</v>
      </c>
      <c r="K454" s="3" t="str">
        <f aca="false">IF(E454&lt;=0,"Z",IF(G454&lt;=Parametros!$B$6,"X",IF(G454&lt;=Parametros!$B$7,"Y","Z")))</f>
        <v>Z</v>
      </c>
      <c r="L454" s="3" t="str">
        <f aca="false">J454&amp;K454</f>
        <v>CZ</v>
      </c>
      <c r="M454" s="3" t="str">
        <f aca="false">INDEX(Parametros!$B$23:$B$31,MATCH(L454,Parametros!$A$23:$A$31,0))</f>
        <v>Contra pedido o stock mínimo. Candidato a racionalizar/descontinuar.</v>
      </c>
      <c r="N454" s="3" t="str">
        <f aca="false">INDEX(Parametros!$C$23:$C$31,MATCH(L454,Parametros!$A$23:$A$31,0))</f>
        <v>Mensual</v>
      </c>
      <c r="O454" s="23" t="n">
        <f aca="false">SUM(Datos_Semanales!M454:R454)</f>
        <v>0</v>
      </c>
      <c r="P454" s="24" t="str">
        <f aca="false">IF(D454&gt;0,SUMPRODUCT(ABS(Datos_Semanales!F454:K454-Datos_Semanales!M454:R454))/D454,"")</f>
        <v/>
      </c>
      <c r="Q454" s="24" t="str">
        <f aca="false">IF(D454&gt;0,O454/D454-1,"")</f>
        <v/>
      </c>
      <c r="R454" s="23" t="n">
        <f aca="false">SQRT(SUMXMY2(Datos_Semanales!F454:K454,Datos_Semanales!M454:R454)/COUNT(Datos_Semanales!F454:K454))</f>
        <v>0</v>
      </c>
    </row>
    <row r="455" customFormat="false" ht="15" hidden="false" customHeight="false" outlineLevel="0" collapsed="false">
      <c r="A455" s="18" t="n">
        <f aca="false">Datos_Semanales!A455</f>
        <v>30000459</v>
      </c>
      <c r="B455" s="18" t="str">
        <f aca="false">Datos_Semanales!B455</f>
        <v>DESPUNTES LACTEOS VALDIVIA</v>
      </c>
      <c r="C455" s="18" t="str">
        <f aca="false">Datos_Semanales!C455</f>
        <v>-</v>
      </c>
      <c r="D455" s="23" t="n">
        <f aca="false">SUM(Datos_Semanales!F455:K455)</f>
        <v>0</v>
      </c>
      <c r="E455" s="23" t="n">
        <f aca="false">AVERAGE(Datos_Semanales!F455:K455)</f>
        <v>0</v>
      </c>
      <c r="F455" s="23" t="n">
        <f aca="false">STDEV(Datos_Semanales!F455:K455)</f>
        <v>0</v>
      </c>
      <c r="G455" s="27" t="str">
        <f aca="false">IF(E455&gt;0,F455/E455,"")</f>
        <v/>
      </c>
      <c r="H455" s="24" t="n">
        <f aca="false">IF(SUM($D$5:$D$494)&gt;0,D455/SUM($D$5:$D$494),0)</f>
        <v>0</v>
      </c>
      <c r="I455" s="24" t="n">
        <f aca="false">SUMIF($D$5:$D$494,"&gt;="&amp;D455)/SUM($D$5:$D$494)</f>
        <v>1</v>
      </c>
      <c r="J455" s="3" t="str">
        <f aca="false">IF(D455&lt;=0,"C",IF(I455&lt;=Parametros!$B$4,"A",IF(I455&lt;=Parametros!$B$5,"B","C")))</f>
        <v>C</v>
      </c>
      <c r="K455" s="3" t="str">
        <f aca="false">IF(E455&lt;=0,"Z",IF(G455&lt;=Parametros!$B$6,"X",IF(G455&lt;=Parametros!$B$7,"Y","Z")))</f>
        <v>Z</v>
      </c>
      <c r="L455" s="3" t="str">
        <f aca="false">J455&amp;K455</f>
        <v>CZ</v>
      </c>
      <c r="M455" s="3" t="str">
        <f aca="false">INDEX(Parametros!$B$23:$B$31,MATCH(L455,Parametros!$A$23:$A$31,0))</f>
        <v>Contra pedido o stock mínimo. Candidato a racionalizar/descontinuar.</v>
      </c>
      <c r="N455" s="3" t="str">
        <f aca="false">INDEX(Parametros!$C$23:$C$31,MATCH(L455,Parametros!$A$23:$A$31,0))</f>
        <v>Mensual</v>
      </c>
      <c r="O455" s="23" t="n">
        <f aca="false">SUM(Datos_Semanales!M455:R455)</f>
        <v>7229.54014828901</v>
      </c>
      <c r="P455" s="24" t="str">
        <f aca="false">IF(D455&gt;0,SUMPRODUCT(ABS(Datos_Semanales!F455:K455-Datos_Semanales!M455:R455))/D455,"")</f>
        <v/>
      </c>
      <c r="Q455" s="24" t="str">
        <f aca="false">IF(D455&gt;0,O455/D455-1,"")</f>
        <v/>
      </c>
      <c r="R455" s="23" t="n">
        <f aca="false">SQRT(SUMXMY2(Datos_Semanales!F455:K455,Datos_Semanales!M455:R455)/COUNT(Datos_Semanales!F455:K455))</f>
        <v>1220.70012162251</v>
      </c>
    </row>
    <row r="456" customFormat="false" ht="15" hidden="false" customHeight="false" outlineLevel="0" collapsed="false">
      <c r="A456" s="18" t="n">
        <f aca="false">Datos_Semanales!A456</f>
        <v>30000477</v>
      </c>
      <c r="B456" s="18" t="str">
        <f aca="false">Datos_Semanales!B456</f>
        <v>LONCOLECHE BREAK CARAME 18X330ML</v>
      </c>
      <c r="C456" s="18" t="str">
        <f aca="false">Datos_Semanales!C456</f>
        <v>LECHES LIQUIDAS</v>
      </c>
      <c r="D456" s="23" t="n">
        <f aca="false">SUM(Datos_Semanales!F456:K456)</f>
        <v>0</v>
      </c>
      <c r="E456" s="23" t="n">
        <f aca="false">AVERAGE(Datos_Semanales!F456:K456)</f>
        <v>0</v>
      </c>
      <c r="F456" s="23" t="n">
        <f aca="false">STDEV(Datos_Semanales!F456:K456)</f>
        <v>0</v>
      </c>
      <c r="G456" s="27" t="str">
        <f aca="false">IF(E456&gt;0,F456/E456,"")</f>
        <v/>
      </c>
      <c r="H456" s="24" t="n">
        <f aca="false">IF(SUM($D$5:$D$494)&gt;0,D456/SUM($D$5:$D$494),0)</f>
        <v>0</v>
      </c>
      <c r="I456" s="24" t="n">
        <f aca="false">SUMIF($D$5:$D$494,"&gt;="&amp;D456)/SUM($D$5:$D$494)</f>
        <v>1</v>
      </c>
      <c r="J456" s="3" t="str">
        <f aca="false">IF(D456&lt;=0,"C",IF(I456&lt;=Parametros!$B$4,"A",IF(I456&lt;=Parametros!$B$5,"B","C")))</f>
        <v>C</v>
      </c>
      <c r="K456" s="3" t="str">
        <f aca="false">IF(E456&lt;=0,"Z",IF(G456&lt;=Parametros!$B$6,"X",IF(G456&lt;=Parametros!$B$7,"Y","Z")))</f>
        <v>Z</v>
      </c>
      <c r="L456" s="3" t="str">
        <f aca="false">J456&amp;K456</f>
        <v>CZ</v>
      </c>
      <c r="M456" s="3" t="str">
        <f aca="false">INDEX(Parametros!$B$23:$B$31,MATCH(L456,Parametros!$A$23:$A$31,0))</f>
        <v>Contra pedido o stock mínimo. Candidato a racionalizar/descontinuar.</v>
      </c>
      <c r="N456" s="3" t="str">
        <f aca="false">INDEX(Parametros!$C$23:$C$31,MATCH(L456,Parametros!$A$23:$A$31,0))</f>
        <v>Mensual</v>
      </c>
      <c r="O456" s="23" t="n">
        <f aca="false">SUM(Datos_Semanales!M456:R456)</f>
        <v>0</v>
      </c>
      <c r="P456" s="24" t="str">
        <f aca="false">IF(D456&gt;0,SUMPRODUCT(ABS(Datos_Semanales!F456:K456-Datos_Semanales!M456:R456))/D456,"")</f>
        <v/>
      </c>
      <c r="Q456" s="24" t="str">
        <f aca="false">IF(D456&gt;0,O456/D456-1,"")</f>
        <v/>
      </c>
      <c r="R456" s="23" t="n">
        <f aca="false">SQRT(SUMXMY2(Datos_Semanales!F456:K456,Datos_Semanales!M456:R456)/COUNT(Datos_Semanales!F456:K456))</f>
        <v>0</v>
      </c>
    </row>
    <row r="457" customFormat="false" ht="15" hidden="false" customHeight="false" outlineLevel="0" collapsed="false">
      <c r="A457" s="18" t="n">
        <f aca="false">Datos_Semanales!A457</f>
        <v>30000515</v>
      </c>
      <c r="B457" s="18" t="str">
        <f aca="false">Datos_Semanales!B457</f>
        <v>LONCO PROTEIN MILK CAPP 18X330ML</v>
      </c>
      <c r="C457" s="18" t="str">
        <f aca="false">Datos_Semanales!C457</f>
        <v>LECHES LIQUIDAS</v>
      </c>
      <c r="D457" s="23" t="n">
        <f aca="false">SUM(Datos_Semanales!F457:K457)</f>
        <v>0</v>
      </c>
      <c r="E457" s="23" t="n">
        <f aca="false">AVERAGE(Datos_Semanales!F457:K457)</f>
        <v>0</v>
      </c>
      <c r="F457" s="23" t="n">
        <f aca="false">STDEV(Datos_Semanales!F457:K457)</f>
        <v>0</v>
      </c>
      <c r="G457" s="27" t="str">
        <f aca="false">IF(E457&gt;0,F457/E457,"")</f>
        <v/>
      </c>
      <c r="H457" s="24" t="n">
        <f aca="false">IF(SUM($D$5:$D$494)&gt;0,D457/SUM($D$5:$D$494),0)</f>
        <v>0</v>
      </c>
      <c r="I457" s="24" t="n">
        <f aca="false">SUMIF($D$5:$D$494,"&gt;="&amp;D457)/SUM($D$5:$D$494)</f>
        <v>1</v>
      </c>
      <c r="J457" s="3" t="str">
        <f aca="false">IF(D457&lt;=0,"C",IF(I457&lt;=Parametros!$B$4,"A",IF(I457&lt;=Parametros!$B$5,"B","C")))</f>
        <v>C</v>
      </c>
      <c r="K457" s="3" t="str">
        <f aca="false">IF(E457&lt;=0,"Z",IF(G457&lt;=Parametros!$B$6,"X",IF(G457&lt;=Parametros!$B$7,"Y","Z")))</f>
        <v>Z</v>
      </c>
      <c r="L457" s="3" t="str">
        <f aca="false">J457&amp;K457</f>
        <v>CZ</v>
      </c>
      <c r="M457" s="3" t="str">
        <f aca="false">INDEX(Parametros!$B$23:$B$31,MATCH(L457,Parametros!$A$23:$A$31,0))</f>
        <v>Contra pedido o stock mínimo. Candidato a racionalizar/descontinuar.</v>
      </c>
      <c r="N457" s="3" t="str">
        <f aca="false">INDEX(Parametros!$C$23:$C$31,MATCH(L457,Parametros!$A$23:$A$31,0))</f>
        <v>Mensual</v>
      </c>
      <c r="O457" s="23" t="n">
        <f aca="false">SUM(Datos_Semanales!M457:R457)</f>
        <v>0</v>
      </c>
      <c r="P457" s="24" t="str">
        <f aca="false">IF(D457&gt;0,SUMPRODUCT(ABS(Datos_Semanales!F457:K457-Datos_Semanales!M457:R457))/D457,"")</f>
        <v/>
      </c>
      <c r="Q457" s="24" t="str">
        <f aca="false">IF(D457&gt;0,O457/D457-1,"")</f>
        <v/>
      </c>
      <c r="R457" s="23" t="n">
        <f aca="false">SQRT(SUMXMY2(Datos_Semanales!F457:K457,Datos_Semanales!M457:R457)/COUNT(Datos_Semanales!F457:K457))</f>
        <v>0</v>
      </c>
    </row>
    <row r="458" customFormat="false" ht="15" hidden="false" customHeight="false" outlineLevel="0" collapsed="false">
      <c r="A458" s="18" t="n">
        <f aca="false">Datos_Semanales!A458</f>
        <v>30001589</v>
      </c>
      <c r="B458" s="18" t="str">
        <f aca="false">Datos_Semanales!B458</f>
        <v>QUESO LAS PARCELAS MIX GRANULADO 16X400G</v>
      </c>
      <c r="C458" s="18" t="str">
        <f aca="false">Datos_Semanales!C458</f>
        <v>QUESOS</v>
      </c>
      <c r="D458" s="23" t="n">
        <f aca="false">SUM(Datos_Semanales!F458:K458)</f>
        <v>0</v>
      </c>
      <c r="E458" s="23" t="n">
        <f aca="false">AVERAGE(Datos_Semanales!F458:K458)</f>
        <v>0</v>
      </c>
      <c r="F458" s="23" t="n">
        <f aca="false">STDEV(Datos_Semanales!F458:K458)</f>
        <v>0</v>
      </c>
      <c r="G458" s="27" t="str">
        <f aca="false">IF(E458&gt;0,F458/E458,"")</f>
        <v/>
      </c>
      <c r="H458" s="24" t="n">
        <f aca="false">IF(SUM($D$5:$D$494)&gt;0,D458/SUM($D$5:$D$494),0)</f>
        <v>0</v>
      </c>
      <c r="I458" s="24" t="n">
        <f aca="false">SUMIF($D$5:$D$494,"&gt;="&amp;D458)/SUM($D$5:$D$494)</f>
        <v>1</v>
      </c>
      <c r="J458" s="3" t="str">
        <f aca="false">IF(D458&lt;=0,"C",IF(I458&lt;=Parametros!$B$4,"A",IF(I458&lt;=Parametros!$B$5,"B","C")))</f>
        <v>C</v>
      </c>
      <c r="K458" s="3" t="str">
        <f aca="false">IF(E458&lt;=0,"Z",IF(G458&lt;=Parametros!$B$6,"X",IF(G458&lt;=Parametros!$B$7,"Y","Z")))</f>
        <v>Z</v>
      </c>
      <c r="L458" s="3" t="str">
        <f aca="false">J458&amp;K458</f>
        <v>CZ</v>
      </c>
      <c r="M458" s="3" t="str">
        <f aca="false">INDEX(Parametros!$B$23:$B$31,MATCH(L458,Parametros!$A$23:$A$31,0))</f>
        <v>Contra pedido o stock mínimo. Candidato a racionalizar/descontinuar.</v>
      </c>
      <c r="N458" s="3" t="str">
        <f aca="false">INDEX(Parametros!$C$23:$C$31,MATCH(L458,Parametros!$A$23:$A$31,0))</f>
        <v>Mensual</v>
      </c>
      <c r="O458" s="23" t="n">
        <f aca="false">SUM(Datos_Semanales!M458:R458)</f>
        <v>0</v>
      </c>
      <c r="P458" s="24" t="str">
        <f aca="false">IF(D458&gt;0,SUMPRODUCT(ABS(Datos_Semanales!F458:K458-Datos_Semanales!M458:R458))/D458,"")</f>
        <v/>
      </c>
      <c r="Q458" s="24" t="str">
        <f aca="false">IF(D458&gt;0,O458/D458-1,"")</f>
        <v/>
      </c>
      <c r="R458" s="23" t="n">
        <f aca="false">SQRT(SUMXMY2(Datos_Semanales!F458:K458,Datos_Semanales!M458:R458)/COUNT(Datos_Semanales!F458:K458))</f>
        <v>0</v>
      </c>
    </row>
    <row r="459" customFormat="false" ht="15" hidden="false" customHeight="false" outlineLevel="0" collapsed="false">
      <c r="A459" s="18" t="n">
        <f aca="false">Datos_Semanales!A459</f>
        <v>30000604</v>
      </c>
      <c r="B459" s="18" t="str">
        <f aca="false">Datos_Semanales!B459</f>
        <v>DURANZNO MTDS REGIMEL 24X560GR</v>
      </c>
      <c r="C459" s="18" t="str">
        <f aca="false">Datos_Semanales!C459</f>
        <v>CONSERVAS Y PLATOS LISTOS</v>
      </c>
      <c r="D459" s="23" t="n">
        <f aca="false">SUM(Datos_Semanales!F459:K459)</f>
        <v>0</v>
      </c>
      <c r="E459" s="23" t="n">
        <f aca="false">AVERAGE(Datos_Semanales!F459:K459)</f>
        <v>0</v>
      </c>
      <c r="F459" s="23" t="n">
        <f aca="false">STDEV(Datos_Semanales!F459:K459)</f>
        <v>0</v>
      </c>
      <c r="G459" s="27" t="str">
        <f aca="false">IF(E459&gt;0,F459/E459,"")</f>
        <v/>
      </c>
      <c r="H459" s="24" t="n">
        <f aca="false">IF(SUM($D$5:$D$494)&gt;0,D459/SUM($D$5:$D$494),0)</f>
        <v>0</v>
      </c>
      <c r="I459" s="24" t="n">
        <f aca="false">SUMIF($D$5:$D$494,"&gt;="&amp;D459)/SUM($D$5:$D$494)</f>
        <v>1</v>
      </c>
      <c r="J459" s="3" t="str">
        <f aca="false">IF(D459&lt;=0,"C",IF(I459&lt;=Parametros!$B$4,"A",IF(I459&lt;=Parametros!$B$5,"B","C")))</f>
        <v>C</v>
      </c>
      <c r="K459" s="3" t="str">
        <f aca="false">IF(E459&lt;=0,"Z",IF(G459&lt;=Parametros!$B$6,"X",IF(G459&lt;=Parametros!$B$7,"Y","Z")))</f>
        <v>Z</v>
      </c>
      <c r="L459" s="3" t="str">
        <f aca="false">J459&amp;K459</f>
        <v>CZ</v>
      </c>
      <c r="M459" s="3" t="str">
        <f aca="false">INDEX(Parametros!$B$23:$B$31,MATCH(L459,Parametros!$A$23:$A$31,0))</f>
        <v>Contra pedido o stock mínimo. Candidato a racionalizar/descontinuar.</v>
      </c>
      <c r="N459" s="3" t="str">
        <f aca="false">INDEX(Parametros!$C$23:$C$31,MATCH(L459,Parametros!$A$23:$A$31,0))</f>
        <v>Mensual</v>
      </c>
      <c r="O459" s="23" t="n">
        <f aca="false">SUM(Datos_Semanales!M459:R459)</f>
        <v>0</v>
      </c>
      <c r="P459" s="24" t="str">
        <f aca="false">IF(D459&gt;0,SUMPRODUCT(ABS(Datos_Semanales!F459:K459-Datos_Semanales!M459:R459))/D459,"")</f>
        <v/>
      </c>
      <c r="Q459" s="24" t="str">
        <f aca="false">IF(D459&gt;0,O459/D459-1,"")</f>
        <v/>
      </c>
      <c r="R459" s="23" t="n">
        <f aca="false">SQRT(SUMXMY2(Datos_Semanales!F459:K459,Datos_Semanales!M459:R459)/COUNT(Datos_Semanales!F459:K459))</f>
        <v>0</v>
      </c>
    </row>
    <row r="460" customFormat="false" ht="15" hidden="false" customHeight="false" outlineLevel="0" collapsed="false">
      <c r="A460" s="18" t="n">
        <f aca="false">Datos_Semanales!A460</f>
        <v>30000298</v>
      </c>
      <c r="B460" s="18" t="str">
        <f aca="false">Datos_Semanales!B460</f>
        <v>QUESO MANTECOSO SAN RAFAEL T8</v>
      </c>
      <c r="C460" s="18" t="str">
        <f aca="false">Datos_Semanales!C460</f>
        <v>QUESOS</v>
      </c>
      <c r="D460" s="23" t="n">
        <f aca="false">SUM(Datos_Semanales!F460:K460)</f>
        <v>0</v>
      </c>
      <c r="E460" s="23" t="n">
        <f aca="false">AVERAGE(Datos_Semanales!F460:K460)</f>
        <v>0</v>
      </c>
      <c r="F460" s="23" t="n">
        <f aca="false">STDEV(Datos_Semanales!F460:K460)</f>
        <v>0</v>
      </c>
      <c r="G460" s="27" t="str">
        <f aca="false">IF(E460&gt;0,F460/E460,"")</f>
        <v/>
      </c>
      <c r="H460" s="24" t="n">
        <f aca="false">IF(SUM($D$5:$D$494)&gt;0,D460/SUM($D$5:$D$494),0)</f>
        <v>0</v>
      </c>
      <c r="I460" s="24" t="n">
        <f aca="false">SUMIF($D$5:$D$494,"&gt;="&amp;D460)/SUM($D$5:$D$494)</f>
        <v>1</v>
      </c>
      <c r="J460" s="3" t="str">
        <f aca="false">IF(D460&lt;=0,"C",IF(I460&lt;=Parametros!$B$4,"A",IF(I460&lt;=Parametros!$B$5,"B","C")))</f>
        <v>C</v>
      </c>
      <c r="K460" s="3" t="str">
        <f aca="false">IF(E460&lt;=0,"Z",IF(G460&lt;=Parametros!$B$6,"X",IF(G460&lt;=Parametros!$B$7,"Y","Z")))</f>
        <v>Z</v>
      </c>
      <c r="L460" s="3" t="str">
        <f aca="false">J460&amp;K460</f>
        <v>CZ</v>
      </c>
      <c r="M460" s="3" t="str">
        <f aca="false">INDEX(Parametros!$B$23:$B$31,MATCH(L460,Parametros!$A$23:$A$31,0))</f>
        <v>Contra pedido o stock mínimo. Candidato a racionalizar/descontinuar.</v>
      </c>
      <c r="N460" s="3" t="str">
        <f aca="false">INDEX(Parametros!$C$23:$C$31,MATCH(L460,Parametros!$A$23:$A$31,0))</f>
        <v>Mensual</v>
      </c>
      <c r="O460" s="23" t="n">
        <f aca="false">SUM(Datos_Semanales!M460:R460)</f>
        <v>0</v>
      </c>
      <c r="P460" s="24" t="str">
        <f aca="false">IF(D460&gt;0,SUMPRODUCT(ABS(Datos_Semanales!F460:K460-Datos_Semanales!M460:R460))/D460,"")</f>
        <v/>
      </c>
      <c r="Q460" s="24" t="str">
        <f aca="false">IF(D460&gt;0,O460/D460-1,"")</f>
        <v/>
      </c>
      <c r="R460" s="23" t="n">
        <f aca="false">SQRT(SUMXMY2(Datos_Semanales!F460:K460,Datos_Semanales!M460:R460)/COUNT(Datos_Semanales!F460:K460))</f>
        <v>0</v>
      </c>
    </row>
    <row r="461" customFormat="false" ht="15" hidden="false" customHeight="false" outlineLevel="0" collapsed="false">
      <c r="A461" s="18" t="n">
        <f aca="false">Datos_Semanales!A461</f>
        <v>30000304</v>
      </c>
      <c r="B461" s="18" t="str">
        <f aca="false">Datos_Semanales!B461</f>
        <v>QUESO GAUDA CALO P-3</v>
      </c>
      <c r="C461" s="18" t="str">
        <f aca="false">Datos_Semanales!C461</f>
        <v>QUESOS</v>
      </c>
      <c r="D461" s="23" t="n">
        <f aca="false">SUM(Datos_Semanales!F461:K461)</f>
        <v>0</v>
      </c>
      <c r="E461" s="23" t="n">
        <f aca="false">AVERAGE(Datos_Semanales!F461:K461)</f>
        <v>0</v>
      </c>
      <c r="F461" s="23" t="n">
        <f aca="false">STDEV(Datos_Semanales!F461:K461)</f>
        <v>0</v>
      </c>
      <c r="G461" s="27" t="str">
        <f aca="false">IF(E461&gt;0,F461/E461,"")</f>
        <v/>
      </c>
      <c r="H461" s="24" t="n">
        <f aca="false">IF(SUM($D$5:$D$494)&gt;0,D461/SUM($D$5:$D$494),0)</f>
        <v>0</v>
      </c>
      <c r="I461" s="24" t="n">
        <f aca="false">SUMIF($D$5:$D$494,"&gt;="&amp;D461)/SUM($D$5:$D$494)</f>
        <v>1</v>
      </c>
      <c r="J461" s="3" t="str">
        <f aca="false">IF(D461&lt;=0,"C",IF(I461&lt;=Parametros!$B$4,"A",IF(I461&lt;=Parametros!$B$5,"B","C")))</f>
        <v>C</v>
      </c>
      <c r="K461" s="3" t="str">
        <f aca="false">IF(E461&lt;=0,"Z",IF(G461&lt;=Parametros!$B$6,"X",IF(G461&lt;=Parametros!$B$7,"Y","Z")))</f>
        <v>Z</v>
      </c>
      <c r="L461" s="3" t="str">
        <f aca="false">J461&amp;K461</f>
        <v>CZ</v>
      </c>
      <c r="M461" s="3" t="str">
        <f aca="false">INDEX(Parametros!$B$23:$B$31,MATCH(L461,Parametros!$A$23:$A$31,0))</f>
        <v>Contra pedido o stock mínimo. Candidato a racionalizar/descontinuar.</v>
      </c>
      <c r="N461" s="3" t="str">
        <f aca="false">INDEX(Parametros!$C$23:$C$31,MATCH(L461,Parametros!$A$23:$A$31,0))</f>
        <v>Mensual</v>
      </c>
      <c r="O461" s="23" t="n">
        <f aca="false">SUM(Datos_Semanales!M461:R461)</f>
        <v>0</v>
      </c>
      <c r="P461" s="24" t="str">
        <f aca="false">IF(D461&gt;0,SUMPRODUCT(ABS(Datos_Semanales!F461:K461-Datos_Semanales!M461:R461))/D461,"")</f>
        <v/>
      </c>
      <c r="Q461" s="24" t="str">
        <f aca="false">IF(D461&gt;0,O461/D461-1,"")</f>
        <v/>
      </c>
      <c r="R461" s="23" t="n">
        <f aca="false">SQRT(SUMXMY2(Datos_Semanales!F461:K461,Datos_Semanales!M461:R461)/COUNT(Datos_Semanales!F461:K461))</f>
        <v>0</v>
      </c>
    </row>
    <row r="462" customFormat="false" ht="15" hidden="false" customHeight="false" outlineLevel="0" collapsed="false">
      <c r="A462" s="18" t="n">
        <f aca="false">Datos_Semanales!A462</f>
        <v>30000311</v>
      </c>
      <c r="B462" s="18" t="str">
        <f aca="false">Datos_Semanales!B462</f>
        <v>SHAKE SHAKE MANJAR 30X170ML</v>
      </c>
      <c r="C462" s="18" t="str">
        <f aca="false">Datos_Semanales!C462</f>
        <v>LECHES LIQUIDAS</v>
      </c>
      <c r="D462" s="23" t="n">
        <f aca="false">SUM(Datos_Semanales!F462:K462)</f>
        <v>0</v>
      </c>
      <c r="E462" s="23" t="n">
        <f aca="false">AVERAGE(Datos_Semanales!F462:K462)</f>
        <v>0</v>
      </c>
      <c r="F462" s="23" t="n">
        <f aca="false">STDEV(Datos_Semanales!F462:K462)</f>
        <v>0</v>
      </c>
      <c r="G462" s="27" t="str">
        <f aca="false">IF(E462&gt;0,F462/E462,"")</f>
        <v/>
      </c>
      <c r="H462" s="24" t="n">
        <f aca="false">IF(SUM($D$5:$D$494)&gt;0,D462/SUM($D$5:$D$494),0)</f>
        <v>0</v>
      </c>
      <c r="I462" s="24" t="n">
        <f aca="false">SUMIF($D$5:$D$494,"&gt;="&amp;D462)/SUM($D$5:$D$494)</f>
        <v>1</v>
      </c>
      <c r="J462" s="3" t="str">
        <f aca="false">IF(D462&lt;=0,"C",IF(I462&lt;=Parametros!$B$4,"A",IF(I462&lt;=Parametros!$B$5,"B","C")))</f>
        <v>C</v>
      </c>
      <c r="K462" s="3" t="str">
        <f aca="false">IF(E462&lt;=0,"Z",IF(G462&lt;=Parametros!$B$6,"X",IF(G462&lt;=Parametros!$B$7,"Y","Z")))</f>
        <v>Z</v>
      </c>
      <c r="L462" s="3" t="str">
        <f aca="false">J462&amp;K462</f>
        <v>CZ</v>
      </c>
      <c r="M462" s="3" t="str">
        <f aca="false">INDEX(Parametros!$B$23:$B$31,MATCH(L462,Parametros!$A$23:$A$31,0))</f>
        <v>Contra pedido o stock mínimo. Candidato a racionalizar/descontinuar.</v>
      </c>
      <c r="N462" s="3" t="str">
        <f aca="false">INDEX(Parametros!$C$23:$C$31,MATCH(L462,Parametros!$A$23:$A$31,0))</f>
        <v>Mensual</v>
      </c>
      <c r="O462" s="23" t="n">
        <f aca="false">SUM(Datos_Semanales!M462:R462)</f>
        <v>0</v>
      </c>
      <c r="P462" s="24" t="str">
        <f aca="false">IF(D462&gt;0,SUMPRODUCT(ABS(Datos_Semanales!F462:K462-Datos_Semanales!M462:R462))/D462,"")</f>
        <v/>
      </c>
      <c r="Q462" s="24" t="str">
        <f aca="false">IF(D462&gt;0,O462/D462-1,"")</f>
        <v/>
      </c>
      <c r="R462" s="23" t="n">
        <f aca="false">SQRT(SUMXMY2(Datos_Semanales!F462:K462,Datos_Semanales!M462:R462)/COUNT(Datos_Semanales!F462:K462))</f>
        <v>0</v>
      </c>
    </row>
    <row r="463" customFormat="false" ht="15" hidden="false" customHeight="false" outlineLevel="0" collapsed="false">
      <c r="A463" s="18" t="n">
        <f aca="false">Datos_Semanales!A463</f>
        <v>30000370</v>
      </c>
      <c r="B463" s="18" t="str">
        <f aca="false">Datos_Semanales!B463</f>
        <v>YOG POT LON S/L FRU 48X120GR</v>
      </c>
      <c r="C463" s="18" t="str">
        <f aca="false">Datos_Semanales!C463</f>
        <v>YOGURT</v>
      </c>
      <c r="D463" s="23" t="n">
        <f aca="false">SUM(Datos_Semanales!F463:K463)</f>
        <v>0</v>
      </c>
      <c r="E463" s="23" t="n">
        <f aca="false">AVERAGE(Datos_Semanales!F463:K463)</f>
        <v>0</v>
      </c>
      <c r="F463" s="23" t="n">
        <f aca="false">STDEV(Datos_Semanales!F463:K463)</f>
        <v>0</v>
      </c>
      <c r="G463" s="27" t="str">
        <f aca="false">IF(E463&gt;0,F463/E463,"")</f>
        <v/>
      </c>
      <c r="H463" s="24" t="n">
        <f aca="false">IF(SUM($D$5:$D$494)&gt;0,D463/SUM($D$5:$D$494),0)</f>
        <v>0</v>
      </c>
      <c r="I463" s="24" t="n">
        <f aca="false">SUMIF($D$5:$D$494,"&gt;="&amp;D463)/SUM($D$5:$D$494)</f>
        <v>1</v>
      </c>
      <c r="J463" s="3" t="str">
        <f aca="false">IF(D463&lt;=0,"C",IF(I463&lt;=Parametros!$B$4,"A",IF(I463&lt;=Parametros!$B$5,"B","C")))</f>
        <v>C</v>
      </c>
      <c r="K463" s="3" t="str">
        <f aca="false">IF(E463&lt;=0,"Z",IF(G463&lt;=Parametros!$B$6,"X",IF(G463&lt;=Parametros!$B$7,"Y","Z")))</f>
        <v>Z</v>
      </c>
      <c r="L463" s="3" t="str">
        <f aca="false">J463&amp;K463</f>
        <v>CZ</v>
      </c>
      <c r="M463" s="3" t="str">
        <f aca="false">INDEX(Parametros!$B$23:$B$31,MATCH(L463,Parametros!$A$23:$A$31,0))</f>
        <v>Contra pedido o stock mínimo. Candidato a racionalizar/descontinuar.</v>
      </c>
      <c r="N463" s="3" t="str">
        <f aca="false">INDEX(Parametros!$C$23:$C$31,MATCH(L463,Parametros!$A$23:$A$31,0))</f>
        <v>Mensual</v>
      </c>
      <c r="O463" s="23" t="n">
        <f aca="false">SUM(Datos_Semanales!M463:R463)</f>
        <v>0</v>
      </c>
      <c r="P463" s="24" t="str">
        <f aca="false">IF(D463&gt;0,SUMPRODUCT(ABS(Datos_Semanales!F463:K463-Datos_Semanales!M463:R463))/D463,"")</f>
        <v/>
      </c>
      <c r="Q463" s="24" t="str">
        <f aca="false">IF(D463&gt;0,O463/D463-1,"")</f>
        <v/>
      </c>
      <c r="R463" s="23" t="n">
        <f aca="false">SQRT(SUMXMY2(Datos_Semanales!F463:K463,Datos_Semanales!M463:R463)/COUNT(Datos_Semanales!F463:K463))</f>
        <v>0</v>
      </c>
    </row>
    <row r="464" customFormat="false" ht="15" hidden="false" customHeight="false" outlineLevel="0" collapsed="false">
      <c r="A464" s="18" t="n">
        <f aca="false">Datos_Semanales!A464</f>
        <v>30000358</v>
      </c>
      <c r="B464" s="18" t="str">
        <f aca="false">Datos_Semanales!B464</f>
        <v>LECHE POLVO 0% CALO 20X800GR</v>
      </c>
      <c r="C464" s="18" t="str">
        <f aca="false">Datos_Semanales!C464</f>
        <v>LECHES EN POLVO</v>
      </c>
      <c r="D464" s="23" t="n">
        <f aca="false">SUM(Datos_Semanales!F464:K464)</f>
        <v>0</v>
      </c>
      <c r="E464" s="23" t="n">
        <f aca="false">AVERAGE(Datos_Semanales!F464:K464)</f>
        <v>0</v>
      </c>
      <c r="F464" s="23" t="n">
        <f aca="false">STDEV(Datos_Semanales!F464:K464)</f>
        <v>0</v>
      </c>
      <c r="G464" s="27" t="str">
        <f aca="false">IF(E464&gt;0,F464/E464,"")</f>
        <v/>
      </c>
      <c r="H464" s="24" t="n">
        <f aca="false">IF(SUM($D$5:$D$494)&gt;0,D464/SUM($D$5:$D$494),0)</f>
        <v>0</v>
      </c>
      <c r="I464" s="24" t="n">
        <f aca="false">SUMIF($D$5:$D$494,"&gt;="&amp;D464)/SUM($D$5:$D$494)</f>
        <v>1</v>
      </c>
      <c r="J464" s="3" t="str">
        <f aca="false">IF(D464&lt;=0,"C",IF(I464&lt;=Parametros!$B$4,"A",IF(I464&lt;=Parametros!$B$5,"B","C")))</f>
        <v>C</v>
      </c>
      <c r="K464" s="3" t="str">
        <f aca="false">IF(E464&lt;=0,"Z",IF(G464&lt;=Parametros!$B$6,"X",IF(G464&lt;=Parametros!$B$7,"Y","Z")))</f>
        <v>Z</v>
      </c>
      <c r="L464" s="3" t="str">
        <f aca="false">J464&amp;K464</f>
        <v>CZ</v>
      </c>
      <c r="M464" s="3" t="str">
        <f aca="false">INDEX(Parametros!$B$23:$B$31,MATCH(L464,Parametros!$A$23:$A$31,0))</f>
        <v>Contra pedido o stock mínimo. Candidato a racionalizar/descontinuar.</v>
      </c>
      <c r="N464" s="3" t="str">
        <f aca="false">INDEX(Parametros!$C$23:$C$31,MATCH(L464,Parametros!$A$23:$A$31,0))</f>
        <v>Mensual</v>
      </c>
      <c r="O464" s="23" t="n">
        <f aca="false">SUM(Datos_Semanales!M464:R464)</f>
        <v>0</v>
      </c>
      <c r="P464" s="24" t="str">
        <f aca="false">IF(D464&gt;0,SUMPRODUCT(ABS(Datos_Semanales!F464:K464-Datos_Semanales!M464:R464))/D464,"")</f>
        <v/>
      </c>
      <c r="Q464" s="24" t="str">
        <f aca="false">IF(D464&gt;0,O464/D464-1,"")</f>
        <v/>
      </c>
      <c r="R464" s="23" t="n">
        <f aca="false">SQRT(SUMXMY2(Datos_Semanales!F464:K464,Datos_Semanales!M464:R464)/COUNT(Datos_Semanales!F464:K464))</f>
        <v>0</v>
      </c>
    </row>
    <row r="465" customFormat="false" ht="15" hidden="false" customHeight="false" outlineLevel="0" collapsed="false">
      <c r="A465" s="18" t="n">
        <f aca="false">Datos_Semanales!A465</f>
        <v>30000366</v>
      </c>
      <c r="B465" s="18" t="str">
        <f aca="false">Datos_Semanales!B465</f>
        <v>GAUDA CALO LAMINADO 2X5KG</v>
      </c>
      <c r="C465" s="18" t="str">
        <f aca="false">Datos_Semanales!C465</f>
        <v>QUESOS</v>
      </c>
      <c r="D465" s="23" t="n">
        <f aca="false">SUM(Datos_Semanales!F465:K465)</f>
        <v>0</v>
      </c>
      <c r="E465" s="23" t="n">
        <f aca="false">AVERAGE(Datos_Semanales!F465:K465)</f>
        <v>0</v>
      </c>
      <c r="F465" s="23" t="n">
        <f aca="false">STDEV(Datos_Semanales!F465:K465)</f>
        <v>0</v>
      </c>
      <c r="G465" s="27" t="str">
        <f aca="false">IF(E465&gt;0,F465/E465,"")</f>
        <v/>
      </c>
      <c r="H465" s="24" t="n">
        <f aca="false">IF(SUM($D$5:$D$494)&gt;0,D465/SUM($D$5:$D$494),0)</f>
        <v>0</v>
      </c>
      <c r="I465" s="24" t="n">
        <f aca="false">SUMIF($D$5:$D$494,"&gt;="&amp;D465)/SUM($D$5:$D$494)</f>
        <v>1</v>
      </c>
      <c r="J465" s="3" t="str">
        <f aca="false">IF(D465&lt;=0,"C",IF(I465&lt;=Parametros!$B$4,"A",IF(I465&lt;=Parametros!$B$5,"B","C")))</f>
        <v>C</v>
      </c>
      <c r="K465" s="3" t="str">
        <f aca="false">IF(E465&lt;=0,"Z",IF(G465&lt;=Parametros!$B$6,"X",IF(G465&lt;=Parametros!$B$7,"Y","Z")))</f>
        <v>Z</v>
      </c>
      <c r="L465" s="3" t="str">
        <f aca="false">J465&amp;K465</f>
        <v>CZ</v>
      </c>
      <c r="M465" s="3" t="str">
        <f aca="false">INDEX(Parametros!$B$23:$B$31,MATCH(L465,Parametros!$A$23:$A$31,0))</f>
        <v>Contra pedido o stock mínimo. Candidato a racionalizar/descontinuar.</v>
      </c>
      <c r="N465" s="3" t="str">
        <f aca="false">INDEX(Parametros!$C$23:$C$31,MATCH(L465,Parametros!$A$23:$A$31,0))</f>
        <v>Mensual</v>
      </c>
      <c r="O465" s="23" t="n">
        <f aca="false">SUM(Datos_Semanales!M465:R465)</f>
        <v>0</v>
      </c>
      <c r="P465" s="24" t="str">
        <f aca="false">IF(D465&gt;0,SUMPRODUCT(ABS(Datos_Semanales!F465:K465-Datos_Semanales!M465:R465))/D465,"")</f>
        <v/>
      </c>
      <c r="Q465" s="24" t="str">
        <f aca="false">IF(D465&gt;0,O465/D465-1,"")</f>
        <v/>
      </c>
      <c r="R465" s="23" t="n">
        <f aca="false">SQRT(SUMXMY2(Datos_Semanales!F465:K465,Datos_Semanales!M465:R465)/COUNT(Datos_Semanales!F465:K465))</f>
        <v>0</v>
      </c>
    </row>
    <row r="466" customFormat="false" ht="15" hidden="false" customHeight="false" outlineLevel="0" collapsed="false">
      <c r="A466" s="18" t="n">
        <f aca="false">Datos_Semanales!A466</f>
        <v>30000368</v>
      </c>
      <c r="B466" s="18" t="str">
        <f aca="false">Datos_Semanales!B466</f>
        <v>MANTECOSO S.RAFAEL LAM 2X5KG</v>
      </c>
      <c r="C466" s="18" t="str">
        <f aca="false">Datos_Semanales!C466</f>
        <v>QUESOS</v>
      </c>
      <c r="D466" s="23" t="n">
        <f aca="false">SUM(Datos_Semanales!F466:K466)</f>
        <v>0</v>
      </c>
      <c r="E466" s="23" t="n">
        <f aca="false">AVERAGE(Datos_Semanales!F466:K466)</f>
        <v>0</v>
      </c>
      <c r="F466" s="23" t="n">
        <f aca="false">STDEV(Datos_Semanales!F466:K466)</f>
        <v>0</v>
      </c>
      <c r="G466" s="27" t="str">
        <f aca="false">IF(E466&gt;0,F466/E466,"")</f>
        <v/>
      </c>
      <c r="H466" s="24" t="n">
        <f aca="false">IF(SUM($D$5:$D$494)&gt;0,D466/SUM($D$5:$D$494),0)</f>
        <v>0</v>
      </c>
      <c r="I466" s="24" t="n">
        <f aca="false">SUMIF($D$5:$D$494,"&gt;="&amp;D466)/SUM($D$5:$D$494)</f>
        <v>1</v>
      </c>
      <c r="J466" s="3" t="str">
        <f aca="false">IF(D466&lt;=0,"C",IF(I466&lt;=Parametros!$B$4,"A",IF(I466&lt;=Parametros!$B$5,"B","C")))</f>
        <v>C</v>
      </c>
      <c r="K466" s="3" t="str">
        <f aca="false">IF(E466&lt;=0,"Z",IF(G466&lt;=Parametros!$B$6,"X",IF(G466&lt;=Parametros!$B$7,"Y","Z")))</f>
        <v>Z</v>
      </c>
      <c r="L466" s="3" t="str">
        <f aca="false">J466&amp;K466</f>
        <v>CZ</v>
      </c>
      <c r="M466" s="3" t="str">
        <f aca="false">INDEX(Parametros!$B$23:$B$31,MATCH(L466,Parametros!$A$23:$A$31,0))</f>
        <v>Contra pedido o stock mínimo. Candidato a racionalizar/descontinuar.</v>
      </c>
      <c r="N466" s="3" t="str">
        <f aca="false">INDEX(Parametros!$C$23:$C$31,MATCH(L466,Parametros!$A$23:$A$31,0))</f>
        <v>Mensual</v>
      </c>
      <c r="O466" s="23" t="n">
        <f aca="false">SUM(Datos_Semanales!M466:R466)</f>
        <v>0</v>
      </c>
      <c r="P466" s="24" t="str">
        <f aca="false">IF(D466&gt;0,SUMPRODUCT(ABS(Datos_Semanales!F466:K466-Datos_Semanales!M466:R466))/D466,"")</f>
        <v/>
      </c>
      <c r="Q466" s="24" t="str">
        <f aca="false">IF(D466&gt;0,O466/D466-1,"")</f>
        <v/>
      </c>
      <c r="R466" s="23" t="n">
        <f aca="false">SQRT(SUMXMY2(Datos_Semanales!F466:K466,Datos_Semanales!M466:R466)/COUNT(Datos_Semanales!F466:K466))</f>
        <v>0</v>
      </c>
    </row>
    <row r="467" customFormat="false" ht="15" hidden="false" customHeight="false" outlineLevel="0" collapsed="false">
      <c r="A467" s="18" t="n">
        <f aca="false">Datos_Semanales!A467</f>
        <v>30001872</v>
      </c>
      <c r="B467" s="18" t="str">
        <f aca="false">Datos_Semanales!B467</f>
        <v>MARGARINA SUREÑA DIET 12X450GR</v>
      </c>
      <c r="C467" s="18" t="str">
        <f aca="false">Datos_Semanales!C467</f>
        <v>MARGARINAS</v>
      </c>
      <c r="D467" s="23" t="n">
        <f aca="false">SUM(Datos_Semanales!F467:K467)</f>
        <v>0</v>
      </c>
      <c r="E467" s="23" t="n">
        <f aca="false">AVERAGE(Datos_Semanales!F467:K467)</f>
        <v>0</v>
      </c>
      <c r="F467" s="23" t="n">
        <f aca="false">STDEV(Datos_Semanales!F467:K467)</f>
        <v>0</v>
      </c>
      <c r="G467" s="27" t="str">
        <f aca="false">IF(E467&gt;0,F467/E467,"")</f>
        <v/>
      </c>
      <c r="H467" s="24" t="n">
        <f aca="false">IF(SUM($D$5:$D$494)&gt;0,D467/SUM($D$5:$D$494),0)</f>
        <v>0</v>
      </c>
      <c r="I467" s="24" t="n">
        <f aca="false">SUMIF($D$5:$D$494,"&gt;="&amp;D467)/SUM($D$5:$D$494)</f>
        <v>1</v>
      </c>
      <c r="J467" s="3" t="str">
        <f aca="false">IF(D467&lt;=0,"C",IF(I467&lt;=Parametros!$B$4,"A",IF(I467&lt;=Parametros!$B$5,"B","C")))</f>
        <v>C</v>
      </c>
      <c r="K467" s="3" t="str">
        <f aca="false">IF(E467&lt;=0,"Z",IF(G467&lt;=Parametros!$B$6,"X",IF(G467&lt;=Parametros!$B$7,"Y","Z")))</f>
        <v>Z</v>
      </c>
      <c r="L467" s="3" t="str">
        <f aca="false">J467&amp;K467</f>
        <v>CZ</v>
      </c>
      <c r="M467" s="3" t="str">
        <f aca="false">INDEX(Parametros!$B$23:$B$31,MATCH(L467,Parametros!$A$23:$A$31,0))</f>
        <v>Contra pedido o stock mínimo. Candidato a racionalizar/descontinuar.</v>
      </c>
      <c r="N467" s="3" t="str">
        <f aca="false">INDEX(Parametros!$C$23:$C$31,MATCH(L467,Parametros!$A$23:$A$31,0))</f>
        <v>Mensual</v>
      </c>
      <c r="O467" s="23" t="n">
        <f aca="false">SUM(Datos_Semanales!M467:R467)</f>
        <v>0</v>
      </c>
      <c r="P467" s="24" t="str">
        <f aca="false">IF(D467&gt;0,SUMPRODUCT(ABS(Datos_Semanales!F467:K467-Datos_Semanales!M467:R467))/D467,"")</f>
        <v/>
      </c>
      <c r="Q467" s="24" t="str">
        <f aca="false">IF(D467&gt;0,O467/D467-1,"")</f>
        <v/>
      </c>
      <c r="R467" s="23" t="n">
        <f aca="false">SQRT(SUMXMY2(Datos_Semanales!F467:K467,Datos_Semanales!M467:R467)/COUNT(Datos_Semanales!F467:K467))</f>
        <v>0</v>
      </c>
    </row>
    <row r="468" customFormat="false" ht="15" hidden="false" customHeight="false" outlineLevel="0" collapsed="false">
      <c r="A468" s="18" t="n">
        <f aca="false">Datos_Semanales!A468</f>
        <v>30000371</v>
      </c>
      <c r="B468" s="18" t="str">
        <f aca="false">Datos_Semanales!B468</f>
        <v>YOG POT LON S/L CHI 48X120GR</v>
      </c>
      <c r="C468" s="18" t="str">
        <f aca="false">Datos_Semanales!C468</f>
        <v>YOGURT</v>
      </c>
      <c r="D468" s="23" t="n">
        <f aca="false">SUM(Datos_Semanales!F468:K468)</f>
        <v>0</v>
      </c>
      <c r="E468" s="23" t="n">
        <f aca="false">AVERAGE(Datos_Semanales!F468:K468)</f>
        <v>0</v>
      </c>
      <c r="F468" s="23" t="n">
        <f aca="false">STDEV(Datos_Semanales!F468:K468)</f>
        <v>0</v>
      </c>
      <c r="G468" s="27" t="str">
        <f aca="false">IF(E468&gt;0,F468/E468,"")</f>
        <v/>
      </c>
      <c r="H468" s="24" t="n">
        <f aca="false">IF(SUM($D$5:$D$494)&gt;0,D468/SUM($D$5:$D$494),0)</f>
        <v>0</v>
      </c>
      <c r="I468" s="24" t="n">
        <f aca="false">SUMIF($D$5:$D$494,"&gt;="&amp;D468)/SUM($D$5:$D$494)</f>
        <v>1</v>
      </c>
      <c r="J468" s="3" t="str">
        <f aca="false">IF(D468&lt;=0,"C",IF(I468&lt;=Parametros!$B$4,"A",IF(I468&lt;=Parametros!$B$5,"B","C")))</f>
        <v>C</v>
      </c>
      <c r="K468" s="3" t="str">
        <f aca="false">IF(E468&lt;=0,"Z",IF(G468&lt;=Parametros!$B$6,"X",IF(G468&lt;=Parametros!$B$7,"Y","Z")))</f>
        <v>Z</v>
      </c>
      <c r="L468" s="3" t="str">
        <f aca="false">J468&amp;K468</f>
        <v>CZ</v>
      </c>
      <c r="M468" s="3" t="str">
        <f aca="false">INDEX(Parametros!$B$23:$B$31,MATCH(L468,Parametros!$A$23:$A$31,0))</f>
        <v>Contra pedido o stock mínimo. Candidato a racionalizar/descontinuar.</v>
      </c>
      <c r="N468" s="3" t="str">
        <f aca="false">INDEX(Parametros!$C$23:$C$31,MATCH(L468,Parametros!$A$23:$A$31,0))</f>
        <v>Mensual</v>
      </c>
      <c r="O468" s="23" t="n">
        <f aca="false">SUM(Datos_Semanales!M468:R468)</f>
        <v>0</v>
      </c>
      <c r="P468" s="24" t="str">
        <f aca="false">IF(D468&gt;0,SUMPRODUCT(ABS(Datos_Semanales!F468:K468-Datos_Semanales!M468:R468))/D468,"")</f>
        <v/>
      </c>
      <c r="Q468" s="24" t="str">
        <f aca="false">IF(D468&gt;0,O468/D468-1,"")</f>
        <v/>
      </c>
      <c r="R468" s="23" t="n">
        <f aca="false">SQRT(SUMXMY2(Datos_Semanales!F468:K468,Datos_Semanales!M468:R468)/COUNT(Datos_Semanales!F468:K468))</f>
        <v>0</v>
      </c>
    </row>
    <row r="469" customFormat="false" ht="15" hidden="false" customHeight="false" outlineLevel="0" collapsed="false">
      <c r="A469" s="18" t="n">
        <f aca="false">Datos_Semanales!A469</f>
        <v>30001881</v>
      </c>
      <c r="B469" s="18" t="str">
        <f aca="false">Datos_Semanales!B469</f>
        <v>ACEITE CHEF OLIVA MARAVILLA 12X1LT</v>
      </c>
      <c r="C469" s="18" t="str">
        <f aca="false">Datos_Semanales!C469</f>
        <v>ACEITES</v>
      </c>
      <c r="D469" s="23" t="n">
        <f aca="false">SUM(Datos_Semanales!F469:K469)</f>
        <v>0</v>
      </c>
      <c r="E469" s="23" t="n">
        <f aca="false">AVERAGE(Datos_Semanales!F469:K469)</f>
        <v>0</v>
      </c>
      <c r="F469" s="23" t="n">
        <f aca="false">STDEV(Datos_Semanales!F469:K469)</f>
        <v>0</v>
      </c>
      <c r="G469" s="27" t="str">
        <f aca="false">IF(E469&gt;0,F469/E469,"")</f>
        <v/>
      </c>
      <c r="H469" s="24" t="n">
        <f aca="false">IF(SUM($D$5:$D$494)&gt;0,D469/SUM($D$5:$D$494),0)</f>
        <v>0</v>
      </c>
      <c r="I469" s="24" t="n">
        <f aca="false">SUMIF($D$5:$D$494,"&gt;="&amp;D469)/SUM($D$5:$D$494)</f>
        <v>1</v>
      </c>
      <c r="J469" s="3" t="str">
        <f aca="false">IF(D469&lt;=0,"C",IF(I469&lt;=Parametros!$B$4,"A",IF(I469&lt;=Parametros!$B$5,"B","C")))</f>
        <v>C</v>
      </c>
      <c r="K469" s="3" t="str">
        <f aca="false">IF(E469&lt;=0,"Z",IF(G469&lt;=Parametros!$B$6,"X",IF(G469&lt;=Parametros!$B$7,"Y","Z")))</f>
        <v>Z</v>
      </c>
      <c r="L469" s="3" t="str">
        <f aca="false">J469&amp;K469</f>
        <v>CZ</v>
      </c>
      <c r="M469" s="3" t="str">
        <f aca="false">INDEX(Parametros!$B$23:$B$31,MATCH(L469,Parametros!$A$23:$A$31,0))</f>
        <v>Contra pedido o stock mínimo. Candidato a racionalizar/descontinuar.</v>
      </c>
      <c r="N469" s="3" t="str">
        <f aca="false">INDEX(Parametros!$C$23:$C$31,MATCH(L469,Parametros!$A$23:$A$31,0))</f>
        <v>Mensual</v>
      </c>
      <c r="O469" s="23" t="n">
        <f aca="false">SUM(Datos_Semanales!M469:R469)</f>
        <v>0</v>
      </c>
      <c r="P469" s="24" t="str">
        <f aca="false">IF(D469&gt;0,SUMPRODUCT(ABS(Datos_Semanales!F469:K469-Datos_Semanales!M469:R469))/D469,"")</f>
        <v/>
      </c>
      <c r="Q469" s="24" t="str">
        <f aca="false">IF(D469&gt;0,O469/D469-1,"")</f>
        <v/>
      </c>
      <c r="R469" s="23" t="n">
        <f aca="false">SQRT(SUMXMY2(Datos_Semanales!F469:K469,Datos_Semanales!M469:R469)/COUNT(Datos_Semanales!F469:K469))</f>
        <v>0</v>
      </c>
    </row>
    <row r="470" customFormat="false" ht="15" hidden="false" customHeight="false" outlineLevel="0" collapsed="false">
      <c r="A470" s="18" t="n">
        <f aca="false">Datos_Semanales!A470</f>
        <v>30001762</v>
      </c>
      <c r="B470" s="18" t="str">
        <f aca="false">Datos_Semanales!B470</f>
        <v>NECTAR WATTS DURAZNO SIXPACK 5X6X115ML</v>
      </c>
      <c r="C470" s="18" t="str">
        <f aca="false">Datos_Semanales!C470</f>
        <v>JUGOS Y NECTARES</v>
      </c>
      <c r="D470" s="23" t="n">
        <f aca="false">SUM(Datos_Semanales!F470:K470)</f>
        <v>0</v>
      </c>
      <c r="E470" s="23" t="n">
        <f aca="false">AVERAGE(Datos_Semanales!F470:K470)</f>
        <v>0</v>
      </c>
      <c r="F470" s="23" t="n">
        <f aca="false">STDEV(Datos_Semanales!F470:K470)</f>
        <v>0</v>
      </c>
      <c r="G470" s="27" t="str">
        <f aca="false">IF(E470&gt;0,F470/E470,"")</f>
        <v/>
      </c>
      <c r="H470" s="24" t="n">
        <f aca="false">IF(SUM($D$5:$D$494)&gt;0,D470/SUM($D$5:$D$494),0)</f>
        <v>0</v>
      </c>
      <c r="I470" s="24" t="n">
        <f aca="false">SUMIF($D$5:$D$494,"&gt;="&amp;D470)/SUM($D$5:$D$494)</f>
        <v>1</v>
      </c>
      <c r="J470" s="3" t="str">
        <f aca="false">IF(D470&lt;=0,"C",IF(I470&lt;=Parametros!$B$4,"A",IF(I470&lt;=Parametros!$B$5,"B","C")))</f>
        <v>C</v>
      </c>
      <c r="K470" s="3" t="str">
        <f aca="false">IF(E470&lt;=0,"Z",IF(G470&lt;=Parametros!$B$6,"X",IF(G470&lt;=Parametros!$B$7,"Y","Z")))</f>
        <v>Z</v>
      </c>
      <c r="L470" s="3" t="str">
        <f aca="false">J470&amp;K470</f>
        <v>CZ</v>
      </c>
      <c r="M470" s="3" t="str">
        <f aca="false">INDEX(Parametros!$B$23:$B$31,MATCH(L470,Parametros!$A$23:$A$31,0))</f>
        <v>Contra pedido o stock mínimo. Candidato a racionalizar/descontinuar.</v>
      </c>
      <c r="N470" s="3" t="str">
        <f aca="false">INDEX(Parametros!$C$23:$C$31,MATCH(L470,Parametros!$A$23:$A$31,0))</f>
        <v>Mensual</v>
      </c>
      <c r="O470" s="23" t="n">
        <f aca="false">SUM(Datos_Semanales!M470:R470)</f>
        <v>0</v>
      </c>
      <c r="P470" s="24" t="str">
        <f aca="false">IF(D470&gt;0,SUMPRODUCT(ABS(Datos_Semanales!F470:K470-Datos_Semanales!M470:R470))/D470,"")</f>
        <v/>
      </c>
      <c r="Q470" s="24" t="str">
        <f aca="false">IF(D470&gt;0,O470/D470-1,"")</f>
        <v/>
      </c>
      <c r="R470" s="23" t="n">
        <f aca="false">SQRT(SUMXMY2(Datos_Semanales!F470:K470,Datos_Semanales!M470:R470)/COUNT(Datos_Semanales!F470:K470))</f>
        <v>0</v>
      </c>
    </row>
    <row r="471" customFormat="false" ht="15" hidden="false" customHeight="false" outlineLevel="0" collapsed="false">
      <c r="A471" s="18" t="n">
        <f aca="false">Datos_Semanales!A471</f>
        <v>30001775</v>
      </c>
      <c r="B471" s="18" t="str">
        <f aca="false">Datos_Semanales!B471</f>
        <v>JUGO 100% FRUTA LV WATTS NRJA 12X1LT</v>
      </c>
      <c r="C471" s="18" t="str">
        <f aca="false">Datos_Semanales!C471</f>
        <v>JUGOS Y NECTARES</v>
      </c>
      <c r="D471" s="23" t="n">
        <f aca="false">SUM(Datos_Semanales!F471:K471)</f>
        <v>0</v>
      </c>
      <c r="E471" s="23" t="n">
        <f aca="false">AVERAGE(Datos_Semanales!F471:K471)</f>
        <v>0</v>
      </c>
      <c r="F471" s="23" t="n">
        <f aca="false">STDEV(Datos_Semanales!F471:K471)</f>
        <v>0</v>
      </c>
      <c r="G471" s="27" t="str">
        <f aca="false">IF(E471&gt;0,F471/E471,"")</f>
        <v/>
      </c>
      <c r="H471" s="24" t="n">
        <f aca="false">IF(SUM($D$5:$D$494)&gt;0,D471/SUM($D$5:$D$494),0)</f>
        <v>0</v>
      </c>
      <c r="I471" s="24" t="n">
        <f aca="false">SUMIF($D$5:$D$494,"&gt;="&amp;D471)/SUM($D$5:$D$494)</f>
        <v>1</v>
      </c>
      <c r="J471" s="3" t="str">
        <f aca="false">IF(D471&lt;=0,"C",IF(I471&lt;=Parametros!$B$4,"A",IF(I471&lt;=Parametros!$B$5,"B","C")))</f>
        <v>C</v>
      </c>
      <c r="K471" s="3" t="str">
        <f aca="false">IF(E471&lt;=0,"Z",IF(G471&lt;=Parametros!$B$6,"X",IF(G471&lt;=Parametros!$B$7,"Y","Z")))</f>
        <v>Z</v>
      </c>
      <c r="L471" s="3" t="str">
        <f aca="false">J471&amp;K471</f>
        <v>CZ</v>
      </c>
      <c r="M471" s="3" t="str">
        <f aca="false">INDEX(Parametros!$B$23:$B$31,MATCH(L471,Parametros!$A$23:$A$31,0))</f>
        <v>Contra pedido o stock mínimo. Candidato a racionalizar/descontinuar.</v>
      </c>
      <c r="N471" s="3" t="str">
        <f aca="false">INDEX(Parametros!$C$23:$C$31,MATCH(L471,Parametros!$A$23:$A$31,0))</f>
        <v>Mensual</v>
      </c>
      <c r="O471" s="23" t="n">
        <f aca="false">SUM(Datos_Semanales!M471:R471)</f>
        <v>0</v>
      </c>
      <c r="P471" s="24" t="str">
        <f aca="false">IF(D471&gt;0,SUMPRODUCT(ABS(Datos_Semanales!F471:K471-Datos_Semanales!M471:R471))/D471,"")</f>
        <v/>
      </c>
      <c r="Q471" s="24" t="str">
        <f aca="false">IF(D471&gt;0,O471/D471-1,"")</f>
        <v/>
      </c>
      <c r="R471" s="23" t="n">
        <f aca="false">SQRT(SUMXMY2(Datos_Semanales!F471:K471,Datos_Semanales!M471:R471)/COUNT(Datos_Semanales!F471:K471))</f>
        <v>0</v>
      </c>
    </row>
    <row r="472" customFormat="false" ht="15" hidden="false" customHeight="false" outlineLevel="0" collapsed="false">
      <c r="A472" s="18" t="n">
        <f aca="false">Datos_Semanales!A472</f>
        <v>30001763</v>
      </c>
      <c r="B472" s="18" t="str">
        <f aca="false">Datos_Semanales!B472</f>
        <v>NECTAR WATTS MANZANA SIXPACK 5X6X115ML</v>
      </c>
      <c r="C472" s="18" t="str">
        <f aca="false">Datos_Semanales!C472</f>
        <v>JUGOS Y NECTARES</v>
      </c>
      <c r="D472" s="23" t="n">
        <f aca="false">SUM(Datos_Semanales!F472:K472)</f>
        <v>0</v>
      </c>
      <c r="E472" s="23" t="n">
        <f aca="false">AVERAGE(Datos_Semanales!F472:K472)</f>
        <v>0</v>
      </c>
      <c r="F472" s="23" t="n">
        <f aca="false">STDEV(Datos_Semanales!F472:K472)</f>
        <v>0</v>
      </c>
      <c r="G472" s="27" t="str">
        <f aca="false">IF(E472&gt;0,F472/E472,"")</f>
        <v/>
      </c>
      <c r="H472" s="24" t="n">
        <f aca="false">IF(SUM($D$5:$D$494)&gt;0,D472/SUM($D$5:$D$494),0)</f>
        <v>0</v>
      </c>
      <c r="I472" s="24" t="n">
        <f aca="false">SUMIF($D$5:$D$494,"&gt;="&amp;D472)/SUM($D$5:$D$494)</f>
        <v>1</v>
      </c>
      <c r="J472" s="3" t="str">
        <f aca="false">IF(D472&lt;=0,"C",IF(I472&lt;=Parametros!$B$4,"A",IF(I472&lt;=Parametros!$B$5,"B","C")))</f>
        <v>C</v>
      </c>
      <c r="K472" s="3" t="str">
        <f aca="false">IF(E472&lt;=0,"Z",IF(G472&lt;=Parametros!$B$6,"X",IF(G472&lt;=Parametros!$B$7,"Y","Z")))</f>
        <v>Z</v>
      </c>
      <c r="L472" s="3" t="str">
        <f aca="false">J472&amp;K472</f>
        <v>CZ</v>
      </c>
      <c r="M472" s="3" t="str">
        <f aca="false">INDEX(Parametros!$B$23:$B$31,MATCH(L472,Parametros!$A$23:$A$31,0))</f>
        <v>Contra pedido o stock mínimo. Candidato a racionalizar/descontinuar.</v>
      </c>
      <c r="N472" s="3" t="str">
        <f aca="false">INDEX(Parametros!$C$23:$C$31,MATCH(L472,Parametros!$A$23:$A$31,0))</f>
        <v>Mensual</v>
      </c>
      <c r="O472" s="23" t="n">
        <f aca="false">SUM(Datos_Semanales!M472:R472)</f>
        <v>0</v>
      </c>
      <c r="P472" s="24" t="str">
        <f aca="false">IF(D472&gt;0,SUMPRODUCT(ABS(Datos_Semanales!F472:K472-Datos_Semanales!M472:R472))/D472,"")</f>
        <v/>
      </c>
      <c r="Q472" s="24" t="str">
        <f aca="false">IF(D472&gt;0,O472/D472-1,"")</f>
        <v/>
      </c>
      <c r="R472" s="23" t="n">
        <f aca="false">SQRT(SUMXMY2(Datos_Semanales!F472:K472,Datos_Semanales!M472:R472)/COUNT(Datos_Semanales!F472:K472))</f>
        <v>0</v>
      </c>
    </row>
    <row r="473" customFormat="false" ht="15" hidden="false" customHeight="false" outlineLevel="0" collapsed="false">
      <c r="A473" s="18" t="n">
        <f aca="false">Datos_Semanales!A473</f>
        <v>30001802</v>
      </c>
      <c r="B473" s="18" t="str">
        <f aca="false">Datos_Semanales!B473</f>
        <v>YOGURT YOGU YOGU VLLA TETRA 5X6X115GR</v>
      </c>
      <c r="C473" s="18" t="str">
        <f aca="false">Datos_Semanales!C473</f>
        <v>-</v>
      </c>
      <c r="D473" s="23" t="n">
        <f aca="false">SUM(Datos_Semanales!F473:K473)</f>
        <v>0</v>
      </c>
      <c r="E473" s="23" t="n">
        <f aca="false">AVERAGE(Datos_Semanales!F473:K473)</f>
        <v>0</v>
      </c>
      <c r="F473" s="23" t="n">
        <f aca="false">STDEV(Datos_Semanales!F473:K473)</f>
        <v>0</v>
      </c>
      <c r="G473" s="27" t="str">
        <f aca="false">IF(E473&gt;0,F473/E473,"")</f>
        <v/>
      </c>
      <c r="H473" s="24" t="n">
        <f aca="false">IF(SUM($D$5:$D$494)&gt;0,D473/SUM($D$5:$D$494),0)</f>
        <v>0</v>
      </c>
      <c r="I473" s="24" t="n">
        <f aca="false">SUMIF($D$5:$D$494,"&gt;="&amp;D473)/SUM($D$5:$D$494)</f>
        <v>1</v>
      </c>
      <c r="J473" s="3" t="str">
        <f aca="false">IF(D473&lt;=0,"C",IF(I473&lt;=Parametros!$B$4,"A",IF(I473&lt;=Parametros!$B$5,"B","C")))</f>
        <v>C</v>
      </c>
      <c r="K473" s="3" t="str">
        <f aca="false">IF(E473&lt;=0,"Z",IF(G473&lt;=Parametros!$B$6,"X",IF(G473&lt;=Parametros!$B$7,"Y","Z")))</f>
        <v>Z</v>
      </c>
      <c r="L473" s="3" t="str">
        <f aca="false">J473&amp;K473</f>
        <v>CZ</v>
      </c>
      <c r="M473" s="3" t="str">
        <f aca="false">INDEX(Parametros!$B$23:$B$31,MATCH(L473,Parametros!$A$23:$A$31,0))</f>
        <v>Contra pedido o stock mínimo. Candidato a racionalizar/descontinuar.</v>
      </c>
      <c r="N473" s="3" t="str">
        <f aca="false">INDEX(Parametros!$C$23:$C$31,MATCH(L473,Parametros!$A$23:$A$31,0))</f>
        <v>Mensual</v>
      </c>
      <c r="O473" s="23" t="n">
        <f aca="false">SUM(Datos_Semanales!M473:R473)</f>
        <v>0</v>
      </c>
      <c r="P473" s="24" t="str">
        <f aca="false">IF(D473&gt;0,SUMPRODUCT(ABS(Datos_Semanales!F473:K473-Datos_Semanales!M473:R473))/D473,"")</f>
        <v/>
      </c>
      <c r="Q473" s="24" t="str">
        <f aca="false">IF(D473&gt;0,O473/D473-1,"")</f>
        <v/>
      </c>
      <c r="R473" s="23" t="n">
        <f aca="false">SQRT(SUMXMY2(Datos_Semanales!F473:K473,Datos_Semanales!M473:R473)/COUNT(Datos_Semanales!F473:K473))</f>
        <v>0</v>
      </c>
    </row>
    <row r="474" customFormat="false" ht="15" hidden="false" customHeight="false" outlineLevel="0" collapsed="false">
      <c r="A474" s="18" t="n">
        <f aca="false">Datos_Semanales!A474</f>
        <v>30000259</v>
      </c>
      <c r="B474" s="18" t="str">
        <f aca="false">Datos_Semanales!B474</f>
        <v>NECTAR W DSCO SIXPACK 30X200ML</v>
      </c>
      <c r="C474" s="18" t="str">
        <f aca="false">Datos_Semanales!C474</f>
        <v>JUGOS Y NECTARES</v>
      </c>
      <c r="D474" s="23" t="n">
        <f aca="false">SUM(Datos_Semanales!F474:K474)</f>
        <v>0</v>
      </c>
      <c r="E474" s="23" t="n">
        <f aca="false">AVERAGE(Datos_Semanales!F474:K474)</f>
        <v>0</v>
      </c>
      <c r="F474" s="23" t="n">
        <f aca="false">STDEV(Datos_Semanales!F474:K474)</f>
        <v>0</v>
      </c>
      <c r="G474" s="27" t="str">
        <f aca="false">IF(E474&gt;0,F474/E474,"")</f>
        <v/>
      </c>
      <c r="H474" s="24" t="n">
        <f aca="false">IF(SUM($D$5:$D$494)&gt;0,D474/SUM($D$5:$D$494),0)</f>
        <v>0</v>
      </c>
      <c r="I474" s="24" t="n">
        <f aca="false">SUMIF($D$5:$D$494,"&gt;="&amp;D474)/SUM($D$5:$D$494)</f>
        <v>1</v>
      </c>
      <c r="J474" s="3" t="str">
        <f aca="false">IF(D474&lt;=0,"C",IF(I474&lt;=Parametros!$B$4,"A",IF(I474&lt;=Parametros!$B$5,"B","C")))</f>
        <v>C</v>
      </c>
      <c r="K474" s="3" t="str">
        <f aca="false">IF(E474&lt;=0,"Z",IF(G474&lt;=Parametros!$B$6,"X",IF(G474&lt;=Parametros!$B$7,"Y","Z")))</f>
        <v>Z</v>
      </c>
      <c r="L474" s="3" t="str">
        <f aca="false">J474&amp;K474</f>
        <v>CZ</v>
      </c>
      <c r="M474" s="3" t="str">
        <f aca="false">INDEX(Parametros!$B$23:$B$31,MATCH(L474,Parametros!$A$23:$A$31,0))</f>
        <v>Contra pedido o stock mínimo. Candidato a racionalizar/descontinuar.</v>
      </c>
      <c r="N474" s="3" t="str">
        <f aca="false">INDEX(Parametros!$C$23:$C$31,MATCH(L474,Parametros!$A$23:$A$31,0))</f>
        <v>Mensual</v>
      </c>
      <c r="O474" s="23" t="n">
        <f aca="false">SUM(Datos_Semanales!M474:R474)</f>
        <v>0</v>
      </c>
      <c r="P474" s="24" t="str">
        <f aca="false">IF(D474&gt;0,SUMPRODUCT(ABS(Datos_Semanales!F474:K474-Datos_Semanales!M474:R474))/D474,"")</f>
        <v/>
      </c>
      <c r="Q474" s="24" t="str">
        <f aca="false">IF(D474&gt;0,O474/D474-1,"")</f>
        <v/>
      </c>
      <c r="R474" s="23" t="n">
        <f aca="false">SQRT(SUMXMY2(Datos_Semanales!F474:K474,Datos_Semanales!M474:R474)/COUNT(Datos_Semanales!F474:K474))</f>
        <v>0</v>
      </c>
    </row>
    <row r="475" customFormat="false" ht="15" hidden="false" customHeight="false" outlineLevel="0" collapsed="false">
      <c r="A475" s="18" t="n">
        <f aca="false">Datos_Semanales!A475</f>
        <v>30000262</v>
      </c>
      <c r="B475" s="18" t="str">
        <f aca="false">Datos_Semanales!B475</f>
        <v>FRUGO PIÑA 6X1,75LT</v>
      </c>
      <c r="C475" s="18" t="str">
        <f aca="false">Datos_Semanales!C475</f>
        <v>JUGOS Y NECTARES</v>
      </c>
      <c r="D475" s="23" t="n">
        <f aca="false">SUM(Datos_Semanales!F475:K475)</f>
        <v>0</v>
      </c>
      <c r="E475" s="23" t="n">
        <f aca="false">AVERAGE(Datos_Semanales!F475:K475)</f>
        <v>0</v>
      </c>
      <c r="F475" s="23" t="n">
        <f aca="false">STDEV(Datos_Semanales!F475:K475)</f>
        <v>0</v>
      </c>
      <c r="G475" s="27" t="str">
        <f aca="false">IF(E475&gt;0,F475/E475,"")</f>
        <v/>
      </c>
      <c r="H475" s="24" t="n">
        <f aca="false">IF(SUM($D$5:$D$494)&gt;0,D475/SUM($D$5:$D$494),0)</f>
        <v>0</v>
      </c>
      <c r="I475" s="24" t="n">
        <f aca="false">SUMIF($D$5:$D$494,"&gt;="&amp;D475)/SUM($D$5:$D$494)</f>
        <v>1</v>
      </c>
      <c r="J475" s="3" t="str">
        <f aca="false">IF(D475&lt;=0,"C",IF(I475&lt;=Parametros!$B$4,"A",IF(I475&lt;=Parametros!$B$5,"B","C")))</f>
        <v>C</v>
      </c>
      <c r="K475" s="3" t="str">
        <f aca="false">IF(E475&lt;=0,"Z",IF(G475&lt;=Parametros!$B$6,"X",IF(G475&lt;=Parametros!$B$7,"Y","Z")))</f>
        <v>Z</v>
      </c>
      <c r="L475" s="3" t="str">
        <f aca="false">J475&amp;K475</f>
        <v>CZ</v>
      </c>
      <c r="M475" s="3" t="str">
        <f aca="false">INDEX(Parametros!$B$23:$B$31,MATCH(L475,Parametros!$A$23:$A$31,0))</f>
        <v>Contra pedido o stock mínimo. Candidato a racionalizar/descontinuar.</v>
      </c>
      <c r="N475" s="3" t="str">
        <f aca="false">INDEX(Parametros!$C$23:$C$31,MATCH(L475,Parametros!$A$23:$A$31,0))</f>
        <v>Mensual</v>
      </c>
      <c r="O475" s="23" t="n">
        <f aca="false">SUM(Datos_Semanales!M475:R475)</f>
        <v>0</v>
      </c>
      <c r="P475" s="24" t="str">
        <f aca="false">IF(D475&gt;0,SUMPRODUCT(ABS(Datos_Semanales!F475:K475-Datos_Semanales!M475:R475))/D475,"")</f>
        <v/>
      </c>
      <c r="Q475" s="24" t="str">
        <f aca="false">IF(D475&gt;0,O475/D475-1,"")</f>
        <v/>
      </c>
      <c r="R475" s="23" t="n">
        <f aca="false">SQRT(SUMXMY2(Datos_Semanales!F475:K475,Datos_Semanales!M475:R475)/COUNT(Datos_Semanales!F475:K475))</f>
        <v>0</v>
      </c>
    </row>
    <row r="476" customFormat="false" ht="15" hidden="false" customHeight="false" outlineLevel="0" collapsed="false">
      <c r="A476" s="18" t="n">
        <f aca="false">Datos_Semanales!A476</f>
        <v>30001118</v>
      </c>
      <c r="B476" s="18" t="str">
        <f aca="false">Datos_Semanales!B476</f>
        <v>NECTAR WATT'S NARANJA 30X200ML</v>
      </c>
      <c r="C476" s="18" t="str">
        <f aca="false">Datos_Semanales!C476</f>
        <v>JUGOS Y NECTARES</v>
      </c>
      <c r="D476" s="23" t="n">
        <f aca="false">SUM(Datos_Semanales!F476:K476)</f>
        <v>0</v>
      </c>
      <c r="E476" s="23" t="n">
        <f aca="false">AVERAGE(Datos_Semanales!F476:K476)</f>
        <v>0</v>
      </c>
      <c r="F476" s="23" t="n">
        <f aca="false">STDEV(Datos_Semanales!F476:K476)</f>
        <v>0</v>
      </c>
      <c r="G476" s="27" t="str">
        <f aca="false">IF(E476&gt;0,F476/E476,"")</f>
        <v/>
      </c>
      <c r="H476" s="24" t="n">
        <f aca="false">IF(SUM($D$5:$D$494)&gt;0,D476/SUM($D$5:$D$494),0)</f>
        <v>0</v>
      </c>
      <c r="I476" s="24" t="n">
        <f aca="false">SUMIF($D$5:$D$494,"&gt;="&amp;D476)/SUM($D$5:$D$494)</f>
        <v>1</v>
      </c>
      <c r="J476" s="3" t="str">
        <f aca="false">IF(D476&lt;=0,"C",IF(I476&lt;=Parametros!$B$4,"A",IF(I476&lt;=Parametros!$B$5,"B","C")))</f>
        <v>C</v>
      </c>
      <c r="K476" s="3" t="str">
        <f aca="false">IF(E476&lt;=0,"Z",IF(G476&lt;=Parametros!$B$6,"X",IF(G476&lt;=Parametros!$B$7,"Y","Z")))</f>
        <v>Z</v>
      </c>
      <c r="L476" s="3" t="str">
        <f aca="false">J476&amp;K476</f>
        <v>CZ</v>
      </c>
      <c r="M476" s="3" t="str">
        <f aca="false">INDEX(Parametros!$B$23:$B$31,MATCH(L476,Parametros!$A$23:$A$31,0))</f>
        <v>Contra pedido o stock mínimo. Candidato a racionalizar/descontinuar.</v>
      </c>
      <c r="N476" s="3" t="str">
        <f aca="false">INDEX(Parametros!$C$23:$C$31,MATCH(L476,Parametros!$A$23:$A$31,0))</f>
        <v>Mensual</v>
      </c>
      <c r="O476" s="23" t="n">
        <f aca="false">SUM(Datos_Semanales!M476:R476)</f>
        <v>0</v>
      </c>
      <c r="P476" s="24" t="str">
        <f aca="false">IF(D476&gt;0,SUMPRODUCT(ABS(Datos_Semanales!F476:K476-Datos_Semanales!M476:R476))/D476,"")</f>
        <v/>
      </c>
      <c r="Q476" s="24" t="str">
        <f aca="false">IF(D476&gt;0,O476/D476-1,"")</f>
        <v/>
      </c>
      <c r="R476" s="23" t="n">
        <f aca="false">SQRT(SUMXMY2(Datos_Semanales!F476:K476,Datos_Semanales!M476:R476)/COUNT(Datos_Semanales!F476:K476))</f>
        <v>0</v>
      </c>
    </row>
    <row r="477" customFormat="false" ht="15" hidden="false" customHeight="false" outlineLevel="0" collapsed="false">
      <c r="A477" s="18" t="n">
        <f aca="false">Datos_Semanales!A477</f>
        <v>30000661</v>
      </c>
      <c r="B477" s="18" t="str">
        <f aca="false">Datos_Semanales!B477</f>
        <v>JALEA REG NARAN/PLAT 6X4X100GR</v>
      </c>
      <c r="C477" s="18" t="str">
        <f aca="false">Datos_Semanales!C477</f>
        <v>POSTRES</v>
      </c>
      <c r="D477" s="23" t="n">
        <f aca="false">SUM(Datos_Semanales!F477:K477)</f>
        <v>0</v>
      </c>
      <c r="E477" s="23" t="n">
        <f aca="false">AVERAGE(Datos_Semanales!F477:K477)</f>
        <v>0</v>
      </c>
      <c r="F477" s="23" t="n">
        <f aca="false">STDEV(Datos_Semanales!F477:K477)</f>
        <v>0</v>
      </c>
      <c r="G477" s="27" t="str">
        <f aca="false">IF(E477&gt;0,F477/E477,"")</f>
        <v/>
      </c>
      <c r="H477" s="24" t="n">
        <f aca="false">IF(SUM($D$5:$D$494)&gt;0,D477/SUM($D$5:$D$494),0)</f>
        <v>0</v>
      </c>
      <c r="I477" s="24" t="n">
        <f aca="false">SUMIF($D$5:$D$494,"&gt;="&amp;D477)/SUM($D$5:$D$494)</f>
        <v>1</v>
      </c>
      <c r="J477" s="3" t="str">
        <f aca="false">IF(D477&lt;=0,"C",IF(I477&lt;=Parametros!$B$4,"A",IF(I477&lt;=Parametros!$B$5,"B","C")))</f>
        <v>C</v>
      </c>
      <c r="K477" s="3" t="str">
        <f aca="false">IF(E477&lt;=0,"Z",IF(G477&lt;=Parametros!$B$6,"X",IF(G477&lt;=Parametros!$B$7,"Y","Z")))</f>
        <v>Z</v>
      </c>
      <c r="L477" s="3" t="str">
        <f aca="false">J477&amp;K477</f>
        <v>CZ</v>
      </c>
      <c r="M477" s="3" t="str">
        <f aca="false">INDEX(Parametros!$B$23:$B$31,MATCH(L477,Parametros!$A$23:$A$31,0))</f>
        <v>Contra pedido o stock mínimo. Candidato a racionalizar/descontinuar.</v>
      </c>
      <c r="N477" s="3" t="str">
        <f aca="false">INDEX(Parametros!$C$23:$C$31,MATCH(L477,Parametros!$A$23:$A$31,0))</f>
        <v>Mensual</v>
      </c>
      <c r="O477" s="23" t="n">
        <f aca="false">SUM(Datos_Semanales!M477:R477)</f>
        <v>0</v>
      </c>
      <c r="P477" s="24" t="str">
        <f aca="false">IF(D477&gt;0,SUMPRODUCT(ABS(Datos_Semanales!F477:K477-Datos_Semanales!M477:R477))/D477,"")</f>
        <v/>
      </c>
      <c r="Q477" s="24" t="str">
        <f aca="false">IF(D477&gt;0,O477/D477-1,"")</f>
        <v/>
      </c>
      <c r="R477" s="23" t="n">
        <f aca="false">SQRT(SUMXMY2(Datos_Semanales!F477:K477,Datos_Semanales!M477:R477)/COUNT(Datos_Semanales!F477:K477))</f>
        <v>0</v>
      </c>
    </row>
    <row r="478" customFormat="false" ht="15" hidden="false" customHeight="false" outlineLevel="0" collapsed="false">
      <c r="A478" s="18" t="n">
        <f aca="false">Datos_Semanales!A478</f>
        <v>30000699</v>
      </c>
      <c r="B478" s="18" t="str">
        <f aca="false">Datos_Semanales!B478</f>
        <v>SORRENTINO CHEF RICOT JAM 6X500GR</v>
      </c>
      <c r="C478" s="18" t="str">
        <f aca="false">Datos_Semanales!C478</f>
        <v>-</v>
      </c>
      <c r="D478" s="23" t="n">
        <f aca="false">SUM(Datos_Semanales!F478:K478)</f>
        <v>0</v>
      </c>
      <c r="E478" s="23" t="n">
        <f aca="false">AVERAGE(Datos_Semanales!F478:K478)</f>
        <v>0</v>
      </c>
      <c r="F478" s="23" t="n">
        <f aca="false">STDEV(Datos_Semanales!F478:K478)</f>
        <v>0</v>
      </c>
      <c r="G478" s="27" t="str">
        <f aca="false">IF(E478&gt;0,F478/E478,"")</f>
        <v/>
      </c>
      <c r="H478" s="24" t="n">
        <f aca="false">IF(SUM($D$5:$D$494)&gt;0,D478/SUM($D$5:$D$494),0)</f>
        <v>0</v>
      </c>
      <c r="I478" s="24" t="n">
        <f aca="false">SUMIF($D$5:$D$494,"&gt;="&amp;D478)/SUM($D$5:$D$494)</f>
        <v>1</v>
      </c>
      <c r="J478" s="3" t="str">
        <f aca="false">IF(D478&lt;=0,"C",IF(I478&lt;=Parametros!$B$4,"A",IF(I478&lt;=Parametros!$B$5,"B","C")))</f>
        <v>C</v>
      </c>
      <c r="K478" s="3" t="str">
        <f aca="false">IF(E478&lt;=0,"Z",IF(G478&lt;=Parametros!$B$6,"X",IF(G478&lt;=Parametros!$B$7,"Y","Z")))</f>
        <v>Z</v>
      </c>
      <c r="L478" s="3" t="str">
        <f aca="false">J478&amp;K478</f>
        <v>CZ</v>
      </c>
      <c r="M478" s="3" t="str">
        <f aca="false">INDEX(Parametros!$B$23:$B$31,MATCH(L478,Parametros!$A$23:$A$31,0))</f>
        <v>Contra pedido o stock mínimo. Candidato a racionalizar/descontinuar.</v>
      </c>
      <c r="N478" s="3" t="str">
        <f aca="false">INDEX(Parametros!$C$23:$C$31,MATCH(L478,Parametros!$A$23:$A$31,0))</f>
        <v>Mensual</v>
      </c>
      <c r="O478" s="23" t="n">
        <f aca="false">SUM(Datos_Semanales!M478:R478)</f>
        <v>0</v>
      </c>
      <c r="P478" s="24" t="str">
        <f aca="false">IF(D478&gt;0,SUMPRODUCT(ABS(Datos_Semanales!F478:K478-Datos_Semanales!M478:R478))/D478,"")</f>
        <v/>
      </c>
      <c r="Q478" s="24" t="str">
        <f aca="false">IF(D478&gt;0,O478/D478-1,"")</f>
        <v/>
      </c>
      <c r="R478" s="23" t="n">
        <f aca="false">SQRT(SUMXMY2(Datos_Semanales!F478:K478,Datos_Semanales!M478:R478)/COUNT(Datos_Semanales!F478:K478))</f>
        <v>0</v>
      </c>
    </row>
    <row r="479" customFormat="false" ht="15" hidden="false" customHeight="false" outlineLevel="0" collapsed="false">
      <c r="A479" s="18" t="n">
        <f aca="false">Datos_Semanales!A479</f>
        <v>30001276</v>
      </c>
      <c r="B479" s="18" t="str">
        <f aca="false">Datos_Semanales!B479</f>
        <v>LECHE REGIMEL DESCR 30X200ML</v>
      </c>
      <c r="C479" s="18" t="str">
        <f aca="false">Datos_Semanales!C479</f>
        <v>-</v>
      </c>
      <c r="D479" s="23" t="n">
        <f aca="false">SUM(Datos_Semanales!F479:K479)</f>
        <v>0</v>
      </c>
      <c r="E479" s="23" t="n">
        <f aca="false">AVERAGE(Datos_Semanales!F479:K479)</f>
        <v>0</v>
      </c>
      <c r="F479" s="23" t="n">
        <f aca="false">STDEV(Datos_Semanales!F479:K479)</f>
        <v>0</v>
      </c>
      <c r="G479" s="27" t="str">
        <f aca="false">IF(E479&gt;0,F479/E479,"")</f>
        <v/>
      </c>
      <c r="H479" s="24" t="n">
        <f aca="false">IF(SUM($D$5:$D$494)&gt;0,D479/SUM($D$5:$D$494),0)</f>
        <v>0</v>
      </c>
      <c r="I479" s="24" t="n">
        <f aca="false">SUMIF($D$5:$D$494,"&gt;="&amp;D479)/SUM($D$5:$D$494)</f>
        <v>1</v>
      </c>
      <c r="J479" s="3" t="str">
        <f aca="false">IF(D479&lt;=0,"C",IF(I479&lt;=Parametros!$B$4,"A",IF(I479&lt;=Parametros!$B$5,"B","C")))</f>
        <v>C</v>
      </c>
      <c r="K479" s="3" t="str">
        <f aca="false">IF(E479&lt;=0,"Z",IF(G479&lt;=Parametros!$B$6,"X",IF(G479&lt;=Parametros!$B$7,"Y","Z")))</f>
        <v>Z</v>
      </c>
      <c r="L479" s="3" t="str">
        <f aca="false">J479&amp;K479</f>
        <v>CZ</v>
      </c>
      <c r="M479" s="3" t="str">
        <f aca="false">INDEX(Parametros!$B$23:$B$31,MATCH(L479,Parametros!$A$23:$A$31,0))</f>
        <v>Contra pedido o stock mínimo. Candidato a racionalizar/descontinuar.</v>
      </c>
      <c r="N479" s="3" t="str">
        <f aca="false">INDEX(Parametros!$C$23:$C$31,MATCH(L479,Parametros!$A$23:$A$31,0))</f>
        <v>Mensual</v>
      </c>
      <c r="O479" s="23" t="n">
        <f aca="false">SUM(Datos_Semanales!M479:R479)</f>
        <v>0</v>
      </c>
      <c r="P479" s="24" t="str">
        <f aca="false">IF(D479&gt;0,SUMPRODUCT(ABS(Datos_Semanales!F479:K479-Datos_Semanales!M479:R479))/D479,"")</f>
        <v/>
      </c>
      <c r="Q479" s="24" t="str">
        <f aca="false">IF(D479&gt;0,O479/D479-1,"")</f>
        <v/>
      </c>
      <c r="R479" s="23" t="n">
        <f aca="false">SQRT(SUMXMY2(Datos_Semanales!F479:K479,Datos_Semanales!M479:R479)/COUNT(Datos_Semanales!F479:K479))</f>
        <v>0</v>
      </c>
    </row>
    <row r="480" customFormat="false" ht="15" hidden="false" customHeight="false" outlineLevel="0" collapsed="false">
      <c r="A480" s="18" t="n">
        <f aca="false">Datos_Semanales!A480</f>
        <v>30001265</v>
      </c>
      <c r="B480" s="18" t="str">
        <f aca="false">Datos_Semanales!B480</f>
        <v>YOG S/LAC LCO VAINI BOLS 6X900GR</v>
      </c>
      <c r="C480" s="18" t="str">
        <f aca="false">Datos_Semanales!C480</f>
        <v>YOGURT</v>
      </c>
      <c r="D480" s="23" t="n">
        <f aca="false">SUM(Datos_Semanales!F480:K480)</f>
        <v>0</v>
      </c>
      <c r="E480" s="23" t="n">
        <f aca="false">AVERAGE(Datos_Semanales!F480:K480)</f>
        <v>0</v>
      </c>
      <c r="F480" s="23" t="n">
        <f aca="false">STDEV(Datos_Semanales!F480:K480)</f>
        <v>0</v>
      </c>
      <c r="G480" s="27" t="str">
        <f aca="false">IF(E480&gt;0,F480/E480,"")</f>
        <v/>
      </c>
      <c r="H480" s="24" t="n">
        <f aca="false">IF(SUM($D$5:$D$494)&gt;0,D480/SUM($D$5:$D$494),0)</f>
        <v>0</v>
      </c>
      <c r="I480" s="24" t="n">
        <f aca="false">SUMIF($D$5:$D$494,"&gt;="&amp;D480)/SUM($D$5:$D$494)</f>
        <v>1</v>
      </c>
      <c r="J480" s="3" t="str">
        <f aca="false">IF(D480&lt;=0,"C",IF(I480&lt;=Parametros!$B$4,"A",IF(I480&lt;=Parametros!$B$5,"B","C")))</f>
        <v>C</v>
      </c>
      <c r="K480" s="3" t="str">
        <f aca="false">IF(E480&lt;=0,"Z",IF(G480&lt;=Parametros!$B$6,"X",IF(G480&lt;=Parametros!$B$7,"Y","Z")))</f>
        <v>Z</v>
      </c>
      <c r="L480" s="3" t="str">
        <f aca="false">J480&amp;K480</f>
        <v>CZ</v>
      </c>
      <c r="M480" s="3" t="str">
        <f aca="false">INDEX(Parametros!$B$23:$B$31,MATCH(L480,Parametros!$A$23:$A$31,0))</f>
        <v>Contra pedido o stock mínimo. Candidato a racionalizar/descontinuar.</v>
      </c>
      <c r="N480" s="3" t="str">
        <f aca="false">INDEX(Parametros!$C$23:$C$31,MATCH(L480,Parametros!$A$23:$A$31,0))</f>
        <v>Mensual</v>
      </c>
      <c r="O480" s="23" t="n">
        <f aca="false">SUM(Datos_Semanales!M480:R480)</f>
        <v>0</v>
      </c>
      <c r="P480" s="24" t="str">
        <f aca="false">IF(D480&gt;0,SUMPRODUCT(ABS(Datos_Semanales!F480:K480-Datos_Semanales!M480:R480))/D480,"")</f>
        <v/>
      </c>
      <c r="Q480" s="24" t="str">
        <f aca="false">IF(D480&gt;0,O480/D480-1,"")</f>
        <v/>
      </c>
      <c r="R480" s="23" t="n">
        <f aca="false">SQRT(SUMXMY2(Datos_Semanales!F480:K480,Datos_Semanales!M480:R480)/COUNT(Datos_Semanales!F480:K480))</f>
        <v>0</v>
      </c>
    </row>
    <row r="481" customFormat="false" ht="15" hidden="false" customHeight="false" outlineLevel="0" collapsed="false">
      <c r="A481" s="18" t="n">
        <f aca="false">Datos_Semanales!A481</f>
        <v>30001191</v>
      </c>
      <c r="B481" s="18" t="str">
        <f aca="false">Datos_Semanales!B481</f>
        <v>MERM W S/A FCO FRUTILLA 10X320GR</v>
      </c>
      <c r="C481" s="18" t="str">
        <f aca="false">Datos_Semanales!C481</f>
        <v>-</v>
      </c>
      <c r="D481" s="23" t="n">
        <f aca="false">SUM(Datos_Semanales!F481:K481)</f>
        <v>0</v>
      </c>
      <c r="E481" s="23" t="n">
        <f aca="false">AVERAGE(Datos_Semanales!F481:K481)</f>
        <v>0</v>
      </c>
      <c r="F481" s="23" t="n">
        <f aca="false">STDEV(Datos_Semanales!F481:K481)</f>
        <v>0</v>
      </c>
      <c r="G481" s="27" t="str">
        <f aca="false">IF(E481&gt;0,F481/E481,"")</f>
        <v/>
      </c>
      <c r="H481" s="24" t="n">
        <f aca="false">IF(SUM($D$5:$D$494)&gt;0,D481/SUM($D$5:$D$494),0)</f>
        <v>0</v>
      </c>
      <c r="I481" s="24" t="n">
        <f aca="false">SUMIF($D$5:$D$494,"&gt;="&amp;D481)/SUM($D$5:$D$494)</f>
        <v>1</v>
      </c>
      <c r="J481" s="3" t="str">
        <f aca="false">IF(D481&lt;=0,"C",IF(I481&lt;=Parametros!$B$4,"A",IF(I481&lt;=Parametros!$B$5,"B","C")))</f>
        <v>C</v>
      </c>
      <c r="K481" s="3" t="str">
        <f aca="false">IF(E481&lt;=0,"Z",IF(G481&lt;=Parametros!$B$6,"X",IF(G481&lt;=Parametros!$B$7,"Y","Z")))</f>
        <v>Z</v>
      </c>
      <c r="L481" s="3" t="str">
        <f aca="false">J481&amp;K481</f>
        <v>CZ</v>
      </c>
      <c r="M481" s="3" t="str">
        <f aca="false">INDEX(Parametros!$B$23:$B$31,MATCH(L481,Parametros!$A$23:$A$31,0))</f>
        <v>Contra pedido o stock mínimo. Candidato a racionalizar/descontinuar.</v>
      </c>
      <c r="N481" s="3" t="str">
        <f aca="false">INDEX(Parametros!$C$23:$C$31,MATCH(L481,Parametros!$A$23:$A$31,0))</f>
        <v>Mensual</v>
      </c>
      <c r="O481" s="23" t="n">
        <f aca="false">SUM(Datos_Semanales!M481:R481)</f>
        <v>0</v>
      </c>
      <c r="P481" s="24" t="str">
        <f aca="false">IF(D481&gt;0,SUMPRODUCT(ABS(Datos_Semanales!F481:K481-Datos_Semanales!M481:R481))/D481,"")</f>
        <v/>
      </c>
      <c r="Q481" s="24" t="str">
        <f aca="false">IF(D481&gt;0,O481/D481-1,"")</f>
        <v/>
      </c>
      <c r="R481" s="23" t="n">
        <f aca="false">SQRT(SUMXMY2(Datos_Semanales!F481:K481,Datos_Semanales!M481:R481)/COUNT(Datos_Semanales!F481:K481))</f>
        <v>0</v>
      </c>
    </row>
    <row r="482" customFormat="false" ht="15" hidden="false" customHeight="false" outlineLevel="0" collapsed="false">
      <c r="A482" s="18" t="n">
        <f aca="false">Datos_Semanales!A482</f>
        <v>30001184</v>
      </c>
      <c r="B482" s="18" t="str">
        <f aca="false">Datos_Semanales!B482</f>
        <v>MANTECA ASTRA 40X100GR</v>
      </c>
      <c r="C482" s="18" t="str">
        <f aca="false">Datos_Semanales!C482</f>
        <v>MANTECAS</v>
      </c>
      <c r="D482" s="23" t="n">
        <f aca="false">SUM(Datos_Semanales!F482:K482)</f>
        <v>0</v>
      </c>
      <c r="E482" s="23" t="n">
        <f aca="false">AVERAGE(Datos_Semanales!F482:K482)</f>
        <v>0</v>
      </c>
      <c r="F482" s="23" t="n">
        <f aca="false">STDEV(Datos_Semanales!F482:K482)</f>
        <v>0</v>
      </c>
      <c r="G482" s="27" t="str">
        <f aca="false">IF(E482&gt;0,F482/E482,"")</f>
        <v/>
      </c>
      <c r="H482" s="24" t="n">
        <f aca="false">IF(SUM($D$5:$D$494)&gt;0,D482/SUM($D$5:$D$494),0)</f>
        <v>0</v>
      </c>
      <c r="I482" s="24" t="n">
        <f aca="false">SUMIF($D$5:$D$494,"&gt;="&amp;D482)/SUM($D$5:$D$494)</f>
        <v>1</v>
      </c>
      <c r="J482" s="3" t="str">
        <f aca="false">IF(D482&lt;=0,"C",IF(I482&lt;=Parametros!$B$4,"A",IF(I482&lt;=Parametros!$B$5,"B","C")))</f>
        <v>C</v>
      </c>
      <c r="K482" s="3" t="str">
        <f aca="false">IF(E482&lt;=0,"Z",IF(G482&lt;=Parametros!$B$6,"X",IF(G482&lt;=Parametros!$B$7,"Y","Z")))</f>
        <v>Z</v>
      </c>
      <c r="L482" s="3" t="str">
        <f aca="false">J482&amp;K482</f>
        <v>CZ</v>
      </c>
      <c r="M482" s="3" t="str">
        <f aca="false">INDEX(Parametros!$B$23:$B$31,MATCH(L482,Parametros!$A$23:$A$31,0))</f>
        <v>Contra pedido o stock mínimo. Candidato a racionalizar/descontinuar.</v>
      </c>
      <c r="N482" s="3" t="str">
        <f aca="false">INDEX(Parametros!$C$23:$C$31,MATCH(L482,Parametros!$A$23:$A$31,0))</f>
        <v>Mensual</v>
      </c>
      <c r="O482" s="23" t="n">
        <f aca="false">SUM(Datos_Semanales!M482:R482)</f>
        <v>0</v>
      </c>
      <c r="P482" s="24" t="str">
        <f aca="false">IF(D482&gt;0,SUMPRODUCT(ABS(Datos_Semanales!F482:K482-Datos_Semanales!M482:R482))/D482,"")</f>
        <v/>
      </c>
      <c r="Q482" s="24" t="str">
        <f aca="false">IF(D482&gt;0,O482/D482-1,"")</f>
        <v/>
      </c>
      <c r="R482" s="23" t="n">
        <f aca="false">SQRT(SUMXMY2(Datos_Semanales!F482:K482,Datos_Semanales!M482:R482)/COUNT(Datos_Semanales!F482:K482))</f>
        <v>0</v>
      </c>
    </row>
    <row r="483" customFormat="false" ht="15" hidden="false" customHeight="false" outlineLevel="0" collapsed="false">
      <c r="A483" s="18" t="n">
        <f aca="false">Datos_Semanales!A483</f>
        <v>30001280</v>
      </c>
      <c r="B483" s="18" t="str">
        <f aca="false">Datos_Semanales!B483</f>
        <v>PROT SHOT VAINILLA BOT 6X900ML</v>
      </c>
      <c r="C483" s="18" t="str">
        <f aca="false">Datos_Semanales!C483</f>
        <v>-</v>
      </c>
      <c r="D483" s="23" t="n">
        <f aca="false">SUM(Datos_Semanales!F483:K483)</f>
        <v>0</v>
      </c>
      <c r="E483" s="23" t="n">
        <f aca="false">AVERAGE(Datos_Semanales!F483:K483)</f>
        <v>0</v>
      </c>
      <c r="F483" s="23" t="n">
        <f aca="false">STDEV(Datos_Semanales!F483:K483)</f>
        <v>0</v>
      </c>
      <c r="G483" s="27" t="str">
        <f aca="false">IF(E483&gt;0,F483/E483,"")</f>
        <v/>
      </c>
      <c r="H483" s="24" t="n">
        <f aca="false">IF(SUM($D$5:$D$494)&gt;0,D483/SUM($D$5:$D$494),0)</f>
        <v>0</v>
      </c>
      <c r="I483" s="24" t="n">
        <f aca="false">SUMIF($D$5:$D$494,"&gt;="&amp;D483)/SUM($D$5:$D$494)</f>
        <v>1</v>
      </c>
      <c r="J483" s="3" t="str">
        <f aca="false">IF(D483&lt;=0,"C",IF(I483&lt;=Parametros!$B$4,"A",IF(I483&lt;=Parametros!$B$5,"B","C")))</f>
        <v>C</v>
      </c>
      <c r="K483" s="3" t="str">
        <f aca="false">IF(E483&lt;=0,"Z",IF(G483&lt;=Parametros!$B$6,"X",IF(G483&lt;=Parametros!$B$7,"Y","Z")))</f>
        <v>Z</v>
      </c>
      <c r="L483" s="3" t="str">
        <f aca="false">J483&amp;K483</f>
        <v>CZ</v>
      </c>
      <c r="M483" s="3" t="str">
        <f aca="false">INDEX(Parametros!$B$23:$B$31,MATCH(L483,Parametros!$A$23:$A$31,0))</f>
        <v>Contra pedido o stock mínimo. Candidato a racionalizar/descontinuar.</v>
      </c>
      <c r="N483" s="3" t="str">
        <f aca="false">INDEX(Parametros!$C$23:$C$31,MATCH(L483,Parametros!$A$23:$A$31,0))</f>
        <v>Mensual</v>
      </c>
      <c r="O483" s="23" t="n">
        <f aca="false">SUM(Datos_Semanales!M483:R483)</f>
        <v>0</v>
      </c>
      <c r="P483" s="24" t="str">
        <f aca="false">IF(D483&gt;0,SUMPRODUCT(ABS(Datos_Semanales!F483:K483-Datos_Semanales!M483:R483))/D483,"")</f>
        <v/>
      </c>
      <c r="Q483" s="24" t="str">
        <f aca="false">IF(D483&gt;0,O483/D483-1,"")</f>
        <v/>
      </c>
      <c r="R483" s="23" t="n">
        <f aca="false">SQRT(SUMXMY2(Datos_Semanales!F483:K483,Datos_Semanales!M483:R483)/COUNT(Datos_Semanales!F483:K483))</f>
        <v>0</v>
      </c>
    </row>
    <row r="484" customFormat="false" ht="15" hidden="false" customHeight="false" outlineLevel="0" collapsed="false">
      <c r="A484" s="18" t="n">
        <f aca="false">Datos_Semanales!A484</f>
        <v>30001087</v>
      </c>
      <c r="B484" s="18" t="str">
        <f aca="false">Datos_Semanales!B484</f>
        <v>YOG GRI CELEST TIRAMISU 24X140GR</v>
      </c>
      <c r="C484" s="18" t="str">
        <f aca="false">Datos_Semanales!C484</f>
        <v>YOGURT</v>
      </c>
      <c r="D484" s="23" t="n">
        <f aca="false">SUM(Datos_Semanales!F484:K484)</f>
        <v>0</v>
      </c>
      <c r="E484" s="23" t="n">
        <f aca="false">AVERAGE(Datos_Semanales!F484:K484)</f>
        <v>0</v>
      </c>
      <c r="F484" s="23" t="n">
        <f aca="false">STDEV(Datos_Semanales!F484:K484)</f>
        <v>0</v>
      </c>
      <c r="G484" s="27" t="str">
        <f aca="false">IF(E484&gt;0,F484/E484,"")</f>
        <v/>
      </c>
      <c r="H484" s="24" t="n">
        <f aca="false">IF(SUM($D$5:$D$494)&gt;0,D484/SUM($D$5:$D$494),0)</f>
        <v>0</v>
      </c>
      <c r="I484" s="24" t="n">
        <f aca="false">SUMIF($D$5:$D$494,"&gt;="&amp;D484)/SUM($D$5:$D$494)</f>
        <v>1</v>
      </c>
      <c r="J484" s="3" t="str">
        <f aca="false">IF(D484&lt;=0,"C",IF(I484&lt;=Parametros!$B$4,"A",IF(I484&lt;=Parametros!$B$5,"B","C")))</f>
        <v>C</v>
      </c>
      <c r="K484" s="3" t="str">
        <f aca="false">IF(E484&lt;=0,"Z",IF(G484&lt;=Parametros!$B$6,"X",IF(G484&lt;=Parametros!$B$7,"Y","Z")))</f>
        <v>Z</v>
      </c>
      <c r="L484" s="3" t="str">
        <f aca="false">J484&amp;K484</f>
        <v>CZ</v>
      </c>
      <c r="M484" s="3" t="str">
        <f aca="false">INDEX(Parametros!$B$23:$B$31,MATCH(L484,Parametros!$A$23:$A$31,0))</f>
        <v>Contra pedido o stock mínimo. Candidato a racionalizar/descontinuar.</v>
      </c>
      <c r="N484" s="3" t="str">
        <f aca="false">INDEX(Parametros!$C$23:$C$31,MATCH(L484,Parametros!$A$23:$A$31,0))</f>
        <v>Mensual</v>
      </c>
      <c r="O484" s="23" t="n">
        <f aca="false">SUM(Datos_Semanales!M484:R484)</f>
        <v>0</v>
      </c>
      <c r="P484" s="24" t="str">
        <f aca="false">IF(D484&gt;0,SUMPRODUCT(ABS(Datos_Semanales!F484:K484-Datos_Semanales!M484:R484))/D484,"")</f>
        <v/>
      </c>
      <c r="Q484" s="24" t="str">
        <f aca="false">IF(D484&gt;0,O484/D484-1,"")</f>
        <v/>
      </c>
      <c r="R484" s="23" t="n">
        <f aca="false">SQRT(SUMXMY2(Datos_Semanales!F484:K484,Datos_Semanales!M484:R484)/COUNT(Datos_Semanales!F484:K484))</f>
        <v>0</v>
      </c>
    </row>
    <row r="485" customFormat="false" ht="15" hidden="false" customHeight="false" outlineLevel="0" collapsed="false">
      <c r="A485" s="18" t="n">
        <f aca="false">Datos_Semanales!A485</f>
        <v>30001150</v>
      </c>
      <c r="B485" s="18" t="str">
        <f aca="false">Datos_Semanales!B485</f>
        <v>CALO CRECER +1 BL 6X1,5KG</v>
      </c>
      <c r="C485" s="18" t="str">
        <f aca="false">Datos_Semanales!C485</f>
        <v>LECHES EN POLVO</v>
      </c>
      <c r="D485" s="23" t="n">
        <f aca="false">SUM(Datos_Semanales!F485:K485)</f>
        <v>0</v>
      </c>
      <c r="E485" s="23" t="n">
        <f aca="false">AVERAGE(Datos_Semanales!F485:K485)</f>
        <v>0</v>
      </c>
      <c r="F485" s="23" t="n">
        <f aca="false">STDEV(Datos_Semanales!F485:K485)</f>
        <v>0</v>
      </c>
      <c r="G485" s="27" t="str">
        <f aca="false">IF(E485&gt;0,F485/E485,"")</f>
        <v/>
      </c>
      <c r="H485" s="24" t="n">
        <f aca="false">IF(SUM($D$5:$D$494)&gt;0,D485/SUM($D$5:$D$494),0)</f>
        <v>0</v>
      </c>
      <c r="I485" s="24" t="n">
        <f aca="false">SUMIF($D$5:$D$494,"&gt;="&amp;D485)/SUM($D$5:$D$494)</f>
        <v>1</v>
      </c>
      <c r="J485" s="3" t="str">
        <f aca="false">IF(D485&lt;=0,"C",IF(I485&lt;=Parametros!$B$4,"A",IF(I485&lt;=Parametros!$B$5,"B","C")))</f>
        <v>C</v>
      </c>
      <c r="K485" s="3" t="str">
        <f aca="false">IF(E485&lt;=0,"Z",IF(G485&lt;=Parametros!$B$6,"X",IF(G485&lt;=Parametros!$B$7,"Y","Z")))</f>
        <v>Z</v>
      </c>
      <c r="L485" s="3" t="str">
        <f aca="false">J485&amp;K485</f>
        <v>CZ</v>
      </c>
      <c r="M485" s="3" t="str">
        <f aca="false">INDEX(Parametros!$B$23:$B$31,MATCH(L485,Parametros!$A$23:$A$31,0))</f>
        <v>Contra pedido o stock mínimo. Candidato a racionalizar/descontinuar.</v>
      </c>
      <c r="N485" s="3" t="str">
        <f aca="false">INDEX(Parametros!$C$23:$C$31,MATCH(L485,Parametros!$A$23:$A$31,0))</f>
        <v>Mensual</v>
      </c>
      <c r="O485" s="23" t="n">
        <f aca="false">SUM(Datos_Semanales!M485:R485)</f>
        <v>0</v>
      </c>
      <c r="P485" s="24" t="str">
        <f aca="false">IF(D485&gt;0,SUMPRODUCT(ABS(Datos_Semanales!F485:K485-Datos_Semanales!M485:R485))/D485,"")</f>
        <v/>
      </c>
      <c r="Q485" s="24" t="str">
        <f aca="false">IF(D485&gt;0,O485/D485-1,"")</f>
        <v/>
      </c>
      <c r="R485" s="23" t="n">
        <f aca="false">SQRT(SUMXMY2(Datos_Semanales!F485:K485,Datos_Semanales!M485:R485)/COUNT(Datos_Semanales!F485:K485))</f>
        <v>0</v>
      </c>
    </row>
    <row r="486" customFormat="false" ht="15" hidden="false" customHeight="false" outlineLevel="0" collapsed="false">
      <c r="A486" s="18" t="n">
        <f aca="false">Datos_Semanales!A486</f>
        <v>30001151</v>
      </c>
      <c r="B486" s="18" t="str">
        <f aca="false">Datos_Semanales!B486</f>
        <v>LENTEJAS NEGRAS WASIL 16X380GR</v>
      </c>
      <c r="C486" s="18" t="str">
        <f aca="false">Datos_Semanales!C486</f>
        <v>CONSERVAS Y PLATOS LISTOS</v>
      </c>
      <c r="D486" s="23" t="n">
        <f aca="false">SUM(Datos_Semanales!F486:K486)</f>
        <v>0</v>
      </c>
      <c r="E486" s="23" t="n">
        <f aca="false">AVERAGE(Datos_Semanales!F486:K486)</f>
        <v>0</v>
      </c>
      <c r="F486" s="23" t="n">
        <f aca="false">STDEV(Datos_Semanales!F486:K486)</f>
        <v>0</v>
      </c>
      <c r="G486" s="27" t="str">
        <f aca="false">IF(E486&gt;0,F486/E486,"")</f>
        <v/>
      </c>
      <c r="H486" s="24" t="n">
        <f aca="false">IF(SUM($D$5:$D$494)&gt;0,D486/SUM($D$5:$D$494),0)</f>
        <v>0</v>
      </c>
      <c r="I486" s="24" t="n">
        <f aca="false">SUMIF($D$5:$D$494,"&gt;="&amp;D486)/SUM($D$5:$D$494)</f>
        <v>1</v>
      </c>
      <c r="J486" s="3" t="str">
        <f aca="false">IF(D486&lt;=0,"C",IF(I486&lt;=Parametros!$B$4,"A",IF(I486&lt;=Parametros!$B$5,"B","C")))</f>
        <v>C</v>
      </c>
      <c r="K486" s="3" t="str">
        <f aca="false">IF(E486&lt;=0,"Z",IF(G486&lt;=Parametros!$B$6,"X",IF(G486&lt;=Parametros!$B$7,"Y","Z")))</f>
        <v>Z</v>
      </c>
      <c r="L486" s="3" t="str">
        <f aca="false">J486&amp;K486</f>
        <v>CZ</v>
      </c>
      <c r="M486" s="3" t="str">
        <f aca="false">INDEX(Parametros!$B$23:$B$31,MATCH(L486,Parametros!$A$23:$A$31,0))</f>
        <v>Contra pedido o stock mínimo. Candidato a racionalizar/descontinuar.</v>
      </c>
      <c r="N486" s="3" t="str">
        <f aca="false">INDEX(Parametros!$C$23:$C$31,MATCH(L486,Parametros!$A$23:$A$31,0))</f>
        <v>Mensual</v>
      </c>
      <c r="O486" s="23" t="n">
        <f aca="false">SUM(Datos_Semanales!M486:R486)</f>
        <v>0</v>
      </c>
      <c r="P486" s="24" t="str">
        <f aca="false">IF(D486&gt;0,SUMPRODUCT(ABS(Datos_Semanales!F486:K486-Datos_Semanales!M486:R486))/D486,"")</f>
        <v/>
      </c>
      <c r="Q486" s="24" t="str">
        <f aca="false">IF(D486&gt;0,O486/D486-1,"")</f>
        <v/>
      </c>
      <c r="R486" s="23" t="n">
        <f aca="false">SQRT(SUMXMY2(Datos_Semanales!F486:K486,Datos_Semanales!M486:R486)/COUNT(Datos_Semanales!F486:K486))</f>
        <v>0</v>
      </c>
    </row>
    <row r="487" customFormat="false" ht="15" hidden="false" customHeight="false" outlineLevel="0" collapsed="false">
      <c r="A487" s="18" t="n">
        <f aca="false">Datos_Semanales!A487</f>
        <v>30001981</v>
      </c>
      <c r="B487" s="18" t="str">
        <f aca="false">Datos_Semanales!B487</f>
        <v>YOGURT OIKOS SABOR MIEL 48X110G</v>
      </c>
      <c r="C487" s="18" t="str">
        <f aca="false">Datos_Semanales!C487</f>
        <v>YOGURT</v>
      </c>
      <c r="D487" s="23" t="n">
        <f aca="false">SUM(Datos_Semanales!F487:K487)</f>
        <v>0</v>
      </c>
      <c r="E487" s="23" t="n">
        <f aca="false">AVERAGE(Datos_Semanales!F487:K487)</f>
        <v>0</v>
      </c>
      <c r="F487" s="23" t="n">
        <f aca="false">STDEV(Datos_Semanales!F487:K487)</f>
        <v>0</v>
      </c>
      <c r="G487" s="27" t="str">
        <f aca="false">IF(E487&gt;0,F487/E487,"")</f>
        <v/>
      </c>
      <c r="H487" s="24" t="n">
        <f aca="false">IF(SUM($D$5:$D$494)&gt;0,D487/SUM($D$5:$D$494),0)</f>
        <v>0</v>
      </c>
      <c r="I487" s="24" t="n">
        <f aca="false">SUMIF($D$5:$D$494,"&gt;="&amp;D487)/SUM($D$5:$D$494)</f>
        <v>1</v>
      </c>
      <c r="J487" s="3" t="str">
        <f aca="false">IF(D487&lt;=0,"C",IF(I487&lt;=Parametros!$B$4,"A",IF(I487&lt;=Parametros!$B$5,"B","C")))</f>
        <v>C</v>
      </c>
      <c r="K487" s="3" t="str">
        <f aca="false">IF(E487&lt;=0,"Z",IF(G487&lt;=Parametros!$B$6,"X",IF(G487&lt;=Parametros!$B$7,"Y","Z")))</f>
        <v>Z</v>
      </c>
      <c r="L487" s="3" t="str">
        <f aca="false">J487&amp;K487</f>
        <v>CZ</v>
      </c>
      <c r="M487" s="3" t="str">
        <f aca="false">INDEX(Parametros!$B$23:$B$31,MATCH(L487,Parametros!$A$23:$A$31,0))</f>
        <v>Contra pedido o stock mínimo. Candidato a racionalizar/descontinuar.</v>
      </c>
      <c r="N487" s="3" t="str">
        <f aca="false">INDEX(Parametros!$C$23:$C$31,MATCH(L487,Parametros!$A$23:$A$31,0))</f>
        <v>Mensual</v>
      </c>
      <c r="O487" s="23" t="n">
        <f aca="false">SUM(Datos_Semanales!M487:R487)</f>
        <v>0</v>
      </c>
      <c r="P487" s="24" t="str">
        <f aca="false">IF(D487&gt;0,SUMPRODUCT(ABS(Datos_Semanales!F487:K487-Datos_Semanales!M487:R487))/D487,"")</f>
        <v/>
      </c>
      <c r="Q487" s="24" t="str">
        <f aca="false">IF(D487&gt;0,O487/D487-1,"")</f>
        <v/>
      </c>
      <c r="R487" s="23" t="n">
        <f aca="false">SQRT(SUMXMY2(Datos_Semanales!F487:K487,Datos_Semanales!M487:R487)/COUNT(Datos_Semanales!F487:K487))</f>
        <v>0</v>
      </c>
    </row>
    <row r="488" customFormat="false" ht="15" hidden="false" customHeight="false" outlineLevel="0" collapsed="false">
      <c r="A488" s="18" t="n">
        <f aca="false">Datos_Semanales!A488</f>
        <v>30001973</v>
      </c>
      <c r="B488" s="18" t="str">
        <f aca="false">Datos_Semanales!B488</f>
        <v>BEBIDA LONCOLECHE AVENA CHOCOLATE 6X1LT</v>
      </c>
      <c r="C488" s="18" t="str">
        <f aca="false">Datos_Semanales!C488</f>
        <v>LECHES LIQUIDAS</v>
      </c>
      <c r="D488" s="23" t="n">
        <f aca="false">SUM(Datos_Semanales!F488:K488)</f>
        <v>0</v>
      </c>
      <c r="E488" s="23" t="n">
        <f aca="false">AVERAGE(Datos_Semanales!F488:K488)</f>
        <v>0</v>
      </c>
      <c r="F488" s="23" t="n">
        <f aca="false">STDEV(Datos_Semanales!F488:K488)</f>
        <v>0</v>
      </c>
      <c r="G488" s="27" t="str">
        <f aca="false">IF(E488&gt;0,F488/E488,"")</f>
        <v/>
      </c>
      <c r="H488" s="24" t="n">
        <f aca="false">IF(SUM($D$5:$D$494)&gt;0,D488/SUM($D$5:$D$494),0)</f>
        <v>0</v>
      </c>
      <c r="I488" s="24" t="n">
        <f aca="false">SUMIF($D$5:$D$494,"&gt;="&amp;D488)/SUM($D$5:$D$494)</f>
        <v>1</v>
      </c>
      <c r="J488" s="3" t="str">
        <f aca="false">IF(D488&lt;=0,"C",IF(I488&lt;=Parametros!$B$4,"A",IF(I488&lt;=Parametros!$B$5,"B","C")))</f>
        <v>C</v>
      </c>
      <c r="K488" s="3" t="str">
        <f aca="false">IF(E488&lt;=0,"Z",IF(G488&lt;=Parametros!$B$6,"X",IF(G488&lt;=Parametros!$B$7,"Y","Z")))</f>
        <v>Z</v>
      </c>
      <c r="L488" s="3" t="str">
        <f aca="false">J488&amp;K488</f>
        <v>CZ</v>
      </c>
      <c r="M488" s="3" t="str">
        <f aca="false">INDEX(Parametros!$B$23:$B$31,MATCH(L488,Parametros!$A$23:$A$31,0))</f>
        <v>Contra pedido o stock mínimo. Candidato a racionalizar/descontinuar.</v>
      </c>
      <c r="N488" s="3" t="str">
        <f aca="false">INDEX(Parametros!$C$23:$C$31,MATCH(L488,Parametros!$A$23:$A$31,0))</f>
        <v>Mensual</v>
      </c>
      <c r="O488" s="23" t="n">
        <f aca="false">SUM(Datos_Semanales!M488:R488)</f>
        <v>241.791666666667</v>
      </c>
      <c r="P488" s="24" t="str">
        <f aca="false">IF(D488&gt;0,SUMPRODUCT(ABS(Datos_Semanales!F488:K488-Datos_Semanales!M488:R488))/D488,"")</f>
        <v/>
      </c>
      <c r="Q488" s="24" t="str">
        <f aca="false">IF(D488&gt;0,O488/D488-1,"")</f>
        <v/>
      </c>
      <c r="R488" s="23" t="n">
        <f aca="false">SQRT(SUMXMY2(Datos_Semanales!F488:K488,Datos_Semanales!M488:R488)/COUNT(Datos_Semanales!F488:K488))</f>
        <v>51.5375430623871</v>
      </c>
    </row>
    <row r="489" customFormat="false" ht="15" hidden="false" customHeight="false" outlineLevel="0" collapsed="false">
      <c r="A489" s="18" t="n">
        <f aca="false">Datos_Semanales!A489</f>
        <v>30001063</v>
      </c>
      <c r="B489" s="18" t="str">
        <f aca="false">Datos_Semanales!B489</f>
        <v>LONCO VEGETAL SOYA FRUTILLA 24X140GR</v>
      </c>
      <c r="C489" s="18" t="str">
        <f aca="false">Datos_Semanales!C489</f>
        <v>YOGURT</v>
      </c>
      <c r="D489" s="23" t="n">
        <f aca="false">SUM(Datos_Semanales!F489:K489)</f>
        <v>0</v>
      </c>
      <c r="E489" s="23" t="n">
        <f aca="false">AVERAGE(Datos_Semanales!F489:K489)</f>
        <v>0</v>
      </c>
      <c r="F489" s="23" t="n">
        <f aca="false">STDEV(Datos_Semanales!F489:K489)</f>
        <v>0</v>
      </c>
      <c r="G489" s="27" t="str">
        <f aca="false">IF(E489&gt;0,F489/E489,"")</f>
        <v/>
      </c>
      <c r="H489" s="24" t="n">
        <f aca="false">IF(SUM($D$5:$D$494)&gt;0,D489/SUM($D$5:$D$494),0)</f>
        <v>0</v>
      </c>
      <c r="I489" s="24" t="n">
        <f aca="false">SUMIF($D$5:$D$494,"&gt;="&amp;D489)/SUM($D$5:$D$494)</f>
        <v>1</v>
      </c>
      <c r="J489" s="3" t="str">
        <f aca="false">IF(D489&lt;=0,"C",IF(I489&lt;=Parametros!$B$4,"A",IF(I489&lt;=Parametros!$B$5,"B","C")))</f>
        <v>C</v>
      </c>
      <c r="K489" s="3" t="str">
        <f aca="false">IF(E489&lt;=0,"Z",IF(G489&lt;=Parametros!$B$6,"X",IF(G489&lt;=Parametros!$B$7,"Y","Z")))</f>
        <v>Z</v>
      </c>
      <c r="L489" s="3" t="str">
        <f aca="false">J489&amp;K489</f>
        <v>CZ</v>
      </c>
      <c r="M489" s="3" t="str">
        <f aca="false">INDEX(Parametros!$B$23:$B$31,MATCH(L489,Parametros!$A$23:$A$31,0))</f>
        <v>Contra pedido o stock mínimo. Candidato a racionalizar/descontinuar.</v>
      </c>
      <c r="N489" s="3" t="str">
        <f aca="false">INDEX(Parametros!$C$23:$C$31,MATCH(L489,Parametros!$A$23:$A$31,0))</f>
        <v>Mensual</v>
      </c>
      <c r="O489" s="23" t="n">
        <f aca="false">SUM(Datos_Semanales!M489:R489)</f>
        <v>0</v>
      </c>
      <c r="P489" s="24" t="str">
        <f aca="false">IF(D489&gt;0,SUMPRODUCT(ABS(Datos_Semanales!F489:K489-Datos_Semanales!M489:R489))/D489,"")</f>
        <v/>
      </c>
      <c r="Q489" s="24" t="str">
        <f aca="false">IF(D489&gt;0,O489/D489-1,"")</f>
        <v/>
      </c>
      <c r="R489" s="23" t="n">
        <f aca="false">SQRT(SUMXMY2(Datos_Semanales!F489:K489,Datos_Semanales!M489:R489)/COUNT(Datos_Semanales!F489:K489))</f>
        <v>0</v>
      </c>
    </row>
    <row r="490" customFormat="false" ht="15" hidden="false" customHeight="false" outlineLevel="0" collapsed="false">
      <c r="A490" s="18" t="n">
        <f aca="false">Datos_Semanales!A490</f>
        <v>30001064</v>
      </c>
      <c r="B490" s="18" t="str">
        <f aca="false">Datos_Semanales!B490</f>
        <v>LONCO VEGETAL SOYA MGO MCYA 24X140GR</v>
      </c>
      <c r="C490" s="18" t="str">
        <f aca="false">Datos_Semanales!C490</f>
        <v>YOGURT</v>
      </c>
      <c r="D490" s="23" t="n">
        <f aca="false">SUM(Datos_Semanales!F490:K490)</f>
        <v>0</v>
      </c>
      <c r="E490" s="23" t="n">
        <f aca="false">AVERAGE(Datos_Semanales!F490:K490)</f>
        <v>0</v>
      </c>
      <c r="F490" s="23" t="n">
        <f aca="false">STDEV(Datos_Semanales!F490:K490)</f>
        <v>0</v>
      </c>
      <c r="G490" s="27" t="str">
        <f aca="false">IF(E490&gt;0,F490/E490,"")</f>
        <v/>
      </c>
      <c r="H490" s="24" t="n">
        <f aca="false">IF(SUM($D$5:$D$494)&gt;0,D490/SUM($D$5:$D$494),0)</f>
        <v>0</v>
      </c>
      <c r="I490" s="24" t="n">
        <f aca="false">SUMIF($D$5:$D$494,"&gt;="&amp;D490)/SUM($D$5:$D$494)</f>
        <v>1</v>
      </c>
      <c r="J490" s="3" t="str">
        <f aca="false">IF(D490&lt;=0,"C",IF(I490&lt;=Parametros!$B$4,"A",IF(I490&lt;=Parametros!$B$5,"B","C")))</f>
        <v>C</v>
      </c>
      <c r="K490" s="3" t="str">
        <f aca="false">IF(E490&lt;=0,"Z",IF(G490&lt;=Parametros!$B$6,"X",IF(G490&lt;=Parametros!$B$7,"Y","Z")))</f>
        <v>Z</v>
      </c>
      <c r="L490" s="3" t="str">
        <f aca="false">J490&amp;K490</f>
        <v>CZ</v>
      </c>
      <c r="M490" s="3" t="str">
        <f aca="false">INDEX(Parametros!$B$23:$B$31,MATCH(L490,Parametros!$A$23:$A$31,0))</f>
        <v>Contra pedido o stock mínimo. Candidato a racionalizar/descontinuar.</v>
      </c>
      <c r="N490" s="3" t="str">
        <f aca="false">INDEX(Parametros!$C$23:$C$31,MATCH(L490,Parametros!$A$23:$A$31,0))</f>
        <v>Mensual</v>
      </c>
      <c r="O490" s="23" t="n">
        <f aca="false">SUM(Datos_Semanales!M490:R490)</f>
        <v>0</v>
      </c>
      <c r="P490" s="24" t="str">
        <f aca="false">IF(D490&gt;0,SUMPRODUCT(ABS(Datos_Semanales!F490:K490-Datos_Semanales!M490:R490))/D490,"")</f>
        <v/>
      </c>
      <c r="Q490" s="24" t="str">
        <f aca="false">IF(D490&gt;0,O490/D490-1,"")</f>
        <v/>
      </c>
      <c r="R490" s="23" t="n">
        <f aca="false">SQRT(SUMXMY2(Datos_Semanales!F490:K490,Datos_Semanales!M490:R490)/COUNT(Datos_Semanales!F490:K490))</f>
        <v>0</v>
      </c>
    </row>
    <row r="491" customFormat="false" ht="15" hidden="false" customHeight="false" outlineLevel="0" collapsed="false">
      <c r="A491" s="18" t="n">
        <f aca="false">Datos_Semanales!A491</f>
        <v>30001044</v>
      </c>
      <c r="B491" s="18" t="str">
        <f aca="false">Datos_Semanales!B491</f>
        <v>YOG CALAN DAMASCO UNIV 48X110GR</v>
      </c>
      <c r="C491" s="18" t="str">
        <f aca="false">Datos_Semanales!C491</f>
        <v>YOGURT</v>
      </c>
      <c r="D491" s="23" t="n">
        <f aca="false">SUM(Datos_Semanales!F491:K491)</f>
        <v>0</v>
      </c>
      <c r="E491" s="23" t="n">
        <f aca="false">AVERAGE(Datos_Semanales!F491:K491)</f>
        <v>0</v>
      </c>
      <c r="F491" s="23" t="n">
        <f aca="false">STDEV(Datos_Semanales!F491:K491)</f>
        <v>0</v>
      </c>
      <c r="G491" s="27" t="str">
        <f aca="false">IF(E491&gt;0,F491/E491,"")</f>
        <v/>
      </c>
      <c r="H491" s="24" t="n">
        <f aca="false">IF(SUM($D$5:$D$494)&gt;0,D491/SUM($D$5:$D$494),0)</f>
        <v>0</v>
      </c>
      <c r="I491" s="24" t="n">
        <f aca="false">SUMIF($D$5:$D$494,"&gt;="&amp;D491)/SUM($D$5:$D$494)</f>
        <v>1</v>
      </c>
      <c r="J491" s="3" t="str">
        <f aca="false">IF(D491&lt;=0,"C",IF(I491&lt;=Parametros!$B$4,"A",IF(I491&lt;=Parametros!$B$5,"B","C")))</f>
        <v>C</v>
      </c>
      <c r="K491" s="3" t="str">
        <f aca="false">IF(E491&lt;=0,"Z",IF(G491&lt;=Parametros!$B$6,"X",IF(G491&lt;=Parametros!$B$7,"Y","Z")))</f>
        <v>Z</v>
      </c>
      <c r="L491" s="3" t="str">
        <f aca="false">J491&amp;K491</f>
        <v>CZ</v>
      </c>
      <c r="M491" s="3" t="str">
        <f aca="false">INDEX(Parametros!$B$23:$B$31,MATCH(L491,Parametros!$A$23:$A$31,0))</f>
        <v>Contra pedido o stock mínimo. Candidato a racionalizar/descontinuar.</v>
      </c>
      <c r="N491" s="3" t="str">
        <f aca="false">INDEX(Parametros!$C$23:$C$31,MATCH(L491,Parametros!$A$23:$A$31,0))</f>
        <v>Mensual</v>
      </c>
      <c r="O491" s="23" t="n">
        <f aca="false">SUM(Datos_Semanales!M491:R491)</f>
        <v>0</v>
      </c>
      <c r="P491" s="24" t="str">
        <f aca="false">IF(D491&gt;0,SUMPRODUCT(ABS(Datos_Semanales!F491:K491-Datos_Semanales!M491:R491))/D491,"")</f>
        <v/>
      </c>
      <c r="Q491" s="24" t="str">
        <f aca="false">IF(D491&gt;0,O491/D491-1,"")</f>
        <v/>
      </c>
      <c r="R491" s="23" t="n">
        <f aca="false">SQRT(SUMXMY2(Datos_Semanales!F491:K491,Datos_Semanales!M491:R491)/COUNT(Datos_Semanales!F491:K491))</f>
        <v>0</v>
      </c>
    </row>
    <row r="492" customFormat="false" ht="15" hidden="false" customHeight="false" outlineLevel="0" collapsed="false">
      <c r="A492" s="18" t="n">
        <f aca="false">Datos_Semanales!A492</f>
        <v>30000170</v>
      </c>
      <c r="B492" s="18" t="str">
        <f aca="false">Datos_Semanales!B492</f>
        <v>MERM W S/A SACH ALCAYOTA 24X200GR</v>
      </c>
      <c r="C492" s="18" t="str">
        <f aca="false">Datos_Semanales!C492</f>
        <v>MERMELADAS</v>
      </c>
      <c r="D492" s="23" t="n">
        <f aca="false">SUM(Datos_Semanales!F492:K492)</f>
        <v>0</v>
      </c>
      <c r="E492" s="23" t="n">
        <f aca="false">AVERAGE(Datos_Semanales!F492:K492)</f>
        <v>0</v>
      </c>
      <c r="F492" s="23" t="n">
        <f aca="false">STDEV(Datos_Semanales!F492:K492)</f>
        <v>0</v>
      </c>
      <c r="G492" s="27" t="str">
        <f aca="false">IF(E492&gt;0,F492/E492,"")</f>
        <v/>
      </c>
      <c r="H492" s="24" t="n">
        <f aca="false">IF(SUM($D$5:$D$494)&gt;0,D492/SUM($D$5:$D$494),0)</f>
        <v>0</v>
      </c>
      <c r="I492" s="24" t="n">
        <f aca="false">SUMIF($D$5:$D$494,"&gt;="&amp;D492)/SUM($D$5:$D$494)</f>
        <v>1</v>
      </c>
      <c r="J492" s="3" t="str">
        <f aca="false">IF(D492&lt;=0,"C",IF(I492&lt;=Parametros!$B$4,"A",IF(I492&lt;=Parametros!$B$5,"B","C")))</f>
        <v>C</v>
      </c>
      <c r="K492" s="3" t="str">
        <f aca="false">IF(E492&lt;=0,"Z",IF(G492&lt;=Parametros!$B$6,"X",IF(G492&lt;=Parametros!$B$7,"Y","Z")))</f>
        <v>Z</v>
      </c>
      <c r="L492" s="3" t="str">
        <f aca="false">J492&amp;K492</f>
        <v>CZ</v>
      </c>
      <c r="M492" s="3" t="str">
        <f aca="false">INDEX(Parametros!$B$23:$B$31,MATCH(L492,Parametros!$A$23:$A$31,0))</f>
        <v>Contra pedido o stock mínimo. Candidato a racionalizar/descontinuar.</v>
      </c>
      <c r="N492" s="3" t="str">
        <f aca="false">INDEX(Parametros!$C$23:$C$31,MATCH(L492,Parametros!$A$23:$A$31,0))</f>
        <v>Mensual</v>
      </c>
      <c r="O492" s="23" t="n">
        <f aca="false">SUM(Datos_Semanales!M492:R492)</f>
        <v>0</v>
      </c>
      <c r="P492" s="24" t="str">
        <f aca="false">IF(D492&gt;0,SUMPRODUCT(ABS(Datos_Semanales!F492:K492-Datos_Semanales!M492:R492))/D492,"")</f>
        <v/>
      </c>
      <c r="Q492" s="24" t="str">
        <f aca="false">IF(D492&gt;0,O492/D492-1,"")</f>
        <v/>
      </c>
      <c r="R492" s="23" t="n">
        <f aca="false">SQRT(SUMXMY2(Datos_Semanales!F492:K492,Datos_Semanales!M492:R492)/COUNT(Datos_Semanales!F492:K492))</f>
        <v>0</v>
      </c>
    </row>
    <row r="493" customFormat="false" ht="15" hidden="false" customHeight="false" outlineLevel="0" collapsed="false">
      <c r="A493" s="18" t="n">
        <f aca="false">Datos_Semanales!A493</f>
        <v>30000152</v>
      </c>
      <c r="B493" s="18" t="str">
        <f aca="false">Datos_Semanales!B493</f>
        <v>MERMELADA FRUTILLA L L 24X250GR</v>
      </c>
      <c r="C493" s="18" t="str">
        <f aca="false">Datos_Semanales!C493</f>
        <v>MERMELADAS</v>
      </c>
      <c r="D493" s="23" t="n">
        <f aca="false">SUM(Datos_Semanales!F493:K493)</f>
        <v>0</v>
      </c>
      <c r="E493" s="23" t="n">
        <f aca="false">AVERAGE(Datos_Semanales!F493:K493)</f>
        <v>0</v>
      </c>
      <c r="F493" s="23" t="n">
        <f aca="false">STDEV(Datos_Semanales!F493:K493)</f>
        <v>0</v>
      </c>
      <c r="G493" s="27" t="str">
        <f aca="false">IF(E493&gt;0,F493/E493,"")</f>
        <v/>
      </c>
      <c r="H493" s="24" t="n">
        <f aca="false">IF(SUM($D$5:$D$494)&gt;0,D493/SUM($D$5:$D$494),0)</f>
        <v>0</v>
      </c>
      <c r="I493" s="24" t="n">
        <f aca="false">SUMIF($D$5:$D$494,"&gt;="&amp;D493)/SUM($D$5:$D$494)</f>
        <v>1</v>
      </c>
      <c r="J493" s="3" t="str">
        <f aca="false">IF(D493&lt;=0,"C",IF(I493&lt;=Parametros!$B$4,"A",IF(I493&lt;=Parametros!$B$5,"B","C")))</f>
        <v>C</v>
      </c>
      <c r="K493" s="3" t="str">
        <f aca="false">IF(E493&lt;=0,"Z",IF(G493&lt;=Parametros!$B$6,"X",IF(G493&lt;=Parametros!$B$7,"Y","Z")))</f>
        <v>Z</v>
      </c>
      <c r="L493" s="3" t="str">
        <f aca="false">J493&amp;K493</f>
        <v>CZ</v>
      </c>
      <c r="M493" s="3" t="str">
        <f aca="false">INDEX(Parametros!$B$23:$B$31,MATCH(L493,Parametros!$A$23:$A$31,0))</f>
        <v>Contra pedido o stock mínimo. Candidato a racionalizar/descontinuar.</v>
      </c>
      <c r="N493" s="3" t="str">
        <f aca="false">INDEX(Parametros!$C$23:$C$31,MATCH(L493,Parametros!$A$23:$A$31,0))</f>
        <v>Mensual</v>
      </c>
      <c r="O493" s="23" t="n">
        <f aca="false">SUM(Datos_Semanales!M493:R493)</f>
        <v>0</v>
      </c>
      <c r="P493" s="24" t="str">
        <f aca="false">IF(D493&gt;0,SUMPRODUCT(ABS(Datos_Semanales!F493:K493-Datos_Semanales!M493:R493))/D493,"")</f>
        <v/>
      </c>
      <c r="Q493" s="24" t="str">
        <f aca="false">IF(D493&gt;0,O493/D493-1,"")</f>
        <v/>
      </c>
      <c r="R493" s="23" t="n">
        <f aca="false">SQRT(SUMXMY2(Datos_Semanales!F493:K493,Datos_Semanales!M493:R493)/COUNT(Datos_Semanales!F493:K493))</f>
        <v>0</v>
      </c>
    </row>
    <row r="494" customFormat="false" ht="15" hidden="false" customHeight="false" outlineLevel="0" collapsed="false">
      <c r="A494" s="18" t="n">
        <f aca="false">Datos_Semanales!A494</f>
        <v>20000132</v>
      </c>
      <c r="B494" s="18" t="str">
        <f aca="false">Datos_Semanales!B494</f>
        <v>QUESO PESO VARIABLE</v>
      </c>
      <c r="C494" s="18" t="str">
        <f aca="false">Datos_Semanales!C494</f>
        <v>QUESOS</v>
      </c>
      <c r="D494" s="23" t="n">
        <f aca="false">SUM(Datos_Semanales!F494:K494)</f>
        <v>0</v>
      </c>
      <c r="E494" s="23" t="n">
        <f aca="false">AVERAGE(Datos_Semanales!F494:K494)</f>
        <v>0</v>
      </c>
      <c r="F494" s="23" t="n">
        <f aca="false">STDEV(Datos_Semanales!F494:K494)</f>
        <v>0</v>
      </c>
      <c r="G494" s="27" t="str">
        <f aca="false">IF(E494&gt;0,F494/E494,"")</f>
        <v/>
      </c>
      <c r="H494" s="24" t="n">
        <f aca="false">IF(SUM($D$5:$D$494)&gt;0,D494/SUM($D$5:$D$494),0)</f>
        <v>0</v>
      </c>
      <c r="I494" s="24" t="n">
        <f aca="false">SUMIF($D$5:$D$494,"&gt;="&amp;D494)/SUM($D$5:$D$494)</f>
        <v>1</v>
      </c>
      <c r="J494" s="3" t="str">
        <f aca="false">IF(D494&lt;=0,"C",IF(I494&lt;=Parametros!$B$4,"A",IF(I494&lt;=Parametros!$B$5,"B","C")))</f>
        <v>C</v>
      </c>
      <c r="K494" s="3" t="str">
        <f aca="false">IF(E494&lt;=0,"Z",IF(G494&lt;=Parametros!$B$6,"X",IF(G494&lt;=Parametros!$B$7,"Y","Z")))</f>
        <v>Z</v>
      </c>
      <c r="L494" s="3" t="str">
        <f aca="false">J494&amp;K494</f>
        <v>CZ</v>
      </c>
      <c r="M494" s="3" t="str">
        <f aca="false">INDEX(Parametros!$B$23:$B$31,MATCH(L494,Parametros!$A$23:$A$31,0))</f>
        <v>Contra pedido o stock mínimo. Candidato a racionalizar/descontinuar.</v>
      </c>
      <c r="N494" s="3" t="str">
        <f aca="false">INDEX(Parametros!$C$23:$C$31,MATCH(L494,Parametros!$A$23:$A$31,0))</f>
        <v>Mensual</v>
      </c>
      <c r="O494" s="23" t="n">
        <f aca="false">SUM(Datos_Semanales!M494:R494)</f>
        <v>0</v>
      </c>
      <c r="P494" s="24" t="str">
        <f aca="false">IF(D494&gt;0,SUMPRODUCT(ABS(Datos_Semanales!F494:K494-Datos_Semanales!M494:R494))/D494,"")</f>
        <v/>
      </c>
      <c r="Q494" s="24" t="str">
        <f aca="false">IF(D494&gt;0,O494/D494-1,"")</f>
        <v/>
      </c>
      <c r="R494" s="23" t="n">
        <f aca="false">SQRT(SUMXMY2(Datos_Semanales!F494:K494,Datos_Semanales!M494:R494)/COUNT(Datos_Semanales!F494:K494))</f>
        <v>0</v>
      </c>
    </row>
  </sheetData>
  <autoFilter ref="A4:R4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9"/>
    <col collapsed="false" customWidth="true" hidden="false" outlineLevel="0" max="24" min="24" style="0" width="19"/>
  </cols>
  <sheetData>
    <row r="1" customFormat="false" ht="17.35" hidden="false" customHeight="false" outlineLevel="0" collapsed="false">
      <c r="A1" s="1" t="s">
        <v>728</v>
      </c>
    </row>
    <row r="2" customFormat="false" ht="15" hidden="false" customHeight="false" outlineLevel="0" collapsed="false">
      <c r="A2" s="3" t="s">
        <v>729</v>
      </c>
    </row>
    <row r="4" customFormat="false" ht="42" hidden="false" customHeight="true" outlineLevel="0" collapsed="false">
      <c r="A4" s="14" t="s">
        <v>158</v>
      </c>
      <c r="B4" s="14" t="s">
        <v>159</v>
      </c>
      <c r="C4" s="14" t="s">
        <v>121</v>
      </c>
      <c r="D4" s="14" t="s">
        <v>730</v>
      </c>
      <c r="E4" s="14" t="s">
        <v>731</v>
      </c>
      <c r="F4" s="14" t="s">
        <v>94</v>
      </c>
      <c r="G4" s="14" t="s">
        <v>36</v>
      </c>
      <c r="H4" s="14" t="s">
        <v>722</v>
      </c>
      <c r="I4" s="14" t="s">
        <v>732</v>
      </c>
      <c r="J4" s="14" t="s">
        <v>733</v>
      </c>
      <c r="K4" s="14" t="s">
        <v>122</v>
      </c>
      <c r="L4" s="14" t="s">
        <v>734</v>
      </c>
      <c r="M4" s="14" t="s">
        <v>735</v>
      </c>
      <c r="N4" s="14" t="s">
        <v>736</v>
      </c>
      <c r="O4" s="14" t="s">
        <v>737</v>
      </c>
      <c r="P4" s="14" t="s">
        <v>738</v>
      </c>
      <c r="Q4" s="14" t="s">
        <v>739</v>
      </c>
      <c r="R4" s="14" t="s">
        <v>163</v>
      </c>
      <c r="S4" s="14" t="s">
        <v>740</v>
      </c>
      <c r="T4" s="14" t="s">
        <v>162</v>
      </c>
      <c r="U4" s="14" t="s">
        <v>165</v>
      </c>
      <c r="V4" s="14" t="s">
        <v>741</v>
      </c>
      <c r="W4" s="14" t="s">
        <v>161</v>
      </c>
      <c r="X4" s="14" t="s">
        <v>742</v>
      </c>
    </row>
    <row r="5" customFormat="false" ht="15" hidden="false" customHeight="false" outlineLevel="0" collapsed="false">
      <c r="A5" s="3" t="n">
        <v>30000522</v>
      </c>
      <c r="B5" s="3" t="s">
        <v>743</v>
      </c>
      <c r="C5" s="3" t="s">
        <v>139</v>
      </c>
      <c r="D5" s="3" t="s">
        <v>744</v>
      </c>
      <c r="E5" s="3" t="s">
        <v>745</v>
      </c>
      <c r="F5" s="3" t="str">
        <f aca="false">IFERROR(INDEX(ABC_XYZ!$L$5:$L$494,MATCH(A5,ABC_XYZ!$A$5:$A$494,0)),"SIN HIST")</f>
        <v>AX</v>
      </c>
      <c r="G5" s="24" t="n">
        <f aca="false">IF(LEFT(F5,1)="A",Parametros!$B$8,IF(LEFT(F5,1)="B",Parametros!$B$9,IF(LEFT(F5,1)="C",Parametros!$B$10,Parametros!$B$11)))</f>
        <v>0.98</v>
      </c>
      <c r="H5" s="27" t="n">
        <f aca="false">NORMSINV(G5)</f>
        <v>2.05374891063182</v>
      </c>
      <c r="I5" s="23" t="n">
        <v>327113.9</v>
      </c>
      <c r="J5" s="23" t="n">
        <f aca="false">IFERROR(INDEX(ABC_XYZ!$R$5:$R$494,MATCH(A5,ABC_XYZ!$A$5:$A$494,0)),I5*Parametros!$B$13)</f>
        <v>99257.3742298119</v>
      </c>
      <c r="K5" s="27" t="n">
        <f aca="false">IFERROR(VLOOKUP(C5,Parametros!$A$36:$B$66,2,FALSE()),Parametros!$B$12)</f>
        <v>1</v>
      </c>
      <c r="L5" s="23" t="n">
        <f aca="false">H5*J5*SQRT(K5)</f>
        <v>203849.724196651</v>
      </c>
      <c r="M5" s="29" t="n">
        <v>191</v>
      </c>
      <c r="N5" s="24" t="n">
        <v>0.18848167539267</v>
      </c>
      <c r="O5" s="3" t="s">
        <v>746</v>
      </c>
      <c r="P5" s="30" t="n">
        <f aca="false">IF(AND(ISNUMBER(M5),ISNUMBER(N5)),M5*N5/7,"")</f>
        <v>5.14285714285714</v>
      </c>
      <c r="Q5" s="23" t="n">
        <f aca="false">IF(ISNUMBER(P5),I5*P5,"")</f>
        <v>1682300.05714286</v>
      </c>
      <c r="R5" s="23" t="n">
        <f aca="false">IF(ISNUMBER(Q5),MAX(0,MIN(L5,Q5-I5*K5)),L5)</f>
        <v>203849.724196651</v>
      </c>
      <c r="S5" s="23" t="n">
        <f aca="false">R5+I5*K5</f>
        <v>530963.624196651</v>
      </c>
      <c r="T5" s="23" t="n">
        <v>276372</v>
      </c>
      <c r="U5" s="23" t="n">
        <v>268920</v>
      </c>
      <c r="V5" s="23" t="n">
        <f aca="false">T5+U5</f>
        <v>545292</v>
      </c>
      <c r="W5" s="30" t="n">
        <f aca="false">IF(I5&gt;0,V5/I5,"")</f>
        <v>1.66697899416686</v>
      </c>
      <c r="X5" s="3" t="str">
        <f aca="false">IF(I5&lt;=0,"SIN FCST",IF(V5&lt;R5,"BAJO SS",IF(T5&lt;R5,"BAJO SS (XLIB CUBRE)",IF(V5&lt;S5,"BAJO P.REORDEN",IF(AND(ISNUMBER(Q5),V5&gt;Q5),"SOBRE MAX VENDIBLE","OK")))))</f>
        <v>OK</v>
      </c>
    </row>
    <row r="6" customFormat="false" ht="15" hidden="false" customHeight="false" outlineLevel="0" collapsed="false">
      <c r="A6" s="3" t="n">
        <v>30000325</v>
      </c>
      <c r="B6" s="3" t="s">
        <v>747</v>
      </c>
      <c r="C6" s="3" t="s">
        <v>139</v>
      </c>
      <c r="D6" s="3" t="s">
        <v>744</v>
      </c>
      <c r="E6" s="3" t="s">
        <v>745</v>
      </c>
      <c r="F6" s="3" t="str">
        <f aca="false">IFERROR(INDEX(ABC_XYZ!$L$5:$L$494,MATCH(A6,ABC_XYZ!$A$5:$A$494,0)),"SIN HIST")</f>
        <v>AX</v>
      </c>
      <c r="G6" s="24" t="n">
        <f aca="false">IF(LEFT(F6,1)="A",Parametros!$B$8,IF(LEFT(F6,1)="B",Parametros!$B$9,IF(LEFT(F6,1)="C",Parametros!$B$10,Parametros!$B$11)))</f>
        <v>0.98</v>
      </c>
      <c r="H6" s="27" t="n">
        <f aca="false">NORMSINV(G6)</f>
        <v>2.05374891063182</v>
      </c>
      <c r="I6" s="23" t="n">
        <v>181789.7</v>
      </c>
      <c r="J6" s="23" t="n">
        <f aca="false">IFERROR(INDEX(ABC_XYZ!$R$5:$R$494,MATCH(A6,ABC_XYZ!$A$5:$A$494,0)),I6*Parametros!$B$13)</f>
        <v>26676.9874922305</v>
      </c>
      <c r="K6" s="27" t="n">
        <f aca="false">IFERROR(VLOOKUP(C6,Parametros!$A$36:$B$66,2,FALSE()),Parametros!$B$12)</f>
        <v>1</v>
      </c>
      <c r="L6" s="23" t="n">
        <f aca="false">H6*J6*SQRT(K6)</f>
        <v>54787.8340011071</v>
      </c>
      <c r="M6" s="29" t="n">
        <v>184</v>
      </c>
      <c r="N6" s="24" t="n">
        <v>0.255434782608696</v>
      </c>
      <c r="O6" s="3" t="s">
        <v>746</v>
      </c>
      <c r="P6" s="30" t="n">
        <f aca="false">IF(AND(ISNUMBER(M6),ISNUMBER(N6)),M6*N6/7,"")</f>
        <v>6.71428571428572</v>
      </c>
      <c r="Q6" s="23" t="n">
        <f aca="false">IF(ISNUMBER(P6),I6*P6,"")</f>
        <v>1220587.98571429</v>
      </c>
      <c r="R6" s="23" t="n">
        <f aca="false">IF(ISNUMBER(Q6),MAX(0,MIN(L6,Q6-I6*K6)),L6)</f>
        <v>54787.8340011071</v>
      </c>
      <c r="S6" s="23" t="n">
        <f aca="false">R6+I6*K6</f>
        <v>236577.534001107</v>
      </c>
      <c r="T6" s="23" t="n">
        <v>582228</v>
      </c>
      <c r="U6" s="23" t="n">
        <v>243264</v>
      </c>
      <c r="V6" s="23" t="n">
        <f aca="false">T6+U6</f>
        <v>825492</v>
      </c>
      <c r="W6" s="30" t="n">
        <f aca="false">IF(I6&gt;0,V6/I6,"")</f>
        <v>4.54091733470048</v>
      </c>
      <c r="X6" s="3" t="str">
        <f aca="false">IF(I6&lt;=0,"SIN FCST",IF(V6&lt;R6,"BAJO SS",IF(T6&lt;R6,"BAJO SS (XLIB CUBRE)",IF(V6&lt;S6,"BAJO P.REORDEN",IF(AND(ISNUMBER(Q6),V6&gt;Q6),"SOBRE MAX VENDIBLE","OK")))))</f>
        <v>OK</v>
      </c>
    </row>
    <row r="7" customFormat="false" ht="15" hidden="false" customHeight="false" outlineLevel="0" collapsed="false">
      <c r="A7" s="3" t="n">
        <v>30000326</v>
      </c>
      <c r="B7" s="3" t="s">
        <v>748</v>
      </c>
      <c r="C7" s="3" t="s">
        <v>139</v>
      </c>
      <c r="D7" s="3" t="s">
        <v>744</v>
      </c>
      <c r="E7" s="3" t="s">
        <v>745</v>
      </c>
      <c r="F7" s="3" t="str">
        <f aca="false">IFERROR(INDEX(ABC_XYZ!$L$5:$L$494,MATCH(A7,ABC_XYZ!$A$5:$A$494,0)),"SIN HIST")</f>
        <v>AX</v>
      </c>
      <c r="G7" s="24" t="n">
        <f aca="false">IF(LEFT(F7,1)="A",Parametros!$B$8,IF(LEFT(F7,1)="B",Parametros!$B$9,IF(LEFT(F7,1)="C",Parametros!$B$10,Parametros!$B$11)))</f>
        <v>0.98</v>
      </c>
      <c r="H7" s="27" t="n">
        <f aca="false">NORMSINV(G7)</f>
        <v>2.05374891063182</v>
      </c>
      <c r="I7" s="23" t="n">
        <v>173792.5</v>
      </c>
      <c r="J7" s="23" t="n">
        <f aca="false">IFERROR(INDEX(ABC_XYZ!$R$5:$R$494,MATCH(A7,ABC_XYZ!$A$5:$A$494,0)),I7*Parametros!$B$13)</f>
        <v>18291.1587730342</v>
      </c>
      <c r="K7" s="27" t="n">
        <f aca="false">IFERROR(VLOOKUP(C7,Parametros!$A$36:$B$66,2,FALSE()),Parametros!$B$12)</f>
        <v>1</v>
      </c>
      <c r="L7" s="23" t="n">
        <f aca="false">H7*J7*SQRT(K7)</f>
        <v>37565.4474043127</v>
      </c>
      <c r="M7" s="29" t="n">
        <v>184</v>
      </c>
      <c r="N7" s="24" t="n">
        <v>0.239130434782609</v>
      </c>
      <c r="O7" s="3" t="s">
        <v>746</v>
      </c>
      <c r="P7" s="30" t="n">
        <f aca="false">IF(AND(ISNUMBER(M7),ISNUMBER(N7)),M7*N7/7,"")</f>
        <v>6.28571428571428</v>
      </c>
      <c r="Q7" s="23" t="n">
        <f aca="false">IF(ISNUMBER(P7),I7*P7,"")</f>
        <v>1092410</v>
      </c>
      <c r="R7" s="23" t="n">
        <f aca="false">IF(ISNUMBER(Q7),MAX(0,MIN(L7,Q7-I7*K7)),L7)</f>
        <v>37565.4474043127</v>
      </c>
      <c r="S7" s="23" t="n">
        <f aca="false">R7+I7*K7</f>
        <v>211357.947404313</v>
      </c>
      <c r="T7" s="23" t="n">
        <v>236280</v>
      </c>
      <c r="U7" s="23" t="n">
        <v>155556</v>
      </c>
      <c r="V7" s="23" t="n">
        <f aca="false">T7+U7</f>
        <v>391836</v>
      </c>
      <c r="W7" s="30" t="n">
        <f aca="false">IF(I7&gt;0,V7/I7,"")</f>
        <v>2.25461973330265</v>
      </c>
      <c r="X7" s="3" t="str">
        <f aca="false">IF(I7&lt;=0,"SIN FCST",IF(V7&lt;R7,"BAJO SS",IF(T7&lt;R7,"BAJO SS (XLIB CUBRE)",IF(V7&lt;S7,"BAJO P.REORDEN",IF(AND(ISNUMBER(Q7),V7&gt;Q7),"SOBRE MAX VENDIBLE","OK")))))</f>
        <v>OK</v>
      </c>
    </row>
    <row r="8" customFormat="false" ht="15" hidden="false" customHeight="false" outlineLevel="0" collapsed="false">
      <c r="A8" s="3" t="n">
        <v>30000353</v>
      </c>
      <c r="B8" s="3" t="s">
        <v>749</v>
      </c>
      <c r="C8" s="3" t="s">
        <v>139</v>
      </c>
      <c r="D8" s="3" t="s">
        <v>744</v>
      </c>
      <c r="E8" s="3" t="s">
        <v>745</v>
      </c>
      <c r="F8" s="3" t="str">
        <f aca="false">IFERROR(INDEX(ABC_XYZ!$L$5:$L$494,MATCH(A8,ABC_XYZ!$A$5:$A$494,0)),"SIN HIST")</f>
        <v>AX</v>
      </c>
      <c r="G8" s="24" t="n">
        <f aca="false">IF(LEFT(F8,1)="A",Parametros!$B$8,IF(LEFT(F8,1)="B",Parametros!$B$9,IF(LEFT(F8,1)="C",Parametros!$B$10,Parametros!$B$11)))</f>
        <v>0.98</v>
      </c>
      <c r="H8" s="27" t="n">
        <f aca="false">NORMSINV(G8)</f>
        <v>2.05374891063182</v>
      </c>
      <c r="I8" s="23" t="n">
        <v>131949</v>
      </c>
      <c r="J8" s="23" t="n">
        <f aca="false">IFERROR(INDEX(ABC_XYZ!$R$5:$R$494,MATCH(A8,ABC_XYZ!$A$5:$A$494,0)),I8*Parametros!$B$13)</f>
        <v>24910.9459954102</v>
      </c>
      <c r="K8" s="27" t="n">
        <f aca="false">IFERROR(VLOOKUP(C8,Parametros!$A$36:$B$66,2,FALSE()),Parametros!$B$12)</f>
        <v>1</v>
      </c>
      <c r="L8" s="23" t="n">
        <f aca="false">H8*J8*SQRT(K8)</f>
        <v>51160.8282008819</v>
      </c>
      <c r="M8" s="29" t="n">
        <v>184</v>
      </c>
      <c r="N8" s="24" t="n">
        <v>0.239130434782609</v>
      </c>
      <c r="O8" s="3" t="s">
        <v>746</v>
      </c>
      <c r="P8" s="30" t="n">
        <f aca="false">IF(AND(ISNUMBER(M8),ISNUMBER(N8)),M8*N8/7,"")</f>
        <v>6.28571428571428</v>
      </c>
      <c r="Q8" s="23" t="n">
        <f aca="false">IF(ISNUMBER(P8),I8*P8,"")</f>
        <v>829393.714285714</v>
      </c>
      <c r="R8" s="23" t="n">
        <f aca="false">IF(ISNUMBER(Q8),MAX(0,MIN(L8,Q8-I8*K8)),L8)</f>
        <v>51160.8282008819</v>
      </c>
      <c r="S8" s="23" t="n">
        <f aca="false">R8+I8*K8</f>
        <v>183109.828200882</v>
      </c>
      <c r="T8" s="23" t="n">
        <v>218316</v>
      </c>
      <c r="U8" s="23" t="n">
        <v>26304</v>
      </c>
      <c r="V8" s="23" t="n">
        <f aca="false">T8+U8</f>
        <v>244620</v>
      </c>
      <c r="W8" s="30" t="n">
        <f aca="false">IF(I8&gt;0,V8/I8,"")</f>
        <v>1.85389809699202</v>
      </c>
      <c r="X8" s="3" t="str">
        <f aca="false">IF(I8&lt;=0,"SIN FCST",IF(V8&lt;R8,"BAJO SS",IF(T8&lt;R8,"BAJO SS (XLIB CUBRE)",IF(V8&lt;S8,"BAJO P.REORDEN",IF(AND(ISNUMBER(Q8),V8&gt;Q8),"SOBRE MAX VENDIBLE","OK")))))</f>
        <v>OK</v>
      </c>
    </row>
    <row r="9" customFormat="false" ht="15" hidden="false" customHeight="false" outlineLevel="0" collapsed="false">
      <c r="A9" s="3" t="n">
        <v>30000038</v>
      </c>
      <c r="B9" s="3" t="s">
        <v>215</v>
      </c>
      <c r="C9" s="3" t="s">
        <v>124</v>
      </c>
      <c r="D9" s="3" t="s">
        <v>750</v>
      </c>
      <c r="E9" s="3" t="s">
        <v>745</v>
      </c>
      <c r="F9" s="3" t="str">
        <f aca="false">IFERROR(INDEX(ABC_XYZ!$L$5:$L$494,MATCH(A9,ABC_XYZ!$A$5:$A$494,0)),"SIN HIST")</f>
        <v>AX</v>
      </c>
      <c r="G9" s="24" t="n">
        <f aca="false">IF(LEFT(F9,1)="A",Parametros!$B$8,IF(LEFT(F9,1)="B",Parametros!$B$9,IF(LEFT(F9,1)="C",Parametros!$B$10,Parametros!$B$11)))</f>
        <v>0.98</v>
      </c>
      <c r="H9" s="27" t="n">
        <f aca="false">NORMSINV(G9)</f>
        <v>2.05374891063182</v>
      </c>
      <c r="I9" s="23" t="n">
        <v>123200</v>
      </c>
      <c r="J9" s="23" t="n">
        <f aca="false">IFERROR(INDEX(ABC_XYZ!$R$5:$R$494,MATCH(A9,ABC_XYZ!$A$5:$A$494,0)),I9*Parametros!$B$13)</f>
        <v>26385.0429574333</v>
      </c>
      <c r="K9" s="27" t="n">
        <f aca="false">IFERROR(VLOOKUP(C9,Parametros!$A$36:$B$66,2,FALSE()),Parametros!$B$12)</f>
        <v>1</v>
      </c>
      <c r="L9" s="23" t="n">
        <f aca="false">H9*J9*SQRT(K9)</f>
        <v>54188.2532308024</v>
      </c>
      <c r="M9" s="29" t="n">
        <v>548</v>
      </c>
      <c r="N9" s="24" t="n">
        <v>0.197080291970803</v>
      </c>
      <c r="O9" s="3" t="s">
        <v>746</v>
      </c>
      <c r="P9" s="30" t="n">
        <f aca="false">IF(AND(ISNUMBER(M9),ISNUMBER(N9)),M9*N9/7,"")</f>
        <v>15.4285714285714</v>
      </c>
      <c r="Q9" s="23" t="n">
        <f aca="false">IF(ISNUMBER(P9),I9*P9,"")</f>
        <v>1900800</v>
      </c>
      <c r="R9" s="23" t="n">
        <f aca="false">IF(ISNUMBER(Q9),MAX(0,MIN(L9,Q9-I9*K9)),L9)</f>
        <v>54188.2532308024</v>
      </c>
      <c r="S9" s="23" t="n">
        <f aca="false">R9+I9*K9</f>
        <v>177388.253230802</v>
      </c>
      <c r="T9" s="23" t="n">
        <v>420038.9</v>
      </c>
      <c r="U9" s="23" t="n">
        <v>30326.9</v>
      </c>
      <c r="V9" s="23" t="n">
        <f aca="false">T9+U9</f>
        <v>450365.8</v>
      </c>
      <c r="W9" s="30" t="n">
        <f aca="false">IF(I9&gt;0,V9/I9,"")</f>
        <v>3.65556655844156</v>
      </c>
      <c r="X9" s="3" t="str">
        <f aca="false">IF(I9&lt;=0,"SIN FCST",IF(V9&lt;R9,"BAJO SS",IF(T9&lt;R9,"BAJO SS (XLIB CUBRE)",IF(V9&lt;S9,"BAJO P.REORDEN",IF(AND(ISNUMBER(Q9),V9&gt;Q9),"SOBRE MAX VENDIBLE","OK")))))</f>
        <v>OK</v>
      </c>
    </row>
    <row r="10" customFormat="false" ht="15" hidden="false" customHeight="false" outlineLevel="0" collapsed="false">
      <c r="A10" s="3" t="n">
        <v>30000049</v>
      </c>
      <c r="B10" s="3" t="s">
        <v>217</v>
      </c>
      <c r="C10" s="3" t="s">
        <v>124</v>
      </c>
      <c r="D10" s="3" t="s">
        <v>750</v>
      </c>
      <c r="E10" s="3" t="s">
        <v>745</v>
      </c>
      <c r="F10" s="3" t="str">
        <f aca="false">IFERROR(INDEX(ABC_XYZ!$L$5:$L$494,MATCH(A10,ABC_XYZ!$A$5:$A$494,0)),"SIN HIST")</f>
        <v>AX</v>
      </c>
      <c r="G10" s="24" t="n">
        <f aca="false">IF(LEFT(F10,1)="A",Parametros!$B$8,IF(LEFT(F10,1)="B",Parametros!$B$9,IF(LEFT(F10,1)="C",Parametros!$B$10,Parametros!$B$11)))</f>
        <v>0.98</v>
      </c>
      <c r="H10" s="27" t="n">
        <f aca="false">NORMSINV(G10)</f>
        <v>2.05374891063182</v>
      </c>
      <c r="I10" s="23" t="n">
        <v>120700</v>
      </c>
      <c r="J10" s="23" t="n">
        <f aca="false">IFERROR(INDEX(ABC_XYZ!$R$5:$R$494,MATCH(A10,ABC_XYZ!$A$5:$A$494,0)),I10*Parametros!$B$13)</f>
        <v>47027.0827418244</v>
      </c>
      <c r="K10" s="27" t="n">
        <f aca="false">IFERROR(VLOOKUP(C10,Parametros!$A$36:$B$66,2,FALSE()),Parametros!$B$12)</f>
        <v>1</v>
      </c>
      <c r="L10" s="23" t="n">
        <f aca="false">H10*J10*SQRT(K10)</f>
        <v>96581.8199512145</v>
      </c>
      <c r="M10" s="29" t="n">
        <v>548</v>
      </c>
      <c r="N10" s="24" t="n">
        <v>0.197080291970803</v>
      </c>
      <c r="O10" s="3" t="s">
        <v>746</v>
      </c>
      <c r="P10" s="30" t="n">
        <f aca="false">IF(AND(ISNUMBER(M10),ISNUMBER(N10)),M10*N10/7,"")</f>
        <v>15.4285714285714</v>
      </c>
      <c r="Q10" s="23" t="n">
        <f aca="false">IF(ISNUMBER(P10),I10*P10,"")</f>
        <v>1862228.57142857</v>
      </c>
      <c r="R10" s="23" t="n">
        <f aca="false">IF(ISNUMBER(Q10),MAX(0,MIN(L10,Q10-I10*K10)),L10)</f>
        <v>96581.8199512145</v>
      </c>
      <c r="S10" s="23" t="n">
        <f aca="false">R10+I10*K10</f>
        <v>217281.819951214</v>
      </c>
      <c r="T10" s="23" t="n">
        <v>746878.1</v>
      </c>
      <c r="U10" s="23" t="n">
        <v>39048.5</v>
      </c>
      <c r="V10" s="23" t="n">
        <f aca="false">T10+U10</f>
        <v>785926.6</v>
      </c>
      <c r="W10" s="30" t="n">
        <f aca="false">IF(I10&gt;0,V10/I10,"")</f>
        <v>6.51140513670257</v>
      </c>
      <c r="X10" s="3" t="str">
        <f aca="false">IF(I10&lt;=0,"SIN FCST",IF(V10&lt;R10,"BAJO SS",IF(T10&lt;R10,"BAJO SS (XLIB CUBRE)",IF(V10&lt;S10,"BAJO P.REORDEN",IF(AND(ISNUMBER(Q10),V10&gt;Q10),"SOBRE MAX VENDIBLE","OK")))))</f>
        <v>OK</v>
      </c>
    </row>
    <row r="11" customFormat="false" ht="15" hidden="false" customHeight="false" outlineLevel="0" collapsed="false">
      <c r="A11" s="3" t="n">
        <v>30000523</v>
      </c>
      <c r="B11" s="3" t="s">
        <v>751</v>
      </c>
      <c r="C11" s="3" t="s">
        <v>139</v>
      </c>
      <c r="D11" s="3" t="s">
        <v>744</v>
      </c>
      <c r="E11" s="3" t="s">
        <v>745</v>
      </c>
      <c r="F11" s="3" t="str">
        <f aca="false">IFERROR(INDEX(ABC_XYZ!$L$5:$L$494,MATCH(A11,ABC_XYZ!$A$5:$A$494,0)),"SIN HIST")</f>
        <v>AX</v>
      </c>
      <c r="G11" s="24" t="n">
        <f aca="false">IF(LEFT(F11,1)="A",Parametros!$B$8,IF(LEFT(F11,1)="B",Parametros!$B$9,IF(LEFT(F11,1)="C",Parametros!$B$10,Parametros!$B$11)))</f>
        <v>0.98</v>
      </c>
      <c r="H11" s="27" t="n">
        <f aca="false">NORMSINV(G11)</f>
        <v>2.05374891063182</v>
      </c>
      <c r="I11" s="23" t="n">
        <v>103131.1</v>
      </c>
      <c r="J11" s="23" t="n">
        <f aca="false">IFERROR(INDEX(ABC_XYZ!$R$5:$R$494,MATCH(A11,ABC_XYZ!$A$5:$A$494,0)),I11*Parametros!$B$13)</f>
        <v>66361.7670214695</v>
      </c>
      <c r="K11" s="27" t="n">
        <f aca="false">IFERROR(VLOOKUP(C11,Parametros!$A$36:$B$66,2,FALSE()),Parametros!$B$12)</f>
        <v>1</v>
      </c>
      <c r="L11" s="23" t="n">
        <f aca="false">H11*J11*SQRT(K11)</f>
        <v>136290.406727946</v>
      </c>
      <c r="M11" s="29" t="n">
        <v>191</v>
      </c>
      <c r="N11" s="24" t="n">
        <v>0.18848167539267</v>
      </c>
      <c r="O11" s="3" t="s">
        <v>746</v>
      </c>
      <c r="P11" s="30" t="n">
        <f aca="false">IF(AND(ISNUMBER(M11),ISNUMBER(N11)),M11*N11/7,"")</f>
        <v>5.14285714285714</v>
      </c>
      <c r="Q11" s="23" t="n">
        <f aca="false">IF(ISNUMBER(P11),I11*P11,"")</f>
        <v>530388.514285714</v>
      </c>
      <c r="R11" s="23" t="n">
        <f aca="false">IF(ISNUMBER(Q11),MAX(0,MIN(L11,Q11-I11*K11)),L11)</f>
        <v>136290.406727946</v>
      </c>
      <c r="S11" s="23" t="n">
        <f aca="false">R11+I11*K11</f>
        <v>239421.506727946</v>
      </c>
      <c r="T11" s="23" t="n">
        <v>757980</v>
      </c>
      <c r="U11" s="23" t="n">
        <v>0</v>
      </c>
      <c r="V11" s="23" t="n">
        <f aca="false">T11+U11</f>
        <v>757980</v>
      </c>
      <c r="W11" s="30" t="n">
        <f aca="false">IF(I11&gt;0,V11/I11,"")</f>
        <v>7.34967434653562</v>
      </c>
      <c r="X11" s="3" t="str">
        <f aca="false">IF(I11&lt;=0,"SIN FCST",IF(V11&lt;R11,"BAJO SS",IF(T11&lt;R11,"BAJO SS (XLIB CUBRE)",IF(V11&lt;S11,"BAJO P.REORDEN",IF(AND(ISNUMBER(Q11),V11&gt;Q11),"SOBRE MAX VENDIBLE","OK")))))</f>
        <v>SOBRE MAX VENDIBLE</v>
      </c>
    </row>
    <row r="12" customFormat="false" ht="15" hidden="false" customHeight="false" outlineLevel="0" collapsed="false">
      <c r="A12" s="3" t="n">
        <v>30000255</v>
      </c>
      <c r="B12" s="3" t="s">
        <v>752</v>
      </c>
      <c r="C12" s="3" t="s">
        <v>135</v>
      </c>
      <c r="D12" s="3" t="s">
        <v>753</v>
      </c>
      <c r="E12" s="3" t="s">
        <v>745</v>
      </c>
      <c r="F12" s="3" t="str">
        <f aca="false">IFERROR(INDEX(ABC_XYZ!$L$5:$L$494,MATCH(A12,ABC_XYZ!$A$5:$A$494,0)),"SIN HIST")</f>
        <v>AY</v>
      </c>
      <c r="G12" s="24" t="n">
        <f aca="false">IF(LEFT(F12,1)="A",Parametros!$B$8,IF(LEFT(F12,1)="B",Parametros!$B$9,IF(LEFT(F12,1)="C",Parametros!$B$10,Parametros!$B$11)))</f>
        <v>0.98</v>
      </c>
      <c r="H12" s="27" t="n">
        <f aca="false">NORMSINV(G12)</f>
        <v>2.05374891063182</v>
      </c>
      <c r="I12" s="23" t="n">
        <v>84127.7</v>
      </c>
      <c r="J12" s="23" t="n">
        <f aca="false">IFERROR(INDEX(ABC_XYZ!$R$5:$R$494,MATCH(A12,ABC_XYZ!$A$5:$A$494,0)),I12*Parametros!$B$13)</f>
        <v>28327.615874693</v>
      </c>
      <c r="K12" s="27" t="n">
        <f aca="false">IFERROR(VLOOKUP(C12,Parametros!$A$36:$B$66,2,FALSE()),Parametros!$B$12)</f>
        <v>1</v>
      </c>
      <c r="L12" s="23" t="n">
        <f aca="false">H12*J12*SQRT(K12)</f>
        <v>58177.8102434475</v>
      </c>
      <c r="M12" s="29" t="n">
        <v>365</v>
      </c>
      <c r="N12" s="24" t="n">
        <v>0.32054794520548</v>
      </c>
      <c r="O12" s="3" t="s">
        <v>754</v>
      </c>
      <c r="P12" s="30" t="n">
        <f aca="false">IF(AND(ISNUMBER(M12),ISNUMBER(N12)),M12*N12/7,"")</f>
        <v>16.7142857142857</v>
      </c>
      <c r="Q12" s="23" t="n">
        <f aca="false">IF(ISNUMBER(P12),I12*P12,"")</f>
        <v>1406134.41428571</v>
      </c>
      <c r="R12" s="23" t="n">
        <f aca="false">IF(ISNUMBER(Q12),MAX(0,MIN(L12,Q12-I12*K12)),L12)</f>
        <v>58177.8102434475</v>
      </c>
      <c r="S12" s="23" t="n">
        <f aca="false">R12+I12*K12</f>
        <v>142305.510243447</v>
      </c>
      <c r="T12" s="23" t="n">
        <v>429072</v>
      </c>
      <c r="U12" s="23" t="n">
        <v>16266</v>
      </c>
      <c r="V12" s="23" t="n">
        <f aca="false">T12+U12</f>
        <v>445338</v>
      </c>
      <c r="W12" s="30" t="n">
        <f aca="false">IF(I12&gt;0,V12/I12,"")</f>
        <v>5.29359533185859</v>
      </c>
      <c r="X12" s="3" t="str">
        <f aca="false">IF(I12&lt;=0,"SIN FCST",IF(V12&lt;R12,"BAJO SS",IF(T12&lt;R12,"BAJO SS (XLIB CUBRE)",IF(V12&lt;S12,"BAJO P.REORDEN",IF(AND(ISNUMBER(Q12),V12&gt;Q12),"SOBRE MAX VENDIBLE","OK")))))</f>
        <v>OK</v>
      </c>
    </row>
    <row r="13" customFormat="false" ht="15" hidden="false" customHeight="false" outlineLevel="0" collapsed="false">
      <c r="A13" s="3" t="n">
        <v>30000426</v>
      </c>
      <c r="B13" s="3" t="s">
        <v>755</v>
      </c>
      <c r="C13" s="3" t="s">
        <v>148</v>
      </c>
      <c r="D13" s="3" t="s">
        <v>753</v>
      </c>
      <c r="E13" s="3" t="s">
        <v>745</v>
      </c>
      <c r="F13" s="3" t="str">
        <f aca="false">IFERROR(INDEX(ABC_XYZ!$L$5:$L$494,MATCH(A13,ABC_XYZ!$A$5:$A$494,0)),"SIN HIST")</f>
        <v>SIN HIST</v>
      </c>
      <c r="G13" s="24" t="n">
        <f aca="false">IF(LEFT(F13,1)="A",Parametros!$B$8,IF(LEFT(F13,1)="B",Parametros!$B$9,IF(LEFT(F13,1)="C",Parametros!$B$10,Parametros!$B$11)))</f>
        <v>0.95</v>
      </c>
      <c r="H13" s="27" t="n">
        <f aca="false">NORMSINV(G13)</f>
        <v>1.64485362695147</v>
      </c>
      <c r="I13" s="23" t="n">
        <v>74418.6</v>
      </c>
      <c r="J13" s="23" t="n">
        <f aca="false">IFERROR(INDEX(ABC_XYZ!$R$5:$R$494,MATCH(A13,ABC_XYZ!$A$5:$A$494,0)),I13*Parametros!$B$13)</f>
        <v>22325.58</v>
      </c>
      <c r="K13" s="27" t="n">
        <f aca="false">IFERROR(VLOOKUP(C13,Parametros!$A$36:$B$66,2,FALSE()),Parametros!$B$12)</f>
        <v>1</v>
      </c>
      <c r="L13" s="23" t="n">
        <f aca="false">H13*J13*SQRT(K13)</f>
        <v>36722.3112367952</v>
      </c>
      <c r="M13" s="29" t="n">
        <v>123</v>
      </c>
      <c r="N13" s="24" t="n">
        <v>0.219512195121951</v>
      </c>
      <c r="O13" s="3" t="s">
        <v>754</v>
      </c>
      <c r="P13" s="30" t="n">
        <f aca="false">IF(AND(ISNUMBER(M13),ISNUMBER(N13)),M13*N13/7,"")</f>
        <v>3.85714285714286</v>
      </c>
      <c r="Q13" s="23" t="n">
        <f aca="false">IF(ISNUMBER(P13),I13*P13,"")</f>
        <v>287043.171428571</v>
      </c>
      <c r="R13" s="23" t="n">
        <f aca="false">IF(ISNUMBER(Q13),MAX(0,MIN(L13,Q13-I13*K13)),L13)</f>
        <v>36722.3112367952</v>
      </c>
      <c r="S13" s="23" t="n">
        <f aca="false">R13+I13*K13</f>
        <v>111140.911236795</v>
      </c>
      <c r="T13" s="23" t="n">
        <v>134630</v>
      </c>
      <c r="U13" s="23" t="n">
        <v>21260</v>
      </c>
      <c r="V13" s="23" t="n">
        <f aca="false">T13+U13</f>
        <v>155890</v>
      </c>
      <c r="W13" s="30" t="n">
        <f aca="false">IF(I13&gt;0,V13/I13,"")</f>
        <v>2.09477200592325</v>
      </c>
      <c r="X13" s="3" t="str">
        <f aca="false">IF(I13&lt;=0,"SIN FCST",IF(V13&lt;R13,"BAJO SS",IF(T13&lt;R13,"BAJO SS (XLIB CUBRE)",IF(V13&lt;S13,"BAJO P.REORDEN",IF(AND(ISNUMBER(Q13),V13&gt;Q13),"SOBRE MAX VENDIBLE","OK")))))</f>
        <v>OK</v>
      </c>
    </row>
    <row r="14" customFormat="false" ht="15" hidden="false" customHeight="false" outlineLevel="0" collapsed="false">
      <c r="A14" s="3" t="n">
        <v>30000524</v>
      </c>
      <c r="B14" s="3" t="s">
        <v>756</v>
      </c>
      <c r="C14" s="3" t="s">
        <v>139</v>
      </c>
      <c r="D14" s="3" t="s">
        <v>744</v>
      </c>
      <c r="E14" s="3" t="s">
        <v>745</v>
      </c>
      <c r="F14" s="3" t="str">
        <f aca="false">IFERROR(INDEX(ABC_XYZ!$L$5:$L$494,MATCH(A14,ABC_XYZ!$A$5:$A$494,0)),"SIN HIST")</f>
        <v>AZ</v>
      </c>
      <c r="G14" s="24" t="n">
        <f aca="false">IF(LEFT(F14,1)="A",Parametros!$B$8,IF(LEFT(F14,1)="B",Parametros!$B$9,IF(LEFT(F14,1)="C",Parametros!$B$10,Parametros!$B$11)))</f>
        <v>0.98</v>
      </c>
      <c r="H14" s="27" t="n">
        <f aca="false">NORMSINV(G14)</f>
        <v>2.05374891063182</v>
      </c>
      <c r="I14" s="23" t="n">
        <v>71275.2</v>
      </c>
      <c r="J14" s="23" t="n">
        <f aca="false">IFERROR(INDEX(ABC_XYZ!$R$5:$R$494,MATCH(A14,ABC_XYZ!$A$5:$A$494,0)),I14*Parametros!$B$13)</f>
        <v>99831.5639361556</v>
      </c>
      <c r="K14" s="27" t="n">
        <f aca="false">IFERROR(VLOOKUP(C14,Parametros!$A$36:$B$66,2,FALSE()),Parametros!$B$12)</f>
        <v>1</v>
      </c>
      <c r="L14" s="23" t="n">
        <f aca="false">H14*J14*SQRT(K14)</f>
        <v>205028.965680551</v>
      </c>
      <c r="M14" s="29" t="n">
        <v>191</v>
      </c>
      <c r="N14" s="24" t="n">
        <v>0.18848167539267</v>
      </c>
      <c r="O14" s="3" t="s">
        <v>746</v>
      </c>
      <c r="P14" s="30" t="n">
        <f aca="false">IF(AND(ISNUMBER(M14),ISNUMBER(N14)),M14*N14/7,"")</f>
        <v>5.14285714285714</v>
      </c>
      <c r="Q14" s="23" t="n">
        <f aca="false">IF(ISNUMBER(P14),I14*P14,"")</f>
        <v>366558.171428571</v>
      </c>
      <c r="R14" s="23" t="n">
        <f aca="false">IF(ISNUMBER(Q14),MAX(0,MIN(L14,Q14-I14*K14)),L14)</f>
        <v>205028.965680551</v>
      </c>
      <c r="S14" s="23" t="n">
        <f aca="false">R14+I14*K14</f>
        <v>276304.165680551</v>
      </c>
      <c r="T14" s="23" t="n">
        <v>208800</v>
      </c>
      <c r="U14" s="23" t="n">
        <v>0</v>
      </c>
      <c r="V14" s="23" t="n">
        <f aca="false">T14+U14</f>
        <v>208800</v>
      </c>
      <c r="W14" s="30" t="n">
        <f aca="false">IF(I14&gt;0,V14/I14,"")</f>
        <v>2.92949020136036</v>
      </c>
      <c r="X14" s="3" t="str">
        <f aca="false">IF(I14&lt;=0,"SIN FCST",IF(V14&lt;R14,"BAJO SS",IF(T14&lt;R14,"BAJO SS (XLIB CUBRE)",IF(V14&lt;S14,"BAJO P.REORDEN",IF(AND(ISNUMBER(Q14),V14&gt;Q14),"SOBRE MAX VENDIBLE","OK")))))</f>
        <v>BAJO P.REORDEN</v>
      </c>
    </row>
    <row r="15" customFormat="false" ht="15" hidden="false" customHeight="false" outlineLevel="0" collapsed="false">
      <c r="A15" s="3" t="n">
        <v>30000704</v>
      </c>
      <c r="B15" s="3" t="s">
        <v>757</v>
      </c>
      <c r="C15" s="3" t="s">
        <v>133</v>
      </c>
      <c r="D15" s="3" t="s">
        <v>758</v>
      </c>
      <c r="E15" s="3"/>
      <c r="F15" s="3" t="str">
        <f aca="false">IFERROR(INDEX(ABC_XYZ!$L$5:$L$494,MATCH(A15,ABC_XYZ!$A$5:$A$494,0)),"SIN HIST")</f>
        <v>SIN HIST</v>
      </c>
      <c r="G15" s="24" t="n">
        <f aca="false">IF(LEFT(F15,1)="A",Parametros!$B$8,IF(LEFT(F15,1)="B",Parametros!$B$9,IF(LEFT(F15,1)="C",Parametros!$B$10,Parametros!$B$11)))</f>
        <v>0.95</v>
      </c>
      <c r="H15" s="27" t="n">
        <f aca="false">NORMSINV(G15)</f>
        <v>1.64485362695147</v>
      </c>
      <c r="I15" s="23" t="n">
        <v>64298.7</v>
      </c>
      <c r="J15" s="23" t="n">
        <f aca="false">IFERROR(INDEX(ABC_XYZ!$R$5:$R$494,MATCH(A15,ABC_XYZ!$A$5:$A$494,0)),I15*Parametros!$B$13)</f>
        <v>19289.61</v>
      </c>
      <c r="K15" s="27" t="n">
        <f aca="false">IFERROR(VLOOKUP(C15,Parametros!$A$36:$B$66,2,FALSE()),Parametros!$B$12)</f>
        <v>1</v>
      </c>
      <c r="L15" s="23" t="n">
        <f aca="false">H15*J15*SQRT(K15)</f>
        <v>31728.5849709794</v>
      </c>
      <c r="M15" s="29"/>
      <c r="N15" s="24"/>
      <c r="O15" s="3"/>
      <c r="P15" s="30" t="str">
        <f aca="false">IF(AND(ISNUMBER(M15),ISNUMBER(N15)),M15*N15/7,"")</f>
        <v/>
      </c>
      <c r="Q15" s="23" t="str">
        <f aca="false">IF(ISNUMBER(P15),I15*P15,"")</f>
        <v/>
      </c>
      <c r="R15" s="23" t="n">
        <f aca="false">IF(ISNUMBER(Q15),MAX(0,MIN(L15,Q15-I15*K15)),L15)</f>
        <v>31728.5849709794</v>
      </c>
      <c r="S15" s="23" t="n">
        <f aca="false">R15+I15*K15</f>
        <v>96027.2849709794</v>
      </c>
      <c r="T15" s="23" t="n">
        <v>586980</v>
      </c>
      <c r="U15" s="23" t="n">
        <v>0</v>
      </c>
      <c r="V15" s="23" t="n">
        <f aca="false">T15+U15</f>
        <v>586980</v>
      </c>
      <c r="W15" s="30" t="n">
        <f aca="false">IF(I15&gt;0,V15/I15,"")</f>
        <v>9.12895595089792</v>
      </c>
      <c r="X15" s="3" t="str">
        <f aca="false">IF(I15&lt;=0,"SIN FCST",IF(V15&lt;R15,"BAJO SS",IF(T15&lt;R15,"BAJO SS (XLIB CUBRE)",IF(V15&lt;S15,"BAJO P.REORDEN",IF(AND(ISNUMBER(Q15),V15&gt;Q15),"SOBRE MAX VENDIBLE","OK")))))</f>
        <v>OK</v>
      </c>
    </row>
    <row r="16" customFormat="false" ht="15" hidden="false" customHeight="false" outlineLevel="0" collapsed="false">
      <c r="A16" s="3" t="n">
        <v>30000256</v>
      </c>
      <c r="B16" s="3" t="s">
        <v>759</v>
      </c>
      <c r="C16" s="3" t="s">
        <v>135</v>
      </c>
      <c r="D16" s="3" t="s">
        <v>753</v>
      </c>
      <c r="E16" s="3" t="s">
        <v>745</v>
      </c>
      <c r="F16" s="3" t="str">
        <f aca="false">IFERROR(INDEX(ABC_XYZ!$L$5:$L$494,MATCH(A16,ABC_XYZ!$A$5:$A$494,0)),"SIN HIST")</f>
        <v>AY</v>
      </c>
      <c r="G16" s="24" t="n">
        <f aca="false">IF(LEFT(F16,1)="A",Parametros!$B$8,IF(LEFT(F16,1)="B",Parametros!$B$9,IF(LEFT(F16,1)="C",Parametros!$B$10,Parametros!$B$11)))</f>
        <v>0.98</v>
      </c>
      <c r="H16" s="27" t="n">
        <f aca="false">NORMSINV(G16)</f>
        <v>2.05374891063182</v>
      </c>
      <c r="I16" s="23" t="n">
        <v>59256.3</v>
      </c>
      <c r="J16" s="23" t="n">
        <f aca="false">IFERROR(INDEX(ABC_XYZ!$R$5:$R$494,MATCH(A16,ABC_XYZ!$A$5:$A$494,0)),I16*Parametros!$B$13)</f>
        <v>26394.7768594339</v>
      </c>
      <c r="K16" s="27" t="n">
        <f aca="false">IFERROR(VLOOKUP(C16,Parametros!$A$36:$B$66,2,FALSE()),Parametros!$B$12)</f>
        <v>1</v>
      </c>
      <c r="L16" s="23" t="n">
        <f aca="false">H16*J16*SQRT(K16)</f>
        <v>54208.2442214323</v>
      </c>
      <c r="M16" s="29" t="n">
        <v>365</v>
      </c>
      <c r="N16" s="24" t="n">
        <v>0.32054794520548</v>
      </c>
      <c r="O16" s="3" t="s">
        <v>754</v>
      </c>
      <c r="P16" s="30" t="n">
        <f aca="false">IF(AND(ISNUMBER(M16),ISNUMBER(N16)),M16*N16/7,"")</f>
        <v>16.7142857142857</v>
      </c>
      <c r="Q16" s="23" t="n">
        <f aca="false">IF(ISNUMBER(P16),I16*P16,"")</f>
        <v>990426.728571429</v>
      </c>
      <c r="R16" s="23" t="n">
        <f aca="false">IF(ISNUMBER(Q16),MAX(0,MIN(L16,Q16-I16*K16)),L16)</f>
        <v>54208.2442214323</v>
      </c>
      <c r="S16" s="23" t="n">
        <f aca="false">R16+I16*K16</f>
        <v>113464.544221432</v>
      </c>
      <c r="T16" s="23" t="n">
        <v>222156</v>
      </c>
      <c r="U16" s="23" t="n">
        <v>0</v>
      </c>
      <c r="V16" s="23" t="n">
        <f aca="false">T16+U16</f>
        <v>222156</v>
      </c>
      <c r="W16" s="30" t="n">
        <f aca="false">IF(I16&gt;0,V16/I16,"")</f>
        <v>3.7490697191691</v>
      </c>
      <c r="X16" s="3" t="str">
        <f aca="false">IF(I16&lt;=0,"SIN FCST",IF(V16&lt;R16,"BAJO SS",IF(T16&lt;R16,"BAJO SS (XLIB CUBRE)",IF(V16&lt;S16,"BAJO P.REORDEN",IF(AND(ISNUMBER(Q16),V16&gt;Q16),"SOBRE MAX VENDIBLE","OK")))))</f>
        <v>OK</v>
      </c>
    </row>
    <row r="17" customFormat="false" ht="15" hidden="false" customHeight="false" outlineLevel="0" collapsed="false">
      <c r="A17" s="3" t="n">
        <v>30001086</v>
      </c>
      <c r="B17" s="3" t="s">
        <v>760</v>
      </c>
      <c r="C17" s="3" t="s">
        <v>155</v>
      </c>
      <c r="D17" s="3" t="s">
        <v>761</v>
      </c>
      <c r="E17" s="3" t="s">
        <v>762</v>
      </c>
      <c r="F17" s="3" t="str">
        <f aca="false">IFERROR(INDEX(ABC_XYZ!$L$5:$L$494,MATCH(A17,ABC_XYZ!$A$5:$A$494,0)),"SIN HIST")</f>
        <v>AX</v>
      </c>
      <c r="G17" s="24" t="n">
        <f aca="false">IF(LEFT(F17,1)="A",Parametros!$B$8,IF(LEFT(F17,1)="B",Parametros!$B$9,IF(LEFT(F17,1)="C",Parametros!$B$10,Parametros!$B$11)))</f>
        <v>0.98</v>
      </c>
      <c r="H17" s="27" t="n">
        <f aca="false">NORMSINV(G17)</f>
        <v>2.05374891063182</v>
      </c>
      <c r="I17" s="23" t="n">
        <v>56737.9</v>
      </c>
      <c r="J17" s="23" t="n">
        <f aca="false">IFERROR(INDEX(ABC_XYZ!$R$5:$R$494,MATCH(A17,ABC_XYZ!$A$5:$A$494,0)),I17*Parametros!$B$13)</f>
        <v>12798.347846992</v>
      </c>
      <c r="K17" s="27" t="n">
        <f aca="false">IFERROR(VLOOKUP(C17,Parametros!$A$36:$B$66,2,FALSE()),Parametros!$B$12)</f>
        <v>1</v>
      </c>
      <c r="L17" s="23" t="n">
        <f aca="false">H17*J17*SQRT(K17)</f>
        <v>26284.592948647</v>
      </c>
      <c r="M17" s="29" t="n">
        <v>57</v>
      </c>
      <c r="N17" s="24" t="n">
        <v>0.298245614035088</v>
      </c>
      <c r="O17" s="3" t="s">
        <v>763</v>
      </c>
      <c r="P17" s="30" t="n">
        <f aca="false">IF(AND(ISNUMBER(M17),ISNUMBER(N17)),M17*N17/7,"")</f>
        <v>2.42857142857143</v>
      </c>
      <c r="Q17" s="23" t="n">
        <f aca="false">IF(ISNUMBER(P17),I17*P17,"")</f>
        <v>137792.042857143</v>
      </c>
      <c r="R17" s="23" t="n">
        <f aca="false">IF(ISNUMBER(Q17),MAX(0,MIN(L17,Q17-I17*K17)),L17)</f>
        <v>26284.592948647</v>
      </c>
      <c r="S17" s="23" t="n">
        <f aca="false">R17+I17*K17</f>
        <v>83022.492948647</v>
      </c>
      <c r="T17" s="23" t="n">
        <v>69559.2</v>
      </c>
      <c r="U17" s="23" t="n">
        <v>22824</v>
      </c>
      <c r="V17" s="23" t="n">
        <f aca="false">T17+U17</f>
        <v>92383.2</v>
      </c>
      <c r="W17" s="30" t="n">
        <f aca="false">IF(I17&gt;0,V17/I17,"")</f>
        <v>1.62824496500575</v>
      </c>
      <c r="X17" s="3" t="str">
        <f aca="false">IF(I17&lt;=0,"SIN FCST",IF(V17&lt;R17,"BAJO SS",IF(T17&lt;R17,"BAJO SS (XLIB CUBRE)",IF(V17&lt;S17,"BAJO P.REORDEN",IF(AND(ISNUMBER(Q17),V17&gt;Q17),"SOBRE MAX VENDIBLE","OK")))))</f>
        <v>OK</v>
      </c>
    </row>
    <row r="18" customFormat="false" ht="15" hidden="false" customHeight="false" outlineLevel="0" collapsed="false">
      <c r="A18" s="3" t="n">
        <v>30000257</v>
      </c>
      <c r="B18" s="3" t="s">
        <v>764</v>
      </c>
      <c r="C18" s="3" t="s">
        <v>135</v>
      </c>
      <c r="D18" s="3" t="s">
        <v>753</v>
      </c>
      <c r="E18" s="3" t="s">
        <v>745</v>
      </c>
      <c r="F18" s="3" t="str">
        <f aca="false">IFERROR(INDEX(ABC_XYZ!$L$5:$L$494,MATCH(A18,ABC_XYZ!$A$5:$A$494,0)),"SIN HIST")</f>
        <v>AX</v>
      </c>
      <c r="G18" s="24" t="n">
        <f aca="false">IF(LEFT(F18,1)="A",Parametros!$B$8,IF(LEFT(F18,1)="B",Parametros!$B$9,IF(LEFT(F18,1)="C",Parametros!$B$10,Parametros!$B$11)))</f>
        <v>0.98</v>
      </c>
      <c r="H18" s="27" t="n">
        <f aca="false">NORMSINV(G18)</f>
        <v>2.05374891063182</v>
      </c>
      <c r="I18" s="23" t="n">
        <v>55913.8</v>
      </c>
      <c r="J18" s="23" t="n">
        <f aca="false">IFERROR(INDEX(ABC_XYZ!$R$5:$R$494,MATCH(A18,ABC_XYZ!$A$5:$A$494,0)),I18*Parametros!$B$13)</f>
        <v>19392.6104419052</v>
      </c>
      <c r="K18" s="27" t="n">
        <f aca="false">IFERROR(VLOOKUP(C18,Parametros!$A$36:$B$66,2,FALSE()),Parametros!$B$12)</f>
        <v>1</v>
      </c>
      <c r="L18" s="23" t="n">
        <f aca="false">H18*J18*SQRT(K18)</f>
        <v>39827.55256937</v>
      </c>
      <c r="M18" s="29" t="n">
        <v>365</v>
      </c>
      <c r="N18" s="24" t="n">
        <v>0.32054794520548</v>
      </c>
      <c r="O18" s="3" t="s">
        <v>754</v>
      </c>
      <c r="P18" s="30" t="n">
        <f aca="false">IF(AND(ISNUMBER(M18),ISNUMBER(N18)),M18*N18/7,"")</f>
        <v>16.7142857142857</v>
      </c>
      <c r="Q18" s="23" t="n">
        <f aca="false">IF(ISNUMBER(P18),I18*P18,"")</f>
        <v>934559.228571429</v>
      </c>
      <c r="R18" s="23" t="n">
        <f aca="false">IF(ISNUMBER(Q18),MAX(0,MIN(L18,Q18-I18*K18)),L18)</f>
        <v>39827.55256937</v>
      </c>
      <c r="S18" s="23" t="n">
        <f aca="false">R18+I18*K18</f>
        <v>95741.35256937</v>
      </c>
      <c r="T18" s="23" t="n">
        <v>325398</v>
      </c>
      <c r="U18" s="23" t="n">
        <v>834</v>
      </c>
      <c r="V18" s="23" t="n">
        <f aca="false">T18+U18</f>
        <v>326232</v>
      </c>
      <c r="W18" s="30" t="n">
        <f aca="false">IF(I18&gt;0,V18/I18,"")</f>
        <v>5.83455247184058</v>
      </c>
      <c r="X18" s="3" t="str">
        <f aca="false">IF(I18&lt;=0,"SIN FCST",IF(V18&lt;R18,"BAJO SS",IF(T18&lt;R18,"BAJO SS (XLIB CUBRE)",IF(V18&lt;S18,"BAJO P.REORDEN",IF(AND(ISNUMBER(Q18),V18&gt;Q18),"SOBRE MAX VENDIBLE","OK")))))</f>
        <v>OK</v>
      </c>
    </row>
    <row r="19" customFormat="false" ht="15" hidden="false" customHeight="false" outlineLevel="0" collapsed="false">
      <c r="A19" s="3" t="n">
        <v>30000338</v>
      </c>
      <c r="B19" s="3" t="s">
        <v>765</v>
      </c>
      <c r="C19" s="3" t="s">
        <v>148</v>
      </c>
      <c r="D19" s="3" t="s">
        <v>753</v>
      </c>
      <c r="E19" s="3" t="s">
        <v>745</v>
      </c>
      <c r="F19" s="3" t="str">
        <f aca="false">IFERROR(INDEX(ABC_XYZ!$L$5:$L$494,MATCH(A19,ABC_XYZ!$A$5:$A$494,0)),"SIN HIST")</f>
        <v>SIN HIST</v>
      </c>
      <c r="G19" s="24" t="n">
        <f aca="false">IF(LEFT(F19,1)="A",Parametros!$B$8,IF(LEFT(F19,1)="B",Parametros!$B$9,IF(LEFT(F19,1)="C",Parametros!$B$10,Parametros!$B$11)))</f>
        <v>0.95</v>
      </c>
      <c r="H19" s="27" t="n">
        <f aca="false">NORMSINV(G19)</f>
        <v>1.64485362695147</v>
      </c>
      <c r="I19" s="23" t="n">
        <v>55813.9</v>
      </c>
      <c r="J19" s="23" t="n">
        <f aca="false">IFERROR(INDEX(ABC_XYZ!$R$5:$R$494,MATCH(A19,ABC_XYZ!$A$5:$A$494,0)),I19*Parametros!$B$13)</f>
        <v>16744.17</v>
      </c>
      <c r="K19" s="27" t="n">
        <f aca="false">IFERROR(VLOOKUP(C19,Parametros!$A$36:$B$66,2,FALSE()),Parametros!$B$12)</f>
        <v>1</v>
      </c>
      <c r="L19" s="23" t="n">
        <f aca="false">H19*J19*SQRT(K19)</f>
        <v>27541.708754792</v>
      </c>
      <c r="M19" s="29" t="n">
        <v>245</v>
      </c>
      <c r="N19" s="24" t="n">
        <v>0.273469387755102</v>
      </c>
      <c r="O19" s="3" t="s">
        <v>746</v>
      </c>
      <c r="P19" s="30" t="n">
        <f aca="false">IF(AND(ISNUMBER(M19),ISNUMBER(N19)),M19*N19/7,"")</f>
        <v>9.57142857142857</v>
      </c>
      <c r="Q19" s="23" t="n">
        <f aca="false">IF(ISNUMBER(P19),I19*P19,"")</f>
        <v>534218.757142857</v>
      </c>
      <c r="R19" s="23" t="n">
        <f aca="false">IF(ISNUMBER(Q19),MAX(0,MIN(L19,Q19-I19*K19)),L19)</f>
        <v>27541.708754792</v>
      </c>
      <c r="S19" s="23" t="n">
        <f aca="false">R19+I19*K19</f>
        <v>83355.608754792</v>
      </c>
      <c r="T19" s="23" t="n">
        <v>357660</v>
      </c>
      <c r="U19" s="23" t="n">
        <v>0</v>
      </c>
      <c r="V19" s="23" t="n">
        <f aca="false">T19+U19</f>
        <v>357660</v>
      </c>
      <c r="W19" s="30" t="n">
        <f aca="false">IF(I19&gt;0,V19/I19,"")</f>
        <v>6.40808114107776</v>
      </c>
      <c r="X19" s="3" t="str">
        <f aca="false">IF(I19&lt;=0,"SIN FCST",IF(V19&lt;R19,"BAJO SS",IF(T19&lt;R19,"BAJO SS (XLIB CUBRE)",IF(V19&lt;S19,"BAJO P.REORDEN",IF(AND(ISNUMBER(Q19),V19&gt;Q19),"SOBRE MAX VENDIBLE","OK")))))</f>
        <v>OK</v>
      </c>
    </row>
    <row r="20" customFormat="false" ht="15" hidden="false" customHeight="false" outlineLevel="0" collapsed="false">
      <c r="A20" s="3" t="n">
        <v>30000258</v>
      </c>
      <c r="B20" s="3" t="s">
        <v>766</v>
      </c>
      <c r="C20" s="3" t="s">
        <v>135</v>
      </c>
      <c r="D20" s="3" t="s">
        <v>753</v>
      </c>
      <c r="E20" s="3" t="s">
        <v>745</v>
      </c>
      <c r="F20" s="3" t="str">
        <f aca="false">IFERROR(INDEX(ABC_XYZ!$L$5:$L$494,MATCH(A20,ABC_XYZ!$A$5:$A$494,0)),"SIN HIST")</f>
        <v>AY</v>
      </c>
      <c r="G20" s="24" t="n">
        <f aca="false">IF(LEFT(F20,1)="A",Parametros!$B$8,IF(LEFT(F20,1)="B",Parametros!$B$9,IF(LEFT(F20,1)="C",Parametros!$B$10,Parametros!$B$11)))</f>
        <v>0.98</v>
      </c>
      <c r="H20" s="27" t="n">
        <f aca="false">NORMSINV(G20)</f>
        <v>2.05374891063182</v>
      </c>
      <c r="I20" s="23" t="n">
        <v>49686.3</v>
      </c>
      <c r="J20" s="23" t="n">
        <f aca="false">IFERROR(INDEX(ABC_XYZ!$R$5:$R$494,MATCH(A20,ABC_XYZ!$A$5:$A$494,0)),I20*Parametros!$B$13)</f>
        <v>24438.2400442619</v>
      </c>
      <c r="K20" s="27" t="n">
        <f aca="false">IFERROR(VLOOKUP(C20,Parametros!$A$36:$B$66,2,FALSE()),Parametros!$B$12)</f>
        <v>1</v>
      </c>
      <c r="L20" s="23" t="n">
        <f aca="false">H20*J20*SQRT(K20)</f>
        <v>50190.0088686619</v>
      </c>
      <c r="M20" s="29" t="n">
        <v>365</v>
      </c>
      <c r="N20" s="24" t="n">
        <v>0.32054794520548</v>
      </c>
      <c r="O20" s="3" t="s">
        <v>754</v>
      </c>
      <c r="P20" s="30" t="n">
        <f aca="false">IF(AND(ISNUMBER(M20),ISNUMBER(N20)),M20*N20/7,"")</f>
        <v>16.7142857142857</v>
      </c>
      <c r="Q20" s="23" t="n">
        <f aca="false">IF(ISNUMBER(P20),I20*P20,"")</f>
        <v>830471.014285715</v>
      </c>
      <c r="R20" s="23" t="n">
        <f aca="false">IF(ISNUMBER(Q20),MAX(0,MIN(L20,Q20-I20*K20)),L20)</f>
        <v>50190.0088686619</v>
      </c>
      <c r="S20" s="23" t="n">
        <f aca="false">R20+I20*K20</f>
        <v>99876.3088686619</v>
      </c>
      <c r="T20" s="23" t="n">
        <v>165294</v>
      </c>
      <c r="U20" s="23" t="n">
        <v>0</v>
      </c>
      <c r="V20" s="23" t="n">
        <f aca="false">T20+U20</f>
        <v>165294</v>
      </c>
      <c r="W20" s="30" t="n">
        <f aca="false">IF(I20&gt;0,V20/I20,"")</f>
        <v>3.32675204231347</v>
      </c>
      <c r="X20" s="3" t="str">
        <f aca="false">IF(I20&lt;=0,"SIN FCST",IF(V20&lt;R20,"BAJO SS",IF(T20&lt;R20,"BAJO SS (XLIB CUBRE)",IF(V20&lt;S20,"BAJO P.REORDEN",IF(AND(ISNUMBER(Q20),V20&gt;Q20),"SOBRE MAX VENDIBLE","OK")))))</f>
        <v>OK</v>
      </c>
    </row>
    <row r="21" customFormat="false" ht="15" hidden="false" customHeight="false" outlineLevel="0" collapsed="false">
      <c r="A21" s="3" t="n">
        <v>30000337</v>
      </c>
      <c r="B21" s="3" t="s">
        <v>767</v>
      </c>
      <c r="C21" s="3" t="s">
        <v>148</v>
      </c>
      <c r="D21" s="3" t="s">
        <v>753</v>
      </c>
      <c r="E21" s="3" t="s">
        <v>745</v>
      </c>
      <c r="F21" s="3" t="str">
        <f aca="false">IFERROR(INDEX(ABC_XYZ!$L$5:$L$494,MATCH(A21,ABC_XYZ!$A$5:$A$494,0)),"SIN HIST")</f>
        <v>SIN HIST</v>
      </c>
      <c r="G21" s="24" t="n">
        <f aca="false">IF(LEFT(F21,1)="A",Parametros!$B$8,IF(LEFT(F21,1)="B",Parametros!$B$9,IF(LEFT(F21,1)="C",Parametros!$B$10,Parametros!$B$11)))</f>
        <v>0.95</v>
      </c>
      <c r="H21" s="27" t="n">
        <f aca="false">NORMSINV(G21)</f>
        <v>1.64485362695147</v>
      </c>
      <c r="I21" s="23" t="n">
        <v>48837.2</v>
      </c>
      <c r="J21" s="23" t="n">
        <f aca="false">IFERROR(INDEX(ABC_XYZ!$R$5:$R$494,MATCH(A21,ABC_XYZ!$A$5:$A$494,0)),I21*Parametros!$B$13)</f>
        <v>14651.16</v>
      </c>
      <c r="K21" s="27" t="n">
        <f aca="false">IFERROR(VLOOKUP(C21,Parametros!$A$36:$B$66,2,FALSE()),Parametros!$B$12)</f>
        <v>1</v>
      </c>
      <c r="L21" s="23" t="n">
        <f aca="false">H21*J21*SQRT(K21)</f>
        <v>24099.0136650463</v>
      </c>
      <c r="M21" s="29" t="n">
        <v>245</v>
      </c>
      <c r="N21" s="24" t="n">
        <v>0.273469387755102</v>
      </c>
      <c r="O21" s="3" t="s">
        <v>746</v>
      </c>
      <c r="P21" s="30" t="n">
        <f aca="false">IF(AND(ISNUMBER(M21),ISNUMBER(N21)),M21*N21/7,"")</f>
        <v>9.57142857142857</v>
      </c>
      <c r="Q21" s="23" t="n">
        <f aca="false">IF(ISNUMBER(P21),I21*P21,"")</f>
        <v>467441.771428571</v>
      </c>
      <c r="R21" s="23" t="n">
        <f aca="false">IF(ISNUMBER(Q21),MAX(0,MIN(L21,Q21-I21*K21)),L21)</f>
        <v>24099.0136650463</v>
      </c>
      <c r="S21" s="23" t="n">
        <f aca="false">R21+I21*K21</f>
        <v>72936.2136650463</v>
      </c>
      <c r="T21" s="23" t="n">
        <v>252228</v>
      </c>
      <c r="U21" s="23" t="n">
        <v>45948</v>
      </c>
      <c r="V21" s="23" t="n">
        <f aca="false">T21+U21</f>
        <v>298176</v>
      </c>
      <c r="W21" s="30" t="n">
        <f aca="false">IF(I21&gt;0,V21/I21,"")</f>
        <v>6.10550973438281</v>
      </c>
      <c r="X21" s="3" t="str">
        <f aca="false">IF(I21&lt;=0,"SIN FCST",IF(V21&lt;R21,"BAJO SS",IF(T21&lt;R21,"BAJO SS (XLIB CUBRE)",IF(V21&lt;S21,"BAJO P.REORDEN",IF(AND(ISNUMBER(Q21),V21&gt;Q21),"SOBRE MAX VENDIBLE","OK")))))</f>
        <v>OK</v>
      </c>
    </row>
    <row r="22" customFormat="false" ht="15" hidden="false" customHeight="false" outlineLevel="0" collapsed="false">
      <c r="A22" s="3" t="n">
        <v>30000729</v>
      </c>
      <c r="B22" s="3" t="s">
        <v>768</v>
      </c>
      <c r="C22" s="3" t="s">
        <v>133</v>
      </c>
      <c r="D22" s="3" t="s">
        <v>769</v>
      </c>
      <c r="E22" s="3"/>
      <c r="F22" s="3" t="str">
        <f aca="false">IFERROR(INDEX(ABC_XYZ!$L$5:$L$494,MATCH(A22,ABC_XYZ!$A$5:$A$494,0)),"SIN HIST")</f>
        <v>SIN HIST</v>
      </c>
      <c r="G22" s="24" t="n">
        <f aca="false">IF(LEFT(F22,1)="A",Parametros!$B$8,IF(LEFT(F22,1)="B",Parametros!$B$9,IF(LEFT(F22,1)="C",Parametros!$B$10,Parametros!$B$11)))</f>
        <v>0.95</v>
      </c>
      <c r="H22" s="27" t="n">
        <f aca="false">NORMSINV(G22)</f>
        <v>1.64485362695147</v>
      </c>
      <c r="I22" s="23" t="n">
        <v>48837.2</v>
      </c>
      <c r="J22" s="23" t="n">
        <f aca="false">IFERROR(INDEX(ABC_XYZ!$R$5:$R$494,MATCH(A22,ABC_XYZ!$A$5:$A$494,0)),I22*Parametros!$B$13)</f>
        <v>14651.16</v>
      </c>
      <c r="K22" s="27" t="n">
        <f aca="false">IFERROR(VLOOKUP(C22,Parametros!$A$36:$B$66,2,FALSE()),Parametros!$B$12)</f>
        <v>1</v>
      </c>
      <c r="L22" s="23" t="n">
        <f aca="false">H22*J22*SQRT(K22)</f>
        <v>24099.0136650463</v>
      </c>
      <c r="M22" s="29"/>
      <c r="N22" s="24"/>
      <c r="O22" s="3"/>
      <c r="P22" s="30" t="str">
        <f aca="false">IF(AND(ISNUMBER(M22),ISNUMBER(N22)),M22*N22/7,"")</f>
        <v/>
      </c>
      <c r="Q22" s="23" t="str">
        <f aca="false">IF(ISNUMBER(P22),I22*P22,"")</f>
        <v/>
      </c>
      <c r="R22" s="23" t="n">
        <f aca="false">IF(ISNUMBER(Q22),MAX(0,MIN(L22,Q22-I22*K22)),L22)</f>
        <v>24099.0136650463</v>
      </c>
      <c r="S22" s="23" t="n">
        <f aca="false">R22+I22*K22</f>
        <v>72936.2136650463</v>
      </c>
      <c r="T22" s="23" t="n">
        <v>413790</v>
      </c>
      <c r="U22" s="23" t="n">
        <v>67280</v>
      </c>
      <c r="V22" s="23" t="n">
        <f aca="false">T22+U22</f>
        <v>481070</v>
      </c>
      <c r="W22" s="30" t="n">
        <f aca="false">IF(I22&gt;0,V22/I22,"")</f>
        <v>9.8504828286634</v>
      </c>
      <c r="X22" s="3" t="str">
        <f aca="false">IF(I22&lt;=0,"SIN FCST",IF(V22&lt;R22,"BAJO SS",IF(T22&lt;R22,"BAJO SS (XLIB CUBRE)",IF(V22&lt;S22,"BAJO P.REORDEN",IF(AND(ISNUMBER(Q22),V22&gt;Q22),"SOBRE MAX VENDIBLE","OK")))))</f>
        <v>OK</v>
      </c>
    </row>
    <row r="23" customFormat="false" ht="15" hidden="false" customHeight="false" outlineLevel="0" collapsed="false">
      <c r="A23" s="3" t="n">
        <v>30000095</v>
      </c>
      <c r="B23" s="3" t="s">
        <v>770</v>
      </c>
      <c r="C23" s="3" t="s">
        <v>145</v>
      </c>
      <c r="D23" s="3" t="s">
        <v>750</v>
      </c>
      <c r="E23" s="3"/>
      <c r="F23" s="3" t="str">
        <f aca="false">IFERROR(INDEX(ABC_XYZ!$L$5:$L$494,MATCH(A23,ABC_XYZ!$A$5:$A$494,0)),"SIN HIST")</f>
        <v>SIN HIST</v>
      </c>
      <c r="G23" s="24" t="n">
        <f aca="false">IF(LEFT(F23,1)="A",Parametros!$B$8,IF(LEFT(F23,1)="B",Parametros!$B$9,IF(LEFT(F23,1)="C",Parametros!$B$10,Parametros!$B$11)))</f>
        <v>0.95</v>
      </c>
      <c r="H23" s="27" t="n">
        <f aca="false">NORMSINV(G23)</f>
        <v>1.64485362695147</v>
      </c>
      <c r="I23" s="23" t="n">
        <v>46511.6</v>
      </c>
      <c r="J23" s="23" t="n">
        <f aca="false">IFERROR(INDEX(ABC_XYZ!$R$5:$R$494,MATCH(A23,ABC_XYZ!$A$5:$A$494,0)),I23*Parametros!$B$13)</f>
        <v>13953.48</v>
      </c>
      <c r="K23" s="27" t="n">
        <f aca="false">IFERROR(VLOOKUP(C23,Parametros!$A$36:$B$66,2,FALSE()),Parametros!$B$12)</f>
        <v>1</v>
      </c>
      <c r="L23" s="23" t="n">
        <f aca="false">H23*J23*SQRT(K23)</f>
        <v>22951.4321865948</v>
      </c>
      <c r="M23" s="29"/>
      <c r="N23" s="24"/>
      <c r="O23" s="3"/>
      <c r="P23" s="30" t="str">
        <f aca="false">IF(AND(ISNUMBER(M23),ISNUMBER(N23)),M23*N23/7,"")</f>
        <v/>
      </c>
      <c r="Q23" s="23" t="str">
        <f aca="false">IF(ISNUMBER(P23),I23*P23,"")</f>
        <v/>
      </c>
      <c r="R23" s="23" t="n">
        <f aca="false">IF(ISNUMBER(Q23),MAX(0,MIN(L23,Q23-I23*K23)),L23)</f>
        <v>22951.4321865948</v>
      </c>
      <c r="S23" s="23" t="n">
        <f aca="false">R23+I23*K23</f>
        <v>69463.0321865948</v>
      </c>
      <c r="T23" s="23" t="n">
        <v>0</v>
      </c>
      <c r="U23" s="23" t="n">
        <v>0</v>
      </c>
      <c r="V23" s="23" t="n">
        <f aca="false">T23+U23</f>
        <v>0</v>
      </c>
      <c r="W23" s="30" t="n">
        <f aca="false">IF(I23&gt;0,V23/I23,"")</f>
        <v>0</v>
      </c>
      <c r="X23" s="3" t="str">
        <f aca="false">IF(I23&lt;=0,"SIN FCST",IF(V23&lt;R23,"BAJO SS",IF(T23&lt;R23,"BAJO SS (XLIB CUBRE)",IF(V23&lt;S23,"BAJO P.REORDEN",IF(AND(ISNUMBER(Q23),V23&gt;Q23),"SOBRE MAX VENDIBLE","OK")))))</f>
        <v>BAJO SS</v>
      </c>
    </row>
    <row r="24" customFormat="false" ht="15" hidden="false" customHeight="false" outlineLevel="0" collapsed="false">
      <c r="A24" s="3" t="n">
        <v>30001447</v>
      </c>
      <c r="B24" s="3" t="s">
        <v>771</v>
      </c>
      <c r="C24" s="3" t="s">
        <v>143</v>
      </c>
      <c r="D24" s="3" t="s">
        <v>750</v>
      </c>
      <c r="E24" s="3" t="s">
        <v>762</v>
      </c>
      <c r="F24" s="3" t="str">
        <f aca="false">IFERROR(INDEX(ABC_XYZ!$L$5:$L$494,MATCH(A24,ABC_XYZ!$A$5:$A$494,0)),"SIN HIST")</f>
        <v>SIN HIST</v>
      </c>
      <c r="G24" s="24" t="n">
        <f aca="false">IF(LEFT(F24,1)="A",Parametros!$B$8,IF(LEFT(F24,1)="B",Parametros!$B$9,IF(LEFT(F24,1)="C",Parametros!$B$10,Parametros!$B$11)))</f>
        <v>0.95</v>
      </c>
      <c r="H24" s="27" t="n">
        <f aca="false">NORMSINV(G24)</f>
        <v>1.64485362695147</v>
      </c>
      <c r="I24" s="23" t="n">
        <v>44186.1</v>
      </c>
      <c r="J24" s="23" t="n">
        <f aca="false">IFERROR(INDEX(ABC_XYZ!$R$5:$R$494,MATCH(A24,ABC_XYZ!$A$5:$A$494,0)),I24*Parametros!$B$13)</f>
        <v>13255.83</v>
      </c>
      <c r="K24" s="27" t="n">
        <f aca="false">IFERROR(VLOOKUP(C24,Parametros!$A$36:$B$66,2,FALSE()),Parametros!$B$12)</f>
        <v>1</v>
      </c>
      <c r="L24" s="23" t="n">
        <f aca="false">H24*J24*SQRT(K24)</f>
        <v>21803.9000537521</v>
      </c>
      <c r="M24" s="29" t="n">
        <v>184</v>
      </c>
      <c r="N24" s="24" t="n">
        <v>0.244565217391304</v>
      </c>
      <c r="O24" s="3" t="s">
        <v>772</v>
      </c>
      <c r="P24" s="30" t="n">
        <f aca="false">IF(AND(ISNUMBER(M24),ISNUMBER(N24)),M24*N24/7,"")</f>
        <v>6.42857142857143</v>
      </c>
      <c r="Q24" s="23" t="n">
        <f aca="false">IF(ISNUMBER(P24),I24*P24,"")</f>
        <v>284053.5</v>
      </c>
      <c r="R24" s="23" t="n">
        <f aca="false">IF(ISNUMBER(Q24),MAX(0,MIN(L24,Q24-I24*K24)),L24)</f>
        <v>21803.9000537521</v>
      </c>
      <c r="S24" s="23" t="n">
        <f aca="false">R24+I24*K24</f>
        <v>65990.0000537521</v>
      </c>
      <c r="T24" s="23" t="n">
        <v>82716</v>
      </c>
      <c r="U24" s="23" t="n">
        <v>100308</v>
      </c>
      <c r="V24" s="23" t="n">
        <f aca="false">T24+U24</f>
        <v>183024</v>
      </c>
      <c r="W24" s="30" t="n">
        <f aca="false">IF(I24&gt;0,V24/I24,"")</f>
        <v>4.14211709112142</v>
      </c>
      <c r="X24" s="3" t="str">
        <f aca="false">IF(I24&lt;=0,"SIN FCST",IF(V24&lt;R24,"BAJO SS",IF(T24&lt;R24,"BAJO SS (XLIB CUBRE)",IF(V24&lt;S24,"BAJO P.REORDEN",IF(AND(ISNUMBER(Q24),V24&gt;Q24),"SOBRE MAX VENDIBLE","OK")))))</f>
        <v>OK</v>
      </c>
    </row>
    <row r="25" customFormat="false" ht="15" hidden="false" customHeight="false" outlineLevel="0" collapsed="false">
      <c r="A25" s="3" t="n">
        <v>30001051</v>
      </c>
      <c r="B25" s="3" t="s">
        <v>773</v>
      </c>
      <c r="C25" s="3" t="s">
        <v>155</v>
      </c>
      <c r="D25" s="3" t="s">
        <v>761</v>
      </c>
      <c r="E25" s="3" t="s">
        <v>762</v>
      </c>
      <c r="F25" s="3" t="str">
        <f aca="false">IFERROR(INDEX(ABC_XYZ!$L$5:$L$494,MATCH(A25,ABC_XYZ!$A$5:$A$494,0)),"SIN HIST")</f>
        <v>AX</v>
      </c>
      <c r="G25" s="24" t="n">
        <f aca="false">IF(LEFT(F25,1)="A",Parametros!$B$8,IF(LEFT(F25,1)="B",Parametros!$B$9,IF(LEFT(F25,1)="C",Parametros!$B$10,Parametros!$B$11)))</f>
        <v>0.98</v>
      </c>
      <c r="H25" s="27" t="n">
        <f aca="false">NORMSINV(G25)</f>
        <v>2.05374891063182</v>
      </c>
      <c r="I25" s="23" t="n">
        <v>41865</v>
      </c>
      <c r="J25" s="23" t="n">
        <f aca="false">IFERROR(INDEX(ABC_XYZ!$R$5:$R$494,MATCH(A25,ABC_XYZ!$A$5:$A$494,0)),I25*Parametros!$B$13)</f>
        <v>21140.1623637128</v>
      </c>
      <c r="K25" s="27" t="n">
        <f aca="false">IFERROR(VLOOKUP(C25,Parametros!$A$36:$B$66,2,FALSE()),Parametros!$B$12)</f>
        <v>1</v>
      </c>
      <c r="L25" s="23" t="n">
        <f aca="false">H25*J25*SQRT(K25)</f>
        <v>43416.585425055</v>
      </c>
      <c r="M25" s="29" t="n">
        <v>62</v>
      </c>
      <c r="N25" s="24" t="n">
        <v>0.32258064516129</v>
      </c>
      <c r="O25" s="3" t="s">
        <v>774</v>
      </c>
      <c r="P25" s="30" t="n">
        <f aca="false">IF(AND(ISNUMBER(M25),ISNUMBER(N25)),M25*N25/7,"")</f>
        <v>2.85714285714286</v>
      </c>
      <c r="Q25" s="23" t="n">
        <f aca="false">IF(ISNUMBER(P25),I25*P25,"")</f>
        <v>119614.285714286</v>
      </c>
      <c r="R25" s="23" t="n">
        <f aca="false">IF(ISNUMBER(Q25),MAX(0,MIN(L25,Q25-I25*K25)),L25)</f>
        <v>43416.585425055</v>
      </c>
      <c r="S25" s="23" t="n">
        <f aca="false">R25+I25*K25</f>
        <v>85281.585425055</v>
      </c>
      <c r="T25" s="23" t="n">
        <v>31056</v>
      </c>
      <c r="U25" s="23" t="n">
        <v>15816</v>
      </c>
      <c r="V25" s="23" t="n">
        <f aca="false">T25+U25</f>
        <v>46872</v>
      </c>
      <c r="W25" s="30" t="n">
        <f aca="false">IF(I25&gt;0,V25/I25,"")</f>
        <v>1.11959871013973</v>
      </c>
      <c r="X25" s="3" t="str">
        <f aca="false">IF(I25&lt;=0,"SIN FCST",IF(V25&lt;R25,"BAJO SS",IF(T25&lt;R25,"BAJO SS (XLIB CUBRE)",IF(V25&lt;S25,"BAJO P.REORDEN",IF(AND(ISNUMBER(Q25),V25&gt;Q25),"SOBRE MAX VENDIBLE","OK")))))</f>
        <v>BAJO SS (XLIB CUBRE)</v>
      </c>
    </row>
    <row r="26" customFormat="false" ht="15" hidden="false" customHeight="false" outlineLevel="0" collapsed="false">
      <c r="A26" s="3" t="n">
        <v>30000481</v>
      </c>
      <c r="B26" s="3" t="s">
        <v>775</v>
      </c>
      <c r="C26" s="3" t="s">
        <v>139</v>
      </c>
      <c r="D26" s="3" t="s">
        <v>744</v>
      </c>
      <c r="E26" s="3" t="s">
        <v>745</v>
      </c>
      <c r="F26" s="3" t="str">
        <f aca="false">IFERROR(INDEX(ABC_XYZ!$L$5:$L$494,MATCH(A26,ABC_XYZ!$A$5:$A$494,0)),"SIN HIST")</f>
        <v>AX</v>
      </c>
      <c r="G26" s="24" t="n">
        <f aca="false">IF(LEFT(F26,1)="A",Parametros!$B$8,IF(LEFT(F26,1)="B",Parametros!$B$9,IF(LEFT(F26,1)="C",Parametros!$B$10,Parametros!$B$11)))</f>
        <v>0.98</v>
      </c>
      <c r="H26" s="27" t="n">
        <f aca="false">NORMSINV(G26)</f>
        <v>2.05374891063182</v>
      </c>
      <c r="I26" s="23" t="n">
        <v>40515.2</v>
      </c>
      <c r="J26" s="23" t="n">
        <f aca="false">IFERROR(INDEX(ABC_XYZ!$R$5:$R$494,MATCH(A26,ABC_XYZ!$A$5:$A$494,0)),I26*Parametros!$B$13)</f>
        <v>14170.7888300335</v>
      </c>
      <c r="K26" s="27" t="n">
        <f aca="false">IFERROR(VLOOKUP(C26,Parametros!$A$36:$B$66,2,FALSE()),Parametros!$B$12)</f>
        <v>1</v>
      </c>
      <c r="L26" s="23" t="n">
        <f aca="false">H26*J26*SQRT(K26)</f>
        <v>29103.242122475</v>
      </c>
      <c r="M26" s="29" t="n">
        <v>189</v>
      </c>
      <c r="N26" s="24" t="n">
        <v>0.259259259259259</v>
      </c>
      <c r="O26" s="3" t="s">
        <v>746</v>
      </c>
      <c r="P26" s="30" t="n">
        <f aca="false">IF(AND(ISNUMBER(M26),ISNUMBER(N26)),M26*N26/7,"")</f>
        <v>7</v>
      </c>
      <c r="Q26" s="23" t="n">
        <f aca="false">IF(ISNUMBER(P26),I26*P26,"")</f>
        <v>283606.4</v>
      </c>
      <c r="R26" s="23" t="n">
        <f aca="false">IF(ISNUMBER(Q26),MAX(0,MIN(L26,Q26-I26*K26)),L26)</f>
        <v>29103.242122475</v>
      </c>
      <c r="S26" s="23" t="n">
        <f aca="false">R26+I26*K26</f>
        <v>69618.442122475</v>
      </c>
      <c r="T26" s="23" t="n">
        <v>114012</v>
      </c>
      <c r="U26" s="23" t="n">
        <v>47280</v>
      </c>
      <c r="V26" s="23" t="n">
        <f aca="false">T26+U26</f>
        <v>161292</v>
      </c>
      <c r="W26" s="30" t="n">
        <f aca="false">IF(I26&gt;0,V26/I26,"")</f>
        <v>3.98102440565516</v>
      </c>
      <c r="X26" s="3" t="str">
        <f aca="false">IF(I26&lt;=0,"SIN FCST",IF(V26&lt;R26,"BAJO SS",IF(T26&lt;R26,"BAJO SS (XLIB CUBRE)",IF(V26&lt;S26,"BAJO P.REORDEN",IF(AND(ISNUMBER(Q26),V26&gt;Q26),"SOBRE MAX VENDIBLE","OK")))))</f>
        <v>OK</v>
      </c>
    </row>
    <row r="27" customFormat="false" ht="15" hidden="false" customHeight="false" outlineLevel="0" collapsed="false">
      <c r="A27" s="3" t="n">
        <v>30000309</v>
      </c>
      <c r="B27" s="3" t="s">
        <v>236</v>
      </c>
      <c r="C27" s="3" t="s">
        <v>139</v>
      </c>
      <c r="D27" s="3" t="s">
        <v>753</v>
      </c>
      <c r="E27" s="3" t="s">
        <v>745</v>
      </c>
      <c r="F27" s="3" t="str">
        <f aca="false">IFERROR(INDEX(ABC_XYZ!$L$5:$L$494,MATCH(A27,ABC_XYZ!$A$5:$A$494,0)),"SIN HIST")</f>
        <v>AX</v>
      </c>
      <c r="G27" s="24" t="n">
        <f aca="false">IF(LEFT(F27,1)="A",Parametros!$B$8,IF(LEFT(F27,1)="B",Parametros!$B$9,IF(LEFT(F27,1)="C",Parametros!$B$10,Parametros!$B$11)))</f>
        <v>0.98</v>
      </c>
      <c r="H27" s="27" t="n">
        <f aca="false">NORMSINV(G27)</f>
        <v>2.05374891063182</v>
      </c>
      <c r="I27" s="23" t="n">
        <v>40358.6</v>
      </c>
      <c r="J27" s="23" t="n">
        <f aca="false">IFERROR(INDEX(ABC_XYZ!$R$5:$R$494,MATCH(A27,ABC_XYZ!$A$5:$A$494,0)),I27*Parametros!$B$13)</f>
        <v>2581.79726393565</v>
      </c>
      <c r="K27" s="27" t="n">
        <f aca="false">IFERROR(VLOOKUP(C27,Parametros!$A$36:$B$66,2,FALSE()),Parametros!$B$12)</f>
        <v>1</v>
      </c>
      <c r="L27" s="23" t="n">
        <f aca="false">H27*J27*SQRT(K27)</f>
        <v>5302.36331828006</v>
      </c>
      <c r="M27" s="29" t="n">
        <v>245</v>
      </c>
      <c r="N27" s="24" t="n">
        <v>0.240816326530612</v>
      </c>
      <c r="O27" s="3" t="s">
        <v>746</v>
      </c>
      <c r="P27" s="30" t="n">
        <f aca="false">IF(AND(ISNUMBER(M27),ISNUMBER(N27)),M27*N27/7,"")</f>
        <v>8.42857142857143</v>
      </c>
      <c r="Q27" s="23" t="n">
        <f aca="false">IF(ISNUMBER(P27),I27*P27,"")</f>
        <v>340165.342857143</v>
      </c>
      <c r="R27" s="23" t="n">
        <f aca="false">IF(ISNUMBER(Q27),MAX(0,MIN(L27,Q27-I27*K27)),L27)</f>
        <v>5302.36331828006</v>
      </c>
      <c r="S27" s="23" t="n">
        <f aca="false">R27+I27*K27</f>
        <v>45660.9633182801</v>
      </c>
      <c r="T27" s="23" t="n">
        <v>136686</v>
      </c>
      <c r="U27" s="23" t="n">
        <v>0</v>
      </c>
      <c r="V27" s="23" t="n">
        <f aca="false">T27+U27</f>
        <v>136686</v>
      </c>
      <c r="W27" s="30" t="n">
        <f aca="false">IF(I27&gt;0,V27/I27,"")</f>
        <v>3.38678745050621</v>
      </c>
      <c r="X27" s="3" t="str">
        <f aca="false">IF(I27&lt;=0,"SIN FCST",IF(V27&lt;R27,"BAJO SS",IF(T27&lt;R27,"BAJO SS (XLIB CUBRE)",IF(V27&lt;S27,"BAJO P.REORDEN",IF(AND(ISNUMBER(Q27),V27&gt;Q27),"SOBRE MAX VENDIBLE","OK")))))</f>
        <v>OK</v>
      </c>
    </row>
    <row r="28" customFormat="false" ht="15" hidden="false" customHeight="false" outlineLevel="0" collapsed="false">
      <c r="A28" s="3" t="n">
        <v>30001038</v>
      </c>
      <c r="B28" s="3" t="s">
        <v>776</v>
      </c>
      <c r="C28" s="3" t="s">
        <v>155</v>
      </c>
      <c r="D28" s="3" t="s">
        <v>761</v>
      </c>
      <c r="E28" s="3" t="s">
        <v>762</v>
      </c>
      <c r="F28" s="3" t="str">
        <f aca="false">IFERROR(INDEX(ABC_XYZ!$L$5:$L$494,MATCH(A28,ABC_XYZ!$A$5:$A$494,0)),"SIN HIST")</f>
        <v>AX</v>
      </c>
      <c r="G28" s="24" t="n">
        <f aca="false">IF(LEFT(F28,1)="A",Parametros!$B$8,IF(LEFT(F28,1)="B",Parametros!$B$9,IF(LEFT(F28,1)="C",Parametros!$B$10,Parametros!$B$11)))</f>
        <v>0.98</v>
      </c>
      <c r="H28" s="27" t="n">
        <f aca="false">NORMSINV(G28)</f>
        <v>2.05374891063182</v>
      </c>
      <c r="I28" s="23" t="n">
        <v>40128.6</v>
      </c>
      <c r="J28" s="23" t="n">
        <f aca="false">IFERROR(INDEX(ABC_XYZ!$R$5:$R$494,MATCH(A28,ABC_XYZ!$A$5:$A$494,0)),I28*Parametros!$B$13)</f>
        <v>8824.79219727331</v>
      </c>
      <c r="K28" s="27" t="n">
        <f aca="false">IFERROR(VLOOKUP(C28,Parametros!$A$36:$B$66,2,FALSE()),Parametros!$B$12)</f>
        <v>1</v>
      </c>
      <c r="L28" s="23" t="n">
        <f aca="false">H28*J28*SQRT(K28)</f>
        <v>18123.9073617023</v>
      </c>
      <c r="M28" s="29" t="n">
        <v>62</v>
      </c>
      <c r="N28" s="24" t="n">
        <v>0.32258064516129</v>
      </c>
      <c r="O28" s="3" t="s">
        <v>774</v>
      </c>
      <c r="P28" s="30" t="n">
        <f aca="false">IF(AND(ISNUMBER(M28),ISNUMBER(N28)),M28*N28/7,"")</f>
        <v>2.85714285714286</v>
      </c>
      <c r="Q28" s="23" t="n">
        <f aca="false">IF(ISNUMBER(P28),I28*P28,"")</f>
        <v>114653.142857143</v>
      </c>
      <c r="R28" s="23" t="n">
        <f aca="false">IF(ISNUMBER(Q28),MAX(0,MIN(L28,Q28-I28*K28)),L28)</f>
        <v>18123.9073617023</v>
      </c>
      <c r="S28" s="23" t="n">
        <f aca="false">R28+I28*K28</f>
        <v>58252.5073617023</v>
      </c>
      <c r="T28" s="23" t="n">
        <v>37625.3</v>
      </c>
      <c r="U28" s="23" t="n">
        <v>37303.2</v>
      </c>
      <c r="V28" s="23" t="n">
        <f aca="false">T28+U28</f>
        <v>74928.5</v>
      </c>
      <c r="W28" s="30" t="n">
        <f aca="false">IF(I28&gt;0,V28/I28,"")</f>
        <v>1.86720942170921</v>
      </c>
      <c r="X28" s="3" t="str">
        <f aca="false">IF(I28&lt;=0,"SIN FCST",IF(V28&lt;R28,"BAJO SS",IF(T28&lt;R28,"BAJO SS (XLIB CUBRE)",IF(V28&lt;S28,"BAJO P.REORDEN",IF(AND(ISNUMBER(Q28),V28&gt;Q28),"SOBRE MAX VENDIBLE","OK")))))</f>
        <v>OK</v>
      </c>
    </row>
    <row r="29" customFormat="false" ht="15" hidden="false" customHeight="false" outlineLevel="0" collapsed="false">
      <c r="A29" s="3" t="n">
        <v>30000637</v>
      </c>
      <c r="B29" s="3" t="s">
        <v>232</v>
      </c>
      <c r="C29" s="3" t="s">
        <v>129</v>
      </c>
      <c r="D29" s="3" t="s">
        <v>753</v>
      </c>
      <c r="E29" s="3" t="s">
        <v>745</v>
      </c>
      <c r="F29" s="3" t="str">
        <f aca="false">IFERROR(INDEX(ABC_XYZ!$L$5:$L$494,MATCH(A29,ABC_XYZ!$A$5:$A$494,0)),"SIN HIST")</f>
        <v>AX</v>
      </c>
      <c r="G29" s="24" t="n">
        <f aca="false">IF(LEFT(F29,1)="A",Parametros!$B$8,IF(LEFT(F29,1)="B",Parametros!$B$9,IF(LEFT(F29,1)="C",Parametros!$B$10,Parametros!$B$11)))</f>
        <v>0.98</v>
      </c>
      <c r="H29" s="27" t="n">
        <f aca="false">NORMSINV(G29)</f>
        <v>2.05374891063182</v>
      </c>
      <c r="I29" s="23" t="n">
        <v>39001.7</v>
      </c>
      <c r="J29" s="23" t="n">
        <f aca="false">IFERROR(INDEX(ABC_XYZ!$R$5:$R$494,MATCH(A29,ABC_XYZ!$A$5:$A$494,0)),I29*Parametros!$B$13)</f>
        <v>6967.07252243007</v>
      </c>
      <c r="K29" s="27" t="n">
        <f aca="false">IFERROR(VLOOKUP(C29,Parametros!$A$36:$B$66,2,FALSE()),Parametros!$B$12)</f>
        <v>1</v>
      </c>
      <c r="L29" s="23" t="n">
        <f aca="false">H29*J29*SQRT(K29)</f>
        <v>14308.6176032337</v>
      </c>
      <c r="M29" s="29" t="n">
        <v>914</v>
      </c>
      <c r="N29" s="24" t="n">
        <v>0.463894967177243</v>
      </c>
      <c r="O29" s="3" t="s">
        <v>772</v>
      </c>
      <c r="P29" s="30" t="n">
        <f aca="false">IF(AND(ISNUMBER(M29),ISNUMBER(N29)),M29*N29/7,"")</f>
        <v>60.5714285714286</v>
      </c>
      <c r="Q29" s="23" t="n">
        <f aca="false">IF(ISNUMBER(P29),I29*P29,"")</f>
        <v>2362388.68571429</v>
      </c>
      <c r="R29" s="23" t="n">
        <f aca="false">IF(ISNUMBER(Q29),MAX(0,MIN(L29,Q29-I29*K29)),L29)</f>
        <v>14308.6176032337</v>
      </c>
      <c r="S29" s="23" t="n">
        <f aca="false">R29+I29*K29</f>
        <v>53310.3176032337</v>
      </c>
      <c r="T29" s="23" t="n">
        <v>636563.8</v>
      </c>
      <c r="U29" s="23" t="n">
        <v>49971.5</v>
      </c>
      <c r="V29" s="23" t="n">
        <f aca="false">T29+U29</f>
        <v>686535.3</v>
      </c>
      <c r="W29" s="30" t="n">
        <f aca="false">IF(I29&gt;0,V29/I29,"")</f>
        <v>17.6027019335055</v>
      </c>
      <c r="X29" s="3" t="str">
        <f aca="false">IF(I29&lt;=0,"SIN FCST",IF(V29&lt;R29,"BAJO SS",IF(T29&lt;R29,"BAJO SS (XLIB CUBRE)",IF(V29&lt;S29,"BAJO P.REORDEN",IF(AND(ISNUMBER(Q29),V29&gt;Q29),"SOBRE MAX VENDIBLE","OK")))))</f>
        <v>OK</v>
      </c>
    </row>
    <row r="30" customFormat="false" ht="15" hidden="false" customHeight="false" outlineLevel="0" collapsed="false">
      <c r="A30" s="3" t="n">
        <v>30002131</v>
      </c>
      <c r="B30" s="3" t="s">
        <v>777</v>
      </c>
      <c r="C30" s="3" t="s">
        <v>138</v>
      </c>
      <c r="D30" s="3" t="s">
        <v>744</v>
      </c>
      <c r="E30" s="3"/>
      <c r="F30" s="3" t="str">
        <f aca="false">IFERROR(INDEX(ABC_XYZ!$L$5:$L$494,MATCH(A30,ABC_XYZ!$A$5:$A$494,0)),"SIN HIST")</f>
        <v>SIN HIST</v>
      </c>
      <c r="G30" s="24" t="n">
        <f aca="false">IF(LEFT(F30,1)="A",Parametros!$B$8,IF(LEFT(F30,1)="B",Parametros!$B$9,IF(LEFT(F30,1)="C",Parametros!$B$10,Parametros!$B$11)))</f>
        <v>0.95</v>
      </c>
      <c r="H30" s="27" t="n">
        <f aca="false">NORMSINV(G30)</f>
        <v>1.64485362695147</v>
      </c>
      <c r="I30" s="23" t="n">
        <v>37441.9</v>
      </c>
      <c r="J30" s="23" t="n">
        <f aca="false">IFERROR(INDEX(ABC_XYZ!$R$5:$R$494,MATCH(A30,ABC_XYZ!$A$5:$A$494,0)),I30*Parametros!$B$13)</f>
        <v>11232.57</v>
      </c>
      <c r="K30" s="27" t="n">
        <f aca="false">IFERROR(VLOOKUP(C30,Parametros!$A$36:$B$66,2,FALSE()),Parametros!$B$12)</f>
        <v>1</v>
      </c>
      <c r="L30" s="23" t="n">
        <f aca="false">H30*J30*SQRT(K30)</f>
        <v>18475.9335044863</v>
      </c>
      <c r="M30" s="29"/>
      <c r="N30" s="24"/>
      <c r="O30" s="3"/>
      <c r="P30" s="30" t="str">
        <f aca="false">IF(AND(ISNUMBER(M30),ISNUMBER(N30)),M30*N30/7,"")</f>
        <v/>
      </c>
      <c r="Q30" s="23" t="str">
        <f aca="false">IF(ISNUMBER(P30),I30*P30,"")</f>
        <v/>
      </c>
      <c r="R30" s="23" t="n">
        <f aca="false">IF(ISNUMBER(Q30),MAX(0,MIN(L30,Q30-I30*K30)),L30)</f>
        <v>18475.9335044863</v>
      </c>
      <c r="S30" s="23" t="n">
        <f aca="false">R30+I30*K30</f>
        <v>55917.8335044863</v>
      </c>
      <c r="T30" s="23" t="n">
        <v>126320</v>
      </c>
      <c r="U30" s="23" t="n">
        <v>0</v>
      </c>
      <c r="V30" s="23" t="n">
        <f aca="false">T30+U30</f>
        <v>126320</v>
      </c>
      <c r="W30" s="30" t="n">
        <f aca="false">IF(I30&gt;0,V30/I30,"")</f>
        <v>3.37376041279956</v>
      </c>
      <c r="X30" s="3" t="str">
        <f aca="false">IF(I30&lt;=0,"SIN FCST",IF(V30&lt;R30,"BAJO SS",IF(T30&lt;R30,"BAJO SS (XLIB CUBRE)",IF(V30&lt;S30,"BAJO P.REORDEN",IF(AND(ISNUMBER(Q30),V30&gt;Q30),"SOBRE MAX VENDIBLE","OK")))))</f>
        <v>OK</v>
      </c>
    </row>
    <row r="31" customFormat="false" ht="15" hidden="false" customHeight="false" outlineLevel="0" collapsed="false">
      <c r="A31" s="3" t="n">
        <v>30000781</v>
      </c>
      <c r="B31" s="3" t="s">
        <v>778</v>
      </c>
      <c r="C31" s="3" t="s">
        <v>133</v>
      </c>
      <c r="D31" s="3" t="s">
        <v>769</v>
      </c>
      <c r="E31" s="3"/>
      <c r="F31" s="3" t="str">
        <f aca="false">IFERROR(INDEX(ABC_XYZ!$L$5:$L$494,MATCH(A31,ABC_XYZ!$A$5:$A$494,0)),"SIN HIST")</f>
        <v>SIN HIST</v>
      </c>
      <c r="G31" s="24" t="n">
        <f aca="false">IF(LEFT(F31,1)="A",Parametros!$B$8,IF(LEFT(F31,1)="B",Parametros!$B$9,IF(LEFT(F31,1)="C",Parametros!$B$10,Parametros!$B$11)))</f>
        <v>0.95</v>
      </c>
      <c r="H31" s="27" t="n">
        <f aca="false">NORMSINV(G31)</f>
        <v>1.64485362695147</v>
      </c>
      <c r="I31" s="23" t="n">
        <v>37331.6</v>
      </c>
      <c r="J31" s="23" t="n">
        <f aca="false">IFERROR(INDEX(ABC_XYZ!$R$5:$R$494,MATCH(A31,ABC_XYZ!$A$5:$A$494,0)),I31*Parametros!$B$13)</f>
        <v>11199.48</v>
      </c>
      <c r="K31" s="27" t="n">
        <f aca="false">IFERROR(VLOOKUP(C31,Parametros!$A$36:$B$66,2,FALSE()),Parametros!$B$12)</f>
        <v>1</v>
      </c>
      <c r="L31" s="23" t="n">
        <f aca="false">H31*J31*SQRT(K31)</f>
        <v>18421.5052979705</v>
      </c>
      <c r="M31" s="29"/>
      <c r="N31" s="24"/>
      <c r="O31" s="3"/>
      <c r="P31" s="30" t="str">
        <f aca="false">IF(AND(ISNUMBER(M31),ISNUMBER(N31)),M31*N31/7,"")</f>
        <v/>
      </c>
      <c r="Q31" s="23" t="str">
        <f aca="false">IF(ISNUMBER(P31),I31*P31,"")</f>
        <v/>
      </c>
      <c r="R31" s="23" t="n">
        <f aca="false">IF(ISNUMBER(Q31),MAX(0,MIN(L31,Q31-I31*K31)),L31)</f>
        <v>18421.5052979705</v>
      </c>
      <c r="S31" s="23" t="n">
        <f aca="false">R31+I31*K31</f>
        <v>55753.1052979705</v>
      </c>
      <c r="T31" s="23" t="n">
        <v>351930</v>
      </c>
      <c r="U31" s="23" t="n">
        <v>0</v>
      </c>
      <c r="V31" s="23" t="n">
        <f aca="false">T31+U31</f>
        <v>351930</v>
      </c>
      <c r="W31" s="30" t="n">
        <f aca="false">IF(I31&gt;0,V31/I31,"")</f>
        <v>9.42713411694114</v>
      </c>
      <c r="X31" s="3" t="str">
        <f aca="false">IF(I31&lt;=0,"SIN FCST",IF(V31&lt;R31,"BAJO SS",IF(T31&lt;R31,"BAJO SS (XLIB CUBRE)",IF(V31&lt;S31,"BAJO P.REORDEN",IF(AND(ISNUMBER(Q31),V31&gt;Q31),"SOBRE MAX VENDIBLE","OK")))))</f>
        <v>OK</v>
      </c>
    </row>
    <row r="32" customFormat="false" ht="15" hidden="false" customHeight="false" outlineLevel="0" collapsed="false">
      <c r="A32" s="3" t="n">
        <v>30000441</v>
      </c>
      <c r="B32" s="3" t="s">
        <v>779</v>
      </c>
      <c r="C32" s="3" t="s">
        <v>149</v>
      </c>
      <c r="D32" s="3" t="s">
        <v>744</v>
      </c>
      <c r="E32" s="3" t="s">
        <v>762</v>
      </c>
      <c r="F32" s="3" t="str">
        <f aca="false">IFERROR(INDEX(ABC_XYZ!$L$5:$L$494,MATCH(A32,ABC_XYZ!$A$5:$A$494,0)),"SIN HIST")</f>
        <v>AX</v>
      </c>
      <c r="G32" s="24" t="n">
        <f aca="false">IF(LEFT(F32,1)="A",Parametros!$B$8,IF(LEFT(F32,1)="B",Parametros!$B$9,IF(LEFT(F32,1)="C",Parametros!$B$10,Parametros!$B$11)))</f>
        <v>0.98</v>
      </c>
      <c r="H32" s="27" t="n">
        <f aca="false">NORMSINV(G32)</f>
        <v>2.05374891063182</v>
      </c>
      <c r="I32" s="23" t="n">
        <v>36500</v>
      </c>
      <c r="J32" s="23" t="n">
        <f aca="false">IFERROR(INDEX(ABC_XYZ!$R$5:$R$494,MATCH(A32,ABC_XYZ!$A$5:$A$494,0)),I32*Parametros!$B$13)</f>
        <v>10334.240748567</v>
      </c>
      <c r="K32" s="27" t="n">
        <f aca="false">IFERROR(VLOOKUP(C32,Parametros!$A$36:$B$66,2,FALSE()),Parametros!$B$12)</f>
        <v>1</v>
      </c>
      <c r="L32" s="23" t="n">
        <f aca="false">H32*J32*SQRT(K32)</f>
        <v>21223.9356795764</v>
      </c>
      <c r="M32" s="29" t="n">
        <v>224</v>
      </c>
      <c r="N32" s="24" t="n">
        <v>0.316964285714286</v>
      </c>
      <c r="O32" s="3" t="s">
        <v>780</v>
      </c>
      <c r="P32" s="30" t="n">
        <f aca="false">IF(AND(ISNUMBER(M32),ISNUMBER(N32)),M32*N32/7,"")</f>
        <v>10.1428571428571</v>
      </c>
      <c r="Q32" s="23" t="n">
        <f aca="false">IF(ISNUMBER(P32),I32*P32,"")</f>
        <v>370214.285714286</v>
      </c>
      <c r="R32" s="23" t="n">
        <f aca="false">IF(ISNUMBER(Q32),MAX(0,MIN(L32,Q32-I32*K32)),L32)</f>
        <v>21223.9356795764</v>
      </c>
      <c r="S32" s="23" t="n">
        <f aca="false">R32+I32*K32</f>
        <v>57723.9356795764</v>
      </c>
      <c r="T32" s="23" t="n">
        <v>150150</v>
      </c>
      <c r="U32" s="23" t="n">
        <v>0</v>
      </c>
      <c r="V32" s="23" t="n">
        <f aca="false">T32+U32</f>
        <v>150150</v>
      </c>
      <c r="W32" s="30" t="n">
        <f aca="false">IF(I32&gt;0,V32/I32,"")</f>
        <v>4.11369863013699</v>
      </c>
      <c r="X32" s="3" t="str">
        <f aca="false">IF(I32&lt;=0,"SIN FCST",IF(V32&lt;R32,"BAJO SS",IF(T32&lt;R32,"BAJO SS (XLIB CUBRE)",IF(V32&lt;S32,"BAJO P.REORDEN",IF(AND(ISNUMBER(Q32),V32&gt;Q32),"SOBRE MAX VENDIBLE","OK")))))</f>
        <v>OK</v>
      </c>
    </row>
    <row r="33" customFormat="false" ht="15" hidden="false" customHeight="false" outlineLevel="0" collapsed="false">
      <c r="A33" s="3" t="n">
        <v>30000427</v>
      </c>
      <c r="B33" s="3" t="s">
        <v>781</v>
      </c>
      <c r="C33" s="3" t="s">
        <v>148</v>
      </c>
      <c r="D33" s="3" t="s">
        <v>753</v>
      </c>
      <c r="E33" s="3" t="s">
        <v>745</v>
      </c>
      <c r="F33" s="3" t="str">
        <f aca="false">IFERROR(INDEX(ABC_XYZ!$L$5:$L$494,MATCH(A33,ABC_XYZ!$A$5:$A$494,0)),"SIN HIST")</f>
        <v>SIN HIST</v>
      </c>
      <c r="G33" s="24" t="n">
        <f aca="false">IF(LEFT(F33,1)="A",Parametros!$B$8,IF(LEFT(F33,1)="B",Parametros!$B$9,IF(LEFT(F33,1)="C",Parametros!$B$10,Parametros!$B$11)))</f>
        <v>0.95</v>
      </c>
      <c r="H33" s="27" t="n">
        <f aca="false">NORMSINV(G33)</f>
        <v>1.64485362695147</v>
      </c>
      <c r="I33" s="23" t="n">
        <v>33720.9</v>
      </c>
      <c r="J33" s="23" t="n">
        <f aca="false">IFERROR(INDEX(ABC_XYZ!$R$5:$R$494,MATCH(A33,ABC_XYZ!$A$5:$A$494,0)),I33*Parametros!$B$13)</f>
        <v>10116.27</v>
      </c>
      <c r="K33" s="27" t="n">
        <f aca="false">IFERROR(VLOOKUP(C33,Parametros!$A$36:$B$66,2,FALSE()),Parametros!$B$12)</f>
        <v>1</v>
      </c>
      <c r="L33" s="23" t="n">
        <f aca="false">H33*J33*SQRT(K33)</f>
        <v>16639.7834007204</v>
      </c>
      <c r="M33" s="29" t="n">
        <v>184</v>
      </c>
      <c r="N33" s="24" t="n">
        <v>0.271739130434783</v>
      </c>
      <c r="O33" s="3" t="s">
        <v>746</v>
      </c>
      <c r="P33" s="30" t="n">
        <f aca="false">IF(AND(ISNUMBER(M33),ISNUMBER(N33)),M33*N33/7,"")</f>
        <v>7.14285714285714</v>
      </c>
      <c r="Q33" s="23" t="n">
        <f aca="false">IF(ISNUMBER(P33),I33*P33,"")</f>
        <v>240863.571428571</v>
      </c>
      <c r="R33" s="23" t="n">
        <f aca="false">IF(ISNUMBER(Q33),MAX(0,MIN(L33,Q33-I33*K33)),L33)</f>
        <v>16639.7834007204</v>
      </c>
      <c r="S33" s="23" t="n">
        <f aca="false">R33+I33*K33</f>
        <v>50360.6834007204</v>
      </c>
      <c r="T33" s="23" t="n">
        <v>77270</v>
      </c>
      <c r="U33" s="23" t="n">
        <v>0</v>
      </c>
      <c r="V33" s="23" t="n">
        <f aca="false">T33+U33</f>
        <v>77270</v>
      </c>
      <c r="W33" s="30" t="n">
        <f aca="false">IF(I33&gt;0,V33/I33,"")</f>
        <v>2.29145722682372</v>
      </c>
      <c r="X33" s="3" t="str">
        <f aca="false">IF(I33&lt;=0,"SIN FCST",IF(V33&lt;R33,"BAJO SS",IF(T33&lt;R33,"BAJO SS (XLIB CUBRE)",IF(V33&lt;S33,"BAJO P.REORDEN",IF(AND(ISNUMBER(Q33),V33&gt;Q33),"SOBRE MAX VENDIBLE","OK")))))</f>
        <v>OK</v>
      </c>
    </row>
    <row r="34" customFormat="false" ht="15" hidden="false" customHeight="false" outlineLevel="0" collapsed="false">
      <c r="A34" s="3" t="n">
        <v>30001052</v>
      </c>
      <c r="B34" s="3" t="s">
        <v>782</v>
      </c>
      <c r="C34" s="3" t="s">
        <v>155</v>
      </c>
      <c r="D34" s="3" t="s">
        <v>761</v>
      </c>
      <c r="E34" s="3" t="s">
        <v>762</v>
      </c>
      <c r="F34" s="3" t="str">
        <f aca="false">IFERROR(INDEX(ABC_XYZ!$L$5:$L$494,MATCH(A34,ABC_XYZ!$A$5:$A$494,0)),"SIN HIST")</f>
        <v>AX</v>
      </c>
      <c r="G34" s="24" t="n">
        <f aca="false">IF(LEFT(F34,1)="A",Parametros!$B$8,IF(LEFT(F34,1)="B",Parametros!$B$9,IF(LEFT(F34,1)="C",Parametros!$B$10,Parametros!$B$11)))</f>
        <v>0.98</v>
      </c>
      <c r="H34" s="27" t="n">
        <f aca="false">NORMSINV(G34)</f>
        <v>2.05374891063182</v>
      </c>
      <c r="I34" s="23" t="n">
        <v>32984.1</v>
      </c>
      <c r="J34" s="23" t="n">
        <f aca="false">IFERROR(INDEX(ABC_XYZ!$R$5:$R$494,MATCH(A34,ABC_XYZ!$A$5:$A$494,0)),I34*Parametros!$B$13)</f>
        <v>10091.9169956551</v>
      </c>
      <c r="K34" s="27" t="n">
        <f aca="false">IFERROR(VLOOKUP(C34,Parametros!$A$36:$B$66,2,FALSE()),Parametros!$B$12)</f>
        <v>1</v>
      </c>
      <c r="L34" s="23" t="n">
        <f aca="false">H34*J34*SQRT(K34)</f>
        <v>20726.2635360135</v>
      </c>
      <c r="M34" s="29" t="n">
        <v>62</v>
      </c>
      <c r="N34" s="24" t="n">
        <v>0.32258064516129</v>
      </c>
      <c r="O34" s="3" t="s">
        <v>774</v>
      </c>
      <c r="P34" s="30" t="n">
        <f aca="false">IF(AND(ISNUMBER(M34),ISNUMBER(N34)),M34*N34/7,"")</f>
        <v>2.85714285714286</v>
      </c>
      <c r="Q34" s="23" t="n">
        <f aca="false">IF(ISNUMBER(P34),I34*P34,"")</f>
        <v>94240.2857142857</v>
      </c>
      <c r="R34" s="23" t="n">
        <f aca="false">IF(ISNUMBER(Q34),MAX(0,MIN(L34,Q34-I34*K34)),L34)</f>
        <v>20726.2635360135</v>
      </c>
      <c r="S34" s="23" t="n">
        <f aca="false">R34+I34*K34</f>
        <v>53710.3635360135</v>
      </c>
      <c r="T34" s="23" t="n">
        <v>36336</v>
      </c>
      <c r="U34" s="23" t="n">
        <v>12</v>
      </c>
      <c r="V34" s="23" t="n">
        <f aca="false">T34+U34</f>
        <v>36348</v>
      </c>
      <c r="W34" s="30" t="n">
        <f aca="false">IF(I34&gt;0,V34/I34,"")</f>
        <v>1.10198550210556</v>
      </c>
      <c r="X34" s="3" t="str">
        <f aca="false">IF(I34&lt;=0,"SIN FCST",IF(V34&lt;R34,"BAJO SS",IF(T34&lt;R34,"BAJO SS (XLIB CUBRE)",IF(V34&lt;S34,"BAJO P.REORDEN",IF(AND(ISNUMBER(Q34),V34&gt;Q34),"SOBRE MAX VENDIBLE","OK")))))</f>
        <v>BAJO P.REORDEN</v>
      </c>
    </row>
    <row r="35" customFormat="false" ht="15" hidden="false" customHeight="false" outlineLevel="0" collapsed="false">
      <c r="A35" s="3" t="n">
        <v>30001862</v>
      </c>
      <c r="B35" s="3" t="s">
        <v>239</v>
      </c>
      <c r="C35" s="3" t="s">
        <v>143</v>
      </c>
      <c r="D35" s="3" t="s">
        <v>750</v>
      </c>
      <c r="E35" s="3" t="s">
        <v>762</v>
      </c>
      <c r="F35" s="3" t="str">
        <f aca="false">IFERROR(INDEX(ABC_XYZ!$L$5:$L$494,MATCH(A35,ABC_XYZ!$A$5:$A$494,0)),"SIN HIST")</f>
        <v>AX</v>
      </c>
      <c r="G35" s="24" t="n">
        <f aca="false">IF(LEFT(F35,1)="A",Parametros!$B$8,IF(LEFT(F35,1)="B",Parametros!$B$9,IF(LEFT(F35,1)="C",Parametros!$B$10,Parametros!$B$11)))</f>
        <v>0.98</v>
      </c>
      <c r="H35" s="27" t="n">
        <f aca="false">NORMSINV(G35)</f>
        <v>2.05374891063182</v>
      </c>
      <c r="I35" s="23" t="n">
        <v>32400</v>
      </c>
      <c r="J35" s="23" t="n">
        <f aca="false">IFERROR(INDEX(ABC_XYZ!$R$5:$R$494,MATCH(A35,ABC_XYZ!$A$5:$A$494,0)),I35*Parametros!$B$13)</f>
        <v>8029.82585122201</v>
      </c>
      <c r="K35" s="27" t="n">
        <f aca="false">IFERROR(VLOOKUP(C35,Parametros!$A$36:$B$66,2,FALSE()),Parametros!$B$12)</f>
        <v>1</v>
      </c>
      <c r="L35" s="23" t="n">
        <f aca="false">H35*J35*SQRT(K35)</f>
        <v>16491.2460945104</v>
      </c>
      <c r="M35" s="29" t="n">
        <v>184</v>
      </c>
      <c r="N35" s="24" t="n">
        <v>0.239130434782609</v>
      </c>
      <c r="O35" s="3" t="s">
        <v>746</v>
      </c>
      <c r="P35" s="30" t="n">
        <f aca="false">IF(AND(ISNUMBER(M35),ISNUMBER(N35)),M35*N35/7,"")</f>
        <v>6.28571428571428</v>
      </c>
      <c r="Q35" s="23" t="n">
        <f aca="false">IF(ISNUMBER(P35),I35*P35,"")</f>
        <v>203657.142857143</v>
      </c>
      <c r="R35" s="23" t="n">
        <f aca="false">IF(ISNUMBER(Q35),MAX(0,MIN(L35,Q35-I35*K35)),L35)</f>
        <v>16491.2460945104</v>
      </c>
      <c r="S35" s="23" t="n">
        <f aca="false">R35+I35*K35</f>
        <v>48891.2460945104</v>
      </c>
      <c r="T35" s="23" t="n">
        <v>76671</v>
      </c>
      <c r="U35" s="23" t="n">
        <v>55377</v>
      </c>
      <c r="V35" s="23" t="n">
        <f aca="false">T35+U35</f>
        <v>132048</v>
      </c>
      <c r="W35" s="30" t="n">
        <f aca="false">IF(I35&gt;0,V35/I35,"")</f>
        <v>4.07555555555556</v>
      </c>
      <c r="X35" s="3" t="str">
        <f aca="false">IF(I35&lt;=0,"SIN FCST",IF(V35&lt;R35,"BAJO SS",IF(T35&lt;R35,"BAJO SS (XLIB CUBRE)",IF(V35&lt;S35,"BAJO P.REORDEN",IF(AND(ISNUMBER(Q35),V35&gt;Q35),"SOBRE MAX VENDIBLE","OK")))))</f>
        <v>OK</v>
      </c>
    </row>
    <row r="36" customFormat="false" ht="15" hidden="false" customHeight="false" outlineLevel="0" collapsed="false">
      <c r="A36" s="3" t="n">
        <v>30000400</v>
      </c>
      <c r="B36" s="3" t="s">
        <v>235</v>
      </c>
      <c r="C36" s="3" t="s">
        <v>139</v>
      </c>
      <c r="D36" s="3" t="s">
        <v>753</v>
      </c>
      <c r="E36" s="3" t="s">
        <v>745</v>
      </c>
      <c r="F36" s="3" t="str">
        <f aca="false">IFERROR(INDEX(ABC_XYZ!$L$5:$L$494,MATCH(A36,ABC_XYZ!$A$5:$A$494,0)),"SIN HIST")</f>
        <v>AX</v>
      </c>
      <c r="G36" s="24" t="n">
        <f aca="false">IF(LEFT(F36,1)="A",Parametros!$B$8,IF(LEFT(F36,1)="B",Parametros!$B$9,IF(LEFT(F36,1)="C",Parametros!$B$10,Parametros!$B$11)))</f>
        <v>0.98</v>
      </c>
      <c r="H36" s="27" t="n">
        <f aca="false">NORMSINV(G36)</f>
        <v>2.05374891063182</v>
      </c>
      <c r="I36" s="23" t="n">
        <v>32034.6</v>
      </c>
      <c r="J36" s="23" t="n">
        <f aca="false">IFERROR(INDEX(ABC_XYZ!$R$5:$R$494,MATCH(A36,ABC_XYZ!$A$5:$A$494,0)),I36*Parametros!$B$13)</f>
        <v>7041.43677838161</v>
      </c>
      <c r="K36" s="27" t="n">
        <f aca="false">IFERROR(VLOOKUP(C36,Parametros!$A$36:$B$66,2,FALSE()),Parametros!$B$12)</f>
        <v>1</v>
      </c>
      <c r="L36" s="23" t="n">
        <f aca="false">H36*J36*SQRT(K36)</f>
        <v>14461.3431128841</v>
      </c>
      <c r="M36" s="29" t="n">
        <v>214</v>
      </c>
      <c r="N36" s="24" t="n">
        <v>0.238317757009346</v>
      </c>
      <c r="O36" s="3" t="s">
        <v>746</v>
      </c>
      <c r="P36" s="30" t="n">
        <f aca="false">IF(AND(ISNUMBER(M36),ISNUMBER(N36)),M36*N36/7,"")</f>
        <v>7.28571428571429</v>
      </c>
      <c r="Q36" s="23" t="n">
        <f aca="false">IF(ISNUMBER(P36),I36*P36,"")</f>
        <v>233394.942857143</v>
      </c>
      <c r="R36" s="23" t="n">
        <f aca="false">IF(ISNUMBER(Q36),MAX(0,MIN(L36,Q36-I36*K36)),L36)</f>
        <v>14461.3431128841</v>
      </c>
      <c r="S36" s="23" t="n">
        <f aca="false">R36+I36*K36</f>
        <v>46495.9431128841</v>
      </c>
      <c r="T36" s="23" t="n">
        <v>57756</v>
      </c>
      <c r="U36" s="23" t="n">
        <v>78276</v>
      </c>
      <c r="V36" s="23" t="n">
        <f aca="false">T36+U36</f>
        <v>136032</v>
      </c>
      <c r="W36" s="30" t="n">
        <f aca="false">IF(I36&gt;0,V36/I36,"")</f>
        <v>4.2464085707329</v>
      </c>
      <c r="X36" s="3" t="str">
        <f aca="false">IF(I36&lt;=0,"SIN FCST",IF(V36&lt;R36,"BAJO SS",IF(T36&lt;R36,"BAJO SS (XLIB CUBRE)",IF(V36&lt;S36,"BAJO P.REORDEN",IF(AND(ISNUMBER(Q36),V36&gt;Q36),"SOBRE MAX VENDIBLE","OK")))))</f>
        <v>OK</v>
      </c>
    </row>
    <row r="37" customFormat="false" ht="15" hidden="false" customHeight="false" outlineLevel="0" collapsed="false">
      <c r="A37" s="3" t="n">
        <v>30000514</v>
      </c>
      <c r="B37" s="3" t="s">
        <v>783</v>
      </c>
      <c r="C37" s="3" t="s">
        <v>139</v>
      </c>
      <c r="D37" s="3" t="s">
        <v>753</v>
      </c>
      <c r="E37" s="3" t="s">
        <v>745</v>
      </c>
      <c r="F37" s="3" t="str">
        <f aca="false">IFERROR(INDEX(ABC_XYZ!$L$5:$L$494,MATCH(A37,ABC_XYZ!$A$5:$A$494,0)),"SIN HIST")</f>
        <v>AX</v>
      </c>
      <c r="G37" s="24" t="n">
        <f aca="false">IF(LEFT(F37,1)="A",Parametros!$B$8,IF(LEFT(F37,1)="B",Parametros!$B$9,IF(LEFT(F37,1)="C",Parametros!$B$10,Parametros!$B$11)))</f>
        <v>0.98</v>
      </c>
      <c r="H37" s="27" t="n">
        <f aca="false">NORMSINV(G37)</f>
        <v>2.05374891063182</v>
      </c>
      <c r="I37" s="23" t="n">
        <v>27791.5</v>
      </c>
      <c r="J37" s="23" t="n">
        <f aca="false">IFERROR(INDEX(ABC_XYZ!$R$5:$R$494,MATCH(A37,ABC_XYZ!$A$5:$A$494,0)),I37*Parametros!$B$13)</f>
        <v>7275.61225674743</v>
      </c>
      <c r="K37" s="27" t="n">
        <f aca="false">IFERROR(VLOOKUP(C37,Parametros!$A$36:$B$66,2,FALSE()),Parametros!$B$12)</f>
        <v>1</v>
      </c>
      <c r="L37" s="23" t="n">
        <f aca="false">H37*J37*SQRT(K37)</f>
        <v>14942.2807464746</v>
      </c>
      <c r="M37" s="29" t="n">
        <v>128</v>
      </c>
      <c r="N37" s="24" t="n">
        <v>0.21875</v>
      </c>
      <c r="O37" s="3" t="s">
        <v>746</v>
      </c>
      <c r="P37" s="30" t="n">
        <f aca="false">IF(AND(ISNUMBER(M37),ISNUMBER(N37)),M37*N37/7,"")</f>
        <v>4</v>
      </c>
      <c r="Q37" s="23" t="n">
        <f aca="false">IF(ISNUMBER(P37),I37*P37,"")</f>
        <v>111166</v>
      </c>
      <c r="R37" s="23" t="n">
        <f aca="false">IF(ISNUMBER(Q37),MAX(0,MIN(L37,Q37-I37*K37)),L37)</f>
        <v>14942.2807464746</v>
      </c>
      <c r="S37" s="23" t="n">
        <f aca="false">R37+I37*K37</f>
        <v>42733.7807464746</v>
      </c>
      <c r="T37" s="23" t="n">
        <v>31284</v>
      </c>
      <c r="U37" s="23" t="n">
        <v>0</v>
      </c>
      <c r="V37" s="23" t="n">
        <f aca="false">T37+U37</f>
        <v>31284</v>
      </c>
      <c r="W37" s="30" t="n">
        <f aca="false">IF(I37&gt;0,V37/I37,"")</f>
        <v>1.1256679200475</v>
      </c>
      <c r="X37" s="3" t="str">
        <f aca="false">IF(I37&lt;=0,"SIN FCST",IF(V37&lt;R37,"BAJO SS",IF(T37&lt;R37,"BAJO SS (XLIB CUBRE)",IF(V37&lt;S37,"BAJO P.REORDEN",IF(AND(ISNUMBER(Q37),V37&gt;Q37),"SOBRE MAX VENDIBLE","OK")))))</f>
        <v>BAJO P.REORDEN</v>
      </c>
    </row>
    <row r="38" customFormat="false" ht="15" hidden="false" customHeight="false" outlineLevel="0" collapsed="false">
      <c r="A38" s="3" t="n">
        <v>30001871</v>
      </c>
      <c r="B38" s="3" t="s">
        <v>242</v>
      </c>
      <c r="C38" s="3" t="s">
        <v>143</v>
      </c>
      <c r="D38" s="3" t="s">
        <v>750</v>
      </c>
      <c r="E38" s="3" t="s">
        <v>762</v>
      </c>
      <c r="F38" s="3" t="str">
        <f aca="false">IFERROR(INDEX(ABC_XYZ!$L$5:$L$494,MATCH(A38,ABC_XYZ!$A$5:$A$494,0)),"SIN HIST")</f>
        <v>AX</v>
      </c>
      <c r="G38" s="24" t="n">
        <f aca="false">IF(LEFT(F38,1)="A",Parametros!$B$8,IF(LEFT(F38,1)="B",Parametros!$B$9,IF(LEFT(F38,1)="C",Parametros!$B$10,Parametros!$B$11)))</f>
        <v>0.98</v>
      </c>
      <c r="H38" s="27" t="n">
        <f aca="false">NORMSINV(G38)</f>
        <v>2.05374891063182</v>
      </c>
      <c r="I38" s="23" t="n">
        <v>27300</v>
      </c>
      <c r="J38" s="23" t="n">
        <f aca="false">IFERROR(INDEX(ABC_XYZ!$R$5:$R$494,MATCH(A38,ABC_XYZ!$A$5:$A$494,0)),I38*Parametros!$B$13)</f>
        <v>7969.12070338365</v>
      </c>
      <c r="K38" s="27" t="n">
        <f aca="false">IFERROR(VLOOKUP(C38,Parametros!$A$36:$B$66,2,FALSE()),Parametros!$B$12)</f>
        <v>1</v>
      </c>
      <c r="L38" s="23" t="n">
        <f aca="false">H38*J38*SQRT(K38)</f>
        <v>16366.5729632677</v>
      </c>
      <c r="M38" s="29" t="n">
        <v>184</v>
      </c>
      <c r="N38" s="24" t="n">
        <v>0.239130434782609</v>
      </c>
      <c r="O38" s="3" t="s">
        <v>746</v>
      </c>
      <c r="P38" s="30" t="n">
        <f aca="false">IF(AND(ISNUMBER(M38),ISNUMBER(N38)),M38*N38/7,"")</f>
        <v>6.28571428571428</v>
      </c>
      <c r="Q38" s="23" t="n">
        <f aca="false">IF(ISNUMBER(P38),I38*P38,"")</f>
        <v>171600</v>
      </c>
      <c r="R38" s="23" t="n">
        <f aca="false">IF(ISNUMBER(Q38),MAX(0,MIN(L38,Q38-I38*K38)),L38)</f>
        <v>16366.5729632677</v>
      </c>
      <c r="S38" s="23" t="n">
        <f aca="false">R38+I38*K38</f>
        <v>43666.5729632677</v>
      </c>
      <c r="T38" s="23" t="n">
        <v>74676.6</v>
      </c>
      <c r="U38" s="23" t="n">
        <v>0</v>
      </c>
      <c r="V38" s="23" t="n">
        <f aca="false">T38+U38</f>
        <v>74676.6</v>
      </c>
      <c r="W38" s="30" t="n">
        <f aca="false">IF(I38&gt;0,V38/I38,"")</f>
        <v>2.73540659340659</v>
      </c>
      <c r="X38" s="3" t="str">
        <f aca="false">IF(I38&lt;=0,"SIN FCST",IF(V38&lt;R38,"BAJO SS",IF(T38&lt;R38,"BAJO SS (XLIB CUBRE)",IF(V38&lt;S38,"BAJO P.REORDEN",IF(AND(ISNUMBER(Q38),V38&gt;Q38),"SOBRE MAX VENDIBLE","OK")))))</f>
        <v>OK</v>
      </c>
    </row>
    <row r="39" customFormat="false" ht="15" hidden="false" customHeight="false" outlineLevel="0" collapsed="false">
      <c r="A39" s="3" t="n">
        <v>30000643</v>
      </c>
      <c r="B39" s="3" t="s">
        <v>240</v>
      </c>
      <c r="C39" s="3" t="s">
        <v>129</v>
      </c>
      <c r="D39" s="3" t="s">
        <v>753</v>
      </c>
      <c r="E39" s="3" t="s">
        <v>745</v>
      </c>
      <c r="F39" s="3" t="str">
        <f aca="false">IFERROR(INDEX(ABC_XYZ!$L$5:$L$494,MATCH(A39,ABC_XYZ!$A$5:$A$494,0)),"SIN HIST")</f>
        <v>AX</v>
      </c>
      <c r="G39" s="24" t="n">
        <f aca="false">IF(LEFT(F39,1)="A",Parametros!$B$8,IF(LEFT(F39,1)="B",Parametros!$B$9,IF(LEFT(F39,1)="C",Parametros!$B$10,Parametros!$B$11)))</f>
        <v>0.98</v>
      </c>
      <c r="H39" s="27" t="n">
        <f aca="false">NORMSINV(G39)</f>
        <v>2.05374891063182</v>
      </c>
      <c r="I39" s="23" t="n">
        <v>27291.6</v>
      </c>
      <c r="J39" s="23" t="n">
        <f aca="false">IFERROR(INDEX(ABC_XYZ!$R$5:$R$494,MATCH(A39,ABC_XYZ!$A$5:$A$494,0)),I39*Parametros!$B$13)</f>
        <v>8518.96811892144</v>
      </c>
      <c r="K39" s="27" t="n">
        <f aca="false">IFERROR(VLOOKUP(C39,Parametros!$A$36:$B$66,2,FALSE()),Parametros!$B$12)</f>
        <v>1</v>
      </c>
      <c r="L39" s="23" t="n">
        <f aca="false">H39*J39*SQRT(K39)</f>
        <v>17495.8214939421</v>
      </c>
      <c r="M39" s="29" t="n">
        <v>914</v>
      </c>
      <c r="N39" s="24" t="n">
        <v>0.329321663019694</v>
      </c>
      <c r="O39" s="3" t="s">
        <v>772</v>
      </c>
      <c r="P39" s="30" t="n">
        <f aca="false">IF(AND(ISNUMBER(M39),ISNUMBER(N39)),M39*N39/7,"")</f>
        <v>43</v>
      </c>
      <c r="Q39" s="23" t="n">
        <f aca="false">IF(ISNUMBER(P39),I39*P39,"")</f>
        <v>1173538.8</v>
      </c>
      <c r="R39" s="23" t="n">
        <f aca="false">IF(ISNUMBER(Q39),MAX(0,MIN(L39,Q39-I39*K39)),L39)</f>
        <v>17495.8214939421</v>
      </c>
      <c r="S39" s="23" t="n">
        <f aca="false">R39+I39*K39</f>
        <v>44787.4214939421</v>
      </c>
      <c r="T39" s="23" t="n">
        <v>470883.8</v>
      </c>
      <c r="U39" s="23" t="n">
        <v>0</v>
      </c>
      <c r="V39" s="23" t="n">
        <f aca="false">T39+U39</f>
        <v>470883.8</v>
      </c>
      <c r="W39" s="30" t="n">
        <f aca="false">IF(I39&gt;0,V39/I39,"")</f>
        <v>17.2537997039382</v>
      </c>
      <c r="X39" s="3" t="str">
        <f aca="false">IF(I39&lt;=0,"SIN FCST",IF(V39&lt;R39,"BAJO SS",IF(T39&lt;R39,"BAJO SS (XLIB CUBRE)",IF(V39&lt;S39,"BAJO P.REORDEN",IF(AND(ISNUMBER(Q39),V39&gt;Q39),"SOBRE MAX VENDIBLE","OK")))))</f>
        <v>OK</v>
      </c>
    </row>
    <row r="40" customFormat="false" ht="15" hidden="false" customHeight="false" outlineLevel="0" collapsed="false">
      <c r="A40" s="3" t="n">
        <v>30000707</v>
      </c>
      <c r="B40" s="3" t="s">
        <v>784</v>
      </c>
      <c r="C40" s="3" t="s">
        <v>133</v>
      </c>
      <c r="D40" s="3" t="s">
        <v>769</v>
      </c>
      <c r="E40" s="3"/>
      <c r="F40" s="3" t="str">
        <f aca="false">IFERROR(INDEX(ABC_XYZ!$L$5:$L$494,MATCH(A40,ABC_XYZ!$A$5:$A$494,0)),"SIN HIST")</f>
        <v>SIN HIST</v>
      </c>
      <c r="G40" s="24" t="n">
        <f aca="false">IF(LEFT(F40,1)="A",Parametros!$B$8,IF(LEFT(F40,1)="B",Parametros!$B$9,IF(LEFT(F40,1)="C",Parametros!$B$10,Parametros!$B$11)))</f>
        <v>0.95</v>
      </c>
      <c r="H40" s="27" t="n">
        <f aca="false">NORMSINV(G40)</f>
        <v>1.64485362695147</v>
      </c>
      <c r="I40" s="23" t="n">
        <v>27092.5</v>
      </c>
      <c r="J40" s="23" t="n">
        <f aca="false">IFERROR(INDEX(ABC_XYZ!$R$5:$R$494,MATCH(A40,ABC_XYZ!$A$5:$A$494,0)),I40*Parametros!$B$13)</f>
        <v>8127.75</v>
      </c>
      <c r="K40" s="27" t="n">
        <f aca="false">IFERROR(VLOOKUP(C40,Parametros!$A$36:$B$66,2,FALSE()),Parametros!$B$12)</f>
        <v>1</v>
      </c>
      <c r="L40" s="23" t="n">
        <f aca="false">H40*J40*SQRT(K40)</f>
        <v>13368.9590664548</v>
      </c>
      <c r="M40" s="29"/>
      <c r="N40" s="24"/>
      <c r="O40" s="3"/>
      <c r="P40" s="30" t="str">
        <f aca="false">IF(AND(ISNUMBER(M40),ISNUMBER(N40)),M40*N40/7,"")</f>
        <v/>
      </c>
      <c r="Q40" s="23" t="str">
        <f aca="false">IF(ISNUMBER(P40),I40*P40,"")</f>
        <v/>
      </c>
      <c r="R40" s="23" t="n">
        <f aca="false">IF(ISNUMBER(Q40),MAX(0,MIN(L40,Q40-I40*K40)),L40)</f>
        <v>13368.9590664548</v>
      </c>
      <c r="S40" s="23" t="n">
        <f aca="false">R40+I40*K40</f>
        <v>40461.4590664548</v>
      </c>
      <c r="T40" s="23" t="n">
        <v>149080</v>
      </c>
      <c r="U40" s="23" t="n">
        <v>410</v>
      </c>
      <c r="V40" s="23" t="n">
        <f aca="false">T40+U40</f>
        <v>149490</v>
      </c>
      <c r="W40" s="30" t="n">
        <f aca="false">IF(I40&gt;0,V40/I40,"")</f>
        <v>5.51776321860293</v>
      </c>
      <c r="X40" s="3" t="str">
        <f aca="false">IF(I40&lt;=0,"SIN FCST",IF(V40&lt;R40,"BAJO SS",IF(T40&lt;R40,"BAJO SS (XLIB CUBRE)",IF(V40&lt;S40,"BAJO P.REORDEN",IF(AND(ISNUMBER(Q40),V40&gt;Q40),"SOBRE MAX VENDIBLE","OK")))))</f>
        <v>OK</v>
      </c>
    </row>
    <row r="41" customFormat="false" ht="15" hidden="false" customHeight="false" outlineLevel="0" collapsed="false">
      <c r="A41" s="3" t="n">
        <v>30001963</v>
      </c>
      <c r="B41" s="3" t="s">
        <v>785</v>
      </c>
      <c r="C41" s="3" t="s">
        <v>140</v>
      </c>
      <c r="D41" s="3" t="s">
        <v>744</v>
      </c>
      <c r="E41" s="3" t="s">
        <v>745</v>
      </c>
      <c r="F41" s="3" t="str">
        <f aca="false">IFERROR(INDEX(ABC_XYZ!$L$5:$L$494,MATCH(A41,ABC_XYZ!$A$5:$A$494,0)),"SIN HIST")</f>
        <v>SIN HIST</v>
      </c>
      <c r="G41" s="24" t="n">
        <f aca="false">IF(LEFT(F41,1)="A",Parametros!$B$8,IF(LEFT(F41,1)="B",Parametros!$B$9,IF(LEFT(F41,1)="C",Parametros!$B$10,Parametros!$B$11)))</f>
        <v>0.95</v>
      </c>
      <c r="H41" s="27" t="n">
        <f aca="false">NORMSINV(G41)</f>
        <v>1.64485362695147</v>
      </c>
      <c r="I41" s="23" t="n">
        <v>26744.2</v>
      </c>
      <c r="J41" s="23" t="n">
        <f aca="false">IFERROR(INDEX(ABC_XYZ!$R$5:$R$494,MATCH(A41,ABC_XYZ!$A$5:$A$494,0)),I41*Parametros!$B$13)</f>
        <v>8023.26</v>
      </c>
      <c r="K41" s="27" t="n">
        <f aca="false">IFERROR(VLOOKUP(C41,Parametros!$A$36:$B$66,2,FALSE()),Parametros!$B$12)</f>
        <v>1</v>
      </c>
      <c r="L41" s="23" t="n">
        <f aca="false">H41*J41*SQRT(K41)</f>
        <v>13197.0883109747</v>
      </c>
      <c r="M41" s="29" t="n">
        <v>184</v>
      </c>
      <c r="N41" s="24" t="n">
        <v>0.309782608695652</v>
      </c>
      <c r="O41" s="3" t="s">
        <v>754</v>
      </c>
      <c r="P41" s="30" t="n">
        <f aca="false">IF(AND(ISNUMBER(M41),ISNUMBER(N41)),M41*N41/7,"")</f>
        <v>8.14285714285714</v>
      </c>
      <c r="Q41" s="23" t="n">
        <f aca="false">IF(ISNUMBER(P41),I41*P41,"")</f>
        <v>217774.2</v>
      </c>
      <c r="R41" s="23" t="n">
        <f aca="false">IF(ISNUMBER(Q41),MAX(0,MIN(L41,Q41-I41*K41)),L41)</f>
        <v>13197.0883109747</v>
      </c>
      <c r="S41" s="23" t="n">
        <f aca="false">R41+I41*K41</f>
        <v>39941.2883109747</v>
      </c>
      <c r="T41" s="23" t="n">
        <v>38930</v>
      </c>
      <c r="U41" s="23" t="n">
        <v>29690</v>
      </c>
      <c r="V41" s="23" t="n">
        <f aca="false">T41+U41</f>
        <v>68620</v>
      </c>
      <c r="W41" s="30" t="n">
        <f aca="false">IF(I41&gt;0,V41/I41,"")</f>
        <v>2.5657899656748</v>
      </c>
      <c r="X41" s="3" t="str">
        <f aca="false">IF(I41&lt;=0,"SIN FCST",IF(V41&lt;R41,"BAJO SS",IF(T41&lt;R41,"BAJO SS (XLIB CUBRE)",IF(V41&lt;S41,"BAJO P.REORDEN",IF(AND(ISNUMBER(Q41),V41&gt;Q41),"SOBRE MAX VENDIBLE","OK")))))</f>
        <v>OK</v>
      </c>
    </row>
    <row r="42" customFormat="false" ht="15" hidden="false" customHeight="false" outlineLevel="0" collapsed="false">
      <c r="A42" s="3" t="n">
        <v>30000708</v>
      </c>
      <c r="B42" s="3" t="s">
        <v>786</v>
      </c>
      <c r="C42" s="3" t="s">
        <v>133</v>
      </c>
      <c r="D42" s="3" t="s">
        <v>769</v>
      </c>
      <c r="E42" s="3"/>
      <c r="F42" s="3" t="str">
        <f aca="false">IFERROR(INDEX(ABC_XYZ!$L$5:$L$494,MATCH(A42,ABC_XYZ!$A$5:$A$494,0)),"SIN HIST")</f>
        <v>SIN HIST</v>
      </c>
      <c r="G42" s="24" t="n">
        <f aca="false">IF(LEFT(F42,1)="A",Parametros!$B$8,IF(LEFT(F42,1)="B",Parametros!$B$9,IF(LEFT(F42,1)="C",Parametros!$B$10,Parametros!$B$11)))</f>
        <v>0.95</v>
      </c>
      <c r="H42" s="27" t="n">
        <f aca="false">NORMSINV(G42)</f>
        <v>1.64485362695147</v>
      </c>
      <c r="I42" s="23" t="n">
        <v>26739</v>
      </c>
      <c r="J42" s="23" t="n">
        <f aca="false">IFERROR(INDEX(ABC_XYZ!$R$5:$R$494,MATCH(A42,ABC_XYZ!$A$5:$A$494,0)),I42*Parametros!$B$13)</f>
        <v>8021.7</v>
      </c>
      <c r="K42" s="27" t="n">
        <f aca="false">IFERROR(VLOOKUP(C42,Parametros!$A$36:$B$66,2,FALSE()),Parametros!$B$12)</f>
        <v>1</v>
      </c>
      <c r="L42" s="23" t="n">
        <f aca="false">H42*J42*SQRT(K42)</f>
        <v>13194.5223393166</v>
      </c>
      <c r="M42" s="29"/>
      <c r="N42" s="24"/>
      <c r="O42" s="3"/>
      <c r="P42" s="30" t="str">
        <f aca="false">IF(AND(ISNUMBER(M42),ISNUMBER(N42)),M42*N42/7,"")</f>
        <v/>
      </c>
      <c r="Q42" s="23" t="str">
        <f aca="false">IF(ISNUMBER(P42),I42*P42,"")</f>
        <v/>
      </c>
      <c r="R42" s="23" t="n">
        <f aca="false">IF(ISNUMBER(Q42),MAX(0,MIN(L42,Q42-I42*K42)),L42)</f>
        <v>13194.5223393166</v>
      </c>
      <c r="S42" s="23" t="n">
        <f aca="false">R42+I42*K42</f>
        <v>39933.5223393166</v>
      </c>
      <c r="T42" s="23" t="n">
        <v>91530</v>
      </c>
      <c r="U42" s="23" t="n">
        <v>372600</v>
      </c>
      <c r="V42" s="23" t="n">
        <f aca="false">T42+U42</f>
        <v>464130</v>
      </c>
      <c r="W42" s="30" t="n">
        <f aca="false">IF(I42&gt;0,V42/I42,"")</f>
        <v>17.3577919892292</v>
      </c>
      <c r="X42" s="3" t="str">
        <f aca="false">IF(I42&lt;=0,"SIN FCST",IF(V42&lt;R42,"BAJO SS",IF(T42&lt;R42,"BAJO SS (XLIB CUBRE)",IF(V42&lt;S42,"BAJO P.REORDEN",IF(AND(ISNUMBER(Q42),V42&gt;Q42),"SOBRE MAX VENDIBLE","OK")))))</f>
        <v>OK</v>
      </c>
    </row>
    <row r="43" customFormat="false" ht="15" hidden="false" customHeight="false" outlineLevel="0" collapsed="false">
      <c r="A43" s="3" t="n">
        <v>30000639</v>
      </c>
      <c r="B43" s="3" t="s">
        <v>787</v>
      </c>
      <c r="C43" s="3" t="s">
        <v>129</v>
      </c>
      <c r="D43" s="3" t="s">
        <v>753</v>
      </c>
      <c r="E43" s="3" t="s">
        <v>745</v>
      </c>
      <c r="F43" s="3" t="str">
        <f aca="false">IFERROR(INDEX(ABC_XYZ!$L$5:$L$494,MATCH(A43,ABC_XYZ!$A$5:$A$494,0)),"SIN HIST")</f>
        <v>AX</v>
      </c>
      <c r="G43" s="24" t="n">
        <f aca="false">IF(LEFT(F43,1)="A",Parametros!$B$8,IF(LEFT(F43,1)="B",Parametros!$B$9,IF(LEFT(F43,1)="C",Parametros!$B$10,Parametros!$B$11)))</f>
        <v>0.98</v>
      </c>
      <c r="H43" s="27" t="n">
        <f aca="false">NORMSINV(G43)</f>
        <v>2.05374891063182</v>
      </c>
      <c r="I43" s="23" t="n">
        <v>26257.1</v>
      </c>
      <c r="J43" s="23" t="n">
        <f aca="false">IFERROR(INDEX(ABC_XYZ!$R$5:$R$494,MATCH(A43,ABC_XYZ!$A$5:$A$494,0)),I43*Parametros!$B$13)</f>
        <v>5134.00931680754</v>
      </c>
      <c r="K43" s="27" t="n">
        <f aca="false">IFERROR(VLOOKUP(C43,Parametros!$A$36:$B$66,2,FALSE()),Parametros!$B$12)</f>
        <v>1</v>
      </c>
      <c r="L43" s="23" t="n">
        <f aca="false">H43*J43*SQRT(K43)</f>
        <v>10543.9660415671</v>
      </c>
      <c r="M43" s="29" t="n">
        <v>914</v>
      </c>
      <c r="N43" s="24" t="n">
        <v>0.463894967177243</v>
      </c>
      <c r="O43" s="3" t="s">
        <v>772</v>
      </c>
      <c r="P43" s="30" t="n">
        <f aca="false">IF(AND(ISNUMBER(M43),ISNUMBER(N43)),M43*N43/7,"")</f>
        <v>60.5714285714286</v>
      </c>
      <c r="Q43" s="23" t="n">
        <f aca="false">IF(ISNUMBER(P43),I43*P43,"")</f>
        <v>1590430.05714286</v>
      </c>
      <c r="R43" s="23" t="n">
        <f aca="false">IF(ISNUMBER(Q43),MAX(0,MIN(L43,Q43-I43*K43)),L43)</f>
        <v>10543.9660415671</v>
      </c>
      <c r="S43" s="23" t="n">
        <f aca="false">R43+I43*K43</f>
        <v>36801.0660415671</v>
      </c>
      <c r="T43" s="23" t="n">
        <v>311204.8</v>
      </c>
      <c r="U43" s="23" t="n">
        <v>0</v>
      </c>
      <c r="V43" s="23" t="n">
        <f aca="false">T43+U43</f>
        <v>311204.8</v>
      </c>
      <c r="W43" s="30" t="n">
        <f aca="false">IF(I43&gt;0,V43/I43,"")</f>
        <v>11.8522152103622</v>
      </c>
      <c r="X43" s="3" t="str">
        <f aca="false">IF(I43&lt;=0,"SIN FCST",IF(V43&lt;R43,"BAJO SS",IF(T43&lt;R43,"BAJO SS (XLIB CUBRE)",IF(V43&lt;S43,"BAJO P.REORDEN",IF(AND(ISNUMBER(Q43),V43&gt;Q43),"SOBRE MAX VENDIBLE","OK")))))</f>
        <v>OK</v>
      </c>
    </row>
    <row r="44" customFormat="false" ht="15" hidden="false" customHeight="false" outlineLevel="0" collapsed="false">
      <c r="A44" s="3" t="n">
        <v>30001050</v>
      </c>
      <c r="B44" s="3" t="s">
        <v>788</v>
      </c>
      <c r="C44" s="3" t="s">
        <v>155</v>
      </c>
      <c r="D44" s="3" t="s">
        <v>761</v>
      </c>
      <c r="E44" s="3" t="s">
        <v>762</v>
      </c>
      <c r="F44" s="3" t="str">
        <f aca="false">IFERROR(INDEX(ABC_XYZ!$L$5:$L$494,MATCH(A44,ABC_XYZ!$A$5:$A$494,0)),"SIN HIST")</f>
        <v>AX</v>
      </c>
      <c r="G44" s="24" t="n">
        <f aca="false">IF(LEFT(F44,1)="A",Parametros!$B$8,IF(LEFT(F44,1)="B",Parametros!$B$9,IF(LEFT(F44,1)="C",Parametros!$B$10,Parametros!$B$11)))</f>
        <v>0.98</v>
      </c>
      <c r="H44" s="27" t="n">
        <f aca="false">NORMSINV(G44)</f>
        <v>2.05374891063182</v>
      </c>
      <c r="I44" s="23" t="n">
        <v>26094.6</v>
      </c>
      <c r="J44" s="23" t="n">
        <f aca="false">IFERROR(INDEX(ABC_XYZ!$R$5:$R$494,MATCH(A44,ABC_XYZ!$A$5:$A$494,0)),I44*Parametros!$B$13)</f>
        <v>15873.1089497344</v>
      </c>
      <c r="K44" s="27" t="n">
        <f aca="false">IFERROR(VLOOKUP(C44,Parametros!$A$36:$B$66,2,FALSE()),Parametros!$B$12)</f>
        <v>1</v>
      </c>
      <c r="L44" s="23" t="n">
        <f aca="false">H44*J44*SQRT(K44)</f>
        <v>32599.3802138573</v>
      </c>
      <c r="M44" s="29" t="n">
        <v>62</v>
      </c>
      <c r="N44" s="24" t="n">
        <v>0.258064516129032</v>
      </c>
      <c r="O44" s="3" t="s">
        <v>772</v>
      </c>
      <c r="P44" s="30" t="n">
        <f aca="false">IF(AND(ISNUMBER(M44),ISNUMBER(N44)),M44*N44/7,"")</f>
        <v>2.28571428571429</v>
      </c>
      <c r="Q44" s="23" t="n">
        <f aca="false">IF(ISNUMBER(P44),I44*P44,"")</f>
        <v>59644.8</v>
      </c>
      <c r="R44" s="23" t="n">
        <f aca="false">IF(ISNUMBER(Q44),MAX(0,MIN(L44,Q44-I44*K44)),L44)</f>
        <v>32599.3802138573</v>
      </c>
      <c r="S44" s="23" t="n">
        <f aca="false">R44+I44*K44</f>
        <v>58693.9802138573</v>
      </c>
      <c r="T44" s="23" t="n">
        <v>32184</v>
      </c>
      <c r="U44" s="23" t="n">
        <v>8832</v>
      </c>
      <c r="V44" s="23" t="n">
        <f aca="false">T44+U44</f>
        <v>41016</v>
      </c>
      <c r="W44" s="30" t="n">
        <f aca="false">IF(I44&gt;0,V44/I44,"")</f>
        <v>1.57181945689913</v>
      </c>
      <c r="X44" s="3" t="str">
        <f aca="false">IF(I44&lt;=0,"SIN FCST",IF(V44&lt;R44,"BAJO SS",IF(T44&lt;R44,"BAJO SS (XLIB CUBRE)",IF(V44&lt;S44,"BAJO P.REORDEN",IF(AND(ISNUMBER(Q44),V44&gt;Q44),"SOBRE MAX VENDIBLE","OK")))))</f>
        <v>BAJO SS (XLIB CUBRE)</v>
      </c>
    </row>
    <row r="45" customFormat="false" ht="15" hidden="false" customHeight="false" outlineLevel="0" collapsed="false">
      <c r="A45" s="3" t="n">
        <v>30000626</v>
      </c>
      <c r="B45" s="3" t="s">
        <v>238</v>
      </c>
      <c r="C45" s="3" t="s">
        <v>129</v>
      </c>
      <c r="D45" s="3" t="s">
        <v>753</v>
      </c>
      <c r="E45" s="3" t="s">
        <v>745</v>
      </c>
      <c r="F45" s="3" t="str">
        <f aca="false">IFERROR(INDEX(ABC_XYZ!$L$5:$L$494,MATCH(A45,ABC_XYZ!$A$5:$A$494,0)),"SIN HIST")</f>
        <v>AY</v>
      </c>
      <c r="G45" s="24" t="n">
        <f aca="false">IF(LEFT(F45,1)="A",Parametros!$B$8,IF(LEFT(F45,1)="B",Parametros!$B$9,IF(LEFT(F45,1)="C",Parametros!$B$10,Parametros!$B$11)))</f>
        <v>0.98</v>
      </c>
      <c r="H45" s="27" t="n">
        <f aca="false">NORMSINV(G45)</f>
        <v>2.05374891063182</v>
      </c>
      <c r="I45" s="23" t="n">
        <v>25998.3</v>
      </c>
      <c r="J45" s="23" t="n">
        <f aca="false">IFERROR(INDEX(ABC_XYZ!$R$5:$R$494,MATCH(A45,ABC_XYZ!$A$5:$A$494,0)),I45*Parametros!$B$13)</f>
        <v>16375.2995731335</v>
      </c>
      <c r="K45" s="27" t="n">
        <f aca="false">IFERROR(VLOOKUP(C45,Parametros!$A$36:$B$66,2,FALSE()),Parametros!$B$12)</f>
        <v>1</v>
      </c>
      <c r="L45" s="23" t="n">
        <f aca="false">H45*J45*SQRT(K45)</f>
        <v>33630.7536595927</v>
      </c>
      <c r="M45" s="29" t="n">
        <v>1020</v>
      </c>
      <c r="N45" s="24" t="n">
        <v>0.468627450980392</v>
      </c>
      <c r="O45" s="3" t="s">
        <v>763</v>
      </c>
      <c r="P45" s="30" t="n">
        <f aca="false">IF(AND(ISNUMBER(M45),ISNUMBER(N45)),M45*N45/7,"")</f>
        <v>68.2857142857143</v>
      </c>
      <c r="Q45" s="23" t="n">
        <f aca="false">IF(ISNUMBER(P45),I45*P45,"")</f>
        <v>1775312.48571429</v>
      </c>
      <c r="R45" s="23" t="n">
        <f aca="false">IF(ISNUMBER(Q45),MAX(0,MIN(L45,Q45-I45*K45)),L45)</f>
        <v>33630.7536595927</v>
      </c>
      <c r="S45" s="23" t="n">
        <f aca="false">R45+I45*K45</f>
        <v>59629.0536595927</v>
      </c>
      <c r="T45" s="23" t="n">
        <v>594313.9</v>
      </c>
      <c r="U45" s="23" t="n">
        <v>0</v>
      </c>
      <c r="V45" s="23" t="n">
        <f aca="false">T45+U45</f>
        <v>594313.9</v>
      </c>
      <c r="W45" s="30" t="n">
        <f aca="false">IF(I45&gt;0,V45/I45,"")</f>
        <v>22.8597215971814</v>
      </c>
      <c r="X45" s="3" t="str">
        <f aca="false">IF(I45&lt;=0,"SIN FCST",IF(V45&lt;R45,"BAJO SS",IF(T45&lt;R45,"BAJO SS (XLIB CUBRE)",IF(V45&lt;S45,"BAJO P.REORDEN",IF(AND(ISNUMBER(Q45),V45&gt;Q45),"SOBRE MAX VENDIBLE","OK")))))</f>
        <v>OK</v>
      </c>
    </row>
    <row r="46" customFormat="false" ht="15" hidden="false" customHeight="false" outlineLevel="0" collapsed="false">
      <c r="A46" s="3" t="n">
        <v>30001753</v>
      </c>
      <c r="B46" s="3" t="s">
        <v>789</v>
      </c>
      <c r="C46" s="3" t="s">
        <v>144</v>
      </c>
      <c r="D46" s="3" t="s">
        <v>753</v>
      </c>
      <c r="E46" s="3" t="s">
        <v>745</v>
      </c>
      <c r="F46" s="3" t="str">
        <f aca="false">IFERROR(INDEX(ABC_XYZ!$L$5:$L$494,MATCH(A46,ABC_XYZ!$A$5:$A$494,0)),"SIN HIST")</f>
        <v>AX</v>
      </c>
      <c r="G46" s="24" t="n">
        <f aca="false">IF(LEFT(F46,1)="A",Parametros!$B$8,IF(LEFT(F46,1)="B",Parametros!$B$9,IF(LEFT(F46,1)="C",Parametros!$B$10,Parametros!$B$11)))</f>
        <v>0.98</v>
      </c>
      <c r="H46" s="27" t="n">
        <f aca="false">NORMSINV(G46)</f>
        <v>2.05374891063182</v>
      </c>
      <c r="I46" s="23" t="n">
        <v>25173.1</v>
      </c>
      <c r="J46" s="23" t="n">
        <f aca="false">IFERROR(INDEX(ABC_XYZ!$R$5:$R$494,MATCH(A46,ABC_XYZ!$A$5:$A$494,0)),I46*Parametros!$B$13)</f>
        <v>5229.92674192837</v>
      </c>
      <c r="K46" s="27" t="n">
        <f aca="false">IFERROR(VLOOKUP(C46,Parametros!$A$36:$B$66,2,FALSE()),Parametros!$B$12)</f>
        <v>1</v>
      </c>
      <c r="L46" s="23" t="n">
        <f aca="false">H46*J46*SQRT(K46)</f>
        <v>10740.9563489196</v>
      </c>
      <c r="M46" s="29" t="n">
        <v>365</v>
      </c>
      <c r="N46" s="24" t="n">
        <v>0.32054794520548</v>
      </c>
      <c r="O46" s="3" t="s">
        <v>754</v>
      </c>
      <c r="P46" s="30" t="n">
        <f aca="false">IF(AND(ISNUMBER(M46),ISNUMBER(N46)),M46*N46/7,"")</f>
        <v>16.7142857142857</v>
      </c>
      <c r="Q46" s="23" t="n">
        <f aca="false">IF(ISNUMBER(P46),I46*P46,"")</f>
        <v>420750.385714286</v>
      </c>
      <c r="R46" s="23" t="n">
        <f aca="false">IF(ISNUMBER(Q46),MAX(0,MIN(L46,Q46-I46*K46)),L46)</f>
        <v>10740.9563489196</v>
      </c>
      <c r="S46" s="23" t="n">
        <f aca="false">R46+I46*K46</f>
        <v>35914.0563489196</v>
      </c>
      <c r="T46" s="23" t="n">
        <v>30148.2</v>
      </c>
      <c r="U46" s="23" t="n">
        <v>54</v>
      </c>
      <c r="V46" s="23" t="n">
        <f aca="false">T46+U46</f>
        <v>30202.2</v>
      </c>
      <c r="W46" s="30" t="n">
        <f aca="false">IF(I46&gt;0,V46/I46,"")</f>
        <v>1.19978071830645</v>
      </c>
      <c r="X46" s="3" t="str">
        <f aca="false">IF(I46&lt;=0,"SIN FCST",IF(V46&lt;R46,"BAJO SS",IF(T46&lt;R46,"BAJO SS (XLIB CUBRE)",IF(V46&lt;S46,"BAJO P.REORDEN",IF(AND(ISNUMBER(Q46),V46&gt;Q46),"SOBRE MAX VENDIBLE","OK")))))</f>
        <v>BAJO P.REORDEN</v>
      </c>
    </row>
    <row r="47" customFormat="false" ht="15" hidden="false" customHeight="false" outlineLevel="0" collapsed="false">
      <c r="A47" s="3" t="n">
        <v>30000305</v>
      </c>
      <c r="B47" s="3" t="s">
        <v>254</v>
      </c>
      <c r="C47" s="3" t="s">
        <v>139</v>
      </c>
      <c r="D47" s="3" t="s">
        <v>753</v>
      </c>
      <c r="E47" s="3" t="s">
        <v>745</v>
      </c>
      <c r="F47" s="3" t="str">
        <f aca="false">IFERROR(INDEX(ABC_XYZ!$L$5:$L$494,MATCH(A47,ABC_XYZ!$A$5:$A$494,0)),"SIN HIST")</f>
        <v>AX</v>
      </c>
      <c r="G47" s="24" t="n">
        <f aca="false">IF(LEFT(F47,1)="A",Parametros!$B$8,IF(LEFT(F47,1)="B",Parametros!$B$9,IF(LEFT(F47,1)="C",Parametros!$B$10,Parametros!$B$11)))</f>
        <v>0.98</v>
      </c>
      <c r="H47" s="27" t="n">
        <f aca="false">NORMSINV(G47)</f>
        <v>2.05374891063182</v>
      </c>
      <c r="I47" s="23" t="n">
        <v>25150.5</v>
      </c>
      <c r="J47" s="23" t="n">
        <f aca="false">IFERROR(INDEX(ABC_XYZ!$R$5:$R$494,MATCH(A47,ABC_XYZ!$A$5:$A$494,0)),I47*Parametros!$B$13)</f>
        <v>3332.65282192597</v>
      </c>
      <c r="K47" s="27" t="n">
        <f aca="false">IFERROR(VLOOKUP(C47,Parametros!$A$36:$B$66,2,FALSE()),Parametros!$B$12)</f>
        <v>1</v>
      </c>
      <c r="L47" s="23" t="n">
        <f aca="false">H47*J47*SQRT(K47)</f>
        <v>6844.43210254454</v>
      </c>
      <c r="M47" s="29" t="n">
        <v>245</v>
      </c>
      <c r="N47" s="24" t="n">
        <v>0.220408163265306</v>
      </c>
      <c r="O47" s="3" t="s">
        <v>746</v>
      </c>
      <c r="P47" s="30" t="n">
        <f aca="false">IF(AND(ISNUMBER(M47),ISNUMBER(N47)),M47*N47/7,"")</f>
        <v>7.71428571428571</v>
      </c>
      <c r="Q47" s="23" t="n">
        <f aca="false">IF(ISNUMBER(P47),I47*P47,"")</f>
        <v>194018.142857143</v>
      </c>
      <c r="R47" s="23" t="n">
        <f aca="false">IF(ISNUMBER(Q47),MAX(0,MIN(L47,Q47-I47*K47)),L47)</f>
        <v>6844.43210254454</v>
      </c>
      <c r="S47" s="23" t="n">
        <f aca="false">R47+I47*K47</f>
        <v>31994.9321025445</v>
      </c>
      <c r="T47" s="23" t="n">
        <v>96918</v>
      </c>
      <c r="U47" s="23" t="n">
        <v>0</v>
      </c>
      <c r="V47" s="23" t="n">
        <f aca="false">T47+U47</f>
        <v>96918</v>
      </c>
      <c r="W47" s="30" t="n">
        <f aca="false">IF(I47&gt;0,V47/I47,"")</f>
        <v>3.8535217987714</v>
      </c>
      <c r="X47" s="3" t="str">
        <f aca="false">IF(I47&lt;=0,"SIN FCST",IF(V47&lt;R47,"BAJO SS",IF(T47&lt;R47,"BAJO SS (XLIB CUBRE)",IF(V47&lt;S47,"BAJO P.REORDEN",IF(AND(ISNUMBER(Q47),V47&gt;Q47),"SOBRE MAX VENDIBLE","OK")))))</f>
        <v>OK</v>
      </c>
    </row>
    <row r="48" customFormat="false" ht="15" hidden="false" customHeight="false" outlineLevel="0" collapsed="false">
      <c r="A48" s="3" t="n">
        <v>30001042</v>
      </c>
      <c r="B48" s="3" t="s">
        <v>790</v>
      </c>
      <c r="C48" s="3" t="s">
        <v>155</v>
      </c>
      <c r="D48" s="3" t="s">
        <v>761</v>
      </c>
      <c r="E48" s="3" t="s">
        <v>762</v>
      </c>
      <c r="F48" s="3" t="str">
        <f aca="false">IFERROR(INDEX(ABC_XYZ!$L$5:$L$494,MATCH(A48,ABC_XYZ!$A$5:$A$494,0)),"SIN HIST")</f>
        <v>AX</v>
      </c>
      <c r="G48" s="24" t="n">
        <f aca="false">IF(LEFT(F48,1)="A",Parametros!$B$8,IF(LEFT(F48,1)="B",Parametros!$B$9,IF(LEFT(F48,1)="C",Parametros!$B$10,Parametros!$B$11)))</f>
        <v>0.98</v>
      </c>
      <c r="H48" s="27" t="n">
        <f aca="false">NORMSINV(G48)</f>
        <v>2.05374891063182</v>
      </c>
      <c r="I48" s="23" t="n">
        <v>24988</v>
      </c>
      <c r="J48" s="23" t="n">
        <f aca="false">IFERROR(INDEX(ABC_XYZ!$R$5:$R$494,MATCH(A48,ABC_XYZ!$A$5:$A$494,0)),I48*Parametros!$B$13)</f>
        <v>5855.98827638229</v>
      </c>
      <c r="K48" s="27" t="n">
        <f aca="false">IFERROR(VLOOKUP(C48,Parametros!$A$36:$B$66,2,FALSE()),Parametros!$B$12)</f>
        <v>1</v>
      </c>
      <c r="L48" s="23" t="n">
        <f aca="false">H48*J48*SQRT(K48)</f>
        <v>12026.7295432928</v>
      </c>
      <c r="M48" s="29" t="n">
        <v>62</v>
      </c>
      <c r="N48" s="24" t="n">
        <v>0.32258064516129</v>
      </c>
      <c r="O48" s="3" t="s">
        <v>774</v>
      </c>
      <c r="P48" s="30" t="n">
        <f aca="false">IF(AND(ISNUMBER(M48),ISNUMBER(N48)),M48*N48/7,"")</f>
        <v>2.85714285714286</v>
      </c>
      <c r="Q48" s="23" t="n">
        <f aca="false">IF(ISNUMBER(P48),I48*P48,"")</f>
        <v>71394.2857142857</v>
      </c>
      <c r="R48" s="23" t="n">
        <f aca="false">IF(ISNUMBER(Q48),MAX(0,MIN(L48,Q48-I48*K48)),L48)</f>
        <v>12026.7295432928</v>
      </c>
      <c r="S48" s="23" t="n">
        <f aca="false">R48+I48*K48</f>
        <v>37014.7295432928</v>
      </c>
      <c r="T48" s="23" t="n">
        <v>19525.4</v>
      </c>
      <c r="U48" s="23" t="n">
        <v>14963.5</v>
      </c>
      <c r="V48" s="23" t="n">
        <f aca="false">T48+U48</f>
        <v>34488.9</v>
      </c>
      <c r="W48" s="30" t="n">
        <f aca="false">IF(I48&gt;0,V48/I48,"")</f>
        <v>1.38021850488234</v>
      </c>
      <c r="X48" s="3" t="str">
        <f aca="false">IF(I48&lt;=0,"SIN FCST",IF(V48&lt;R48,"BAJO SS",IF(T48&lt;R48,"BAJO SS (XLIB CUBRE)",IF(V48&lt;S48,"BAJO P.REORDEN",IF(AND(ISNUMBER(Q48),V48&gt;Q48),"SOBRE MAX VENDIBLE","OK")))))</f>
        <v>BAJO P.REORDEN</v>
      </c>
    </row>
    <row r="49" customFormat="false" ht="15" hidden="false" customHeight="false" outlineLevel="0" collapsed="false">
      <c r="A49" s="3" t="n">
        <v>30000728</v>
      </c>
      <c r="B49" s="3" t="s">
        <v>791</v>
      </c>
      <c r="C49" s="3" t="s">
        <v>133</v>
      </c>
      <c r="D49" s="3" t="s">
        <v>769</v>
      </c>
      <c r="E49" s="3"/>
      <c r="F49" s="3" t="str">
        <f aca="false">IFERROR(INDEX(ABC_XYZ!$L$5:$L$494,MATCH(A49,ABC_XYZ!$A$5:$A$494,0)),"SIN HIST")</f>
        <v>SIN HIST</v>
      </c>
      <c r="G49" s="24" t="n">
        <f aca="false">IF(LEFT(F49,1)="A",Parametros!$B$8,IF(LEFT(F49,1)="B",Parametros!$B$9,IF(LEFT(F49,1)="C",Parametros!$B$10,Parametros!$B$11)))</f>
        <v>0.95</v>
      </c>
      <c r="H49" s="27" t="n">
        <f aca="false">NORMSINV(G49)</f>
        <v>1.64485362695147</v>
      </c>
      <c r="I49" s="23" t="n">
        <v>24418.6</v>
      </c>
      <c r="J49" s="23" t="n">
        <f aca="false">IFERROR(INDEX(ABC_XYZ!$R$5:$R$494,MATCH(A49,ABC_XYZ!$A$5:$A$494,0)),I49*Parametros!$B$13)</f>
        <v>7325.58</v>
      </c>
      <c r="K49" s="27" t="n">
        <f aca="false">IFERROR(VLOOKUP(C49,Parametros!$A$36:$B$66,2,FALSE()),Parametros!$B$12)</f>
        <v>1</v>
      </c>
      <c r="L49" s="23" t="n">
        <f aca="false">H49*J49*SQRT(K49)</f>
        <v>12049.5068325232</v>
      </c>
      <c r="M49" s="29"/>
      <c r="N49" s="24"/>
      <c r="O49" s="3"/>
      <c r="P49" s="30" t="str">
        <f aca="false">IF(AND(ISNUMBER(M49),ISNUMBER(N49)),M49*N49/7,"")</f>
        <v/>
      </c>
      <c r="Q49" s="23" t="str">
        <f aca="false">IF(ISNUMBER(P49),I49*P49,"")</f>
        <v/>
      </c>
      <c r="R49" s="23" t="n">
        <f aca="false">IF(ISNUMBER(Q49),MAX(0,MIN(L49,Q49-I49*K49)),L49)</f>
        <v>12049.5068325232</v>
      </c>
      <c r="S49" s="23" t="n">
        <f aca="false">R49+I49*K49</f>
        <v>36468.1068325232</v>
      </c>
      <c r="T49" s="23" t="n">
        <v>358340</v>
      </c>
      <c r="U49" s="23" t="n">
        <v>31030</v>
      </c>
      <c r="V49" s="23" t="n">
        <f aca="false">T49+U49</f>
        <v>389370</v>
      </c>
      <c r="W49" s="30" t="n">
        <f aca="false">IF(I49&gt;0,V49/I49,"")</f>
        <v>15.9456316086917</v>
      </c>
      <c r="X49" s="3" t="str">
        <f aca="false">IF(I49&lt;=0,"SIN FCST",IF(V49&lt;R49,"BAJO SS",IF(T49&lt;R49,"BAJO SS (XLIB CUBRE)",IF(V49&lt;S49,"BAJO P.REORDEN",IF(AND(ISNUMBER(Q49),V49&gt;Q49),"SOBRE MAX VENDIBLE","OK")))))</f>
        <v>OK</v>
      </c>
    </row>
    <row r="50" customFormat="false" ht="15" hidden="false" customHeight="false" outlineLevel="0" collapsed="false">
      <c r="A50" s="3" t="n">
        <v>30002329</v>
      </c>
      <c r="B50" s="3" t="s">
        <v>253</v>
      </c>
      <c r="C50" s="3" t="s">
        <v>139</v>
      </c>
      <c r="D50" s="3" t="s">
        <v>753</v>
      </c>
      <c r="E50" s="3"/>
      <c r="F50" s="3" t="str">
        <f aca="false">IFERROR(INDEX(ABC_XYZ!$L$5:$L$494,MATCH(A50,ABC_XYZ!$A$5:$A$494,0)),"SIN HIST")</f>
        <v>AX</v>
      </c>
      <c r="G50" s="24" t="n">
        <f aca="false">IF(LEFT(F50,1)="A",Parametros!$B$8,IF(LEFT(F50,1)="B",Parametros!$B$9,IF(LEFT(F50,1)="C",Parametros!$B$10,Parametros!$B$11)))</f>
        <v>0.98</v>
      </c>
      <c r="H50" s="27" t="n">
        <f aca="false">NORMSINV(G50)</f>
        <v>2.05374891063182</v>
      </c>
      <c r="I50" s="23" t="n">
        <v>24088.6</v>
      </c>
      <c r="J50" s="23" t="n">
        <f aca="false">IFERROR(INDEX(ABC_XYZ!$R$5:$R$494,MATCH(A50,ABC_XYZ!$A$5:$A$494,0)),I50*Parametros!$B$13)</f>
        <v>5757.83858018592</v>
      </c>
      <c r="K50" s="27" t="n">
        <f aca="false">IFERROR(VLOOKUP(C50,Parametros!$A$36:$B$66,2,FALSE()),Parametros!$B$12)</f>
        <v>1</v>
      </c>
      <c r="L50" s="23" t="n">
        <f aca="false">H50*J50*SQRT(K50)</f>
        <v>11825.1547116507</v>
      </c>
      <c r="M50" s="29"/>
      <c r="N50" s="24"/>
      <c r="O50" s="3"/>
      <c r="P50" s="30" t="str">
        <f aca="false">IF(AND(ISNUMBER(M50),ISNUMBER(N50)),M50*N50/7,"")</f>
        <v/>
      </c>
      <c r="Q50" s="23" t="str">
        <f aca="false">IF(ISNUMBER(P50),I50*P50,"")</f>
        <v/>
      </c>
      <c r="R50" s="23" t="n">
        <f aca="false">IF(ISNUMBER(Q50),MAX(0,MIN(L50,Q50-I50*K50)),L50)</f>
        <v>11825.1547116507</v>
      </c>
      <c r="S50" s="23" t="n">
        <f aca="false">R50+I50*K50</f>
        <v>35913.7547116507</v>
      </c>
      <c r="T50" s="23" t="n">
        <v>86946</v>
      </c>
      <c r="U50" s="23" t="n">
        <v>0</v>
      </c>
      <c r="V50" s="23" t="n">
        <f aca="false">T50+U50</f>
        <v>86946</v>
      </c>
      <c r="W50" s="30" t="n">
        <f aca="false">IF(I50&gt;0,V50/I50,"")</f>
        <v>3.60942520528383</v>
      </c>
      <c r="X50" s="3" t="str">
        <f aca="false">IF(I50&lt;=0,"SIN FCST",IF(V50&lt;R50,"BAJO SS",IF(T50&lt;R50,"BAJO SS (XLIB CUBRE)",IF(V50&lt;S50,"BAJO P.REORDEN",IF(AND(ISNUMBER(Q50),V50&gt;Q50),"SOBRE MAX VENDIBLE","OK")))))</f>
        <v>OK</v>
      </c>
    </row>
    <row r="51" customFormat="false" ht="15" hidden="false" customHeight="false" outlineLevel="0" collapsed="false">
      <c r="A51" s="3" t="n">
        <v>30000537</v>
      </c>
      <c r="B51" s="3" t="s">
        <v>792</v>
      </c>
      <c r="C51" s="3" t="s">
        <v>148</v>
      </c>
      <c r="D51" s="3" t="s">
        <v>753</v>
      </c>
      <c r="E51" s="3" t="s">
        <v>745</v>
      </c>
      <c r="F51" s="3" t="str">
        <f aca="false">IFERROR(INDEX(ABC_XYZ!$L$5:$L$494,MATCH(A51,ABC_XYZ!$A$5:$A$494,0)),"SIN HIST")</f>
        <v>SIN HIST</v>
      </c>
      <c r="G51" s="24" t="n">
        <f aca="false">IF(LEFT(F51,1)="A",Parametros!$B$8,IF(LEFT(F51,1)="B",Parametros!$B$9,IF(LEFT(F51,1)="C",Parametros!$B$10,Parametros!$B$11)))</f>
        <v>0.95</v>
      </c>
      <c r="H51" s="27" t="n">
        <f aca="false">NORMSINV(G51)</f>
        <v>1.64485362695147</v>
      </c>
      <c r="I51" s="23" t="n">
        <v>24086</v>
      </c>
      <c r="J51" s="23" t="n">
        <f aca="false">IFERROR(INDEX(ABC_XYZ!$R$5:$R$494,MATCH(A51,ABC_XYZ!$A$5:$A$494,0)),I51*Parametros!$B$13)</f>
        <v>7225.8</v>
      </c>
      <c r="K51" s="27" t="n">
        <f aca="false">IFERROR(VLOOKUP(C51,Parametros!$A$36:$B$66,2,FALSE()),Parametros!$B$12)</f>
        <v>1</v>
      </c>
      <c r="L51" s="23" t="n">
        <f aca="false">H51*J51*SQRT(K51)</f>
        <v>11885.3833376259</v>
      </c>
      <c r="M51" s="29" t="n">
        <v>184</v>
      </c>
      <c r="N51" s="24" t="n">
        <v>0.271739130434783</v>
      </c>
      <c r="O51" s="3" t="s">
        <v>746</v>
      </c>
      <c r="P51" s="30" t="n">
        <f aca="false">IF(AND(ISNUMBER(M51),ISNUMBER(N51)),M51*N51/7,"")</f>
        <v>7.14285714285714</v>
      </c>
      <c r="Q51" s="23" t="n">
        <f aca="false">IF(ISNUMBER(P51),I51*P51,"")</f>
        <v>172042.857142857</v>
      </c>
      <c r="R51" s="23" t="n">
        <f aca="false">IF(ISNUMBER(Q51),MAX(0,MIN(L51,Q51-I51*K51)),L51)</f>
        <v>11885.3833376259</v>
      </c>
      <c r="S51" s="23" t="n">
        <f aca="false">R51+I51*K51</f>
        <v>35971.3833376259</v>
      </c>
      <c r="T51" s="23" t="n">
        <v>32310</v>
      </c>
      <c r="U51" s="23" t="n">
        <v>22040</v>
      </c>
      <c r="V51" s="23" t="n">
        <f aca="false">T51+U51</f>
        <v>54350</v>
      </c>
      <c r="W51" s="30" t="n">
        <f aca="false">IF(I51&gt;0,V51/I51,"")</f>
        <v>2.25649755044424</v>
      </c>
      <c r="X51" s="3" t="str">
        <f aca="false">IF(I51&lt;=0,"SIN FCST",IF(V51&lt;R51,"BAJO SS",IF(T51&lt;R51,"BAJO SS (XLIB CUBRE)",IF(V51&lt;S51,"BAJO P.REORDEN",IF(AND(ISNUMBER(Q51),V51&gt;Q51),"SOBRE MAX VENDIBLE","OK")))))</f>
        <v>OK</v>
      </c>
    </row>
    <row r="52" customFormat="false" ht="15" hidden="false" customHeight="false" outlineLevel="0" collapsed="false">
      <c r="A52" s="3" t="n">
        <v>30000302</v>
      </c>
      <c r="B52" s="3" t="s">
        <v>251</v>
      </c>
      <c r="C52" s="3" t="s">
        <v>142</v>
      </c>
      <c r="D52" s="3" t="s">
        <v>750</v>
      </c>
      <c r="E52" s="3" t="s">
        <v>762</v>
      </c>
      <c r="F52" s="3" t="str">
        <f aca="false">IFERROR(INDEX(ABC_XYZ!$L$5:$L$494,MATCH(A52,ABC_XYZ!$A$5:$A$494,0)),"SIN HIST")</f>
        <v>AX</v>
      </c>
      <c r="G52" s="24" t="n">
        <f aca="false">IF(LEFT(F52,1)="A",Parametros!$B$8,IF(LEFT(F52,1)="B",Parametros!$B$9,IF(LEFT(F52,1)="C",Parametros!$B$10,Parametros!$B$11)))</f>
        <v>0.98</v>
      </c>
      <c r="H52" s="27" t="n">
        <f aca="false">NORMSINV(G52)</f>
        <v>2.05374891063182</v>
      </c>
      <c r="I52" s="23" t="n">
        <v>23980.8</v>
      </c>
      <c r="J52" s="23" t="n">
        <f aca="false">IFERROR(INDEX(ABC_XYZ!$R$5:$R$494,MATCH(A52,ABC_XYZ!$A$5:$A$494,0)),I52*Parametros!$B$13)</f>
        <v>8589.81714567789</v>
      </c>
      <c r="K52" s="27" t="n">
        <f aca="false">IFERROR(VLOOKUP(C52,Parametros!$A$36:$B$66,2,FALSE()),Parametros!$B$12)</f>
        <v>1</v>
      </c>
      <c r="L52" s="23" t="n">
        <f aca="false">H52*J52*SQRT(K52)</f>
        <v>17641.3276054625</v>
      </c>
      <c r="M52" s="29" t="n">
        <v>184</v>
      </c>
      <c r="N52" s="24" t="n">
        <v>0.315217391304348</v>
      </c>
      <c r="O52" s="3" t="s">
        <v>780</v>
      </c>
      <c r="P52" s="30" t="n">
        <f aca="false">IF(AND(ISNUMBER(M52),ISNUMBER(N52)),M52*N52/7,"")</f>
        <v>8.28571428571429</v>
      </c>
      <c r="Q52" s="23" t="n">
        <f aca="false">IF(ISNUMBER(P52),I52*P52,"")</f>
        <v>198698.057142857</v>
      </c>
      <c r="R52" s="23" t="n">
        <f aca="false">IF(ISNUMBER(Q52),MAX(0,MIN(L52,Q52-I52*K52)),L52)</f>
        <v>17641.3276054625</v>
      </c>
      <c r="S52" s="23" t="n">
        <f aca="false">R52+I52*K52</f>
        <v>41622.1276054625</v>
      </c>
      <c r="T52" s="23" t="n">
        <v>124210</v>
      </c>
      <c r="U52" s="23" t="n">
        <v>0</v>
      </c>
      <c r="V52" s="23" t="n">
        <f aca="false">T52+U52</f>
        <v>124210</v>
      </c>
      <c r="W52" s="30" t="n">
        <f aca="false">IF(I52&gt;0,V52/I52,"")</f>
        <v>5.1795603149186</v>
      </c>
      <c r="X52" s="3" t="str">
        <f aca="false">IF(I52&lt;=0,"SIN FCST",IF(V52&lt;R52,"BAJO SS",IF(T52&lt;R52,"BAJO SS (XLIB CUBRE)",IF(V52&lt;S52,"BAJO P.REORDEN",IF(AND(ISNUMBER(Q52),V52&gt;Q52),"SOBRE MAX VENDIBLE","OK")))))</f>
        <v>OK</v>
      </c>
    </row>
    <row r="53" customFormat="false" ht="15" hidden="false" customHeight="false" outlineLevel="0" collapsed="false">
      <c r="A53" s="3" t="n">
        <v>30001364</v>
      </c>
      <c r="B53" s="3" t="s">
        <v>248</v>
      </c>
      <c r="C53" s="3" t="s">
        <v>124</v>
      </c>
      <c r="D53" s="3" t="s">
        <v>769</v>
      </c>
      <c r="E53" s="3" t="s">
        <v>745</v>
      </c>
      <c r="F53" s="3" t="str">
        <f aca="false">IFERROR(INDEX(ABC_XYZ!$L$5:$L$494,MATCH(A53,ABC_XYZ!$A$5:$A$494,0)),"SIN HIST")</f>
        <v>AX</v>
      </c>
      <c r="G53" s="24" t="n">
        <f aca="false">IF(LEFT(F53,1)="A",Parametros!$B$8,IF(LEFT(F53,1)="B",Parametros!$B$9,IF(LEFT(F53,1)="C",Parametros!$B$10,Parametros!$B$11)))</f>
        <v>0.98</v>
      </c>
      <c r="H53" s="27" t="n">
        <f aca="false">NORMSINV(G53)</f>
        <v>2.05374891063182</v>
      </c>
      <c r="I53" s="23" t="n">
        <v>23925</v>
      </c>
      <c r="J53" s="23" t="n">
        <f aca="false">IFERROR(INDEX(ABC_XYZ!$R$5:$R$494,MATCH(A53,ABC_XYZ!$A$5:$A$494,0)),I53*Parametros!$B$13)</f>
        <v>6252.8517813981</v>
      </c>
      <c r="K53" s="27" t="n">
        <f aca="false">IFERROR(VLOOKUP(C53,Parametros!$A$36:$B$66,2,FALSE()),Parametros!$B$12)</f>
        <v>1</v>
      </c>
      <c r="L53" s="23" t="n">
        <f aca="false">H53*J53*SQRT(K53)</f>
        <v>12841.7875343886</v>
      </c>
      <c r="M53" s="29" t="n">
        <v>730</v>
      </c>
      <c r="N53" s="24" t="n">
        <v>0.346575342465753</v>
      </c>
      <c r="O53" s="3" t="s">
        <v>774</v>
      </c>
      <c r="P53" s="30" t="n">
        <f aca="false">IF(AND(ISNUMBER(M53),ISNUMBER(N53)),M53*N53/7,"")</f>
        <v>36.1428571428571</v>
      </c>
      <c r="Q53" s="23" t="n">
        <f aca="false">IF(ISNUMBER(P53),I53*P53,"")</f>
        <v>864717.857142857</v>
      </c>
      <c r="R53" s="23" t="n">
        <f aca="false">IF(ISNUMBER(Q53),MAX(0,MIN(L53,Q53-I53*K53)),L53)</f>
        <v>12841.7875343886</v>
      </c>
      <c r="S53" s="23" t="n">
        <f aca="false">R53+I53*K53</f>
        <v>36766.7875343886</v>
      </c>
      <c r="T53" s="23" t="n">
        <v>51191</v>
      </c>
      <c r="U53" s="23" t="n">
        <v>0</v>
      </c>
      <c r="V53" s="23" t="n">
        <f aca="false">T53+U53</f>
        <v>51191</v>
      </c>
      <c r="W53" s="30" t="n">
        <f aca="false">IF(I53&gt;0,V53/I53,"")</f>
        <v>2.139644723093</v>
      </c>
      <c r="X53" s="3" t="str">
        <f aca="false">IF(I53&lt;=0,"SIN FCST",IF(V53&lt;R53,"BAJO SS",IF(T53&lt;R53,"BAJO SS (XLIB CUBRE)",IF(V53&lt;S53,"BAJO P.REORDEN",IF(AND(ISNUMBER(Q53),V53&gt;Q53),"SOBRE MAX VENDIBLE","OK")))))</f>
        <v>OK</v>
      </c>
    </row>
    <row r="54" customFormat="false" ht="15" hidden="false" customHeight="false" outlineLevel="0" collapsed="false">
      <c r="A54" s="3" t="n">
        <v>30000384</v>
      </c>
      <c r="B54" s="3" t="s">
        <v>262</v>
      </c>
      <c r="C54" s="3" t="s">
        <v>130</v>
      </c>
      <c r="D54" s="3" t="s">
        <v>753</v>
      </c>
      <c r="E54" s="3" t="s">
        <v>745</v>
      </c>
      <c r="F54" s="3" t="str">
        <f aca="false">IFERROR(INDEX(ABC_XYZ!$L$5:$L$494,MATCH(A54,ABC_XYZ!$A$5:$A$494,0)),"SIN HIST")</f>
        <v>AX</v>
      </c>
      <c r="G54" s="24" t="n">
        <f aca="false">IF(LEFT(F54,1)="A",Parametros!$B$8,IF(LEFT(F54,1)="B",Parametros!$B$9,IF(LEFT(F54,1)="C",Parametros!$B$10,Parametros!$B$11)))</f>
        <v>0.98</v>
      </c>
      <c r="H54" s="27" t="n">
        <f aca="false">NORMSINV(G54)</f>
        <v>2.05374891063182</v>
      </c>
      <c r="I54" s="23" t="n">
        <v>23868.5</v>
      </c>
      <c r="J54" s="23" t="n">
        <f aca="false">IFERROR(INDEX(ABC_XYZ!$R$5:$R$494,MATCH(A54,ABC_XYZ!$A$5:$A$494,0)),I54*Parametros!$B$13)</f>
        <v>7743.98218960086</v>
      </c>
      <c r="K54" s="27" t="n">
        <f aca="false">IFERROR(VLOOKUP(C54,Parametros!$A$36:$B$66,2,FALSE()),Parametros!$B$12)</f>
        <v>1</v>
      </c>
      <c r="L54" s="23" t="n">
        <f aca="false">H54*J54*SQRT(K54)</f>
        <v>15904.194985845</v>
      </c>
      <c r="M54" s="29" t="n">
        <v>189</v>
      </c>
      <c r="N54" s="24" t="n">
        <v>0.259259259259259</v>
      </c>
      <c r="O54" s="3" t="s">
        <v>746</v>
      </c>
      <c r="P54" s="30" t="n">
        <f aca="false">IF(AND(ISNUMBER(M54),ISNUMBER(N54)),M54*N54/7,"")</f>
        <v>7</v>
      </c>
      <c r="Q54" s="23" t="n">
        <f aca="false">IF(ISNUMBER(P54),I54*P54,"")</f>
        <v>167079.5</v>
      </c>
      <c r="R54" s="23" t="n">
        <f aca="false">IF(ISNUMBER(Q54),MAX(0,MIN(L54,Q54-I54*K54)),L54)</f>
        <v>15904.194985845</v>
      </c>
      <c r="S54" s="23" t="n">
        <f aca="false">R54+I54*K54</f>
        <v>39772.694985845</v>
      </c>
      <c r="T54" s="23" t="n">
        <v>56862</v>
      </c>
      <c r="U54" s="23" t="n">
        <v>0</v>
      </c>
      <c r="V54" s="23" t="n">
        <f aca="false">T54+U54</f>
        <v>56862</v>
      </c>
      <c r="W54" s="30" t="n">
        <f aca="false">IF(I54&gt;0,V54/I54,"")</f>
        <v>2.38230303538136</v>
      </c>
      <c r="X54" s="3" t="str">
        <f aca="false">IF(I54&lt;=0,"SIN FCST",IF(V54&lt;R54,"BAJO SS",IF(T54&lt;R54,"BAJO SS (XLIB CUBRE)",IF(V54&lt;S54,"BAJO P.REORDEN",IF(AND(ISNUMBER(Q54),V54&gt;Q54),"SOBRE MAX VENDIBLE","OK")))))</f>
        <v>OK</v>
      </c>
    </row>
    <row r="55" customFormat="false" ht="15" hidden="false" customHeight="false" outlineLevel="0" collapsed="false">
      <c r="A55" s="3" t="n">
        <v>30000340</v>
      </c>
      <c r="B55" s="3" t="s">
        <v>793</v>
      </c>
      <c r="C55" s="3" t="s">
        <v>148</v>
      </c>
      <c r="D55" s="3" t="s">
        <v>753</v>
      </c>
      <c r="E55" s="3" t="s">
        <v>745</v>
      </c>
      <c r="F55" s="3" t="str">
        <f aca="false">IFERROR(INDEX(ABC_XYZ!$L$5:$L$494,MATCH(A55,ABC_XYZ!$A$5:$A$494,0)),"SIN HIST")</f>
        <v>SIN HIST</v>
      </c>
      <c r="G55" s="24" t="n">
        <f aca="false">IF(LEFT(F55,1)="A",Parametros!$B$8,IF(LEFT(F55,1)="B",Parametros!$B$9,IF(LEFT(F55,1)="C",Parametros!$B$10,Parametros!$B$11)))</f>
        <v>0.95</v>
      </c>
      <c r="H55" s="27" t="n">
        <f aca="false">NORMSINV(G55)</f>
        <v>1.64485362695147</v>
      </c>
      <c r="I55" s="23" t="n">
        <v>23720.9</v>
      </c>
      <c r="J55" s="23" t="n">
        <f aca="false">IFERROR(INDEX(ABC_XYZ!$R$5:$R$494,MATCH(A55,ABC_XYZ!$A$5:$A$494,0)),I55*Parametros!$B$13)</f>
        <v>7116.27</v>
      </c>
      <c r="K55" s="27" t="n">
        <f aca="false">IFERROR(VLOOKUP(C55,Parametros!$A$36:$B$66,2,FALSE()),Parametros!$B$12)</f>
        <v>1</v>
      </c>
      <c r="L55" s="23" t="n">
        <f aca="false">H55*J55*SQRT(K55)</f>
        <v>11705.2225198659</v>
      </c>
      <c r="M55" s="29" t="n">
        <v>245</v>
      </c>
      <c r="N55" s="24" t="n">
        <v>0.253061224489796</v>
      </c>
      <c r="O55" s="3" t="s">
        <v>754</v>
      </c>
      <c r="P55" s="30" t="n">
        <f aca="false">IF(AND(ISNUMBER(M55),ISNUMBER(N55)),M55*N55/7,"")</f>
        <v>8.85714285714286</v>
      </c>
      <c r="Q55" s="23" t="n">
        <f aca="false">IF(ISNUMBER(P55),I55*P55,"")</f>
        <v>210099.4</v>
      </c>
      <c r="R55" s="23" t="n">
        <f aca="false">IF(ISNUMBER(Q55),MAX(0,MIN(L55,Q55-I55*K55)),L55)</f>
        <v>11705.2225198659</v>
      </c>
      <c r="S55" s="23" t="n">
        <f aca="false">R55+I55*K55</f>
        <v>35426.122519866</v>
      </c>
      <c r="T55" s="23" t="n">
        <v>57516</v>
      </c>
      <c r="U55" s="23" t="n">
        <v>67128</v>
      </c>
      <c r="V55" s="23" t="n">
        <f aca="false">T55+U55</f>
        <v>124644</v>
      </c>
      <c r="W55" s="30" t="n">
        <f aca="false">IF(I55&gt;0,V55/I55,"")</f>
        <v>5.25460669704775</v>
      </c>
      <c r="X55" s="3" t="str">
        <f aca="false">IF(I55&lt;=0,"SIN FCST",IF(V55&lt;R55,"BAJO SS",IF(T55&lt;R55,"BAJO SS (XLIB CUBRE)",IF(V55&lt;S55,"BAJO P.REORDEN",IF(AND(ISNUMBER(Q55),V55&gt;Q55),"SOBRE MAX VENDIBLE","OK")))))</f>
        <v>OK</v>
      </c>
    </row>
    <row r="56" customFormat="false" ht="15" hidden="false" customHeight="false" outlineLevel="0" collapsed="false">
      <c r="A56" s="3" t="n">
        <v>30001970</v>
      </c>
      <c r="B56" s="3" t="s">
        <v>794</v>
      </c>
      <c r="C56" s="3" t="s">
        <v>130</v>
      </c>
      <c r="D56" s="3" t="s">
        <v>753</v>
      </c>
      <c r="E56" s="3"/>
      <c r="F56" s="3" t="str">
        <f aca="false">IFERROR(INDEX(ABC_XYZ!$L$5:$L$494,MATCH(A56,ABC_XYZ!$A$5:$A$494,0)),"SIN HIST")</f>
        <v>SIN HIST</v>
      </c>
      <c r="G56" s="24" t="n">
        <f aca="false">IF(LEFT(F56,1)="A",Parametros!$B$8,IF(LEFT(F56,1)="B",Parametros!$B$9,IF(LEFT(F56,1)="C",Parametros!$B$10,Parametros!$B$11)))</f>
        <v>0.95</v>
      </c>
      <c r="H56" s="27" t="n">
        <f aca="false">NORMSINV(G56)</f>
        <v>1.64485362695147</v>
      </c>
      <c r="I56" s="23" t="n">
        <v>23255.9</v>
      </c>
      <c r="J56" s="23" t="n">
        <f aca="false">IFERROR(INDEX(ABC_XYZ!$R$5:$R$494,MATCH(A56,ABC_XYZ!$A$5:$A$494,0)),I56*Parametros!$B$13)</f>
        <v>6976.77</v>
      </c>
      <c r="K56" s="27" t="n">
        <f aca="false">IFERROR(VLOOKUP(C56,Parametros!$A$36:$B$66,2,FALSE()),Parametros!$B$12)</f>
        <v>1</v>
      </c>
      <c r="L56" s="23" t="n">
        <f aca="false">H56*J56*SQRT(K56)</f>
        <v>11475.7654389062</v>
      </c>
      <c r="M56" s="29" t="n">
        <v>64</v>
      </c>
      <c r="N56" s="24" t="n">
        <v>0.1875</v>
      </c>
      <c r="O56" s="3" t="s">
        <v>754</v>
      </c>
      <c r="P56" s="30" t="n">
        <f aca="false">IF(AND(ISNUMBER(M56),ISNUMBER(N56)),M56*N56/7,"")</f>
        <v>1.71428571428571</v>
      </c>
      <c r="Q56" s="23" t="n">
        <f aca="false">IF(ISNUMBER(P56),I56*P56,"")</f>
        <v>39867.2571428572</v>
      </c>
      <c r="R56" s="23" t="n">
        <f aca="false">IF(ISNUMBER(Q56),MAX(0,MIN(L56,Q56-I56*K56)),L56)</f>
        <v>11475.7654389062</v>
      </c>
      <c r="S56" s="23" t="n">
        <f aca="false">R56+I56*K56</f>
        <v>34731.6654389062</v>
      </c>
      <c r="T56" s="23" t="n">
        <v>24705</v>
      </c>
      <c r="U56" s="23" t="n">
        <v>14427</v>
      </c>
      <c r="V56" s="23" t="n">
        <f aca="false">T56+U56</f>
        <v>39132</v>
      </c>
      <c r="W56" s="30" t="n">
        <f aca="false">IF(I56&gt;0,V56/I56,"")</f>
        <v>1.68266977412184</v>
      </c>
      <c r="X56" s="3" t="str">
        <f aca="false">IF(I56&lt;=0,"SIN FCST",IF(V56&lt;R56,"BAJO SS",IF(T56&lt;R56,"BAJO SS (XLIB CUBRE)",IF(V56&lt;S56,"BAJO P.REORDEN",IF(AND(ISNUMBER(Q56),V56&gt;Q56),"SOBRE MAX VENDIBLE","OK")))))</f>
        <v>OK</v>
      </c>
    </row>
    <row r="57" customFormat="false" ht="15" hidden="false" customHeight="false" outlineLevel="0" collapsed="false">
      <c r="A57" s="3" t="n">
        <v>30002099</v>
      </c>
      <c r="B57" s="3" t="s">
        <v>795</v>
      </c>
      <c r="C57" s="3" t="s">
        <v>135</v>
      </c>
      <c r="D57" s="3" t="s">
        <v>753</v>
      </c>
      <c r="E57" s="3" t="s">
        <v>745</v>
      </c>
      <c r="F57" s="3" t="str">
        <f aca="false">IFERROR(INDEX(ABC_XYZ!$L$5:$L$494,MATCH(A57,ABC_XYZ!$A$5:$A$494,0)),"SIN HIST")</f>
        <v>AY</v>
      </c>
      <c r="G57" s="24" t="n">
        <f aca="false">IF(LEFT(F57,1)="A",Parametros!$B$8,IF(LEFT(F57,1)="B",Parametros!$B$9,IF(LEFT(F57,1)="C",Parametros!$B$10,Parametros!$B$11)))</f>
        <v>0.98</v>
      </c>
      <c r="H57" s="27" t="n">
        <f aca="false">NORMSINV(G57)</f>
        <v>2.05374891063182</v>
      </c>
      <c r="I57" s="23" t="n">
        <v>21569.8</v>
      </c>
      <c r="J57" s="23" t="n">
        <f aca="false">IFERROR(INDEX(ABC_XYZ!$R$5:$R$494,MATCH(A57,ABC_XYZ!$A$5:$A$494,0)),I57*Parametros!$B$13)</f>
        <v>25722.5607356231</v>
      </c>
      <c r="K57" s="27" t="n">
        <f aca="false">IFERROR(VLOOKUP(C57,Parametros!$A$36:$B$66,2,FALSE()),Parametros!$B$12)</f>
        <v>1</v>
      </c>
      <c r="L57" s="23" t="n">
        <f aca="false">H57*J57*SQRT(K57)</f>
        <v>52827.6810894469</v>
      </c>
      <c r="M57" s="29" t="n">
        <v>360</v>
      </c>
      <c r="N57" s="24" t="n">
        <v>0.194444444444444</v>
      </c>
      <c r="O57" s="3" t="s">
        <v>746</v>
      </c>
      <c r="P57" s="30" t="n">
        <f aca="false">IF(AND(ISNUMBER(M57),ISNUMBER(N57)),M57*N57/7,"")</f>
        <v>10</v>
      </c>
      <c r="Q57" s="23" t="n">
        <f aca="false">IF(ISNUMBER(P57),I57*P57,"")</f>
        <v>215698</v>
      </c>
      <c r="R57" s="23" t="n">
        <f aca="false">IF(ISNUMBER(Q57),MAX(0,MIN(L57,Q57-I57*K57)),L57)</f>
        <v>52827.6810894469</v>
      </c>
      <c r="S57" s="23" t="n">
        <f aca="false">R57+I57*K57</f>
        <v>74397.4810894469</v>
      </c>
      <c r="T57" s="23" t="n">
        <v>146766</v>
      </c>
      <c r="U57" s="23" t="n">
        <v>12</v>
      </c>
      <c r="V57" s="23" t="n">
        <f aca="false">T57+U57</f>
        <v>146778</v>
      </c>
      <c r="W57" s="30" t="n">
        <f aca="false">IF(I57&gt;0,V57/I57,"")</f>
        <v>6.80479188495026</v>
      </c>
      <c r="X57" s="3" t="str">
        <f aca="false">IF(I57&lt;=0,"SIN FCST",IF(V57&lt;R57,"BAJO SS",IF(T57&lt;R57,"BAJO SS (XLIB CUBRE)",IF(V57&lt;S57,"BAJO P.REORDEN",IF(AND(ISNUMBER(Q57),V57&gt;Q57),"SOBRE MAX VENDIBLE","OK")))))</f>
        <v>OK</v>
      </c>
    </row>
    <row r="58" customFormat="false" ht="15" hidden="false" customHeight="false" outlineLevel="0" collapsed="false">
      <c r="A58" s="3" t="n">
        <v>30000716</v>
      </c>
      <c r="B58" s="3" t="s">
        <v>796</v>
      </c>
      <c r="C58" s="3" t="s">
        <v>133</v>
      </c>
      <c r="D58" s="3" t="s">
        <v>758</v>
      </c>
      <c r="E58" s="3"/>
      <c r="F58" s="3" t="str">
        <f aca="false">IFERROR(INDEX(ABC_XYZ!$L$5:$L$494,MATCH(A58,ABC_XYZ!$A$5:$A$494,0)),"SIN HIST")</f>
        <v>SIN HIST</v>
      </c>
      <c r="G58" s="24" t="n">
        <f aca="false">IF(LEFT(F58,1)="A",Parametros!$B$8,IF(LEFT(F58,1)="B",Parametros!$B$9,IF(LEFT(F58,1)="C",Parametros!$B$10,Parametros!$B$11)))</f>
        <v>0.95</v>
      </c>
      <c r="H58" s="27" t="n">
        <f aca="false">NORMSINV(G58)</f>
        <v>1.64485362695147</v>
      </c>
      <c r="I58" s="23" t="n">
        <v>20930.2</v>
      </c>
      <c r="J58" s="23" t="n">
        <f aca="false">IFERROR(INDEX(ABC_XYZ!$R$5:$R$494,MATCH(A58,ABC_XYZ!$A$5:$A$494,0)),I58*Parametros!$B$13)</f>
        <v>6279.06</v>
      </c>
      <c r="K58" s="27" t="n">
        <f aca="false">IFERROR(VLOOKUP(C58,Parametros!$A$36:$B$66,2,FALSE()),Parametros!$B$12)</f>
        <v>1</v>
      </c>
      <c r="L58" s="23" t="n">
        <f aca="false">H58*J58*SQRT(K58)</f>
        <v>10328.1346148459</v>
      </c>
      <c r="M58" s="29"/>
      <c r="N58" s="24"/>
      <c r="O58" s="3"/>
      <c r="P58" s="30" t="str">
        <f aca="false">IF(AND(ISNUMBER(M58),ISNUMBER(N58)),M58*N58/7,"")</f>
        <v/>
      </c>
      <c r="Q58" s="23" t="str">
        <f aca="false">IF(ISNUMBER(P58),I58*P58,"")</f>
        <v/>
      </c>
      <c r="R58" s="23" t="n">
        <f aca="false">IF(ISNUMBER(Q58),MAX(0,MIN(L58,Q58-I58*K58)),L58)</f>
        <v>10328.1346148459</v>
      </c>
      <c r="S58" s="23" t="n">
        <f aca="false">R58+I58*K58</f>
        <v>31258.3346148459</v>
      </c>
      <c r="T58" s="23" t="n">
        <v>353104</v>
      </c>
      <c r="U58" s="23" t="n">
        <v>0</v>
      </c>
      <c r="V58" s="23" t="n">
        <f aca="false">T58+U58</f>
        <v>353104</v>
      </c>
      <c r="W58" s="30" t="n">
        <f aca="false">IF(I58&gt;0,V58/I58,"")</f>
        <v>16.8705506875233</v>
      </c>
      <c r="X58" s="3" t="str">
        <f aca="false">IF(I58&lt;=0,"SIN FCST",IF(V58&lt;R58,"BAJO SS",IF(T58&lt;R58,"BAJO SS (XLIB CUBRE)",IF(V58&lt;S58,"BAJO P.REORDEN",IF(AND(ISNUMBER(Q58),V58&gt;Q58),"SOBRE MAX VENDIBLE","OK")))))</f>
        <v>OK</v>
      </c>
    </row>
    <row r="59" customFormat="false" ht="15" hidden="false" customHeight="false" outlineLevel="0" collapsed="false">
      <c r="A59" s="3" t="n">
        <v>30001055</v>
      </c>
      <c r="B59" s="3" t="s">
        <v>797</v>
      </c>
      <c r="C59" s="3" t="s">
        <v>155</v>
      </c>
      <c r="D59" s="3" t="s">
        <v>761</v>
      </c>
      <c r="E59" s="3" t="s">
        <v>762</v>
      </c>
      <c r="F59" s="3" t="str">
        <f aca="false">IFERROR(INDEX(ABC_XYZ!$L$5:$L$494,MATCH(A59,ABC_XYZ!$A$5:$A$494,0)),"SIN HIST")</f>
        <v>AX</v>
      </c>
      <c r="G59" s="24" t="n">
        <f aca="false">IF(LEFT(F59,1)="A",Parametros!$B$8,IF(LEFT(F59,1)="B",Parametros!$B$9,IF(LEFT(F59,1)="C",Parametros!$B$10,Parametros!$B$11)))</f>
        <v>0.98</v>
      </c>
      <c r="H59" s="27" t="n">
        <f aca="false">NORMSINV(G59)</f>
        <v>2.05374891063182</v>
      </c>
      <c r="I59" s="23" t="n">
        <v>20726</v>
      </c>
      <c r="J59" s="23" t="n">
        <f aca="false">IFERROR(INDEX(ABC_XYZ!$R$5:$R$494,MATCH(A59,ABC_XYZ!$A$5:$A$494,0)),I59*Parametros!$B$13)</f>
        <v>7949.61154413258</v>
      </c>
      <c r="K59" s="27" t="n">
        <f aca="false">IFERROR(VLOOKUP(C59,Parametros!$A$36:$B$66,2,FALSE()),Parametros!$B$12)</f>
        <v>1</v>
      </c>
      <c r="L59" s="23" t="n">
        <f aca="false">H59*J59*SQRT(K59)</f>
        <v>16326.5060487084</v>
      </c>
      <c r="M59" s="29" t="n">
        <v>60</v>
      </c>
      <c r="N59" s="24" t="n">
        <v>0.3</v>
      </c>
      <c r="O59" s="3" t="s">
        <v>774</v>
      </c>
      <c r="P59" s="30" t="n">
        <f aca="false">IF(AND(ISNUMBER(M59),ISNUMBER(N59)),M59*N59/7,"")</f>
        <v>2.57142857142857</v>
      </c>
      <c r="Q59" s="23" t="n">
        <f aca="false">IF(ISNUMBER(P59),I59*P59,"")</f>
        <v>53295.4285714286</v>
      </c>
      <c r="R59" s="23" t="n">
        <f aca="false">IF(ISNUMBER(Q59),MAX(0,MIN(L59,Q59-I59*K59)),L59)</f>
        <v>16326.5060487084</v>
      </c>
      <c r="S59" s="23" t="n">
        <f aca="false">R59+I59*K59</f>
        <v>37052.5060487084</v>
      </c>
      <c r="T59" s="23" t="n">
        <v>12415.2</v>
      </c>
      <c r="U59" s="23" t="n">
        <v>0</v>
      </c>
      <c r="V59" s="23" t="n">
        <f aca="false">T59+U59</f>
        <v>12415.2</v>
      </c>
      <c r="W59" s="30" t="n">
        <f aca="false">IF(I59&gt;0,V59/I59,"")</f>
        <v>0.599015729035993</v>
      </c>
      <c r="X59" s="3" t="str">
        <f aca="false">IF(I59&lt;=0,"SIN FCST",IF(V59&lt;R59,"BAJO SS",IF(T59&lt;R59,"BAJO SS (XLIB CUBRE)",IF(V59&lt;S59,"BAJO P.REORDEN",IF(AND(ISNUMBER(Q59),V59&gt;Q59),"SOBRE MAX VENDIBLE","OK")))))</f>
        <v>BAJO SS</v>
      </c>
    </row>
    <row r="60" customFormat="false" ht="15" hidden="false" customHeight="false" outlineLevel="0" collapsed="false">
      <c r="A60" s="3" t="n">
        <v>30000336</v>
      </c>
      <c r="B60" s="3" t="s">
        <v>798</v>
      </c>
      <c r="C60" s="3" t="s">
        <v>148</v>
      </c>
      <c r="D60" s="3" t="s">
        <v>753</v>
      </c>
      <c r="E60" s="3" t="s">
        <v>745</v>
      </c>
      <c r="F60" s="3" t="str">
        <f aca="false">IFERROR(INDEX(ABC_XYZ!$L$5:$L$494,MATCH(A60,ABC_XYZ!$A$5:$A$494,0)),"SIN HIST")</f>
        <v>SIN HIST</v>
      </c>
      <c r="G60" s="24" t="n">
        <f aca="false">IF(LEFT(F60,1)="A",Parametros!$B$8,IF(LEFT(F60,1)="B",Parametros!$B$9,IF(LEFT(F60,1)="C",Parametros!$B$10,Parametros!$B$11)))</f>
        <v>0.95</v>
      </c>
      <c r="H60" s="27" t="n">
        <f aca="false">NORMSINV(G60)</f>
        <v>1.64485362695147</v>
      </c>
      <c r="I60" s="23" t="n">
        <v>20465.1</v>
      </c>
      <c r="J60" s="23" t="n">
        <f aca="false">IFERROR(INDEX(ABC_XYZ!$R$5:$R$494,MATCH(A60,ABC_XYZ!$A$5:$A$494,0)),I60*Parametros!$B$13)</f>
        <v>6139.53</v>
      </c>
      <c r="K60" s="27" t="n">
        <f aca="false">IFERROR(VLOOKUP(C60,Parametros!$A$36:$B$66,2,FALSE()),Parametros!$B$12)</f>
        <v>1</v>
      </c>
      <c r="L60" s="23" t="n">
        <f aca="false">H60*J60*SQRT(K60)</f>
        <v>10098.6281882774</v>
      </c>
      <c r="M60" s="29" t="n">
        <v>245</v>
      </c>
      <c r="N60" s="24" t="n">
        <v>0.253061224489796</v>
      </c>
      <c r="O60" s="3" t="s">
        <v>754</v>
      </c>
      <c r="P60" s="30" t="n">
        <f aca="false">IF(AND(ISNUMBER(M60),ISNUMBER(N60)),M60*N60/7,"")</f>
        <v>8.85714285714286</v>
      </c>
      <c r="Q60" s="23" t="n">
        <f aca="false">IF(ISNUMBER(P60),I60*P60,"")</f>
        <v>181262.314285714</v>
      </c>
      <c r="R60" s="23" t="n">
        <f aca="false">IF(ISNUMBER(Q60),MAX(0,MIN(L60,Q60-I60*K60)),L60)</f>
        <v>10098.6281882774</v>
      </c>
      <c r="S60" s="23" t="n">
        <f aca="false">R60+I60*K60</f>
        <v>30563.7281882774</v>
      </c>
      <c r="T60" s="23" t="n">
        <v>125952</v>
      </c>
      <c r="U60" s="23" t="n">
        <v>0</v>
      </c>
      <c r="V60" s="23" t="n">
        <f aca="false">T60+U60</f>
        <v>125952</v>
      </c>
      <c r="W60" s="30" t="n">
        <f aca="false">IF(I60&gt;0,V60/I60,"")</f>
        <v>6.15447762287993</v>
      </c>
      <c r="X60" s="3" t="str">
        <f aca="false">IF(I60&lt;=0,"SIN FCST",IF(V60&lt;R60,"BAJO SS",IF(T60&lt;R60,"BAJO SS (XLIB CUBRE)",IF(V60&lt;S60,"BAJO P.REORDEN",IF(AND(ISNUMBER(Q60),V60&gt;Q60),"SOBRE MAX VENDIBLE","OK")))))</f>
        <v>OK</v>
      </c>
    </row>
    <row r="61" customFormat="false" ht="15" hidden="false" customHeight="false" outlineLevel="0" collapsed="false">
      <c r="A61" s="3" t="n">
        <v>30001861</v>
      </c>
      <c r="B61" s="3" t="s">
        <v>250</v>
      </c>
      <c r="C61" s="3" t="s">
        <v>143</v>
      </c>
      <c r="D61" s="3" t="s">
        <v>750</v>
      </c>
      <c r="E61" s="3" t="s">
        <v>762</v>
      </c>
      <c r="F61" s="3" t="str">
        <f aca="false">IFERROR(INDEX(ABC_XYZ!$L$5:$L$494,MATCH(A61,ABC_XYZ!$A$5:$A$494,0)),"SIN HIST")</f>
        <v>AX</v>
      </c>
      <c r="G61" s="24" t="n">
        <f aca="false">IF(LEFT(F61,1)="A",Parametros!$B$8,IF(LEFT(F61,1)="B",Parametros!$B$9,IF(LEFT(F61,1)="C",Parametros!$B$10,Parametros!$B$11)))</f>
        <v>0.98</v>
      </c>
      <c r="H61" s="27" t="n">
        <f aca="false">NORMSINV(G61)</f>
        <v>2.05374891063182</v>
      </c>
      <c r="I61" s="23" t="n">
        <v>20114.5</v>
      </c>
      <c r="J61" s="23" t="n">
        <f aca="false">IFERROR(INDEX(ABC_XYZ!$R$5:$R$494,MATCH(A61,ABC_XYZ!$A$5:$A$494,0)),I61*Parametros!$B$13)</f>
        <v>12566.6613544358</v>
      </c>
      <c r="K61" s="27" t="n">
        <f aca="false">IFERROR(VLOOKUP(C61,Parametros!$A$36:$B$66,2,FALSE()),Parametros!$B$12)</f>
        <v>1</v>
      </c>
      <c r="L61" s="23" t="n">
        <f aca="false">H61*J61*SQRT(K61)</f>
        <v>25808.7670669515</v>
      </c>
      <c r="M61" s="29" t="n">
        <v>184</v>
      </c>
      <c r="N61" s="24" t="n">
        <v>0.239130434782609</v>
      </c>
      <c r="O61" s="3" t="s">
        <v>746</v>
      </c>
      <c r="P61" s="30" t="n">
        <f aca="false">IF(AND(ISNUMBER(M61),ISNUMBER(N61)),M61*N61/7,"")</f>
        <v>6.28571428571428</v>
      </c>
      <c r="Q61" s="23" t="n">
        <f aca="false">IF(ISNUMBER(P61),I61*P61,"")</f>
        <v>126434</v>
      </c>
      <c r="R61" s="23" t="n">
        <f aca="false">IF(ISNUMBER(Q61),MAX(0,MIN(L61,Q61-I61*K61)),L61)</f>
        <v>25808.7670669515</v>
      </c>
      <c r="S61" s="23" t="n">
        <f aca="false">R61+I61*K61</f>
        <v>45923.2670669515</v>
      </c>
      <c r="T61" s="23" t="n">
        <v>94478.4</v>
      </c>
      <c r="U61" s="23" t="n">
        <v>0</v>
      </c>
      <c r="V61" s="23" t="n">
        <f aca="false">T61+U61</f>
        <v>94478.4</v>
      </c>
      <c r="W61" s="30" t="n">
        <f aca="false">IF(I61&gt;0,V61/I61,"")</f>
        <v>4.69702950607771</v>
      </c>
      <c r="X61" s="3" t="str">
        <f aca="false">IF(I61&lt;=0,"SIN FCST",IF(V61&lt;R61,"BAJO SS",IF(T61&lt;R61,"BAJO SS (XLIB CUBRE)",IF(V61&lt;S61,"BAJO P.REORDEN",IF(AND(ISNUMBER(Q61),V61&gt;Q61),"SOBRE MAX VENDIBLE","OK")))))</f>
        <v>OK</v>
      </c>
    </row>
    <row r="62" customFormat="false" ht="15" hidden="false" customHeight="false" outlineLevel="0" collapsed="false">
      <c r="A62" s="3" t="n">
        <v>30001041</v>
      </c>
      <c r="B62" s="3" t="s">
        <v>799</v>
      </c>
      <c r="C62" s="3" t="s">
        <v>155</v>
      </c>
      <c r="D62" s="3" t="s">
        <v>761</v>
      </c>
      <c r="E62" s="3" t="s">
        <v>762</v>
      </c>
      <c r="F62" s="3" t="str">
        <f aca="false">IFERROR(INDEX(ABC_XYZ!$L$5:$L$494,MATCH(A62,ABC_XYZ!$A$5:$A$494,0)),"SIN HIST")</f>
        <v>AX</v>
      </c>
      <c r="G62" s="24" t="n">
        <f aca="false">IF(LEFT(F62,1)="A",Parametros!$B$8,IF(LEFT(F62,1)="B",Parametros!$B$9,IF(LEFT(F62,1)="C",Parametros!$B$10,Parametros!$B$11)))</f>
        <v>0.98</v>
      </c>
      <c r="H62" s="27" t="n">
        <f aca="false">NORMSINV(G62)</f>
        <v>2.05374891063182</v>
      </c>
      <c r="I62" s="23" t="n">
        <v>20034.8</v>
      </c>
      <c r="J62" s="23" t="n">
        <f aca="false">IFERROR(INDEX(ABC_XYZ!$R$5:$R$494,MATCH(A62,ABC_XYZ!$A$5:$A$494,0)),I62*Parametros!$B$13)</f>
        <v>8139.27838353533</v>
      </c>
      <c r="K62" s="27" t="n">
        <f aca="false">IFERROR(VLOOKUP(C62,Parametros!$A$36:$B$66,2,FALSE()),Parametros!$B$12)</f>
        <v>1</v>
      </c>
      <c r="L62" s="23" t="n">
        <f aca="false">H62*J62*SQRT(K62)</f>
        <v>16716.0341135148</v>
      </c>
      <c r="M62" s="29" t="n">
        <v>62</v>
      </c>
      <c r="N62" s="24" t="n">
        <v>0.32258064516129</v>
      </c>
      <c r="O62" s="3" t="s">
        <v>774</v>
      </c>
      <c r="P62" s="30" t="n">
        <f aca="false">IF(AND(ISNUMBER(M62),ISNUMBER(N62)),M62*N62/7,"")</f>
        <v>2.85714285714286</v>
      </c>
      <c r="Q62" s="23" t="n">
        <f aca="false">IF(ISNUMBER(P62),I62*P62,"")</f>
        <v>57242.2857142857</v>
      </c>
      <c r="R62" s="23" t="n">
        <f aca="false">IF(ISNUMBER(Q62),MAX(0,MIN(L62,Q62-I62*K62)),L62)</f>
        <v>16716.0341135148</v>
      </c>
      <c r="S62" s="23" t="n">
        <f aca="false">R62+I62*K62</f>
        <v>36750.8341135148</v>
      </c>
      <c r="T62" s="23" t="n">
        <v>15412.3</v>
      </c>
      <c r="U62" s="23" t="n">
        <v>7603.2</v>
      </c>
      <c r="V62" s="23" t="n">
        <f aca="false">T62+U62</f>
        <v>23015.5</v>
      </c>
      <c r="W62" s="30" t="n">
        <f aca="false">IF(I62&gt;0,V62/I62,"")</f>
        <v>1.14877612953461</v>
      </c>
      <c r="X62" s="3" t="str">
        <f aca="false">IF(I62&lt;=0,"SIN FCST",IF(V62&lt;R62,"BAJO SS",IF(T62&lt;R62,"BAJO SS (XLIB CUBRE)",IF(V62&lt;S62,"BAJO P.REORDEN",IF(AND(ISNUMBER(Q62),V62&gt;Q62),"SOBRE MAX VENDIBLE","OK")))))</f>
        <v>BAJO SS (XLIB CUBRE)</v>
      </c>
    </row>
    <row r="63" customFormat="false" ht="15" hidden="false" customHeight="false" outlineLevel="0" collapsed="false">
      <c r="A63" s="3" t="n">
        <v>30001751</v>
      </c>
      <c r="B63" s="3" t="s">
        <v>800</v>
      </c>
      <c r="C63" s="3" t="s">
        <v>144</v>
      </c>
      <c r="D63" s="3" t="s">
        <v>753</v>
      </c>
      <c r="E63" s="3" t="s">
        <v>745</v>
      </c>
      <c r="F63" s="3" t="str">
        <f aca="false">IFERROR(INDEX(ABC_XYZ!$L$5:$L$494,MATCH(A63,ABC_XYZ!$A$5:$A$494,0)),"SIN HIST")</f>
        <v>AX</v>
      </c>
      <c r="G63" s="24" t="n">
        <f aca="false">IF(LEFT(F63,1)="A",Parametros!$B$8,IF(LEFT(F63,1)="B",Parametros!$B$9,IF(LEFT(F63,1)="C",Parametros!$B$10,Parametros!$B$11)))</f>
        <v>0.98</v>
      </c>
      <c r="H63" s="27" t="n">
        <f aca="false">NORMSINV(G63)</f>
        <v>2.05374891063182</v>
      </c>
      <c r="I63" s="23" t="n">
        <v>19861</v>
      </c>
      <c r="J63" s="23" t="n">
        <f aca="false">IFERROR(INDEX(ABC_XYZ!$R$5:$R$494,MATCH(A63,ABC_XYZ!$A$5:$A$494,0)),I63*Parametros!$B$13)</f>
        <v>4650.11083521928</v>
      </c>
      <c r="K63" s="27" t="n">
        <f aca="false">IFERROR(VLOOKUP(C63,Parametros!$A$36:$B$66,2,FALSE()),Parametros!$B$12)</f>
        <v>1</v>
      </c>
      <c r="L63" s="23" t="n">
        <f aca="false">H63*J63*SQRT(K63)</f>
        <v>9550.16006214883</v>
      </c>
      <c r="M63" s="29" t="n">
        <v>365</v>
      </c>
      <c r="N63" s="24" t="n">
        <v>0.32054794520548</v>
      </c>
      <c r="O63" s="3" t="s">
        <v>754</v>
      </c>
      <c r="P63" s="30" t="n">
        <f aca="false">IF(AND(ISNUMBER(M63),ISNUMBER(N63)),M63*N63/7,"")</f>
        <v>16.7142857142857</v>
      </c>
      <c r="Q63" s="23" t="n">
        <f aca="false">IF(ISNUMBER(P63),I63*P63,"")</f>
        <v>331962.428571429</v>
      </c>
      <c r="R63" s="23" t="n">
        <f aca="false">IF(ISNUMBER(Q63),MAX(0,MIN(L63,Q63-I63*K63)),L63)</f>
        <v>9550.16006214883</v>
      </c>
      <c r="S63" s="23" t="n">
        <f aca="false">R63+I63*K63</f>
        <v>29411.1600621488</v>
      </c>
      <c r="T63" s="23" t="n">
        <v>77257.8</v>
      </c>
      <c r="U63" s="23" t="n">
        <v>6080.4</v>
      </c>
      <c r="V63" s="23" t="n">
        <f aca="false">T63+U63</f>
        <v>83338.2</v>
      </c>
      <c r="W63" s="30" t="n">
        <f aca="false">IF(I63&gt;0,V63/I63,"")</f>
        <v>4.19607270530185</v>
      </c>
      <c r="X63" s="3" t="str">
        <f aca="false">IF(I63&lt;=0,"SIN FCST",IF(V63&lt;R63,"BAJO SS",IF(T63&lt;R63,"BAJO SS (XLIB CUBRE)",IF(V63&lt;S63,"BAJO P.REORDEN",IF(AND(ISNUMBER(Q63),V63&gt;Q63),"SOBRE MAX VENDIBLE","OK")))))</f>
        <v>OK</v>
      </c>
    </row>
    <row r="64" customFormat="false" ht="15" hidden="false" customHeight="false" outlineLevel="0" collapsed="false">
      <c r="A64" s="3" t="n">
        <v>30000114</v>
      </c>
      <c r="B64" s="3" t="s">
        <v>801</v>
      </c>
      <c r="C64" s="3" t="s">
        <v>141</v>
      </c>
      <c r="D64" s="3" t="s">
        <v>750</v>
      </c>
      <c r="E64" s="3" t="s">
        <v>762</v>
      </c>
      <c r="F64" s="3" t="str">
        <f aca="false">IFERROR(INDEX(ABC_XYZ!$L$5:$L$494,MATCH(A64,ABC_XYZ!$A$5:$A$494,0)),"SIN HIST")</f>
        <v>SIN HIST</v>
      </c>
      <c r="G64" s="24" t="n">
        <f aca="false">IF(LEFT(F64,1)="A",Parametros!$B$8,IF(LEFT(F64,1)="B",Parametros!$B$9,IF(LEFT(F64,1)="C",Parametros!$B$10,Parametros!$B$11)))</f>
        <v>0.95</v>
      </c>
      <c r="H64" s="27" t="n">
        <f aca="false">NORMSINV(G64)</f>
        <v>1.64485362695147</v>
      </c>
      <c r="I64" s="23" t="n">
        <v>19383.6</v>
      </c>
      <c r="J64" s="23" t="n">
        <f aca="false">IFERROR(INDEX(ABC_XYZ!$R$5:$R$494,MATCH(A64,ABC_XYZ!$A$5:$A$494,0)),I64*Parametros!$B$13)</f>
        <v>5815.08</v>
      </c>
      <c r="K64" s="27" t="n">
        <f aca="false">IFERROR(VLOOKUP(C64,Parametros!$A$36:$B$66,2,FALSE()),Parametros!$B$12)</f>
        <v>1</v>
      </c>
      <c r="L64" s="23" t="n">
        <f aca="false">H64*J64*SQRT(K64)</f>
        <v>9564.95542901296</v>
      </c>
      <c r="M64" s="29" t="n">
        <v>184</v>
      </c>
      <c r="N64" s="24" t="n">
        <v>0.244565217391304</v>
      </c>
      <c r="O64" s="3" t="s">
        <v>772</v>
      </c>
      <c r="P64" s="30" t="n">
        <f aca="false">IF(AND(ISNUMBER(M64),ISNUMBER(N64)),M64*N64/7,"")</f>
        <v>6.42857142857143</v>
      </c>
      <c r="Q64" s="23" t="n">
        <f aca="false">IF(ISNUMBER(P64),I64*P64,"")</f>
        <v>124608.857142857</v>
      </c>
      <c r="R64" s="23" t="n">
        <f aca="false">IF(ISNUMBER(Q64),MAX(0,MIN(L64,Q64-I64*K64)),L64)</f>
        <v>9564.95542901296</v>
      </c>
      <c r="S64" s="23" t="n">
        <f aca="false">R64+I64*K64</f>
        <v>28948.555429013</v>
      </c>
      <c r="T64" s="23" t="n">
        <v>28160</v>
      </c>
      <c r="U64" s="23" t="n">
        <v>6120</v>
      </c>
      <c r="V64" s="23" t="n">
        <f aca="false">T64+U64</f>
        <v>34280</v>
      </c>
      <c r="W64" s="30" t="n">
        <f aca="false">IF(I64&gt;0,V64/I64,"")</f>
        <v>1.76850533440641</v>
      </c>
      <c r="X64" s="3" t="str">
        <f aca="false">IF(I64&lt;=0,"SIN FCST",IF(V64&lt;R64,"BAJO SS",IF(T64&lt;R64,"BAJO SS (XLIB CUBRE)",IF(V64&lt;S64,"BAJO P.REORDEN",IF(AND(ISNUMBER(Q64),V64&gt;Q64),"SOBRE MAX VENDIBLE","OK")))))</f>
        <v>OK</v>
      </c>
    </row>
    <row r="65" customFormat="false" ht="15" hidden="false" customHeight="false" outlineLevel="0" collapsed="false">
      <c r="A65" s="3" t="n">
        <v>30000118</v>
      </c>
      <c r="B65" s="3" t="s">
        <v>802</v>
      </c>
      <c r="C65" s="3" t="s">
        <v>141</v>
      </c>
      <c r="D65" s="3" t="s">
        <v>750</v>
      </c>
      <c r="E65" s="3" t="s">
        <v>762</v>
      </c>
      <c r="F65" s="3" t="str">
        <f aca="false">IFERROR(INDEX(ABC_XYZ!$L$5:$L$494,MATCH(A65,ABC_XYZ!$A$5:$A$494,0)),"SIN HIST")</f>
        <v>SIN HIST</v>
      </c>
      <c r="G65" s="24" t="n">
        <f aca="false">IF(LEFT(F65,1)="A",Parametros!$B$8,IF(LEFT(F65,1)="B",Parametros!$B$9,IF(LEFT(F65,1)="C",Parametros!$B$10,Parametros!$B$11)))</f>
        <v>0.95</v>
      </c>
      <c r="H65" s="27" t="n">
        <f aca="false">NORMSINV(G65)</f>
        <v>1.64485362695147</v>
      </c>
      <c r="I65" s="23" t="n">
        <v>19044.8</v>
      </c>
      <c r="J65" s="23" t="n">
        <f aca="false">IFERROR(INDEX(ABC_XYZ!$R$5:$R$494,MATCH(A65,ABC_XYZ!$A$5:$A$494,0)),I65*Parametros!$B$13)</f>
        <v>5713.44</v>
      </c>
      <c r="K65" s="27" t="n">
        <f aca="false">IFERROR(VLOOKUP(C65,Parametros!$A$36:$B$66,2,FALSE()),Parametros!$B$12)</f>
        <v>1</v>
      </c>
      <c r="L65" s="23" t="n">
        <f aca="false">H65*J65*SQRT(K65)</f>
        <v>9397.77250636961</v>
      </c>
      <c r="M65" s="29" t="n">
        <v>184</v>
      </c>
      <c r="N65" s="24" t="n">
        <v>0.244565217391304</v>
      </c>
      <c r="O65" s="3" t="s">
        <v>772</v>
      </c>
      <c r="P65" s="30" t="n">
        <f aca="false">IF(AND(ISNUMBER(M65),ISNUMBER(N65)),M65*N65/7,"")</f>
        <v>6.42857142857143</v>
      </c>
      <c r="Q65" s="23" t="n">
        <f aca="false">IF(ISNUMBER(P65),I65*P65,"")</f>
        <v>122430.857142857</v>
      </c>
      <c r="R65" s="23" t="n">
        <f aca="false">IF(ISNUMBER(Q65),MAX(0,MIN(L65,Q65-I65*K65)),L65)</f>
        <v>9397.77250636961</v>
      </c>
      <c r="S65" s="23" t="n">
        <f aca="false">R65+I65*K65</f>
        <v>28442.5725063696</v>
      </c>
      <c r="T65" s="23" t="n">
        <v>83280</v>
      </c>
      <c r="U65" s="23" t="n">
        <v>0</v>
      </c>
      <c r="V65" s="23" t="n">
        <f aca="false">T65+U65</f>
        <v>83280</v>
      </c>
      <c r="W65" s="30" t="n">
        <f aca="false">IF(I65&gt;0,V65/I65,"")</f>
        <v>4.37284718138285</v>
      </c>
      <c r="X65" s="3" t="str">
        <f aca="false">IF(I65&lt;=0,"SIN FCST",IF(V65&lt;R65,"BAJO SS",IF(T65&lt;R65,"BAJO SS (XLIB CUBRE)",IF(V65&lt;S65,"BAJO P.REORDEN",IF(AND(ISNUMBER(Q65),V65&gt;Q65),"SOBRE MAX VENDIBLE","OK")))))</f>
        <v>OK</v>
      </c>
    </row>
    <row r="66" customFormat="false" ht="15" hidden="false" customHeight="false" outlineLevel="0" collapsed="false">
      <c r="A66" s="3" t="n">
        <v>30002066</v>
      </c>
      <c r="B66" s="3" t="s">
        <v>247</v>
      </c>
      <c r="C66" s="3" t="s">
        <v>139</v>
      </c>
      <c r="D66" s="3" t="s">
        <v>753</v>
      </c>
      <c r="E66" s="3" t="s">
        <v>745</v>
      </c>
      <c r="F66" s="3" t="str">
        <f aca="false">IFERROR(INDEX(ABC_XYZ!$L$5:$L$494,MATCH(A66,ABC_XYZ!$A$5:$A$494,0)),"SIN HIST")</f>
        <v>AX</v>
      </c>
      <c r="G66" s="24" t="n">
        <f aca="false">IF(LEFT(F66,1)="A",Parametros!$B$8,IF(LEFT(F66,1)="B",Parametros!$B$9,IF(LEFT(F66,1)="C",Parametros!$B$10,Parametros!$B$11)))</f>
        <v>0.98</v>
      </c>
      <c r="H66" s="27" t="n">
        <f aca="false">NORMSINV(G66)</f>
        <v>2.05374891063182</v>
      </c>
      <c r="I66" s="23" t="n">
        <v>19012</v>
      </c>
      <c r="J66" s="23" t="n">
        <f aca="false">IFERROR(INDEX(ABC_XYZ!$R$5:$R$494,MATCH(A66,ABC_XYZ!$A$5:$A$494,0)),I66*Parametros!$B$13)</f>
        <v>19967.4549232887</v>
      </c>
      <c r="K66" s="27" t="n">
        <f aca="false">IFERROR(VLOOKUP(C66,Parametros!$A$36:$B$66,2,FALSE()),Parametros!$B$12)</f>
        <v>1</v>
      </c>
      <c r="L66" s="23" t="n">
        <f aca="false">H66*J66*SQRT(K66)</f>
        <v>41008.1387967941</v>
      </c>
      <c r="M66" s="29" t="n">
        <v>214</v>
      </c>
      <c r="N66" s="24" t="n">
        <v>0.238317757009346</v>
      </c>
      <c r="O66" s="3" t="s">
        <v>746</v>
      </c>
      <c r="P66" s="30" t="n">
        <f aca="false">IF(AND(ISNUMBER(M66),ISNUMBER(N66)),M66*N66/7,"")</f>
        <v>7.28571428571429</v>
      </c>
      <c r="Q66" s="23" t="n">
        <f aca="false">IF(ISNUMBER(P66),I66*P66,"")</f>
        <v>138516</v>
      </c>
      <c r="R66" s="23" t="n">
        <f aca="false">IF(ISNUMBER(Q66),MAX(0,MIN(L66,Q66-I66*K66)),L66)</f>
        <v>41008.1387967941</v>
      </c>
      <c r="S66" s="23" t="n">
        <f aca="false">R66+I66*K66</f>
        <v>60020.1387967941</v>
      </c>
      <c r="T66" s="23" t="n">
        <v>34860</v>
      </c>
      <c r="U66" s="23" t="n">
        <v>0</v>
      </c>
      <c r="V66" s="23" t="n">
        <f aca="false">T66+U66</f>
        <v>34860</v>
      </c>
      <c r="W66" s="30" t="n">
        <f aca="false">IF(I66&gt;0,V66/I66,"")</f>
        <v>1.83357879234168</v>
      </c>
      <c r="X66" s="3" t="str">
        <f aca="false">IF(I66&lt;=0,"SIN FCST",IF(V66&lt;R66,"BAJO SS",IF(T66&lt;R66,"BAJO SS (XLIB CUBRE)",IF(V66&lt;S66,"BAJO P.REORDEN",IF(AND(ISNUMBER(Q66),V66&gt;Q66),"SOBRE MAX VENDIBLE","OK")))))</f>
        <v>BAJO SS</v>
      </c>
    </row>
    <row r="67" customFormat="false" ht="15" hidden="false" customHeight="false" outlineLevel="0" collapsed="false">
      <c r="A67" s="3" t="n">
        <v>30000466</v>
      </c>
      <c r="B67" s="3" t="s">
        <v>803</v>
      </c>
      <c r="C67" s="3" t="s">
        <v>149</v>
      </c>
      <c r="D67" s="3" t="s">
        <v>744</v>
      </c>
      <c r="E67" s="3" t="s">
        <v>762</v>
      </c>
      <c r="F67" s="3" t="str">
        <f aca="false">IFERROR(INDEX(ABC_XYZ!$L$5:$L$494,MATCH(A67,ABC_XYZ!$A$5:$A$494,0)),"SIN HIST")</f>
        <v>AX</v>
      </c>
      <c r="G67" s="24" t="n">
        <f aca="false">IF(LEFT(F67,1)="A",Parametros!$B$8,IF(LEFT(F67,1)="B",Parametros!$B$9,IF(LEFT(F67,1)="C",Parametros!$B$10,Parametros!$B$11)))</f>
        <v>0.98</v>
      </c>
      <c r="H67" s="27" t="n">
        <f aca="false">NORMSINV(G67)</f>
        <v>2.05374891063182</v>
      </c>
      <c r="I67" s="23" t="n">
        <v>18900</v>
      </c>
      <c r="J67" s="23" t="n">
        <f aca="false">IFERROR(INDEX(ABC_XYZ!$R$5:$R$494,MATCH(A67,ABC_XYZ!$A$5:$A$494,0)),I67*Parametros!$B$13)</f>
        <v>6459.64548689095</v>
      </c>
      <c r="K67" s="27" t="n">
        <f aca="false">IFERROR(VLOOKUP(C67,Parametros!$A$36:$B$66,2,FALSE()),Parametros!$B$12)</f>
        <v>1</v>
      </c>
      <c r="L67" s="23" t="n">
        <f aca="false">H67*J67*SQRT(K67)</f>
        <v>13266.4898817701</v>
      </c>
      <c r="M67" s="29" t="n">
        <v>215</v>
      </c>
      <c r="N67" s="24" t="n">
        <v>0.288372093023256</v>
      </c>
      <c r="O67" s="3" t="s">
        <v>746</v>
      </c>
      <c r="P67" s="30" t="n">
        <f aca="false">IF(AND(ISNUMBER(M67),ISNUMBER(N67)),M67*N67/7,"")</f>
        <v>8.85714285714286</v>
      </c>
      <c r="Q67" s="23" t="n">
        <f aca="false">IF(ISNUMBER(P67),I67*P67,"")</f>
        <v>167400</v>
      </c>
      <c r="R67" s="23" t="n">
        <f aca="false">IF(ISNUMBER(Q67),MAX(0,MIN(L67,Q67-I67*K67)),L67)</f>
        <v>13266.4898817701</v>
      </c>
      <c r="S67" s="23" t="n">
        <f aca="false">R67+I67*K67</f>
        <v>32166.4898817701</v>
      </c>
      <c r="T67" s="23" t="n">
        <v>15888</v>
      </c>
      <c r="U67" s="23" t="n">
        <v>0</v>
      </c>
      <c r="V67" s="23" t="n">
        <f aca="false">T67+U67</f>
        <v>15888</v>
      </c>
      <c r="W67" s="30" t="n">
        <f aca="false">IF(I67&gt;0,V67/I67,"")</f>
        <v>0.840634920634921</v>
      </c>
      <c r="X67" s="3" t="str">
        <f aca="false">IF(I67&lt;=0,"SIN FCST",IF(V67&lt;R67,"BAJO SS",IF(T67&lt;R67,"BAJO SS (XLIB CUBRE)",IF(V67&lt;S67,"BAJO P.REORDEN",IF(AND(ISNUMBER(Q67),V67&gt;Q67),"SOBRE MAX VENDIBLE","OK")))))</f>
        <v>BAJO P.REORDEN</v>
      </c>
    </row>
    <row r="68" customFormat="false" ht="15" hidden="false" customHeight="false" outlineLevel="0" collapsed="false">
      <c r="A68" s="3" t="n">
        <v>30000103</v>
      </c>
      <c r="B68" s="3" t="s">
        <v>804</v>
      </c>
      <c r="C68" s="3" t="s">
        <v>143</v>
      </c>
      <c r="D68" s="3" t="s">
        <v>750</v>
      </c>
      <c r="E68" s="3" t="s">
        <v>762</v>
      </c>
      <c r="F68" s="3" t="str">
        <f aca="false">IFERROR(INDEX(ABC_XYZ!$L$5:$L$494,MATCH(A68,ABC_XYZ!$A$5:$A$494,0)),"SIN HIST")</f>
        <v>SIN HIST</v>
      </c>
      <c r="G68" s="24" t="n">
        <f aca="false">IF(LEFT(F68,1)="A",Parametros!$B$8,IF(LEFT(F68,1)="B",Parametros!$B$9,IF(LEFT(F68,1)="C",Parametros!$B$10,Parametros!$B$11)))</f>
        <v>0.95</v>
      </c>
      <c r="H68" s="27" t="n">
        <f aca="false">NORMSINV(G68)</f>
        <v>1.64485362695147</v>
      </c>
      <c r="I68" s="23" t="n">
        <v>18604.7</v>
      </c>
      <c r="J68" s="23" t="n">
        <f aca="false">IFERROR(INDEX(ABC_XYZ!$R$5:$R$494,MATCH(A68,ABC_XYZ!$A$5:$A$494,0)),I68*Parametros!$B$13)</f>
        <v>5581.41</v>
      </c>
      <c r="K68" s="27" t="n">
        <f aca="false">IFERROR(VLOOKUP(C68,Parametros!$A$36:$B$66,2,FALSE()),Parametros!$B$12)</f>
        <v>1</v>
      </c>
      <c r="L68" s="23" t="n">
        <f aca="false">H68*J68*SQRT(K68)</f>
        <v>9180.60248200321</v>
      </c>
      <c r="M68" s="29" t="n">
        <v>184</v>
      </c>
      <c r="N68" s="24" t="n">
        <v>0.211956521739131</v>
      </c>
      <c r="O68" s="3" t="s">
        <v>754</v>
      </c>
      <c r="P68" s="30" t="n">
        <f aca="false">IF(AND(ISNUMBER(M68),ISNUMBER(N68)),M68*N68/7,"")</f>
        <v>5.57142857142857</v>
      </c>
      <c r="Q68" s="23" t="n">
        <f aca="false">IF(ISNUMBER(P68),I68*P68,"")</f>
        <v>103654.757142857</v>
      </c>
      <c r="R68" s="23" t="n">
        <f aca="false">IF(ISNUMBER(Q68),MAX(0,MIN(L68,Q68-I68*K68)),L68)</f>
        <v>9180.60248200321</v>
      </c>
      <c r="S68" s="23" t="n">
        <f aca="false">R68+I68*K68</f>
        <v>27785.3024820032</v>
      </c>
      <c r="T68" s="23" t="n">
        <v>0</v>
      </c>
      <c r="U68" s="23" t="n">
        <v>0</v>
      </c>
      <c r="V68" s="23" t="n">
        <f aca="false">T68+U68</f>
        <v>0</v>
      </c>
      <c r="W68" s="30" t="n">
        <f aca="false">IF(I68&gt;0,V68/I68,"")</f>
        <v>0</v>
      </c>
      <c r="X68" s="3" t="str">
        <f aca="false">IF(I68&lt;=0,"SIN FCST",IF(V68&lt;R68,"BAJO SS",IF(T68&lt;R68,"BAJO SS (XLIB CUBRE)",IF(V68&lt;S68,"BAJO P.REORDEN",IF(AND(ISNUMBER(Q68),V68&gt;Q68),"SOBRE MAX VENDIBLE","OK")))))</f>
        <v>BAJO SS</v>
      </c>
    </row>
    <row r="69" customFormat="false" ht="15" hidden="false" customHeight="false" outlineLevel="0" collapsed="false">
      <c r="A69" s="3" t="n">
        <v>30002065</v>
      </c>
      <c r="B69" s="3" t="s">
        <v>313</v>
      </c>
      <c r="C69" s="3" t="s">
        <v>139</v>
      </c>
      <c r="D69" s="3" t="s">
        <v>753</v>
      </c>
      <c r="E69" s="3" t="s">
        <v>745</v>
      </c>
      <c r="F69" s="3" t="str">
        <f aca="false">IFERROR(INDEX(ABC_XYZ!$L$5:$L$494,MATCH(A69,ABC_XYZ!$A$5:$A$494,0)),"SIN HIST")</f>
        <v>AY</v>
      </c>
      <c r="G69" s="24" t="n">
        <f aca="false">IF(LEFT(F69,1)="A",Parametros!$B$8,IF(LEFT(F69,1)="B",Parametros!$B$9,IF(LEFT(F69,1)="C",Parametros!$B$10,Parametros!$B$11)))</f>
        <v>0.98</v>
      </c>
      <c r="H69" s="27" t="n">
        <f aca="false">NORMSINV(G69)</f>
        <v>2.05374891063182</v>
      </c>
      <c r="I69" s="23" t="n">
        <v>18482.1</v>
      </c>
      <c r="J69" s="23" t="n">
        <f aca="false">IFERROR(INDEX(ABC_XYZ!$R$5:$R$494,MATCH(A69,ABC_XYZ!$A$5:$A$494,0)),I69*Parametros!$B$13)</f>
        <v>4929.72906703458</v>
      </c>
      <c r="K69" s="27" t="n">
        <f aca="false">IFERROR(VLOOKUP(C69,Parametros!$A$36:$B$66,2,FALSE()),Parametros!$B$12)</f>
        <v>1</v>
      </c>
      <c r="L69" s="23" t="n">
        <f aca="false">H69*J69*SQRT(K69)</f>
        <v>10124.4257011323</v>
      </c>
      <c r="M69" s="29" t="n">
        <v>214</v>
      </c>
      <c r="N69" s="24" t="n">
        <v>0.238317757009346</v>
      </c>
      <c r="O69" s="3" t="s">
        <v>746</v>
      </c>
      <c r="P69" s="30" t="n">
        <f aca="false">IF(AND(ISNUMBER(M69),ISNUMBER(N69)),M69*N69/7,"")</f>
        <v>7.28571428571429</v>
      </c>
      <c r="Q69" s="23" t="n">
        <f aca="false">IF(ISNUMBER(P69),I69*P69,"")</f>
        <v>134655.3</v>
      </c>
      <c r="R69" s="23" t="n">
        <f aca="false">IF(ISNUMBER(Q69),MAX(0,MIN(L69,Q69-I69*K69)),L69)</f>
        <v>10124.4257011323</v>
      </c>
      <c r="S69" s="23" t="n">
        <f aca="false">R69+I69*K69</f>
        <v>28606.5257011323</v>
      </c>
      <c r="T69" s="23" t="n">
        <v>11520</v>
      </c>
      <c r="U69" s="23" t="n">
        <v>1008</v>
      </c>
      <c r="V69" s="23" t="n">
        <f aca="false">T69+U69</f>
        <v>12528</v>
      </c>
      <c r="W69" s="30" t="n">
        <f aca="false">IF(I69&gt;0,V69/I69,"")</f>
        <v>0.677845050075479</v>
      </c>
      <c r="X69" s="3" t="str">
        <f aca="false">IF(I69&lt;=0,"SIN FCST",IF(V69&lt;R69,"BAJO SS",IF(T69&lt;R69,"BAJO SS (XLIB CUBRE)",IF(V69&lt;S69,"BAJO P.REORDEN",IF(AND(ISNUMBER(Q69),V69&gt;Q69),"SOBRE MAX VENDIBLE","OK")))))</f>
        <v>BAJO P.REORDEN</v>
      </c>
    </row>
    <row r="70" customFormat="false" ht="15" hidden="false" customHeight="false" outlineLevel="0" collapsed="false">
      <c r="A70" s="3" t="n">
        <v>30000401</v>
      </c>
      <c r="B70" s="3" t="s">
        <v>805</v>
      </c>
      <c r="C70" s="3" t="s">
        <v>139</v>
      </c>
      <c r="D70" s="3" t="s">
        <v>753</v>
      </c>
      <c r="E70" s="3" t="s">
        <v>745</v>
      </c>
      <c r="F70" s="3" t="str">
        <f aca="false">IFERROR(INDEX(ABC_XYZ!$L$5:$L$494,MATCH(A70,ABC_XYZ!$A$5:$A$494,0)),"SIN HIST")</f>
        <v>AY</v>
      </c>
      <c r="G70" s="24" t="n">
        <f aca="false">IF(LEFT(F70,1)="A",Parametros!$B$8,IF(LEFT(F70,1)="B",Parametros!$B$9,IF(LEFT(F70,1)="C",Parametros!$B$10,Parametros!$B$11)))</f>
        <v>0.98</v>
      </c>
      <c r="H70" s="27" t="n">
        <f aca="false">NORMSINV(G70)</f>
        <v>2.05374891063182</v>
      </c>
      <c r="I70" s="23" t="n">
        <v>17935</v>
      </c>
      <c r="J70" s="23" t="n">
        <f aca="false">IFERROR(INDEX(ABC_XYZ!$R$5:$R$494,MATCH(A70,ABC_XYZ!$A$5:$A$494,0)),I70*Parametros!$B$13)</f>
        <v>22905.3487307147</v>
      </c>
      <c r="K70" s="27" t="n">
        <f aca="false">IFERROR(VLOOKUP(C70,Parametros!$A$36:$B$66,2,FALSE()),Parametros!$B$12)</f>
        <v>1</v>
      </c>
      <c r="L70" s="23" t="n">
        <f aca="false">H70*J70*SQRT(K70)</f>
        <v>47041.8350033473</v>
      </c>
      <c r="M70" s="29" t="n">
        <v>214</v>
      </c>
      <c r="N70" s="24" t="n">
        <v>0.238317757009346</v>
      </c>
      <c r="O70" s="3" t="s">
        <v>746</v>
      </c>
      <c r="P70" s="30" t="n">
        <f aca="false">IF(AND(ISNUMBER(M70),ISNUMBER(N70)),M70*N70/7,"")</f>
        <v>7.28571428571429</v>
      </c>
      <c r="Q70" s="23" t="n">
        <f aca="false">IF(ISNUMBER(P70),I70*P70,"")</f>
        <v>130669.285714286</v>
      </c>
      <c r="R70" s="23" t="n">
        <f aca="false">IF(ISNUMBER(Q70),MAX(0,MIN(L70,Q70-I70*K70)),L70)</f>
        <v>47041.8350033473</v>
      </c>
      <c r="S70" s="23" t="n">
        <f aca="false">R70+I70*K70</f>
        <v>64976.8350033473</v>
      </c>
      <c r="T70" s="23" t="n">
        <v>91698</v>
      </c>
      <c r="U70" s="23" t="n">
        <v>804</v>
      </c>
      <c r="V70" s="23" t="n">
        <f aca="false">T70+U70</f>
        <v>92502</v>
      </c>
      <c r="W70" s="30" t="n">
        <f aca="false">IF(I70&gt;0,V70/I70,"")</f>
        <v>5.15762475606356</v>
      </c>
      <c r="X70" s="3" t="str">
        <f aca="false">IF(I70&lt;=0,"SIN FCST",IF(V70&lt;R70,"BAJO SS",IF(T70&lt;R70,"BAJO SS (XLIB CUBRE)",IF(V70&lt;S70,"BAJO P.REORDEN",IF(AND(ISNUMBER(Q70),V70&gt;Q70),"SOBRE MAX VENDIBLE","OK")))))</f>
        <v>OK</v>
      </c>
    </row>
    <row r="71" customFormat="false" ht="15" hidden="false" customHeight="false" outlineLevel="0" collapsed="false">
      <c r="A71" s="3" t="n">
        <v>30000516</v>
      </c>
      <c r="B71" s="3" t="s">
        <v>806</v>
      </c>
      <c r="C71" s="3" t="s">
        <v>139</v>
      </c>
      <c r="D71" s="3" t="s">
        <v>753</v>
      </c>
      <c r="E71" s="3" t="s">
        <v>745</v>
      </c>
      <c r="F71" s="3" t="str">
        <f aca="false">IFERROR(INDEX(ABC_XYZ!$L$5:$L$494,MATCH(A71,ABC_XYZ!$A$5:$A$494,0)),"SIN HIST")</f>
        <v>AX</v>
      </c>
      <c r="G71" s="24" t="n">
        <f aca="false">IF(LEFT(F71,1)="A",Parametros!$B$8,IF(LEFT(F71,1)="B",Parametros!$B$9,IF(LEFT(F71,1)="C",Parametros!$B$10,Parametros!$B$11)))</f>
        <v>0.98</v>
      </c>
      <c r="H71" s="27" t="n">
        <f aca="false">NORMSINV(G71)</f>
        <v>2.05374891063182</v>
      </c>
      <c r="I71" s="23" t="n">
        <v>17466.5</v>
      </c>
      <c r="J71" s="23" t="n">
        <f aca="false">IFERROR(INDEX(ABC_XYZ!$R$5:$R$494,MATCH(A71,ABC_XYZ!$A$5:$A$494,0)),I71*Parametros!$B$13)</f>
        <v>2895.61257519175</v>
      </c>
      <c r="K71" s="27" t="n">
        <f aca="false">IFERROR(VLOOKUP(C71,Parametros!$A$36:$B$66,2,FALSE()),Parametros!$B$12)</f>
        <v>1</v>
      </c>
      <c r="L71" s="23" t="n">
        <f aca="false">H71*J71*SQRT(K71)</f>
        <v>5946.86117191186</v>
      </c>
      <c r="M71" s="29" t="n">
        <v>189</v>
      </c>
      <c r="N71" s="24" t="n">
        <v>0.259259259259259</v>
      </c>
      <c r="O71" s="3" t="s">
        <v>746</v>
      </c>
      <c r="P71" s="30" t="n">
        <f aca="false">IF(AND(ISNUMBER(M71),ISNUMBER(N71)),M71*N71/7,"")</f>
        <v>7</v>
      </c>
      <c r="Q71" s="23" t="n">
        <f aca="false">IF(ISNUMBER(P71),I71*P71,"")</f>
        <v>122265.5</v>
      </c>
      <c r="R71" s="23" t="n">
        <f aca="false">IF(ISNUMBER(Q71),MAX(0,MIN(L71,Q71-I71*K71)),L71)</f>
        <v>5946.86117191186</v>
      </c>
      <c r="S71" s="23" t="n">
        <f aca="false">R71+I71*K71</f>
        <v>23413.3611719119</v>
      </c>
      <c r="T71" s="23" t="n">
        <v>54372</v>
      </c>
      <c r="U71" s="23" t="n">
        <v>0</v>
      </c>
      <c r="V71" s="23" t="n">
        <f aca="false">T71+U71</f>
        <v>54372</v>
      </c>
      <c r="W71" s="30" t="n">
        <f aca="false">IF(I71&gt;0,V71/I71,"")</f>
        <v>3.11293046689377</v>
      </c>
      <c r="X71" s="3" t="str">
        <f aca="false">IF(I71&lt;=0,"SIN FCST",IF(V71&lt;R71,"BAJO SS",IF(T71&lt;R71,"BAJO SS (XLIB CUBRE)",IF(V71&lt;S71,"BAJO P.REORDEN",IF(AND(ISNUMBER(Q71),V71&gt;Q71),"SOBRE MAX VENDIBLE","OK")))))</f>
        <v>OK</v>
      </c>
    </row>
    <row r="72" customFormat="false" ht="15" hidden="false" customHeight="false" outlineLevel="0" collapsed="false">
      <c r="A72" s="3" t="n">
        <v>30000122</v>
      </c>
      <c r="B72" s="3" t="s">
        <v>807</v>
      </c>
      <c r="C72" s="3" t="s">
        <v>143</v>
      </c>
      <c r="D72" s="3" t="s">
        <v>750</v>
      </c>
      <c r="E72" s="3"/>
      <c r="F72" s="3" t="str">
        <f aca="false">IFERROR(INDEX(ABC_XYZ!$L$5:$L$494,MATCH(A72,ABC_XYZ!$A$5:$A$494,0)),"SIN HIST")</f>
        <v>SIN HIST</v>
      </c>
      <c r="G72" s="24" t="n">
        <f aca="false">IF(LEFT(F72,1)="A",Parametros!$B$8,IF(LEFT(F72,1)="B",Parametros!$B$9,IF(LEFT(F72,1)="C",Parametros!$B$10,Parametros!$B$11)))</f>
        <v>0.95</v>
      </c>
      <c r="H72" s="27" t="n">
        <f aca="false">NORMSINV(G72)</f>
        <v>1.64485362695147</v>
      </c>
      <c r="I72" s="23" t="n">
        <v>17441.9</v>
      </c>
      <c r="J72" s="23" t="n">
        <f aca="false">IFERROR(INDEX(ABC_XYZ!$R$5:$R$494,MATCH(A72,ABC_XYZ!$A$5:$A$494,0)),I72*Parametros!$B$13)</f>
        <v>5232.57</v>
      </c>
      <c r="K72" s="27" t="n">
        <f aca="false">IFERROR(VLOOKUP(C72,Parametros!$A$36:$B$66,2,FALSE()),Parametros!$B$12)</f>
        <v>1</v>
      </c>
      <c r="L72" s="23" t="n">
        <f aca="false">H72*J72*SQRT(K72)</f>
        <v>8606.81174277746</v>
      </c>
      <c r="M72" s="29"/>
      <c r="N72" s="24"/>
      <c r="O72" s="3"/>
      <c r="P72" s="30" t="str">
        <f aca="false">IF(AND(ISNUMBER(M72),ISNUMBER(N72)),M72*N72/7,"")</f>
        <v/>
      </c>
      <c r="Q72" s="23" t="str">
        <f aca="false">IF(ISNUMBER(P72),I72*P72,"")</f>
        <v/>
      </c>
      <c r="R72" s="23" t="n">
        <f aca="false">IF(ISNUMBER(Q72),MAX(0,MIN(L72,Q72-I72*K72)),L72)</f>
        <v>8606.81174277746</v>
      </c>
      <c r="S72" s="23" t="n">
        <f aca="false">R72+I72*K72</f>
        <v>26048.7117427775</v>
      </c>
      <c r="T72" s="23" t="n">
        <v>191600</v>
      </c>
      <c r="U72" s="23" t="n">
        <v>25680</v>
      </c>
      <c r="V72" s="23" t="n">
        <f aca="false">T72+U72</f>
        <v>217280</v>
      </c>
      <c r="W72" s="30" t="n">
        <f aca="false">IF(I72&gt;0,V72/I72,"")</f>
        <v>12.4573584299876</v>
      </c>
      <c r="X72" s="3" t="str">
        <f aca="false">IF(I72&lt;=0,"SIN FCST",IF(V72&lt;R72,"BAJO SS",IF(T72&lt;R72,"BAJO SS (XLIB CUBRE)",IF(V72&lt;S72,"BAJO P.REORDEN",IF(AND(ISNUMBER(Q72),V72&gt;Q72),"SOBRE MAX VENDIBLE","OK")))))</f>
        <v>OK</v>
      </c>
    </row>
    <row r="73" customFormat="false" ht="15" hidden="false" customHeight="false" outlineLevel="0" collapsed="false">
      <c r="A73" s="3" t="n">
        <v>30000715</v>
      </c>
      <c r="B73" s="3" t="s">
        <v>808</v>
      </c>
      <c r="C73" s="3" t="s">
        <v>133</v>
      </c>
      <c r="D73" s="3" t="s">
        <v>758</v>
      </c>
      <c r="E73" s="3"/>
      <c r="F73" s="3" t="str">
        <f aca="false">IFERROR(INDEX(ABC_XYZ!$L$5:$L$494,MATCH(A73,ABC_XYZ!$A$5:$A$494,0)),"SIN HIST")</f>
        <v>SIN HIST</v>
      </c>
      <c r="G73" s="24" t="n">
        <f aca="false">IF(LEFT(F73,1)="A",Parametros!$B$8,IF(LEFT(F73,1)="B",Parametros!$B$9,IF(LEFT(F73,1)="C",Parametros!$B$10,Parametros!$B$11)))</f>
        <v>0.95</v>
      </c>
      <c r="H73" s="27" t="n">
        <f aca="false">NORMSINV(G73)</f>
        <v>1.64485362695147</v>
      </c>
      <c r="I73" s="23" t="n">
        <v>17174.2</v>
      </c>
      <c r="J73" s="23" t="n">
        <f aca="false">IFERROR(INDEX(ABC_XYZ!$R$5:$R$494,MATCH(A73,ABC_XYZ!$A$5:$A$494,0)),I73*Parametros!$B$13)</f>
        <v>5152.26</v>
      </c>
      <c r="K73" s="27" t="n">
        <f aca="false">IFERROR(VLOOKUP(C73,Parametros!$A$36:$B$66,2,FALSE()),Parametros!$B$12)</f>
        <v>1</v>
      </c>
      <c r="L73" s="23" t="n">
        <f aca="false">H73*J73*SQRT(K73)</f>
        <v>8474.71354799699</v>
      </c>
      <c r="M73" s="29"/>
      <c r="N73" s="24"/>
      <c r="O73" s="3"/>
      <c r="P73" s="30" t="str">
        <f aca="false">IF(AND(ISNUMBER(M73),ISNUMBER(N73)),M73*N73/7,"")</f>
        <v/>
      </c>
      <c r="Q73" s="23" t="str">
        <f aca="false">IF(ISNUMBER(P73),I73*P73,"")</f>
        <v/>
      </c>
      <c r="R73" s="23" t="n">
        <f aca="false">IF(ISNUMBER(Q73),MAX(0,MIN(L73,Q73-I73*K73)),L73)</f>
        <v>8474.71354799699</v>
      </c>
      <c r="S73" s="23" t="n">
        <f aca="false">R73+I73*K73</f>
        <v>25648.913547997</v>
      </c>
      <c r="T73" s="23" t="n">
        <v>69225</v>
      </c>
      <c r="U73" s="23" t="n">
        <v>0</v>
      </c>
      <c r="V73" s="23" t="n">
        <f aca="false">T73+U73</f>
        <v>69225</v>
      </c>
      <c r="W73" s="30" t="n">
        <f aca="false">IF(I73&gt;0,V73/I73,"")</f>
        <v>4.0307554354788</v>
      </c>
      <c r="X73" s="3" t="str">
        <f aca="false">IF(I73&lt;=0,"SIN FCST",IF(V73&lt;R73,"BAJO SS",IF(T73&lt;R73,"BAJO SS (XLIB CUBRE)",IF(V73&lt;S73,"BAJO P.REORDEN",IF(AND(ISNUMBER(Q73),V73&gt;Q73),"SOBRE MAX VENDIBLE","OK")))))</f>
        <v>OK</v>
      </c>
    </row>
    <row r="74" customFormat="false" ht="15" hidden="false" customHeight="false" outlineLevel="0" collapsed="false">
      <c r="A74" s="3" t="n">
        <v>30000737</v>
      </c>
      <c r="B74" s="3" t="s">
        <v>809</v>
      </c>
      <c r="C74" s="3" t="s">
        <v>133</v>
      </c>
      <c r="D74" s="3" t="s">
        <v>758</v>
      </c>
      <c r="E74" s="3"/>
      <c r="F74" s="3" t="str">
        <f aca="false">IFERROR(INDEX(ABC_XYZ!$L$5:$L$494,MATCH(A74,ABC_XYZ!$A$5:$A$494,0)),"SIN HIST")</f>
        <v>SIN HIST</v>
      </c>
      <c r="G74" s="24" t="n">
        <f aca="false">IF(LEFT(F74,1)="A",Parametros!$B$8,IF(LEFT(F74,1)="B",Parametros!$B$9,IF(LEFT(F74,1)="C",Parametros!$B$10,Parametros!$B$11)))</f>
        <v>0.95</v>
      </c>
      <c r="H74" s="27" t="n">
        <f aca="false">NORMSINV(G74)</f>
        <v>1.64485362695147</v>
      </c>
      <c r="I74" s="23" t="n">
        <v>17102.5</v>
      </c>
      <c r="J74" s="23" t="n">
        <f aca="false">IFERROR(INDEX(ABC_XYZ!$R$5:$R$494,MATCH(A74,ABC_XYZ!$A$5:$A$494,0)),I74*Parametros!$B$13)</f>
        <v>5130.75</v>
      </c>
      <c r="K74" s="27" t="n">
        <f aca="false">IFERROR(VLOOKUP(C74,Parametros!$A$36:$B$66,2,FALSE()),Parametros!$B$12)</f>
        <v>1</v>
      </c>
      <c r="L74" s="23" t="n">
        <f aca="false">H74*J74*SQRT(K74)</f>
        <v>8439.33274648126</v>
      </c>
      <c r="M74" s="29"/>
      <c r="N74" s="24"/>
      <c r="O74" s="3"/>
      <c r="P74" s="30" t="str">
        <f aca="false">IF(AND(ISNUMBER(M74),ISNUMBER(N74)),M74*N74/7,"")</f>
        <v/>
      </c>
      <c r="Q74" s="23" t="str">
        <f aca="false">IF(ISNUMBER(P74),I74*P74,"")</f>
        <v/>
      </c>
      <c r="R74" s="23" t="n">
        <f aca="false">IF(ISNUMBER(Q74),MAX(0,MIN(L74,Q74-I74*K74)),L74)</f>
        <v>8439.33274648126</v>
      </c>
      <c r="S74" s="23" t="n">
        <f aca="false">R74+I74*K74</f>
        <v>25541.8327464813</v>
      </c>
      <c r="T74" s="23" t="n">
        <v>115890</v>
      </c>
      <c r="U74" s="23" t="n">
        <v>0</v>
      </c>
      <c r="V74" s="23" t="n">
        <f aca="false">T74+U74</f>
        <v>115890</v>
      </c>
      <c r="W74" s="30" t="n">
        <f aca="false">IF(I74&gt;0,V74/I74,"")</f>
        <v>6.77620230960386</v>
      </c>
      <c r="X74" s="3" t="str">
        <f aca="false">IF(I74&lt;=0,"SIN FCST",IF(V74&lt;R74,"BAJO SS",IF(T74&lt;R74,"BAJO SS (XLIB CUBRE)",IF(V74&lt;S74,"BAJO P.REORDEN",IF(AND(ISNUMBER(Q74),V74&gt;Q74),"SOBRE MAX VENDIBLE","OK")))))</f>
        <v>OK</v>
      </c>
    </row>
    <row r="75" customFormat="false" ht="15" hidden="false" customHeight="false" outlineLevel="0" collapsed="false">
      <c r="A75" s="3" t="n">
        <v>30002315</v>
      </c>
      <c r="B75" s="3" t="s">
        <v>260</v>
      </c>
      <c r="C75" s="3" t="s">
        <v>139</v>
      </c>
      <c r="D75" s="3" t="s">
        <v>744</v>
      </c>
      <c r="E75" s="3"/>
      <c r="F75" s="3" t="str">
        <f aca="false">IFERROR(INDEX(ABC_XYZ!$L$5:$L$494,MATCH(A75,ABC_XYZ!$A$5:$A$494,0)),"SIN HIST")</f>
        <v>AX</v>
      </c>
      <c r="G75" s="24" t="n">
        <f aca="false">IF(LEFT(F75,1)="A",Parametros!$B$8,IF(LEFT(F75,1)="B",Parametros!$B$9,IF(LEFT(F75,1)="C",Parametros!$B$10,Parametros!$B$11)))</f>
        <v>0.98</v>
      </c>
      <c r="H75" s="27" t="n">
        <f aca="false">NORMSINV(G75)</f>
        <v>2.05374891063182</v>
      </c>
      <c r="I75" s="23" t="n">
        <v>16808.1</v>
      </c>
      <c r="J75" s="23" t="n">
        <f aca="false">IFERROR(INDEX(ABC_XYZ!$R$5:$R$494,MATCH(A75,ABC_XYZ!$A$5:$A$494,0)),I75*Parametros!$B$13)</f>
        <v>7817.49426574967</v>
      </c>
      <c r="K75" s="27" t="n">
        <f aca="false">IFERROR(VLOOKUP(C75,Parametros!$A$36:$B$66,2,FALSE()),Parametros!$B$12)</f>
        <v>1</v>
      </c>
      <c r="L75" s="23" t="n">
        <f aca="false">H75*J75*SQRT(K75)</f>
        <v>16055.1703321539</v>
      </c>
      <c r="M75" s="29"/>
      <c r="N75" s="24"/>
      <c r="O75" s="3"/>
      <c r="P75" s="30" t="str">
        <f aca="false">IF(AND(ISNUMBER(M75),ISNUMBER(N75)),M75*N75/7,"")</f>
        <v/>
      </c>
      <c r="Q75" s="23" t="str">
        <f aca="false">IF(ISNUMBER(P75),I75*P75,"")</f>
        <v/>
      </c>
      <c r="R75" s="23" t="n">
        <f aca="false">IF(ISNUMBER(Q75),MAX(0,MIN(L75,Q75-I75*K75)),L75)</f>
        <v>16055.1703321539</v>
      </c>
      <c r="S75" s="23" t="n">
        <f aca="false">R75+I75*K75</f>
        <v>32863.2703321539</v>
      </c>
      <c r="T75" s="23" t="n">
        <v>2268</v>
      </c>
      <c r="U75" s="23" t="n">
        <v>51504</v>
      </c>
      <c r="V75" s="23" t="n">
        <f aca="false">T75+U75</f>
        <v>53772</v>
      </c>
      <c r="W75" s="30" t="n">
        <f aca="false">IF(I75&gt;0,V75/I75,"")</f>
        <v>3.19917182786871</v>
      </c>
      <c r="X75" s="3" t="str">
        <f aca="false">IF(I75&lt;=0,"SIN FCST",IF(V75&lt;R75,"BAJO SS",IF(T75&lt;R75,"BAJO SS (XLIB CUBRE)",IF(V75&lt;S75,"BAJO P.REORDEN",IF(AND(ISNUMBER(Q75),V75&gt;Q75),"SOBRE MAX VENDIBLE","OK")))))</f>
        <v>BAJO SS (XLIB CUBRE)</v>
      </c>
    </row>
    <row r="76" customFormat="false" ht="15" hidden="false" customHeight="false" outlineLevel="0" collapsed="false">
      <c r="A76" s="3" t="n">
        <v>30000254</v>
      </c>
      <c r="B76" s="3" t="s">
        <v>810</v>
      </c>
      <c r="C76" s="3" t="s">
        <v>135</v>
      </c>
      <c r="D76" s="3" t="s">
        <v>753</v>
      </c>
      <c r="E76" s="3" t="s">
        <v>745</v>
      </c>
      <c r="F76" s="3" t="str">
        <f aca="false">IFERROR(INDEX(ABC_XYZ!$L$5:$L$494,MATCH(A76,ABC_XYZ!$A$5:$A$494,0)),"SIN HIST")</f>
        <v>AX</v>
      </c>
      <c r="G76" s="24" t="n">
        <f aca="false">IF(LEFT(F76,1)="A",Parametros!$B$8,IF(LEFT(F76,1)="B",Parametros!$B$9,IF(LEFT(F76,1)="C",Parametros!$B$10,Parametros!$B$11)))</f>
        <v>0.98</v>
      </c>
      <c r="H76" s="27" t="n">
        <f aca="false">NORMSINV(G76)</f>
        <v>2.05374891063182</v>
      </c>
      <c r="I76" s="23" t="n">
        <v>16550.7</v>
      </c>
      <c r="J76" s="23" t="n">
        <f aca="false">IFERROR(INDEX(ABC_XYZ!$R$5:$R$494,MATCH(A76,ABC_XYZ!$A$5:$A$494,0)),I76*Parametros!$B$13)</f>
        <v>5634.41803113202</v>
      </c>
      <c r="K76" s="27" t="n">
        <f aca="false">IFERROR(VLOOKUP(C76,Parametros!$A$36:$B$66,2,FALSE()),Parametros!$B$12)</f>
        <v>1</v>
      </c>
      <c r="L76" s="23" t="n">
        <f aca="false">H76*J76*SQRT(K76)</f>
        <v>11571.6798934817</v>
      </c>
      <c r="M76" s="29" t="n">
        <v>275</v>
      </c>
      <c r="N76" s="24" t="n">
        <v>0.316363636363636</v>
      </c>
      <c r="O76" s="3" t="s">
        <v>754</v>
      </c>
      <c r="P76" s="30" t="n">
        <f aca="false">IF(AND(ISNUMBER(M76),ISNUMBER(N76)),M76*N76/7,"")</f>
        <v>12.4285714285714</v>
      </c>
      <c r="Q76" s="23" t="n">
        <f aca="false">IF(ISNUMBER(P76),I76*P76,"")</f>
        <v>205701.557142857</v>
      </c>
      <c r="R76" s="23" t="n">
        <f aca="false">IF(ISNUMBER(Q76),MAX(0,MIN(L76,Q76-I76*K76)),L76)</f>
        <v>11571.6798934817</v>
      </c>
      <c r="S76" s="23" t="n">
        <f aca="false">R76+I76*K76</f>
        <v>28122.3798934817</v>
      </c>
      <c r="T76" s="23" t="n">
        <v>81378</v>
      </c>
      <c r="U76" s="23" t="n">
        <v>0</v>
      </c>
      <c r="V76" s="23" t="n">
        <f aca="false">T76+U76</f>
        <v>81378</v>
      </c>
      <c r="W76" s="30" t="n">
        <f aca="false">IF(I76&gt;0,V76/I76,"")</f>
        <v>4.91689173267596</v>
      </c>
      <c r="X76" s="3" t="str">
        <f aca="false">IF(I76&lt;=0,"SIN FCST",IF(V76&lt;R76,"BAJO SS",IF(T76&lt;R76,"BAJO SS (XLIB CUBRE)",IF(V76&lt;S76,"BAJO P.REORDEN",IF(AND(ISNUMBER(Q76),V76&gt;Q76),"SOBRE MAX VENDIBLE","OK")))))</f>
        <v>OK</v>
      </c>
    </row>
    <row r="77" customFormat="false" ht="15" hidden="false" customHeight="false" outlineLevel="0" collapsed="false">
      <c r="A77" s="3" t="n">
        <v>30001074</v>
      </c>
      <c r="B77" s="3" t="s">
        <v>811</v>
      </c>
      <c r="C77" s="3" t="s">
        <v>155</v>
      </c>
      <c r="D77" s="3" t="s">
        <v>761</v>
      </c>
      <c r="E77" s="3" t="s">
        <v>762</v>
      </c>
      <c r="F77" s="3" t="str">
        <f aca="false">IFERROR(INDEX(ABC_XYZ!$L$5:$L$494,MATCH(A77,ABC_XYZ!$A$5:$A$494,0)),"SIN HIST")</f>
        <v>AX</v>
      </c>
      <c r="G77" s="24" t="n">
        <f aca="false">IF(LEFT(F77,1)="A",Parametros!$B$8,IF(LEFT(F77,1)="B",Parametros!$B$9,IF(LEFT(F77,1)="C",Parametros!$B$10,Parametros!$B$11)))</f>
        <v>0.98</v>
      </c>
      <c r="H77" s="27" t="n">
        <f aca="false">NORMSINV(G77)</f>
        <v>2.05374891063182</v>
      </c>
      <c r="I77" s="23" t="n">
        <v>16481.6</v>
      </c>
      <c r="J77" s="23" t="n">
        <f aca="false">IFERROR(INDEX(ABC_XYZ!$R$5:$R$494,MATCH(A77,ABC_XYZ!$A$5:$A$494,0)),I77*Parametros!$B$13)</f>
        <v>10354.2406172005</v>
      </c>
      <c r="K77" s="27" t="n">
        <f aca="false">IFERROR(VLOOKUP(C77,Parametros!$A$36:$B$66,2,FALSE()),Parametros!$B$12)</f>
        <v>1</v>
      </c>
      <c r="L77" s="23" t="n">
        <f aca="false">H77*J77*SQRT(K77)</f>
        <v>21265.0103879954</v>
      </c>
      <c r="M77" s="29" t="n">
        <v>57</v>
      </c>
      <c r="N77" s="24" t="n">
        <v>0.298245614035088</v>
      </c>
      <c r="O77" s="3" t="s">
        <v>763</v>
      </c>
      <c r="P77" s="30" t="n">
        <f aca="false">IF(AND(ISNUMBER(M77),ISNUMBER(N77)),M77*N77/7,"")</f>
        <v>2.42857142857143</v>
      </c>
      <c r="Q77" s="23" t="n">
        <f aca="false">IF(ISNUMBER(P77),I77*P77,"")</f>
        <v>40026.7428571429</v>
      </c>
      <c r="R77" s="23" t="n">
        <f aca="false">IF(ISNUMBER(Q77),MAX(0,MIN(L77,Q77-I77*K77)),L77)</f>
        <v>21265.0103879954</v>
      </c>
      <c r="S77" s="23" t="n">
        <f aca="false">R77+I77*K77</f>
        <v>37746.6103879954</v>
      </c>
      <c r="T77" s="23" t="n">
        <v>16125.1</v>
      </c>
      <c r="U77" s="23" t="n">
        <v>0</v>
      </c>
      <c r="V77" s="23" t="n">
        <f aca="false">T77+U77</f>
        <v>16125.1</v>
      </c>
      <c r="W77" s="30" t="n">
        <f aca="false">IF(I77&gt;0,V77/I77,"")</f>
        <v>0.978369818464227</v>
      </c>
      <c r="X77" s="3" t="str">
        <f aca="false">IF(I77&lt;=0,"SIN FCST",IF(V77&lt;R77,"BAJO SS",IF(T77&lt;R77,"BAJO SS (XLIB CUBRE)",IF(V77&lt;S77,"BAJO P.REORDEN",IF(AND(ISNUMBER(Q77),V77&gt;Q77),"SOBRE MAX VENDIBLE","OK")))))</f>
        <v>BAJO SS</v>
      </c>
    </row>
    <row r="78" customFormat="false" ht="15" hidden="false" customHeight="false" outlineLevel="0" collapsed="false">
      <c r="A78" s="3" t="n">
        <v>30000206</v>
      </c>
      <c r="B78" s="3" t="s">
        <v>287</v>
      </c>
      <c r="C78" s="3" t="s">
        <v>135</v>
      </c>
      <c r="D78" s="3" t="s">
        <v>753</v>
      </c>
      <c r="E78" s="3" t="s">
        <v>745</v>
      </c>
      <c r="F78" s="3" t="str">
        <f aca="false">IFERROR(INDEX(ABC_XYZ!$L$5:$L$494,MATCH(A78,ABC_XYZ!$A$5:$A$494,0)),"SIN HIST")</f>
        <v>AX</v>
      </c>
      <c r="G78" s="24" t="n">
        <f aca="false">IF(LEFT(F78,1)="A",Parametros!$B$8,IF(LEFT(F78,1)="B",Parametros!$B$9,IF(LEFT(F78,1)="C",Parametros!$B$10,Parametros!$B$11)))</f>
        <v>0.98</v>
      </c>
      <c r="H78" s="27" t="n">
        <f aca="false">NORMSINV(G78)</f>
        <v>2.05374891063182</v>
      </c>
      <c r="I78" s="23" t="n">
        <v>15510.7</v>
      </c>
      <c r="J78" s="23" t="n">
        <f aca="false">IFERROR(INDEX(ABC_XYZ!$R$5:$R$494,MATCH(A78,ABC_XYZ!$A$5:$A$494,0)),I78*Parametros!$B$13)</f>
        <v>2654.09041869515</v>
      </c>
      <c r="K78" s="27" t="n">
        <f aca="false">IFERROR(VLOOKUP(C78,Parametros!$A$36:$B$66,2,FALSE()),Parametros!$B$12)</f>
        <v>1</v>
      </c>
      <c r="L78" s="23" t="n">
        <f aca="false">H78*J78*SQRT(K78)</f>
        <v>5450.83530611352</v>
      </c>
      <c r="M78" s="29" t="n">
        <v>275</v>
      </c>
      <c r="N78" s="24" t="n">
        <v>0.192727272727273</v>
      </c>
      <c r="O78" s="3" t="s">
        <v>746</v>
      </c>
      <c r="P78" s="30" t="n">
        <f aca="false">IF(AND(ISNUMBER(M78),ISNUMBER(N78)),M78*N78/7,"")</f>
        <v>7.57142857142857</v>
      </c>
      <c r="Q78" s="23" t="n">
        <f aca="false">IF(ISNUMBER(P78),I78*P78,"")</f>
        <v>117438.157142857</v>
      </c>
      <c r="R78" s="23" t="n">
        <f aca="false">IF(ISNUMBER(Q78),MAX(0,MIN(L78,Q78-I78*K78)),L78)</f>
        <v>5450.83530611352</v>
      </c>
      <c r="S78" s="23" t="n">
        <f aca="false">R78+I78*K78</f>
        <v>20961.5353061135</v>
      </c>
      <c r="T78" s="23" t="n">
        <v>65364</v>
      </c>
      <c r="U78" s="23" t="n">
        <v>0</v>
      </c>
      <c r="V78" s="23" t="n">
        <f aca="false">T78+U78</f>
        <v>65364</v>
      </c>
      <c r="W78" s="30" t="n">
        <f aca="false">IF(I78&gt;0,V78/I78,"")</f>
        <v>4.2141231536939</v>
      </c>
      <c r="X78" s="3" t="str">
        <f aca="false">IF(I78&lt;=0,"SIN FCST",IF(V78&lt;R78,"BAJO SS",IF(T78&lt;R78,"BAJO SS (XLIB CUBRE)",IF(V78&lt;S78,"BAJO P.REORDEN",IF(AND(ISNUMBER(Q78),V78&gt;Q78),"SOBRE MAX VENDIBLE","OK")))))</f>
        <v>OK</v>
      </c>
    </row>
    <row r="79" customFormat="false" ht="15" hidden="false" customHeight="false" outlineLevel="0" collapsed="false">
      <c r="A79" s="3" t="n">
        <v>30001684</v>
      </c>
      <c r="B79" s="3" t="s">
        <v>812</v>
      </c>
      <c r="C79" s="3" t="s">
        <v>135</v>
      </c>
      <c r="D79" s="3" t="s">
        <v>753</v>
      </c>
      <c r="E79" s="3" t="s">
        <v>745</v>
      </c>
      <c r="F79" s="3" t="str">
        <f aca="false">IFERROR(INDEX(ABC_XYZ!$L$5:$L$494,MATCH(A79,ABC_XYZ!$A$5:$A$494,0)),"SIN HIST")</f>
        <v>AX</v>
      </c>
      <c r="G79" s="24" t="n">
        <f aca="false">IF(LEFT(F79,1)="A",Parametros!$B$8,IF(LEFT(F79,1)="B",Parametros!$B$9,IF(LEFT(F79,1)="C",Parametros!$B$10,Parametros!$B$11)))</f>
        <v>0.98</v>
      </c>
      <c r="H79" s="27" t="n">
        <f aca="false">NORMSINV(G79)</f>
        <v>2.05374891063182</v>
      </c>
      <c r="I79" s="23" t="n">
        <v>15427.6</v>
      </c>
      <c r="J79" s="23" t="n">
        <f aca="false">IFERROR(INDEX(ABC_XYZ!$R$5:$R$494,MATCH(A79,ABC_XYZ!$A$5:$A$494,0)),I79*Parametros!$B$13)</f>
        <v>3254.77886393612</v>
      </c>
      <c r="K79" s="27" t="n">
        <f aca="false">IFERROR(VLOOKUP(C79,Parametros!$A$36:$B$66,2,FALSE()),Parametros!$B$12)</f>
        <v>1</v>
      </c>
      <c r="L79" s="23" t="n">
        <f aca="false">H79*J79*SQRT(K79)</f>
        <v>6684.49854615629</v>
      </c>
      <c r="M79" s="29" t="n">
        <v>275</v>
      </c>
      <c r="N79" s="24" t="n">
        <v>0.192727272727273</v>
      </c>
      <c r="O79" s="3" t="s">
        <v>746</v>
      </c>
      <c r="P79" s="30" t="n">
        <f aca="false">IF(AND(ISNUMBER(M79),ISNUMBER(N79)),M79*N79/7,"")</f>
        <v>7.57142857142857</v>
      </c>
      <c r="Q79" s="23" t="n">
        <f aca="false">IF(ISNUMBER(P79),I79*P79,"")</f>
        <v>116808.971428571</v>
      </c>
      <c r="R79" s="23" t="n">
        <f aca="false">IF(ISNUMBER(Q79),MAX(0,MIN(L79,Q79-I79*K79)),L79)</f>
        <v>6684.49854615629</v>
      </c>
      <c r="S79" s="23" t="n">
        <f aca="false">R79+I79*K79</f>
        <v>22112.0985461563</v>
      </c>
      <c r="T79" s="23" t="n">
        <v>42978</v>
      </c>
      <c r="U79" s="23" t="n">
        <v>34230</v>
      </c>
      <c r="V79" s="23" t="n">
        <f aca="false">T79+U79</f>
        <v>77208</v>
      </c>
      <c r="W79" s="30" t="n">
        <f aca="false">IF(I79&gt;0,V79/I79,"")</f>
        <v>5.00453732272032</v>
      </c>
      <c r="X79" s="3" t="str">
        <f aca="false">IF(I79&lt;=0,"SIN FCST",IF(V79&lt;R79,"BAJO SS",IF(T79&lt;R79,"BAJO SS (XLIB CUBRE)",IF(V79&lt;S79,"BAJO P.REORDEN",IF(AND(ISNUMBER(Q79),V79&gt;Q79),"SOBRE MAX VENDIBLE","OK")))))</f>
        <v>OK</v>
      </c>
    </row>
    <row r="80" customFormat="false" ht="15" hidden="false" customHeight="false" outlineLevel="0" collapsed="false">
      <c r="A80" s="3" t="n">
        <v>30001400</v>
      </c>
      <c r="B80" s="3" t="s">
        <v>263</v>
      </c>
      <c r="C80" s="3" t="s">
        <v>149</v>
      </c>
      <c r="D80" s="3" t="s">
        <v>744</v>
      </c>
      <c r="E80" s="3" t="s">
        <v>762</v>
      </c>
      <c r="F80" s="3" t="str">
        <f aca="false">IFERROR(INDEX(ABC_XYZ!$L$5:$L$494,MATCH(A80,ABC_XYZ!$A$5:$A$494,0)),"SIN HIST")</f>
        <v>AX</v>
      </c>
      <c r="G80" s="24" t="n">
        <f aca="false">IF(LEFT(F80,1)="A",Parametros!$B$8,IF(LEFT(F80,1)="B",Parametros!$B$9,IF(LEFT(F80,1)="C",Parametros!$B$10,Parametros!$B$11)))</f>
        <v>0.98</v>
      </c>
      <c r="H80" s="27" t="n">
        <f aca="false">NORMSINV(G80)</f>
        <v>2.05374891063182</v>
      </c>
      <c r="I80" s="23" t="n">
        <v>15150</v>
      </c>
      <c r="J80" s="23" t="n">
        <f aca="false">IFERROR(INDEX(ABC_XYZ!$R$5:$R$494,MATCH(A80,ABC_XYZ!$A$5:$A$494,0)),I80*Parametros!$B$13)</f>
        <v>4278.09553248408</v>
      </c>
      <c r="K80" s="27" t="n">
        <f aca="false">IFERROR(VLOOKUP(C80,Parametros!$A$36:$B$66,2,FALSE()),Parametros!$B$12)</f>
        <v>1</v>
      </c>
      <c r="L80" s="23" t="n">
        <f aca="false">H80*J80*SQRT(K80)</f>
        <v>8786.13403941805</v>
      </c>
      <c r="M80" s="29" t="n">
        <v>184</v>
      </c>
      <c r="N80" s="24" t="n">
        <v>0.315217391304348</v>
      </c>
      <c r="O80" s="3" t="s">
        <v>780</v>
      </c>
      <c r="P80" s="30" t="n">
        <f aca="false">IF(AND(ISNUMBER(M80),ISNUMBER(N80)),M80*N80/7,"")</f>
        <v>8.28571428571429</v>
      </c>
      <c r="Q80" s="23" t="n">
        <f aca="false">IF(ISNUMBER(P80),I80*P80,"")</f>
        <v>125528.571428571</v>
      </c>
      <c r="R80" s="23" t="n">
        <f aca="false">IF(ISNUMBER(Q80),MAX(0,MIN(L80,Q80-I80*K80)),L80)</f>
        <v>8786.13403941805</v>
      </c>
      <c r="S80" s="23" t="n">
        <f aca="false">R80+I80*K80</f>
        <v>23936.1340394181</v>
      </c>
      <c r="T80" s="23" t="n">
        <v>41352.5</v>
      </c>
      <c r="U80" s="23" t="n">
        <v>13784.2</v>
      </c>
      <c r="V80" s="23" t="n">
        <f aca="false">T80+U80</f>
        <v>55136.7</v>
      </c>
      <c r="W80" s="30" t="n">
        <f aca="false">IF(I80&gt;0,V80/I80,"")</f>
        <v>3.63938613861386</v>
      </c>
      <c r="X80" s="3" t="str">
        <f aca="false">IF(I80&lt;=0,"SIN FCST",IF(V80&lt;R80,"BAJO SS",IF(T80&lt;R80,"BAJO SS (XLIB CUBRE)",IF(V80&lt;S80,"BAJO P.REORDEN",IF(AND(ISNUMBER(Q80),V80&gt;Q80),"SOBRE MAX VENDIBLE","OK")))))</f>
        <v>OK</v>
      </c>
    </row>
    <row r="81" customFormat="false" ht="15" hidden="false" customHeight="false" outlineLevel="0" collapsed="false">
      <c r="A81" s="3" t="n">
        <v>30001409</v>
      </c>
      <c r="B81" s="3" t="s">
        <v>813</v>
      </c>
      <c r="C81" s="3" t="s">
        <v>138</v>
      </c>
      <c r="D81" s="3" t="s">
        <v>744</v>
      </c>
      <c r="E81" s="3" t="s">
        <v>745</v>
      </c>
      <c r="F81" s="3" t="str">
        <f aca="false">IFERROR(INDEX(ABC_XYZ!$L$5:$L$494,MATCH(A81,ABC_XYZ!$A$5:$A$494,0)),"SIN HIST")</f>
        <v>AX</v>
      </c>
      <c r="G81" s="24" t="n">
        <f aca="false">IF(LEFT(F81,1)="A",Parametros!$B$8,IF(LEFT(F81,1)="B",Parametros!$B$9,IF(LEFT(F81,1)="C",Parametros!$B$10,Parametros!$B$11)))</f>
        <v>0.98</v>
      </c>
      <c r="H81" s="27" t="n">
        <f aca="false">NORMSINV(G81)</f>
        <v>2.05374891063182</v>
      </c>
      <c r="I81" s="23" t="n">
        <v>15147.8</v>
      </c>
      <c r="J81" s="23" t="n">
        <f aca="false">IFERROR(INDEX(ABC_XYZ!$R$5:$R$494,MATCH(A81,ABC_XYZ!$A$5:$A$494,0)),I81*Parametros!$B$13)</f>
        <v>4170.70595117852</v>
      </c>
      <c r="K81" s="27" t="n">
        <f aca="false">IFERROR(VLOOKUP(C81,Parametros!$A$36:$B$66,2,FALSE()),Parametros!$B$12)</f>
        <v>1</v>
      </c>
      <c r="L81" s="23" t="n">
        <f aca="false">H81*J81*SQRT(K81)</f>
        <v>8565.58280379853</v>
      </c>
      <c r="M81" s="29" t="n">
        <v>365</v>
      </c>
      <c r="N81" s="24" t="n">
        <v>0.32054794520548</v>
      </c>
      <c r="O81" s="3" t="s">
        <v>754</v>
      </c>
      <c r="P81" s="30" t="n">
        <f aca="false">IF(AND(ISNUMBER(M81),ISNUMBER(N81)),M81*N81/7,"")</f>
        <v>16.7142857142857</v>
      </c>
      <c r="Q81" s="23" t="n">
        <f aca="false">IF(ISNUMBER(P81),I81*P81,"")</f>
        <v>253184.657142857</v>
      </c>
      <c r="R81" s="23" t="n">
        <f aca="false">IF(ISNUMBER(Q81),MAX(0,MIN(L81,Q81-I81*K81)),L81)</f>
        <v>8565.58280379853</v>
      </c>
      <c r="S81" s="23" t="n">
        <f aca="false">R81+I81*K81</f>
        <v>23713.3828037985</v>
      </c>
      <c r="T81" s="23" t="n">
        <v>81634</v>
      </c>
      <c r="U81" s="23" t="n">
        <v>0</v>
      </c>
      <c r="V81" s="23" t="n">
        <f aca="false">T81+U81</f>
        <v>81634</v>
      </c>
      <c r="W81" s="30" t="n">
        <f aca="false">IF(I81&gt;0,V81/I81,"")</f>
        <v>5.38916542336181</v>
      </c>
      <c r="X81" s="3" t="str">
        <f aca="false">IF(I81&lt;=0,"SIN FCST",IF(V81&lt;R81,"BAJO SS",IF(T81&lt;R81,"BAJO SS (XLIB CUBRE)",IF(V81&lt;S81,"BAJO P.REORDEN",IF(AND(ISNUMBER(Q81),V81&gt;Q81),"SOBRE MAX VENDIBLE","OK")))))</f>
        <v>OK</v>
      </c>
    </row>
    <row r="82" customFormat="false" ht="15" hidden="false" customHeight="false" outlineLevel="0" collapsed="false">
      <c r="A82" s="3" t="n">
        <v>30000392</v>
      </c>
      <c r="B82" s="3" t="s">
        <v>814</v>
      </c>
      <c r="C82" s="3" t="s">
        <v>140</v>
      </c>
      <c r="D82" s="3" t="s">
        <v>744</v>
      </c>
      <c r="E82" s="3" t="s">
        <v>745</v>
      </c>
      <c r="F82" s="3" t="str">
        <f aca="false">IFERROR(INDEX(ABC_XYZ!$L$5:$L$494,MATCH(A82,ABC_XYZ!$A$5:$A$494,0)),"SIN HIST")</f>
        <v>SIN HIST</v>
      </c>
      <c r="G82" s="24" t="n">
        <f aca="false">IF(LEFT(F82,1)="A",Parametros!$B$8,IF(LEFT(F82,1)="B",Parametros!$B$9,IF(LEFT(F82,1)="C",Parametros!$B$10,Parametros!$B$11)))</f>
        <v>0.95</v>
      </c>
      <c r="H82" s="27" t="n">
        <f aca="false">NORMSINV(G82)</f>
        <v>1.64485362695147</v>
      </c>
      <c r="I82" s="23" t="n">
        <v>15116.3</v>
      </c>
      <c r="J82" s="23" t="n">
        <f aca="false">IFERROR(INDEX(ABC_XYZ!$R$5:$R$494,MATCH(A82,ABC_XYZ!$A$5:$A$494,0)),I82*Parametros!$B$13)</f>
        <v>4534.89</v>
      </c>
      <c r="K82" s="27" t="n">
        <f aca="false">IFERROR(VLOOKUP(C82,Parametros!$A$36:$B$66,2,FALSE()),Parametros!$B$12)</f>
        <v>1</v>
      </c>
      <c r="L82" s="23" t="n">
        <f aca="false">H82*J82*SQRT(K82)</f>
        <v>7459.23026432596</v>
      </c>
      <c r="M82" s="29" t="n">
        <v>184</v>
      </c>
      <c r="N82" s="24" t="n">
        <v>0.271739130434783</v>
      </c>
      <c r="O82" s="3" t="s">
        <v>746</v>
      </c>
      <c r="P82" s="30" t="n">
        <f aca="false">IF(AND(ISNUMBER(M82),ISNUMBER(N82)),M82*N82/7,"")</f>
        <v>7.14285714285714</v>
      </c>
      <c r="Q82" s="23" t="n">
        <f aca="false">IF(ISNUMBER(P82),I82*P82,"")</f>
        <v>107973.571428571</v>
      </c>
      <c r="R82" s="23" t="n">
        <f aca="false">IF(ISNUMBER(Q82),MAX(0,MIN(L82,Q82-I82*K82)),L82)</f>
        <v>7459.23026432596</v>
      </c>
      <c r="S82" s="23" t="n">
        <f aca="false">R82+I82*K82</f>
        <v>22575.530264326</v>
      </c>
      <c r="T82" s="23" t="n">
        <v>35472</v>
      </c>
      <c r="U82" s="23" t="n">
        <v>14280</v>
      </c>
      <c r="V82" s="23" t="n">
        <f aca="false">T82+U82</f>
        <v>49752</v>
      </c>
      <c r="W82" s="30" t="n">
        <f aca="false">IF(I82&gt;0,V82/I82,"")</f>
        <v>3.29128159668702</v>
      </c>
      <c r="X82" s="3" t="str">
        <f aca="false">IF(I82&lt;=0,"SIN FCST",IF(V82&lt;R82,"BAJO SS",IF(T82&lt;R82,"BAJO SS (XLIB CUBRE)",IF(V82&lt;S82,"BAJO P.REORDEN",IF(AND(ISNUMBER(Q82),V82&gt;Q82),"SOBRE MAX VENDIBLE","OK")))))</f>
        <v>OK</v>
      </c>
    </row>
    <row r="83" customFormat="false" ht="15" hidden="false" customHeight="false" outlineLevel="0" collapsed="false">
      <c r="A83" s="3" t="n">
        <v>30000638</v>
      </c>
      <c r="B83" s="3" t="s">
        <v>815</v>
      </c>
      <c r="C83" s="3" t="s">
        <v>129</v>
      </c>
      <c r="D83" s="3" t="s">
        <v>753</v>
      </c>
      <c r="E83" s="3" t="s">
        <v>745</v>
      </c>
      <c r="F83" s="3" t="str">
        <f aca="false">IFERROR(INDEX(ABC_XYZ!$L$5:$L$494,MATCH(A83,ABC_XYZ!$A$5:$A$494,0)),"SIN HIST")</f>
        <v>AX</v>
      </c>
      <c r="G83" s="24" t="n">
        <f aca="false">IF(LEFT(F83,1)="A",Parametros!$B$8,IF(LEFT(F83,1)="B",Parametros!$B$9,IF(LEFT(F83,1)="C",Parametros!$B$10,Parametros!$B$11)))</f>
        <v>0.98</v>
      </c>
      <c r="H83" s="27" t="n">
        <f aca="false">NORMSINV(G83)</f>
        <v>2.05374891063182</v>
      </c>
      <c r="I83" s="23" t="n">
        <v>14906.6</v>
      </c>
      <c r="J83" s="23" t="n">
        <f aca="false">IFERROR(INDEX(ABC_XYZ!$R$5:$R$494,MATCH(A83,ABC_XYZ!$A$5:$A$494,0)),I83*Parametros!$B$13)</f>
        <v>3645.33739877852</v>
      </c>
      <c r="K83" s="27" t="n">
        <f aca="false">IFERROR(VLOOKUP(C83,Parametros!$A$36:$B$66,2,FALSE()),Parametros!$B$12)</f>
        <v>1</v>
      </c>
      <c r="L83" s="23" t="n">
        <f aca="false">H83*J83*SQRT(K83)</f>
        <v>7486.60771162682</v>
      </c>
      <c r="M83" s="29" t="n">
        <v>914</v>
      </c>
      <c r="N83" s="24" t="n">
        <v>0.198030634573304</v>
      </c>
      <c r="O83" s="3" t="s">
        <v>746</v>
      </c>
      <c r="P83" s="30" t="n">
        <f aca="false">IF(AND(ISNUMBER(M83),ISNUMBER(N83)),M83*N83/7,"")</f>
        <v>25.8571428571429</v>
      </c>
      <c r="Q83" s="23" t="n">
        <f aca="false">IF(ISNUMBER(P83),I83*P83,"")</f>
        <v>385442.085714286</v>
      </c>
      <c r="R83" s="23" t="n">
        <f aca="false">IF(ISNUMBER(Q83),MAX(0,MIN(L83,Q83-I83*K83)),L83)</f>
        <v>7486.60771162682</v>
      </c>
      <c r="S83" s="23" t="n">
        <f aca="false">R83+I83*K83</f>
        <v>22393.2077116268</v>
      </c>
      <c r="T83" s="23" t="n">
        <v>158414.4</v>
      </c>
      <c r="U83" s="23" t="n">
        <v>88670.7</v>
      </c>
      <c r="V83" s="23" t="n">
        <f aca="false">T83+U83</f>
        <v>247085.1</v>
      </c>
      <c r="W83" s="30" t="n">
        <f aca="false">IF(I83&gt;0,V83/I83,"")</f>
        <v>16.5755504273275</v>
      </c>
      <c r="X83" s="3" t="str">
        <f aca="false">IF(I83&lt;=0,"SIN FCST",IF(V83&lt;R83,"BAJO SS",IF(T83&lt;R83,"BAJO SS (XLIB CUBRE)",IF(V83&lt;S83,"BAJO P.REORDEN",IF(AND(ISNUMBER(Q83),V83&gt;Q83),"SOBRE MAX VENDIBLE","OK")))))</f>
        <v>OK</v>
      </c>
    </row>
    <row r="84" customFormat="false" ht="15" hidden="false" customHeight="false" outlineLevel="0" collapsed="false">
      <c r="A84" s="3" t="n">
        <v>30001049</v>
      </c>
      <c r="B84" s="3" t="s">
        <v>816</v>
      </c>
      <c r="C84" s="3" t="s">
        <v>155</v>
      </c>
      <c r="D84" s="3" t="s">
        <v>761</v>
      </c>
      <c r="E84" s="3" t="s">
        <v>762</v>
      </c>
      <c r="F84" s="3" t="str">
        <f aca="false">IFERROR(INDEX(ABC_XYZ!$L$5:$L$494,MATCH(A84,ABC_XYZ!$A$5:$A$494,0)),"SIN HIST")</f>
        <v>AX</v>
      </c>
      <c r="G84" s="24" t="n">
        <f aca="false">IF(LEFT(F84,1)="A",Parametros!$B$8,IF(LEFT(F84,1)="B",Parametros!$B$9,IF(LEFT(F84,1)="C",Parametros!$B$10,Parametros!$B$11)))</f>
        <v>0.98</v>
      </c>
      <c r="H84" s="27" t="n">
        <f aca="false">NORMSINV(G84)</f>
        <v>2.05374891063182</v>
      </c>
      <c r="I84" s="23" t="n">
        <v>14897.5</v>
      </c>
      <c r="J84" s="23" t="n">
        <f aca="false">IFERROR(INDEX(ABC_XYZ!$R$5:$R$494,MATCH(A84,ABC_XYZ!$A$5:$A$494,0)),I84*Parametros!$B$13)</f>
        <v>4534.38357223356</v>
      </c>
      <c r="K84" s="27" t="n">
        <f aca="false">IFERROR(VLOOKUP(C84,Parametros!$A$36:$B$66,2,FALSE()),Parametros!$B$12)</f>
        <v>1</v>
      </c>
      <c r="L84" s="23" t="n">
        <f aca="false">H84*J84*SQRT(K84)</f>
        <v>9312.48532186151</v>
      </c>
      <c r="M84" s="29" t="n">
        <v>62</v>
      </c>
      <c r="N84" s="24" t="n">
        <v>0.32258064516129</v>
      </c>
      <c r="O84" s="3" t="s">
        <v>774</v>
      </c>
      <c r="P84" s="30" t="n">
        <f aca="false">IF(AND(ISNUMBER(M84),ISNUMBER(N84)),M84*N84/7,"")</f>
        <v>2.85714285714286</v>
      </c>
      <c r="Q84" s="23" t="n">
        <f aca="false">IF(ISNUMBER(P84),I84*P84,"")</f>
        <v>42564.2857142857</v>
      </c>
      <c r="R84" s="23" t="n">
        <f aca="false">IF(ISNUMBER(Q84),MAX(0,MIN(L84,Q84-I84*K84)),L84)</f>
        <v>9312.48532186151</v>
      </c>
      <c r="S84" s="23" t="n">
        <f aca="false">R84+I84*K84</f>
        <v>24209.9853218615</v>
      </c>
      <c r="T84" s="23" t="n">
        <v>22944</v>
      </c>
      <c r="U84" s="23" t="n">
        <v>0</v>
      </c>
      <c r="V84" s="23" t="n">
        <f aca="false">T84+U84</f>
        <v>22944</v>
      </c>
      <c r="W84" s="30" t="n">
        <f aca="false">IF(I84&gt;0,V84/I84,"")</f>
        <v>1.54012418190972</v>
      </c>
      <c r="X84" s="3" t="str">
        <f aca="false">IF(I84&lt;=0,"SIN FCST",IF(V84&lt;R84,"BAJO SS",IF(T84&lt;R84,"BAJO SS (XLIB CUBRE)",IF(V84&lt;S84,"BAJO P.REORDEN",IF(AND(ISNUMBER(Q84),V84&gt;Q84),"SOBRE MAX VENDIBLE","OK")))))</f>
        <v>BAJO P.REORDEN</v>
      </c>
    </row>
    <row r="85" customFormat="false" ht="15" hidden="false" customHeight="false" outlineLevel="0" collapsed="false">
      <c r="A85" s="3" t="n">
        <v>30000644</v>
      </c>
      <c r="B85" s="3" t="s">
        <v>817</v>
      </c>
      <c r="C85" s="3" t="s">
        <v>129</v>
      </c>
      <c r="D85" s="3" t="s">
        <v>753</v>
      </c>
      <c r="E85" s="3" t="s">
        <v>745</v>
      </c>
      <c r="F85" s="3" t="str">
        <f aca="false">IFERROR(INDEX(ABC_XYZ!$L$5:$L$494,MATCH(A85,ABC_XYZ!$A$5:$A$494,0)),"SIN HIST")</f>
        <v>AX</v>
      </c>
      <c r="G85" s="24" t="n">
        <f aca="false">IF(LEFT(F85,1)="A",Parametros!$B$8,IF(LEFT(F85,1)="B",Parametros!$B$9,IF(LEFT(F85,1)="C",Parametros!$B$10,Parametros!$B$11)))</f>
        <v>0.98</v>
      </c>
      <c r="H85" s="27" t="n">
        <f aca="false">NORMSINV(G85)</f>
        <v>2.05374891063182</v>
      </c>
      <c r="I85" s="23" t="n">
        <v>14897.2</v>
      </c>
      <c r="J85" s="23" t="n">
        <f aca="false">IFERROR(INDEX(ABC_XYZ!$R$5:$R$494,MATCH(A85,ABC_XYZ!$A$5:$A$494,0)),I85*Parametros!$B$13)</f>
        <v>3156.18150724363</v>
      </c>
      <c r="K85" s="27" t="n">
        <f aca="false">IFERROR(VLOOKUP(C85,Parametros!$A$36:$B$66,2,FALSE()),Parametros!$B$12)</f>
        <v>1</v>
      </c>
      <c r="L85" s="23" t="n">
        <f aca="false">H85*J85*SQRT(K85)</f>
        <v>6482.00433225791</v>
      </c>
      <c r="M85" s="29" t="n">
        <v>1020</v>
      </c>
      <c r="N85" s="24" t="n">
        <v>0.468627450980392</v>
      </c>
      <c r="O85" s="3" t="s">
        <v>763</v>
      </c>
      <c r="P85" s="30" t="n">
        <f aca="false">IF(AND(ISNUMBER(M85),ISNUMBER(N85)),M85*N85/7,"")</f>
        <v>68.2857142857143</v>
      </c>
      <c r="Q85" s="23" t="n">
        <f aca="false">IF(ISNUMBER(P85),I85*P85,"")</f>
        <v>1017265.94285714</v>
      </c>
      <c r="R85" s="23" t="n">
        <f aca="false">IF(ISNUMBER(Q85),MAX(0,MIN(L85,Q85-I85*K85)),L85)</f>
        <v>6482.00433225791</v>
      </c>
      <c r="S85" s="23" t="n">
        <f aca="false">R85+I85*K85</f>
        <v>21379.2043322579</v>
      </c>
      <c r="T85" s="23" t="n">
        <v>94744</v>
      </c>
      <c r="U85" s="23" t="n">
        <v>0</v>
      </c>
      <c r="V85" s="23" t="n">
        <f aca="false">T85+U85</f>
        <v>94744</v>
      </c>
      <c r="W85" s="30" t="n">
        <f aca="false">IF(I85&gt;0,V85/I85,"")</f>
        <v>6.35985285825524</v>
      </c>
      <c r="X85" s="3" t="str">
        <f aca="false">IF(I85&lt;=0,"SIN FCST",IF(V85&lt;R85,"BAJO SS",IF(T85&lt;R85,"BAJO SS (XLIB CUBRE)",IF(V85&lt;S85,"BAJO P.REORDEN",IF(AND(ISNUMBER(Q85),V85&gt;Q85),"SOBRE MAX VENDIBLE","OK")))))</f>
        <v>OK</v>
      </c>
    </row>
    <row r="86" customFormat="false" ht="15" hidden="false" customHeight="false" outlineLevel="0" collapsed="false">
      <c r="A86" s="3" t="n">
        <v>30000194</v>
      </c>
      <c r="B86" s="3" t="s">
        <v>818</v>
      </c>
      <c r="C86" s="3" t="s">
        <v>131</v>
      </c>
      <c r="D86" s="3" t="s">
        <v>753</v>
      </c>
      <c r="E86" s="3" t="s">
        <v>745</v>
      </c>
      <c r="F86" s="3" t="str">
        <f aca="false">IFERROR(INDEX(ABC_XYZ!$L$5:$L$494,MATCH(A86,ABC_XYZ!$A$5:$A$494,0)),"SIN HIST")</f>
        <v>AX</v>
      </c>
      <c r="G86" s="24" t="n">
        <f aca="false">IF(LEFT(F86,1)="A",Parametros!$B$8,IF(LEFT(F86,1)="B",Parametros!$B$9,IF(LEFT(F86,1)="C",Parametros!$B$10,Parametros!$B$11)))</f>
        <v>0.98</v>
      </c>
      <c r="H86" s="27" t="n">
        <f aca="false">NORMSINV(G86)</f>
        <v>2.05374891063182</v>
      </c>
      <c r="I86" s="23" t="n">
        <v>14274.3</v>
      </c>
      <c r="J86" s="23" t="n">
        <f aca="false">IFERROR(INDEX(ABC_XYZ!$R$5:$R$494,MATCH(A86,ABC_XYZ!$A$5:$A$494,0)),I86*Parametros!$B$13)</f>
        <v>2416.1166845443</v>
      </c>
      <c r="K86" s="27" t="n">
        <f aca="false">IFERROR(VLOOKUP(C86,Parametros!$A$36:$B$66,2,FALSE()),Parametros!$B$12)</f>
        <v>1</v>
      </c>
      <c r="L86" s="23" t="n">
        <f aca="false">H86*J86*SQRT(K86)</f>
        <v>4962.09700884222</v>
      </c>
      <c r="M86" s="29" t="n">
        <v>365</v>
      </c>
      <c r="N86" s="24" t="n">
        <v>0.194520547945206</v>
      </c>
      <c r="O86" s="3" t="s">
        <v>746</v>
      </c>
      <c r="P86" s="30" t="n">
        <f aca="false">IF(AND(ISNUMBER(M86),ISNUMBER(N86)),M86*N86/7,"")</f>
        <v>10.1428571428571</v>
      </c>
      <c r="Q86" s="23" t="n">
        <f aca="false">IF(ISNUMBER(P86),I86*P86,"")</f>
        <v>144782.185714286</v>
      </c>
      <c r="R86" s="23" t="n">
        <f aca="false">IF(ISNUMBER(Q86),MAX(0,MIN(L86,Q86-I86*K86)),L86)</f>
        <v>4962.09700884222</v>
      </c>
      <c r="S86" s="23" t="n">
        <f aca="false">R86+I86*K86</f>
        <v>19236.3970088422</v>
      </c>
      <c r="T86" s="23" t="n">
        <v>47241</v>
      </c>
      <c r="U86" s="23" t="n">
        <v>4131</v>
      </c>
      <c r="V86" s="23" t="n">
        <f aca="false">T86+U86</f>
        <v>51372</v>
      </c>
      <c r="W86" s="30" t="n">
        <f aca="false">IF(I86&gt;0,V86/I86,"")</f>
        <v>3.59891553351128</v>
      </c>
      <c r="X86" s="3" t="str">
        <f aca="false">IF(I86&lt;=0,"SIN FCST",IF(V86&lt;R86,"BAJO SS",IF(T86&lt;R86,"BAJO SS (XLIB CUBRE)",IF(V86&lt;S86,"BAJO P.REORDEN",IF(AND(ISNUMBER(Q86),V86&gt;Q86),"SOBRE MAX VENDIBLE","OK")))))</f>
        <v>OK</v>
      </c>
    </row>
    <row r="87" customFormat="false" ht="15" hidden="false" customHeight="false" outlineLevel="0" collapsed="false">
      <c r="A87" s="3" t="n">
        <v>30001597</v>
      </c>
      <c r="B87" s="3" t="s">
        <v>265</v>
      </c>
      <c r="C87" s="3" t="s">
        <v>129</v>
      </c>
      <c r="D87" s="3" t="s">
        <v>753</v>
      </c>
      <c r="E87" s="3" t="s">
        <v>745</v>
      </c>
      <c r="F87" s="3" t="str">
        <f aca="false">IFERROR(INDEX(ABC_XYZ!$L$5:$L$494,MATCH(A87,ABC_XYZ!$A$5:$A$494,0)),"SIN HIST")</f>
        <v>AX</v>
      </c>
      <c r="G87" s="24" t="n">
        <f aca="false">IF(LEFT(F87,1)="A",Parametros!$B$8,IF(LEFT(F87,1)="B",Parametros!$B$9,IF(LEFT(F87,1)="C",Parametros!$B$10,Parametros!$B$11)))</f>
        <v>0.98</v>
      </c>
      <c r="H87" s="27" t="n">
        <f aca="false">NORMSINV(G87)</f>
        <v>2.05374891063182</v>
      </c>
      <c r="I87" s="23" t="n">
        <v>14164.1</v>
      </c>
      <c r="J87" s="23" t="n">
        <f aca="false">IFERROR(INDEX(ABC_XYZ!$R$5:$R$494,MATCH(A87,ABC_XYZ!$A$5:$A$494,0)),I87*Parametros!$B$13)</f>
        <v>4709.45092340923</v>
      </c>
      <c r="K87" s="27" t="n">
        <f aca="false">IFERROR(VLOOKUP(C87,Parametros!$A$36:$B$66,2,FALSE()),Parametros!$B$12)</f>
        <v>1</v>
      </c>
      <c r="L87" s="23" t="n">
        <f aca="false">H87*J87*SQRT(K87)</f>
        <v>9672.02970362572</v>
      </c>
      <c r="M87" s="29" t="n">
        <v>730</v>
      </c>
      <c r="N87" s="24" t="n">
        <v>0.454794520547945</v>
      </c>
      <c r="O87" s="3" t="s">
        <v>763</v>
      </c>
      <c r="P87" s="30" t="n">
        <f aca="false">IF(AND(ISNUMBER(M87),ISNUMBER(N87)),M87*N87/7,"")</f>
        <v>47.4285714285714</v>
      </c>
      <c r="Q87" s="23" t="n">
        <f aca="false">IF(ISNUMBER(P87),I87*P87,"")</f>
        <v>671783.028571429</v>
      </c>
      <c r="R87" s="23" t="n">
        <f aca="false">IF(ISNUMBER(Q87),MAX(0,MIN(L87,Q87-I87*K87)),L87)</f>
        <v>9672.02970362572</v>
      </c>
      <c r="S87" s="23" t="n">
        <f aca="false">R87+I87*K87</f>
        <v>23836.1297036257</v>
      </c>
      <c r="T87" s="23" t="n">
        <v>13904</v>
      </c>
      <c r="U87" s="23" t="n">
        <v>143504</v>
      </c>
      <c r="V87" s="23" t="n">
        <f aca="false">T87+U87</f>
        <v>157408</v>
      </c>
      <c r="W87" s="30" t="n">
        <f aca="false">IF(I87&gt;0,V87/I87,"")</f>
        <v>11.1131663854392</v>
      </c>
      <c r="X87" s="3" t="str">
        <f aca="false">IF(I87&lt;=0,"SIN FCST",IF(V87&lt;R87,"BAJO SS",IF(T87&lt;R87,"BAJO SS (XLIB CUBRE)",IF(V87&lt;S87,"BAJO P.REORDEN",IF(AND(ISNUMBER(Q87),V87&gt;Q87),"SOBRE MAX VENDIBLE","OK")))))</f>
        <v>OK</v>
      </c>
    </row>
    <row r="88" customFormat="false" ht="15" hidden="false" customHeight="false" outlineLevel="0" collapsed="false">
      <c r="A88" s="3" t="n">
        <v>30001056</v>
      </c>
      <c r="B88" s="3" t="s">
        <v>819</v>
      </c>
      <c r="C88" s="3" t="s">
        <v>155</v>
      </c>
      <c r="D88" s="3" t="s">
        <v>761</v>
      </c>
      <c r="E88" s="3" t="s">
        <v>762</v>
      </c>
      <c r="F88" s="3" t="str">
        <f aca="false">IFERROR(INDEX(ABC_XYZ!$L$5:$L$494,MATCH(A88,ABC_XYZ!$A$5:$A$494,0)),"SIN HIST")</f>
        <v>AX</v>
      </c>
      <c r="G88" s="24" t="n">
        <f aca="false">IF(LEFT(F88,1)="A",Parametros!$B$8,IF(LEFT(F88,1)="B",Parametros!$B$9,IF(LEFT(F88,1)="C",Parametros!$B$10,Parametros!$B$11)))</f>
        <v>0.98</v>
      </c>
      <c r="H88" s="27" t="n">
        <f aca="false">NORMSINV(G88)</f>
        <v>2.05374891063182</v>
      </c>
      <c r="I88" s="23" t="n">
        <v>14155</v>
      </c>
      <c r="J88" s="23" t="n">
        <f aca="false">IFERROR(INDEX(ABC_XYZ!$R$5:$R$494,MATCH(A88,ABC_XYZ!$A$5:$A$494,0)),I88*Parametros!$B$13)</f>
        <v>6778.19274921754</v>
      </c>
      <c r="K88" s="27" t="n">
        <f aca="false">IFERROR(VLOOKUP(C88,Parametros!$A$36:$B$66,2,FALSE()),Parametros!$B$12)</f>
        <v>1</v>
      </c>
      <c r="L88" s="23" t="n">
        <f aca="false">H88*J88*SQRT(K88)</f>
        <v>13920.705974758</v>
      </c>
      <c r="M88" s="29" t="n">
        <v>60</v>
      </c>
      <c r="N88" s="24" t="n">
        <v>0.3</v>
      </c>
      <c r="O88" s="3" t="s">
        <v>774</v>
      </c>
      <c r="P88" s="30" t="n">
        <f aca="false">IF(AND(ISNUMBER(M88),ISNUMBER(N88)),M88*N88/7,"")</f>
        <v>2.57142857142857</v>
      </c>
      <c r="Q88" s="23" t="n">
        <f aca="false">IF(ISNUMBER(P88),I88*P88,"")</f>
        <v>36398.5714285714</v>
      </c>
      <c r="R88" s="23" t="n">
        <f aca="false">IF(ISNUMBER(Q88),MAX(0,MIN(L88,Q88-I88*K88)),L88)</f>
        <v>13920.705974758</v>
      </c>
      <c r="S88" s="23" t="n">
        <f aca="false">R88+I88*K88</f>
        <v>28075.705974758</v>
      </c>
      <c r="T88" s="23" t="n">
        <v>20277.6</v>
      </c>
      <c r="U88" s="23" t="n">
        <v>0</v>
      </c>
      <c r="V88" s="23" t="n">
        <f aca="false">T88+U88</f>
        <v>20277.6</v>
      </c>
      <c r="W88" s="30" t="n">
        <f aca="false">IF(I88&gt;0,V88/I88,"")</f>
        <v>1.43253973860827</v>
      </c>
      <c r="X88" s="3" t="str">
        <f aca="false">IF(I88&lt;=0,"SIN FCST",IF(V88&lt;R88,"BAJO SS",IF(T88&lt;R88,"BAJO SS (XLIB CUBRE)",IF(V88&lt;S88,"BAJO P.REORDEN",IF(AND(ISNUMBER(Q88),V88&gt;Q88),"SOBRE MAX VENDIBLE","OK")))))</f>
        <v>BAJO P.REORDEN</v>
      </c>
    </row>
    <row r="89" customFormat="false" ht="15" hidden="false" customHeight="false" outlineLevel="0" collapsed="false">
      <c r="A89" s="3" t="n">
        <v>30001081</v>
      </c>
      <c r="B89" s="3" t="s">
        <v>820</v>
      </c>
      <c r="C89" s="3" t="s">
        <v>155</v>
      </c>
      <c r="D89" s="3" t="s">
        <v>761</v>
      </c>
      <c r="E89" s="3" t="s">
        <v>762</v>
      </c>
      <c r="F89" s="3" t="str">
        <f aca="false">IFERROR(INDEX(ABC_XYZ!$L$5:$L$494,MATCH(A89,ABC_XYZ!$A$5:$A$494,0)),"SIN HIST")</f>
        <v>AX</v>
      </c>
      <c r="G89" s="24" t="n">
        <f aca="false">IF(LEFT(F89,1)="A",Parametros!$B$8,IF(LEFT(F89,1)="B",Parametros!$B$9,IF(LEFT(F89,1)="C",Parametros!$B$10,Parametros!$B$11)))</f>
        <v>0.98</v>
      </c>
      <c r="H89" s="27" t="n">
        <f aca="false">NORMSINV(G89)</f>
        <v>2.05374891063182</v>
      </c>
      <c r="I89" s="23" t="n">
        <v>14055.8</v>
      </c>
      <c r="J89" s="23" t="n">
        <f aca="false">IFERROR(INDEX(ABC_XYZ!$R$5:$R$494,MATCH(A89,ABC_XYZ!$A$5:$A$494,0)),I89*Parametros!$B$13)</f>
        <v>4180.4527420101</v>
      </c>
      <c r="K89" s="27" t="n">
        <f aca="false">IFERROR(VLOOKUP(C89,Parametros!$A$36:$B$66,2,FALSE()),Parametros!$B$12)</f>
        <v>1</v>
      </c>
      <c r="L89" s="23" t="n">
        <f aca="false">H89*J89*SQRT(K89)</f>
        <v>8585.60026485106</v>
      </c>
      <c r="M89" s="29" t="n">
        <v>57</v>
      </c>
      <c r="N89" s="24" t="n">
        <v>0.298245614035088</v>
      </c>
      <c r="O89" s="3" t="s">
        <v>763</v>
      </c>
      <c r="P89" s="30" t="n">
        <f aca="false">IF(AND(ISNUMBER(M89),ISNUMBER(N89)),M89*N89/7,"")</f>
        <v>2.42857142857143</v>
      </c>
      <c r="Q89" s="23" t="n">
        <f aca="false">IF(ISNUMBER(P89),I89*P89,"")</f>
        <v>34135.5142857143</v>
      </c>
      <c r="R89" s="23" t="n">
        <f aca="false">IF(ISNUMBER(Q89),MAX(0,MIN(L89,Q89-I89*K89)),L89)</f>
        <v>8585.60026485106</v>
      </c>
      <c r="S89" s="23" t="n">
        <f aca="false">R89+I89*K89</f>
        <v>22641.4002648511</v>
      </c>
      <c r="T89" s="23" t="n">
        <v>25502.4</v>
      </c>
      <c r="U89" s="23" t="n">
        <v>633.6</v>
      </c>
      <c r="V89" s="23" t="n">
        <f aca="false">T89+U89</f>
        <v>26136</v>
      </c>
      <c r="W89" s="30" t="n">
        <f aca="false">IF(I89&gt;0,V89/I89,"")</f>
        <v>1.85944592267961</v>
      </c>
      <c r="X89" s="3" t="str">
        <f aca="false">IF(I89&lt;=0,"SIN FCST",IF(V89&lt;R89,"BAJO SS",IF(T89&lt;R89,"BAJO SS (XLIB CUBRE)",IF(V89&lt;S89,"BAJO P.REORDEN",IF(AND(ISNUMBER(Q89),V89&gt;Q89),"SOBRE MAX VENDIBLE","OK")))))</f>
        <v>OK</v>
      </c>
    </row>
    <row r="90" customFormat="false" ht="15" hidden="false" customHeight="false" outlineLevel="0" collapsed="false">
      <c r="A90" s="3" t="n">
        <v>30002330</v>
      </c>
      <c r="B90" s="3" t="s">
        <v>275</v>
      </c>
      <c r="C90" s="3" t="s">
        <v>139</v>
      </c>
      <c r="D90" s="3" t="s">
        <v>753</v>
      </c>
      <c r="E90" s="3"/>
      <c r="F90" s="3" t="str">
        <f aca="false">IFERROR(INDEX(ABC_XYZ!$L$5:$L$494,MATCH(A90,ABC_XYZ!$A$5:$A$494,0)),"SIN HIST")</f>
        <v>AX</v>
      </c>
      <c r="G90" s="24" t="n">
        <f aca="false">IF(LEFT(F90,1)="A",Parametros!$B$8,IF(LEFT(F90,1)="B",Parametros!$B$9,IF(LEFT(F90,1)="C",Parametros!$B$10,Parametros!$B$11)))</f>
        <v>0.98</v>
      </c>
      <c r="H90" s="27" t="n">
        <f aca="false">NORMSINV(G90)</f>
        <v>2.05374891063182</v>
      </c>
      <c r="I90" s="23" t="n">
        <v>13960.4</v>
      </c>
      <c r="J90" s="23" t="n">
        <f aca="false">IFERROR(INDEX(ABC_XYZ!$R$5:$R$494,MATCH(A90,ABC_XYZ!$A$5:$A$494,0)),I90*Parametros!$B$13)</f>
        <v>6164.80235099199</v>
      </c>
      <c r="K90" s="27" t="n">
        <f aca="false">IFERROR(VLOOKUP(C90,Parametros!$A$36:$B$66,2,FALSE()),Parametros!$B$12)</f>
        <v>1</v>
      </c>
      <c r="L90" s="23" t="n">
        <f aca="false">H90*J90*SQRT(K90)</f>
        <v>12660.9561126103</v>
      </c>
      <c r="M90" s="29"/>
      <c r="N90" s="24"/>
      <c r="O90" s="3"/>
      <c r="P90" s="30" t="str">
        <f aca="false">IF(AND(ISNUMBER(M90),ISNUMBER(N90)),M90*N90/7,"")</f>
        <v/>
      </c>
      <c r="Q90" s="23" t="str">
        <f aca="false">IF(ISNUMBER(P90),I90*P90,"")</f>
        <v/>
      </c>
      <c r="R90" s="23" t="n">
        <f aca="false">IF(ISNUMBER(Q90),MAX(0,MIN(L90,Q90-I90*K90)),L90)</f>
        <v>12660.9561126103</v>
      </c>
      <c r="S90" s="23" t="n">
        <f aca="false">R90+I90*K90</f>
        <v>26621.3561126103</v>
      </c>
      <c r="T90" s="23" t="n">
        <v>29040</v>
      </c>
      <c r="U90" s="23" t="n">
        <v>0</v>
      </c>
      <c r="V90" s="23" t="n">
        <f aca="false">T90+U90</f>
        <v>29040</v>
      </c>
      <c r="W90" s="30" t="n">
        <f aca="false">IF(I90&gt;0,V90/I90,"")</f>
        <v>2.08016962264692</v>
      </c>
      <c r="X90" s="3" t="str">
        <f aca="false">IF(I90&lt;=0,"SIN FCST",IF(V90&lt;R90,"BAJO SS",IF(T90&lt;R90,"BAJO SS (XLIB CUBRE)",IF(V90&lt;S90,"BAJO P.REORDEN",IF(AND(ISNUMBER(Q90),V90&gt;Q90),"SOBRE MAX VENDIBLE","OK")))))</f>
        <v>OK</v>
      </c>
    </row>
    <row r="91" customFormat="false" ht="15" hidden="false" customHeight="false" outlineLevel="0" collapsed="false">
      <c r="A91" s="3" t="n">
        <v>30000745</v>
      </c>
      <c r="B91" s="3" t="s">
        <v>821</v>
      </c>
      <c r="C91" s="3" t="s">
        <v>133</v>
      </c>
      <c r="D91" s="3" t="s">
        <v>758</v>
      </c>
      <c r="E91" s="3"/>
      <c r="F91" s="3" t="str">
        <f aca="false">IFERROR(INDEX(ABC_XYZ!$L$5:$L$494,MATCH(A91,ABC_XYZ!$A$5:$A$494,0)),"SIN HIST")</f>
        <v>SIN HIST</v>
      </c>
      <c r="G91" s="24" t="n">
        <f aca="false">IF(LEFT(F91,1)="A",Parametros!$B$8,IF(LEFT(F91,1)="B",Parametros!$B$9,IF(LEFT(F91,1)="C",Parametros!$B$10,Parametros!$B$11)))</f>
        <v>0.95</v>
      </c>
      <c r="H91" s="27" t="n">
        <f aca="false">NORMSINV(G91)</f>
        <v>1.64485362695147</v>
      </c>
      <c r="I91" s="23" t="n">
        <v>13953.5</v>
      </c>
      <c r="J91" s="23" t="n">
        <f aca="false">IFERROR(INDEX(ABC_XYZ!$R$5:$R$494,MATCH(A91,ABC_XYZ!$A$5:$A$494,0)),I91*Parametros!$B$13)</f>
        <v>4186.05</v>
      </c>
      <c r="K91" s="27" t="n">
        <f aca="false">IFERROR(VLOOKUP(C91,Parametros!$A$36:$B$66,2,FALSE()),Parametros!$B$12)</f>
        <v>1</v>
      </c>
      <c r="L91" s="23" t="n">
        <f aca="false">H91*J91*SQRT(K91)</f>
        <v>6885.43952510021</v>
      </c>
      <c r="M91" s="29"/>
      <c r="N91" s="24"/>
      <c r="O91" s="3"/>
      <c r="P91" s="30" t="str">
        <f aca="false">IF(AND(ISNUMBER(M91),ISNUMBER(N91)),M91*N91/7,"")</f>
        <v/>
      </c>
      <c r="Q91" s="23" t="str">
        <f aca="false">IF(ISNUMBER(P91),I91*P91,"")</f>
        <v/>
      </c>
      <c r="R91" s="23" t="n">
        <f aca="false">IF(ISNUMBER(Q91),MAX(0,MIN(L91,Q91-I91*K91)),L91)</f>
        <v>6885.43952510021</v>
      </c>
      <c r="S91" s="23" t="n">
        <f aca="false">R91+I91*K91</f>
        <v>20838.9395251002</v>
      </c>
      <c r="T91" s="23" t="n">
        <v>186896</v>
      </c>
      <c r="U91" s="23" t="n">
        <v>0</v>
      </c>
      <c r="V91" s="23" t="n">
        <f aca="false">T91+U91</f>
        <v>186896</v>
      </c>
      <c r="W91" s="30" t="n">
        <f aca="false">IF(I91&gt;0,V91/I91,"")</f>
        <v>13.3942021714982</v>
      </c>
      <c r="X91" s="3" t="str">
        <f aca="false">IF(I91&lt;=0,"SIN FCST",IF(V91&lt;R91,"BAJO SS",IF(T91&lt;R91,"BAJO SS (XLIB CUBRE)",IF(V91&lt;S91,"BAJO P.REORDEN",IF(AND(ISNUMBER(Q91),V91&gt;Q91),"SOBRE MAX VENDIBLE","OK")))))</f>
        <v>OK</v>
      </c>
    </row>
    <row r="92" customFormat="false" ht="15" hidden="false" customHeight="false" outlineLevel="0" collapsed="false">
      <c r="A92" s="3" t="n">
        <v>30000668</v>
      </c>
      <c r="B92" s="3" t="s">
        <v>822</v>
      </c>
      <c r="C92" s="3" t="s">
        <v>129</v>
      </c>
      <c r="D92" s="3" t="s">
        <v>753</v>
      </c>
      <c r="E92" s="3" t="s">
        <v>745</v>
      </c>
      <c r="F92" s="3" t="str">
        <f aca="false">IFERROR(INDEX(ABC_XYZ!$L$5:$L$494,MATCH(A92,ABC_XYZ!$A$5:$A$494,0)),"SIN HIST")</f>
        <v>AX</v>
      </c>
      <c r="G92" s="24" t="n">
        <f aca="false">IF(LEFT(F92,1)="A",Parametros!$B$8,IF(LEFT(F92,1)="B",Parametros!$B$9,IF(LEFT(F92,1)="C",Parametros!$B$10,Parametros!$B$11)))</f>
        <v>0.98</v>
      </c>
      <c r="H92" s="27" t="n">
        <f aca="false">NORMSINV(G92)</f>
        <v>2.05374891063182</v>
      </c>
      <c r="I92" s="23" t="n">
        <v>13743.3</v>
      </c>
      <c r="J92" s="23" t="n">
        <f aca="false">IFERROR(INDEX(ABC_XYZ!$R$5:$R$494,MATCH(A92,ABC_XYZ!$A$5:$A$494,0)),I92*Parametros!$B$13)</f>
        <v>1738.71560534397</v>
      </c>
      <c r="K92" s="27" t="n">
        <f aca="false">IFERROR(VLOOKUP(C92,Parametros!$A$36:$B$66,2,FALSE()),Parametros!$B$12)</f>
        <v>1</v>
      </c>
      <c r="L92" s="23" t="n">
        <f aca="false">H92*J92*SQRT(K92)</f>
        <v>3570.88528037374</v>
      </c>
      <c r="M92" s="29" t="n">
        <v>914</v>
      </c>
      <c r="N92" s="24" t="n">
        <v>0.329321663019694</v>
      </c>
      <c r="O92" s="3" t="s">
        <v>772</v>
      </c>
      <c r="P92" s="30" t="n">
        <f aca="false">IF(AND(ISNUMBER(M92),ISNUMBER(N92)),M92*N92/7,"")</f>
        <v>43</v>
      </c>
      <c r="Q92" s="23" t="n">
        <f aca="false">IF(ISNUMBER(P92),I92*P92,"")</f>
        <v>590961.9</v>
      </c>
      <c r="R92" s="23" t="n">
        <f aca="false">IF(ISNUMBER(Q92),MAX(0,MIN(L92,Q92-I92*K92)),L92)</f>
        <v>3570.88528037374</v>
      </c>
      <c r="S92" s="23" t="n">
        <f aca="false">R92+I92*K92</f>
        <v>17314.1852803737</v>
      </c>
      <c r="T92" s="23" t="n">
        <v>245115.2</v>
      </c>
      <c r="U92" s="23" t="n">
        <v>8001.3</v>
      </c>
      <c r="V92" s="23" t="n">
        <f aca="false">T92+U92</f>
        <v>253116.5</v>
      </c>
      <c r="W92" s="30" t="n">
        <f aca="false">IF(I92&gt;0,V92/I92,"")</f>
        <v>18.4174470469247</v>
      </c>
      <c r="X92" s="3" t="str">
        <f aca="false">IF(I92&lt;=0,"SIN FCST",IF(V92&lt;R92,"BAJO SS",IF(T92&lt;R92,"BAJO SS (XLIB CUBRE)",IF(V92&lt;S92,"BAJO P.REORDEN",IF(AND(ISNUMBER(Q92),V92&gt;Q92),"SOBRE MAX VENDIBLE","OK")))))</f>
        <v>OK</v>
      </c>
    </row>
    <row r="93" customFormat="false" ht="15" hidden="false" customHeight="false" outlineLevel="0" collapsed="false">
      <c r="A93" s="3" t="n">
        <v>30001080</v>
      </c>
      <c r="B93" s="3" t="s">
        <v>823</v>
      </c>
      <c r="C93" s="3" t="s">
        <v>155</v>
      </c>
      <c r="D93" s="3" t="s">
        <v>761</v>
      </c>
      <c r="E93" s="3" t="s">
        <v>762</v>
      </c>
      <c r="F93" s="3" t="str">
        <f aca="false">IFERROR(INDEX(ABC_XYZ!$L$5:$L$494,MATCH(A93,ABC_XYZ!$A$5:$A$494,0)),"SIN HIST")</f>
        <v>AX</v>
      </c>
      <c r="G93" s="24" t="n">
        <f aca="false">IF(LEFT(F93,1)="A",Parametros!$B$8,IF(LEFT(F93,1)="B",Parametros!$B$9,IF(LEFT(F93,1)="C",Parametros!$B$10,Parametros!$B$11)))</f>
        <v>0.98</v>
      </c>
      <c r="H93" s="27" t="n">
        <f aca="false">NORMSINV(G93)</f>
        <v>2.05374891063182</v>
      </c>
      <c r="I93" s="23" t="n">
        <v>13711</v>
      </c>
      <c r="J93" s="23" t="n">
        <f aca="false">IFERROR(INDEX(ABC_XYZ!$R$5:$R$494,MATCH(A93,ABC_XYZ!$A$5:$A$494,0)),I93*Parametros!$B$13)</f>
        <v>3492.10412257261</v>
      </c>
      <c r="K93" s="27" t="n">
        <f aca="false">IFERROR(VLOOKUP(C93,Parametros!$A$36:$B$66,2,FALSE()),Parametros!$B$12)</f>
        <v>1</v>
      </c>
      <c r="L93" s="23" t="n">
        <f aca="false">H93*J93*SQRT(K93)</f>
        <v>7171.9050375464</v>
      </c>
      <c r="M93" s="29" t="n">
        <v>57</v>
      </c>
      <c r="N93" s="24" t="n">
        <v>0.298245614035088</v>
      </c>
      <c r="O93" s="3" t="s">
        <v>763</v>
      </c>
      <c r="P93" s="30" t="n">
        <f aca="false">IF(AND(ISNUMBER(M93),ISNUMBER(N93)),M93*N93/7,"")</f>
        <v>2.42857142857143</v>
      </c>
      <c r="Q93" s="23" t="n">
        <f aca="false">IF(ISNUMBER(P93),I93*P93,"")</f>
        <v>33298.1428571429</v>
      </c>
      <c r="R93" s="23" t="n">
        <f aca="false">IF(ISNUMBER(Q93),MAX(0,MIN(L93,Q93-I93*K93)),L93)</f>
        <v>7171.9050375464</v>
      </c>
      <c r="S93" s="23" t="n">
        <f aca="false">R93+I93*K93</f>
        <v>20882.9050375464</v>
      </c>
      <c r="T93" s="23" t="n">
        <v>20549.8</v>
      </c>
      <c r="U93" s="23" t="n">
        <v>0</v>
      </c>
      <c r="V93" s="23" t="n">
        <f aca="false">T93+U93</f>
        <v>20549.8</v>
      </c>
      <c r="W93" s="30" t="n">
        <f aca="false">IF(I93&gt;0,V93/I93,"")</f>
        <v>1.49878199985413</v>
      </c>
      <c r="X93" s="3" t="str">
        <f aca="false">IF(I93&lt;=0,"SIN FCST",IF(V93&lt;R93,"BAJO SS",IF(T93&lt;R93,"BAJO SS (XLIB CUBRE)",IF(V93&lt;S93,"BAJO P.REORDEN",IF(AND(ISNUMBER(Q93),V93&gt;Q93),"SOBRE MAX VENDIBLE","OK")))))</f>
        <v>BAJO P.REORDEN</v>
      </c>
    </row>
    <row r="94" customFormat="false" ht="15" hidden="false" customHeight="false" outlineLevel="0" collapsed="false">
      <c r="A94" s="3" t="n">
        <v>30001401</v>
      </c>
      <c r="B94" s="3" t="s">
        <v>304</v>
      </c>
      <c r="C94" s="3" t="s">
        <v>143</v>
      </c>
      <c r="D94" s="3" t="s">
        <v>750</v>
      </c>
      <c r="E94" s="3" t="s">
        <v>762</v>
      </c>
      <c r="F94" s="3" t="str">
        <f aca="false">IFERROR(INDEX(ABC_XYZ!$L$5:$L$494,MATCH(A94,ABC_XYZ!$A$5:$A$494,0)),"SIN HIST")</f>
        <v>AX</v>
      </c>
      <c r="G94" s="24" t="n">
        <f aca="false">IF(LEFT(F94,1)="A",Parametros!$B$8,IF(LEFT(F94,1)="B",Parametros!$B$9,IF(LEFT(F94,1)="C",Parametros!$B$10,Parametros!$B$11)))</f>
        <v>0.98</v>
      </c>
      <c r="H94" s="27" t="n">
        <f aca="false">NORMSINV(G94)</f>
        <v>2.05374891063182</v>
      </c>
      <c r="I94" s="23" t="n">
        <v>13683.7</v>
      </c>
      <c r="J94" s="23" t="n">
        <f aca="false">IFERROR(INDEX(ABC_XYZ!$R$5:$R$494,MATCH(A94,ABC_XYZ!$A$5:$A$494,0)),I94*Parametros!$B$13)</f>
        <v>4113.04554073882</v>
      </c>
      <c r="K94" s="27" t="n">
        <f aca="false">IFERROR(VLOOKUP(C94,Parametros!$A$36:$B$66,2,FALSE()),Parametros!$B$12)</f>
        <v>1</v>
      </c>
      <c r="L94" s="23" t="n">
        <f aca="false">H94*J94*SQRT(K94)</f>
        <v>8447.16279867143</v>
      </c>
      <c r="M94" s="29" t="n">
        <v>184</v>
      </c>
      <c r="N94" s="24" t="n">
        <v>0.244565217391304</v>
      </c>
      <c r="O94" s="3" t="s">
        <v>772</v>
      </c>
      <c r="P94" s="30" t="n">
        <f aca="false">IF(AND(ISNUMBER(M94),ISNUMBER(N94)),M94*N94/7,"")</f>
        <v>6.42857142857143</v>
      </c>
      <c r="Q94" s="23" t="n">
        <f aca="false">IF(ISNUMBER(P94),I94*P94,"")</f>
        <v>87966.6428571429</v>
      </c>
      <c r="R94" s="23" t="n">
        <f aca="false">IF(ISNUMBER(Q94),MAX(0,MIN(L94,Q94-I94*K94)),L94)</f>
        <v>8447.16279867143</v>
      </c>
      <c r="S94" s="23" t="n">
        <f aca="false">R94+I94*K94</f>
        <v>22130.8627986714</v>
      </c>
      <c r="T94" s="23" t="n">
        <v>35785.8</v>
      </c>
      <c r="U94" s="23" t="n">
        <v>12511.8</v>
      </c>
      <c r="V94" s="23" t="n">
        <f aca="false">T94+U94</f>
        <v>48297.6</v>
      </c>
      <c r="W94" s="30" t="n">
        <f aca="false">IF(I94&gt;0,V94/I94,"")</f>
        <v>3.52957168017422</v>
      </c>
      <c r="X94" s="3" t="str">
        <f aca="false">IF(I94&lt;=0,"SIN FCST",IF(V94&lt;R94,"BAJO SS",IF(T94&lt;R94,"BAJO SS (XLIB CUBRE)",IF(V94&lt;S94,"BAJO P.REORDEN",IF(AND(ISNUMBER(Q94),V94&gt;Q94),"SOBRE MAX VENDIBLE","OK")))))</f>
        <v>OK</v>
      </c>
    </row>
    <row r="95" customFormat="false" ht="15" hidden="false" customHeight="false" outlineLevel="0" collapsed="false">
      <c r="A95" s="3" t="n">
        <v>30000551</v>
      </c>
      <c r="B95" s="3" t="s">
        <v>824</v>
      </c>
      <c r="C95" s="3" t="s">
        <v>149</v>
      </c>
      <c r="D95" s="3" t="s">
        <v>744</v>
      </c>
      <c r="E95" s="3" t="s">
        <v>762</v>
      </c>
      <c r="F95" s="3" t="str">
        <f aca="false">IFERROR(INDEX(ABC_XYZ!$L$5:$L$494,MATCH(A95,ABC_XYZ!$A$5:$A$494,0)),"SIN HIST")</f>
        <v>AX</v>
      </c>
      <c r="G95" s="24" t="n">
        <f aca="false">IF(LEFT(F95,1)="A",Parametros!$B$8,IF(LEFT(F95,1)="B",Parametros!$B$9,IF(LEFT(F95,1)="C",Parametros!$B$10,Parametros!$B$11)))</f>
        <v>0.98</v>
      </c>
      <c r="H95" s="27" t="n">
        <f aca="false">NORMSINV(G95)</f>
        <v>2.05374891063182</v>
      </c>
      <c r="I95" s="23" t="n">
        <v>13550</v>
      </c>
      <c r="J95" s="23" t="n">
        <f aca="false">IFERROR(INDEX(ABC_XYZ!$R$5:$R$494,MATCH(A95,ABC_XYZ!$A$5:$A$494,0)),I95*Parametros!$B$13)</f>
        <v>6227.30887434157</v>
      </c>
      <c r="K95" s="27" t="n">
        <f aca="false">IFERROR(VLOOKUP(C95,Parametros!$A$36:$B$66,2,FALSE()),Parametros!$B$12)</f>
        <v>1</v>
      </c>
      <c r="L95" s="23" t="n">
        <f aca="false">H95*J95*SQRT(K95)</f>
        <v>12789.3288168469</v>
      </c>
      <c r="M95" s="29" t="n">
        <v>184</v>
      </c>
      <c r="N95" s="24" t="n">
        <v>0.239130434782609</v>
      </c>
      <c r="O95" s="3" t="s">
        <v>746</v>
      </c>
      <c r="P95" s="30" t="n">
        <f aca="false">IF(AND(ISNUMBER(M95),ISNUMBER(N95)),M95*N95/7,"")</f>
        <v>6.28571428571428</v>
      </c>
      <c r="Q95" s="23" t="n">
        <f aca="false">IF(ISNUMBER(P95),I95*P95,"")</f>
        <v>85171.4285714285</v>
      </c>
      <c r="R95" s="23" t="n">
        <f aca="false">IF(ISNUMBER(Q95),MAX(0,MIN(L95,Q95-I95*K95)),L95)</f>
        <v>12789.3288168469</v>
      </c>
      <c r="S95" s="23" t="n">
        <f aca="false">R95+I95*K95</f>
        <v>26339.3288168469</v>
      </c>
      <c r="T95" s="23" t="n">
        <v>28800.8</v>
      </c>
      <c r="U95" s="23" t="n">
        <v>17214.4</v>
      </c>
      <c r="V95" s="23" t="n">
        <f aca="false">T95+U95</f>
        <v>46015.2</v>
      </c>
      <c r="W95" s="30" t="n">
        <f aca="false">IF(I95&gt;0,V95/I95,"")</f>
        <v>3.3959557195572</v>
      </c>
      <c r="X95" s="3" t="str">
        <f aca="false">IF(I95&lt;=0,"SIN FCST",IF(V95&lt;R95,"BAJO SS",IF(T95&lt;R95,"BAJO SS (XLIB CUBRE)",IF(V95&lt;S95,"BAJO P.REORDEN",IF(AND(ISNUMBER(Q95),V95&gt;Q95),"SOBRE MAX VENDIBLE","OK")))))</f>
        <v>OK</v>
      </c>
    </row>
    <row r="96" customFormat="false" ht="15" hidden="false" customHeight="false" outlineLevel="0" collapsed="false">
      <c r="A96" s="3" t="n">
        <v>30000362</v>
      </c>
      <c r="B96" s="3" t="s">
        <v>825</v>
      </c>
      <c r="C96" s="3" t="s">
        <v>140</v>
      </c>
      <c r="D96" s="3" t="s">
        <v>744</v>
      </c>
      <c r="E96" s="3" t="s">
        <v>745</v>
      </c>
      <c r="F96" s="3" t="str">
        <f aca="false">IFERROR(INDEX(ABC_XYZ!$L$5:$L$494,MATCH(A96,ABC_XYZ!$A$5:$A$494,0)),"SIN HIST")</f>
        <v>SIN HIST</v>
      </c>
      <c r="G96" s="24" t="n">
        <f aca="false">IF(LEFT(F96,1)="A",Parametros!$B$8,IF(LEFT(F96,1)="B",Parametros!$B$9,IF(LEFT(F96,1)="C",Parametros!$B$10,Parametros!$B$11)))</f>
        <v>0.95</v>
      </c>
      <c r="H96" s="27" t="n">
        <f aca="false">NORMSINV(G96)</f>
        <v>1.64485362695147</v>
      </c>
      <c r="I96" s="23" t="n">
        <v>13488.4</v>
      </c>
      <c r="J96" s="23" t="n">
        <f aca="false">IFERROR(INDEX(ABC_XYZ!$R$5:$R$494,MATCH(A96,ABC_XYZ!$A$5:$A$494,0)),I96*Parametros!$B$13)</f>
        <v>4046.52</v>
      </c>
      <c r="K96" s="27" t="n">
        <f aca="false">IFERROR(VLOOKUP(C96,Parametros!$A$36:$B$66,2,FALSE()),Parametros!$B$12)</f>
        <v>1</v>
      </c>
      <c r="L96" s="23" t="n">
        <f aca="false">H96*J96*SQRT(K96)</f>
        <v>6655.93309853167</v>
      </c>
      <c r="M96" s="29" t="n">
        <v>184</v>
      </c>
      <c r="N96" s="24" t="n">
        <v>0.271739130434783</v>
      </c>
      <c r="O96" s="3" t="s">
        <v>746</v>
      </c>
      <c r="P96" s="30" t="n">
        <f aca="false">IF(AND(ISNUMBER(M96),ISNUMBER(N96)),M96*N96/7,"")</f>
        <v>7.14285714285714</v>
      </c>
      <c r="Q96" s="23" t="n">
        <f aca="false">IF(ISNUMBER(P96),I96*P96,"")</f>
        <v>96345.7142857143</v>
      </c>
      <c r="R96" s="23" t="n">
        <f aca="false">IF(ISNUMBER(Q96),MAX(0,MIN(L96,Q96-I96*K96)),L96)</f>
        <v>6655.93309853167</v>
      </c>
      <c r="S96" s="23" t="n">
        <f aca="false">R96+I96*K96</f>
        <v>20144.3330985317</v>
      </c>
      <c r="T96" s="23" t="n">
        <v>49140</v>
      </c>
      <c r="U96" s="23" t="n">
        <v>5040</v>
      </c>
      <c r="V96" s="23" t="n">
        <f aca="false">T96+U96</f>
        <v>54180</v>
      </c>
      <c r="W96" s="30" t="n">
        <f aca="false">IF(I96&gt;0,V96/I96,"")</f>
        <v>4.01678479285905</v>
      </c>
      <c r="X96" s="3" t="str">
        <f aca="false">IF(I96&lt;=0,"SIN FCST",IF(V96&lt;R96,"BAJO SS",IF(T96&lt;R96,"BAJO SS (XLIB CUBRE)",IF(V96&lt;S96,"BAJO P.REORDEN",IF(AND(ISNUMBER(Q96),V96&gt;Q96),"SOBRE MAX VENDIBLE","OK")))))</f>
        <v>OK</v>
      </c>
    </row>
    <row r="97" customFormat="false" ht="15" hidden="false" customHeight="false" outlineLevel="0" collapsed="false">
      <c r="A97" s="3" t="n">
        <v>30002199</v>
      </c>
      <c r="B97" s="3" t="s">
        <v>276</v>
      </c>
      <c r="C97" s="3" t="s">
        <v>155</v>
      </c>
      <c r="D97" s="3" t="s">
        <v>761</v>
      </c>
      <c r="E97" s="3"/>
      <c r="F97" s="3" t="str">
        <f aca="false">IFERROR(INDEX(ABC_XYZ!$L$5:$L$494,MATCH(A97,ABC_XYZ!$A$5:$A$494,0)),"SIN HIST")</f>
        <v>AX</v>
      </c>
      <c r="G97" s="24" t="n">
        <f aca="false">IF(LEFT(F97,1)="A",Parametros!$B$8,IF(LEFT(F97,1)="B",Parametros!$B$9,IF(LEFT(F97,1)="C",Parametros!$B$10,Parametros!$B$11)))</f>
        <v>0.98</v>
      </c>
      <c r="H97" s="27" t="n">
        <f aca="false">NORMSINV(G97)</f>
        <v>2.05374891063182</v>
      </c>
      <c r="I97" s="23" t="n">
        <v>13045.1</v>
      </c>
      <c r="J97" s="23" t="n">
        <f aca="false">IFERROR(INDEX(ABC_XYZ!$R$5:$R$494,MATCH(A97,ABC_XYZ!$A$5:$A$494,0)),I97*Parametros!$B$13)</f>
        <v>2510.73099551202</v>
      </c>
      <c r="K97" s="27" t="n">
        <f aca="false">IFERROR(VLOOKUP(C97,Parametros!$A$36:$B$66,2,FALSE()),Parametros!$B$12)</f>
        <v>1</v>
      </c>
      <c r="L97" s="23" t="n">
        <f aca="false">H97*J97*SQRT(K97)</f>
        <v>5156.41104692235</v>
      </c>
      <c r="M97" s="29" t="n">
        <v>58</v>
      </c>
      <c r="N97" s="24" t="n">
        <v>0.241379310344828</v>
      </c>
      <c r="O97" s="3" t="s">
        <v>754</v>
      </c>
      <c r="P97" s="30" t="n">
        <f aca="false">IF(AND(ISNUMBER(M97),ISNUMBER(N97)),M97*N97/7,"")</f>
        <v>2</v>
      </c>
      <c r="Q97" s="23" t="n">
        <f aca="false">IF(ISNUMBER(P97),I97*P97,"")</f>
        <v>26090.2</v>
      </c>
      <c r="R97" s="23" t="n">
        <f aca="false">IF(ISNUMBER(Q97),MAX(0,MIN(L97,Q97-I97*K97)),L97)</f>
        <v>5156.41104692235</v>
      </c>
      <c r="S97" s="23" t="n">
        <f aca="false">R97+I97*K97</f>
        <v>18201.5110469224</v>
      </c>
      <c r="T97" s="23" t="n">
        <v>6350.4</v>
      </c>
      <c r="U97" s="23" t="n">
        <v>8640</v>
      </c>
      <c r="V97" s="23" t="n">
        <f aca="false">T97+U97</f>
        <v>14990.4</v>
      </c>
      <c r="W97" s="30" t="n">
        <f aca="false">IF(I97&gt;0,V97/I97,"")</f>
        <v>1.14912112594001</v>
      </c>
      <c r="X97" s="3" t="str">
        <f aca="false">IF(I97&lt;=0,"SIN FCST",IF(V97&lt;R97,"BAJO SS",IF(T97&lt;R97,"BAJO SS (XLIB CUBRE)",IF(V97&lt;S97,"BAJO P.REORDEN",IF(AND(ISNUMBER(Q97),V97&gt;Q97),"SOBRE MAX VENDIBLE","OK")))))</f>
        <v>BAJO P.REORDEN</v>
      </c>
    </row>
    <row r="98" customFormat="false" ht="15" hidden="false" customHeight="false" outlineLevel="0" collapsed="false">
      <c r="A98" s="3" t="n">
        <v>30002177</v>
      </c>
      <c r="B98" s="3" t="s">
        <v>285</v>
      </c>
      <c r="C98" s="3" t="s">
        <v>140</v>
      </c>
      <c r="D98" s="3" t="s">
        <v>744</v>
      </c>
      <c r="E98" s="3" t="s">
        <v>745</v>
      </c>
      <c r="F98" s="3" t="str">
        <f aca="false">IFERROR(INDEX(ABC_XYZ!$L$5:$L$494,MATCH(A98,ABC_XYZ!$A$5:$A$494,0)),"SIN HIST")</f>
        <v>AX</v>
      </c>
      <c r="G98" s="24" t="n">
        <f aca="false">IF(LEFT(F98,1)="A",Parametros!$B$8,IF(LEFT(F98,1)="B",Parametros!$B$9,IF(LEFT(F98,1)="C",Parametros!$B$10,Parametros!$B$11)))</f>
        <v>0.98</v>
      </c>
      <c r="H98" s="27" t="n">
        <f aca="false">NORMSINV(G98)</f>
        <v>2.05374891063182</v>
      </c>
      <c r="I98" s="23" t="n">
        <v>13025.6</v>
      </c>
      <c r="J98" s="23" t="n">
        <f aca="false">IFERROR(INDEX(ABC_XYZ!$R$5:$R$494,MATCH(A98,ABC_XYZ!$A$5:$A$494,0)),I98*Parametros!$B$13)</f>
        <v>3625.64310127906</v>
      </c>
      <c r="K98" s="27" t="n">
        <f aca="false">IFERROR(VLOOKUP(C98,Parametros!$A$36:$B$66,2,FALSE()),Parametros!$B$12)</f>
        <v>1</v>
      </c>
      <c r="L98" s="23" t="n">
        <f aca="false">H98*J98*SQRT(K98)</f>
        <v>7446.16056959165</v>
      </c>
      <c r="M98" s="29" t="n">
        <v>184</v>
      </c>
      <c r="N98" s="24" t="n">
        <v>0.190217391304348</v>
      </c>
      <c r="O98" s="3" t="s">
        <v>746</v>
      </c>
      <c r="P98" s="30" t="n">
        <f aca="false">IF(AND(ISNUMBER(M98),ISNUMBER(N98)),M98*N98/7,"")</f>
        <v>5</v>
      </c>
      <c r="Q98" s="23" t="n">
        <f aca="false">IF(ISNUMBER(P98),I98*P98,"")</f>
        <v>65128</v>
      </c>
      <c r="R98" s="23" t="n">
        <f aca="false">IF(ISNUMBER(Q98),MAX(0,MIN(L98,Q98-I98*K98)),L98)</f>
        <v>7446.16056959165</v>
      </c>
      <c r="S98" s="23" t="n">
        <f aca="false">R98+I98*K98</f>
        <v>20471.7605695917</v>
      </c>
      <c r="T98" s="23" t="n">
        <v>66129.6</v>
      </c>
      <c r="U98" s="23" t="n">
        <v>0</v>
      </c>
      <c r="V98" s="23" t="n">
        <f aca="false">T98+U98</f>
        <v>66129.6</v>
      </c>
      <c r="W98" s="30" t="n">
        <f aca="false">IF(I98&gt;0,V98/I98,"")</f>
        <v>5.0768947303771</v>
      </c>
      <c r="X98" s="3" t="str">
        <f aca="false">IF(I98&lt;=0,"SIN FCST",IF(V98&lt;R98,"BAJO SS",IF(T98&lt;R98,"BAJO SS (XLIB CUBRE)",IF(V98&lt;S98,"BAJO P.REORDEN",IF(AND(ISNUMBER(Q98),V98&gt;Q98),"SOBRE MAX VENDIBLE","OK")))))</f>
        <v>SOBRE MAX VENDIBLE</v>
      </c>
    </row>
    <row r="99" customFormat="false" ht="15" hidden="false" customHeight="false" outlineLevel="0" collapsed="false">
      <c r="A99" s="3" t="n">
        <v>30001750</v>
      </c>
      <c r="B99" s="3" t="s">
        <v>826</v>
      </c>
      <c r="C99" s="3" t="s">
        <v>144</v>
      </c>
      <c r="D99" s="3" t="s">
        <v>753</v>
      </c>
      <c r="E99" s="3" t="s">
        <v>745</v>
      </c>
      <c r="F99" s="3" t="str">
        <f aca="false">IFERROR(INDEX(ABC_XYZ!$L$5:$L$494,MATCH(A99,ABC_XYZ!$A$5:$A$494,0)),"SIN HIST")</f>
        <v>AX</v>
      </c>
      <c r="G99" s="24" t="n">
        <f aca="false">IF(LEFT(F99,1)="A",Parametros!$B$8,IF(LEFT(F99,1)="B",Parametros!$B$9,IF(LEFT(F99,1)="C",Parametros!$B$10,Parametros!$B$11)))</f>
        <v>0.98</v>
      </c>
      <c r="H99" s="27" t="n">
        <f aca="false">NORMSINV(G99)</f>
        <v>2.05374891063182</v>
      </c>
      <c r="I99" s="23" t="n">
        <v>12862.2</v>
      </c>
      <c r="J99" s="23" t="n">
        <f aca="false">IFERROR(INDEX(ABC_XYZ!$R$5:$R$494,MATCH(A99,ABC_XYZ!$A$5:$A$494,0)),I99*Parametros!$B$13)</f>
        <v>2779.25763890169</v>
      </c>
      <c r="K99" s="27" t="n">
        <f aca="false">IFERROR(VLOOKUP(C99,Parametros!$A$36:$B$66,2,FALSE()),Parametros!$B$12)</f>
        <v>1</v>
      </c>
      <c r="L99" s="23" t="n">
        <f aca="false">H99*J99*SQRT(K99)</f>
        <v>5707.89734825952</v>
      </c>
      <c r="M99" s="29" t="n">
        <v>365</v>
      </c>
      <c r="N99" s="24" t="n">
        <v>0.32054794520548</v>
      </c>
      <c r="O99" s="3" t="s">
        <v>754</v>
      </c>
      <c r="P99" s="30" t="n">
        <f aca="false">IF(AND(ISNUMBER(M99),ISNUMBER(N99)),M99*N99/7,"")</f>
        <v>16.7142857142857</v>
      </c>
      <c r="Q99" s="23" t="n">
        <f aca="false">IF(ISNUMBER(P99),I99*P99,"")</f>
        <v>214982.485714286</v>
      </c>
      <c r="R99" s="23" t="n">
        <f aca="false">IF(ISNUMBER(Q99),MAX(0,MIN(L99,Q99-I99*K99)),L99)</f>
        <v>5707.89734825952</v>
      </c>
      <c r="S99" s="23" t="n">
        <f aca="false">R99+I99*K99</f>
        <v>18570.0973482595</v>
      </c>
      <c r="T99" s="23" t="n">
        <v>31401</v>
      </c>
      <c r="U99" s="23" t="n">
        <v>0</v>
      </c>
      <c r="V99" s="23" t="n">
        <f aca="false">T99+U99</f>
        <v>31401</v>
      </c>
      <c r="W99" s="30" t="n">
        <f aca="false">IF(I99&gt;0,V99/I99,"")</f>
        <v>2.44133973970238</v>
      </c>
      <c r="X99" s="3" t="str">
        <f aca="false">IF(I99&lt;=0,"SIN FCST",IF(V99&lt;R99,"BAJO SS",IF(T99&lt;R99,"BAJO SS (XLIB CUBRE)",IF(V99&lt;S99,"BAJO P.REORDEN",IF(AND(ISNUMBER(Q99),V99&gt;Q99),"SOBRE MAX VENDIBLE","OK")))))</f>
        <v>OK</v>
      </c>
    </row>
    <row r="100" customFormat="false" ht="15" hidden="false" customHeight="false" outlineLevel="0" collapsed="false">
      <c r="A100" s="3" t="n">
        <v>30002155</v>
      </c>
      <c r="B100" s="3" t="s">
        <v>273</v>
      </c>
      <c r="C100" s="3" t="s">
        <v>155</v>
      </c>
      <c r="D100" s="3" t="s">
        <v>761</v>
      </c>
      <c r="E100" s="3" t="s">
        <v>762</v>
      </c>
      <c r="F100" s="3" t="str">
        <f aca="false">IFERROR(INDEX(ABC_XYZ!$L$5:$L$494,MATCH(A100,ABC_XYZ!$A$5:$A$494,0)),"SIN HIST")</f>
        <v>AX</v>
      </c>
      <c r="G100" s="24" t="n">
        <f aca="false">IF(LEFT(F100,1)="A",Parametros!$B$8,IF(LEFT(F100,1)="B",Parametros!$B$9,IF(LEFT(F100,1)="C",Parametros!$B$10,Parametros!$B$11)))</f>
        <v>0.98</v>
      </c>
      <c r="H100" s="27" t="n">
        <f aca="false">NORMSINV(G100)</f>
        <v>2.05374891063182</v>
      </c>
      <c r="I100" s="23" t="n">
        <v>12790</v>
      </c>
      <c r="J100" s="23" t="n">
        <f aca="false">IFERROR(INDEX(ABC_XYZ!$R$5:$R$494,MATCH(A100,ABC_XYZ!$A$5:$A$494,0)),I100*Parametros!$B$13)</f>
        <v>3797.77836246597</v>
      </c>
      <c r="K100" s="27" t="n">
        <f aca="false">IFERROR(VLOOKUP(C100,Parametros!$A$36:$B$66,2,FALSE()),Parametros!$B$12)</f>
        <v>1</v>
      </c>
      <c r="L100" s="23" t="n">
        <f aca="false">H100*J100*SQRT(K100)</f>
        <v>7799.68317473558</v>
      </c>
      <c r="M100" s="29" t="n">
        <v>62</v>
      </c>
      <c r="N100" s="24" t="n">
        <v>0.32258064516129</v>
      </c>
      <c r="O100" s="3" t="s">
        <v>774</v>
      </c>
      <c r="P100" s="30" t="n">
        <f aca="false">IF(AND(ISNUMBER(M100),ISNUMBER(N100)),M100*N100/7,"")</f>
        <v>2.85714285714286</v>
      </c>
      <c r="Q100" s="23" t="n">
        <f aca="false">IF(ISNUMBER(P100),I100*P100,"")</f>
        <v>36542.8571428572</v>
      </c>
      <c r="R100" s="23" t="n">
        <f aca="false">IF(ISNUMBER(Q100),MAX(0,MIN(L100,Q100-I100*K100)),L100)</f>
        <v>7799.68317473558</v>
      </c>
      <c r="S100" s="23" t="n">
        <f aca="false">R100+I100*K100</f>
        <v>20589.6831747356</v>
      </c>
      <c r="T100" s="23" t="n">
        <v>21304.8</v>
      </c>
      <c r="U100" s="23" t="n">
        <v>2064.5</v>
      </c>
      <c r="V100" s="23" t="n">
        <f aca="false">T100+U100</f>
        <v>23369.3</v>
      </c>
      <c r="W100" s="30" t="n">
        <f aca="false">IF(I100&gt;0,V100/I100,"")</f>
        <v>1.82715402658327</v>
      </c>
      <c r="X100" s="3" t="str">
        <f aca="false">IF(I100&lt;=0,"SIN FCST",IF(V100&lt;R100,"BAJO SS",IF(T100&lt;R100,"BAJO SS (XLIB CUBRE)",IF(V100&lt;S100,"BAJO P.REORDEN",IF(AND(ISNUMBER(Q100),V100&gt;Q100),"SOBRE MAX VENDIBLE","OK")))))</f>
        <v>OK</v>
      </c>
    </row>
    <row r="101" customFormat="false" ht="15" hidden="false" customHeight="false" outlineLevel="0" collapsed="false">
      <c r="A101" s="3" t="n">
        <v>30000615</v>
      </c>
      <c r="B101" s="3" t="s">
        <v>279</v>
      </c>
      <c r="C101" s="3" t="s">
        <v>129</v>
      </c>
      <c r="D101" s="3" t="s">
        <v>769</v>
      </c>
      <c r="E101" s="3" t="s">
        <v>745</v>
      </c>
      <c r="F101" s="3" t="str">
        <f aca="false">IFERROR(INDEX(ABC_XYZ!$L$5:$L$494,MATCH(A101,ABC_XYZ!$A$5:$A$494,0)),"SIN HIST")</f>
        <v>AX</v>
      </c>
      <c r="G101" s="24" t="n">
        <f aca="false">IF(LEFT(F101,1)="A",Parametros!$B$8,IF(LEFT(F101,1)="B",Parametros!$B$9,IF(LEFT(F101,1)="C",Parametros!$B$10,Parametros!$B$11)))</f>
        <v>0.98</v>
      </c>
      <c r="H101" s="27" t="n">
        <f aca="false">NORMSINV(G101)</f>
        <v>2.05374891063182</v>
      </c>
      <c r="I101" s="23" t="n">
        <v>12410</v>
      </c>
      <c r="J101" s="23" t="n">
        <f aca="false">IFERROR(INDEX(ABC_XYZ!$R$5:$R$494,MATCH(A101,ABC_XYZ!$A$5:$A$494,0)),I101*Parametros!$B$13)</f>
        <v>4132.72644469322</v>
      </c>
      <c r="K101" s="27" t="n">
        <f aca="false">IFERROR(VLOOKUP(C101,Parametros!$A$36:$B$66,2,FALSE()),Parametros!$B$12)</f>
        <v>1</v>
      </c>
      <c r="L101" s="23" t="n">
        <f aca="false">H101*J101*SQRT(K101)</f>
        <v>8487.58243372803</v>
      </c>
      <c r="M101" s="29" t="n">
        <v>1460</v>
      </c>
      <c r="N101" s="24" t="n">
        <v>0.462328767123288</v>
      </c>
      <c r="O101" s="3" t="s">
        <v>763</v>
      </c>
      <c r="P101" s="30" t="n">
        <f aca="false">IF(AND(ISNUMBER(M101),ISNUMBER(N101)),M101*N101/7,"")</f>
        <v>96.4285714285714</v>
      </c>
      <c r="Q101" s="23" t="n">
        <f aca="false">IF(ISNUMBER(P101),I101*P101,"")</f>
        <v>1196678.57142857</v>
      </c>
      <c r="R101" s="23" t="n">
        <f aca="false">IF(ISNUMBER(Q101),MAX(0,MIN(L101,Q101-I101*K101)),L101)</f>
        <v>8487.58243372803</v>
      </c>
      <c r="S101" s="23" t="n">
        <f aca="false">R101+I101*K101</f>
        <v>20897.582433728</v>
      </c>
      <c r="T101" s="23" t="n">
        <v>220588.8</v>
      </c>
      <c r="U101" s="23" t="n">
        <v>0</v>
      </c>
      <c r="V101" s="23" t="n">
        <f aca="false">T101+U101</f>
        <v>220588.8</v>
      </c>
      <c r="W101" s="30" t="n">
        <f aca="false">IF(I101&gt;0,V101/I101,"")</f>
        <v>17.7750846091861</v>
      </c>
      <c r="X101" s="3" t="str">
        <f aca="false">IF(I101&lt;=0,"SIN FCST",IF(V101&lt;R101,"BAJO SS",IF(T101&lt;R101,"BAJO SS (XLIB CUBRE)",IF(V101&lt;S101,"BAJO P.REORDEN",IF(AND(ISNUMBER(Q101),V101&gt;Q101),"SOBRE MAX VENDIBLE","OK")))))</f>
        <v>OK</v>
      </c>
    </row>
    <row r="102" customFormat="false" ht="15" hidden="false" customHeight="false" outlineLevel="0" collapsed="false">
      <c r="A102" s="3" t="n">
        <v>30000092</v>
      </c>
      <c r="B102" s="3" t="s">
        <v>827</v>
      </c>
      <c r="C102" s="3" t="s">
        <v>143</v>
      </c>
      <c r="D102" s="3" t="s">
        <v>750</v>
      </c>
      <c r="E102" s="3" t="s">
        <v>762</v>
      </c>
      <c r="F102" s="3" t="str">
        <f aca="false">IFERROR(INDEX(ABC_XYZ!$L$5:$L$494,MATCH(A102,ABC_XYZ!$A$5:$A$494,0)),"SIN HIST")</f>
        <v>SIN HIST</v>
      </c>
      <c r="G102" s="24" t="n">
        <f aca="false">IF(LEFT(F102,1)="A",Parametros!$B$8,IF(LEFT(F102,1)="B",Parametros!$B$9,IF(LEFT(F102,1)="C",Parametros!$B$10,Parametros!$B$11)))</f>
        <v>0.95</v>
      </c>
      <c r="H102" s="27" t="n">
        <f aca="false">NORMSINV(G102)</f>
        <v>1.64485362695147</v>
      </c>
      <c r="I102" s="23" t="n">
        <v>12325.6</v>
      </c>
      <c r="J102" s="23" t="n">
        <f aca="false">IFERROR(INDEX(ABC_XYZ!$R$5:$R$494,MATCH(A102,ABC_XYZ!$A$5:$A$494,0)),I102*Parametros!$B$13)</f>
        <v>3697.68</v>
      </c>
      <c r="K102" s="27" t="n">
        <f aca="false">IFERROR(VLOOKUP(C102,Parametros!$A$36:$B$66,2,FALSE()),Parametros!$B$12)</f>
        <v>1</v>
      </c>
      <c r="L102" s="23" t="n">
        <f aca="false">H102*J102*SQRT(K102)</f>
        <v>6082.14235930592</v>
      </c>
      <c r="M102" s="29" t="n">
        <v>245</v>
      </c>
      <c r="N102" s="24" t="n">
        <v>0.220408163265306</v>
      </c>
      <c r="O102" s="3" t="s">
        <v>754</v>
      </c>
      <c r="P102" s="30" t="n">
        <f aca="false">IF(AND(ISNUMBER(M102),ISNUMBER(N102)),M102*N102/7,"")</f>
        <v>7.71428571428571</v>
      </c>
      <c r="Q102" s="23" t="n">
        <f aca="false">IF(ISNUMBER(P102),I102*P102,"")</f>
        <v>95083.2</v>
      </c>
      <c r="R102" s="23" t="n">
        <f aca="false">IF(ISNUMBER(Q102),MAX(0,MIN(L102,Q102-I102*K102)),L102)</f>
        <v>6082.14235930592</v>
      </c>
      <c r="S102" s="23" t="n">
        <f aca="false">R102+I102*K102</f>
        <v>18407.7423593059</v>
      </c>
      <c r="T102" s="23" t="n">
        <v>20760</v>
      </c>
      <c r="U102" s="23" t="n">
        <v>28460</v>
      </c>
      <c r="V102" s="23" t="n">
        <f aca="false">T102+U102</f>
        <v>49220</v>
      </c>
      <c r="W102" s="30" t="n">
        <f aca="false">IF(I102&gt;0,V102/I102,"")</f>
        <v>3.99331472707211</v>
      </c>
      <c r="X102" s="3" t="str">
        <f aca="false">IF(I102&lt;=0,"SIN FCST",IF(V102&lt;R102,"BAJO SS",IF(T102&lt;R102,"BAJO SS (XLIB CUBRE)",IF(V102&lt;S102,"BAJO P.REORDEN",IF(AND(ISNUMBER(Q102),V102&gt;Q102),"SOBRE MAX VENDIBLE","OK")))))</f>
        <v>OK</v>
      </c>
    </row>
    <row r="103" customFormat="false" ht="15" hidden="false" customHeight="false" outlineLevel="0" collapsed="false">
      <c r="A103" s="3" t="n">
        <v>30000432</v>
      </c>
      <c r="B103" s="3" t="s">
        <v>828</v>
      </c>
      <c r="C103" s="3" t="s">
        <v>148</v>
      </c>
      <c r="D103" s="3" t="s">
        <v>753</v>
      </c>
      <c r="E103" s="3" t="s">
        <v>745</v>
      </c>
      <c r="F103" s="3" t="str">
        <f aca="false">IFERROR(INDEX(ABC_XYZ!$L$5:$L$494,MATCH(A103,ABC_XYZ!$A$5:$A$494,0)),"SIN HIST")</f>
        <v>SIN HIST</v>
      </c>
      <c r="G103" s="24" t="n">
        <f aca="false">IF(LEFT(F103,1)="A",Parametros!$B$8,IF(LEFT(F103,1)="B",Parametros!$B$9,IF(LEFT(F103,1)="C",Parametros!$B$10,Parametros!$B$11)))</f>
        <v>0.95</v>
      </c>
      <c r="H103" s="27" t="n">
        <f aca="false">NORMSINV(G103)</f>
        <v>1.64485362695147</v>
      </c>
      <c r="I103" s="23" t="n">
        <v>12093</v>
      </c>
      <c r="J103" s="23" t="n">
        <f aca="false">IFERROR(INDEX(ABC_XYZ!$R$5:$R$494,MATCH(A103,ABC_XYZ!$A$5:$A$494,0)),I103*Parametros!$B$13)</f>
        <v>3627.9</v>
      </c>
      <c r="K103" s="27" t="n">
        <f aca="false">IFERROR(VLOOKUP(C103,Parametros!$A$36:$B$66,2,FALSE()),Parametros!$B$12)</f>
        <v>1</v>
      </c>
      <c r="L103" s="23" t="n">
        <f aca="false">H103*J103*SQRT(K103)</f>
        <v>5967.36447321724</v>
      </c>
      <c r="M103" s="29" t="n">
        <v>184</v>
      </c>
      <c r="N103" s="24" t="n">
        <v>0.271739130434783</v>
      </c>
      <c r="O103" s="3" t="s">
        <v>746</v>
      </c>
      <c r="P103" s="30" t="n">
        <f aca="false">IF(AND(ISNUMBER(M103),ISNUMBER(N103)),M103*N103/7,"")</f>
        <v>7.14285714285714</v>
      </c>
      <c r="Q103" s="23" t="n">
        <f aca="false">IF(ISNUMBER(P103),I103*P103,"")</f>
        <v>86378.5714285714</v>
      </c>
      <c r="R103" s="23" t="n">
        <f aca="false">IF(ISNUMBER(Q103),MAX(0,MIN(L103,Q103-I103*K103)),L103)</f>
        <v>5967.36447321724</v>
      </c>
      <c r="S103" s="23" t="n">
        <f aca="false">R103+I103*K103</f>
        <v>18060.3644732172</v>
      </c>
      <c r="T103" s="23" t="n">
        <v>25410</v>
      </c>
      <c r="U103" s="23" t="n">
        <v>45770</v>
      </c>
      <c r="V103" s="23" t="n">
        <f aca="false">T103+U103</f>
        <v>71180</v>
      </c>
      <c r="W103" s="30" t="n">
        <f aca="false">IF(I103&gt;0,V103/I103,"")</f>
        <v>5.88604978086496</v>
      </c>
      <c r="X103" s="3" t="str">
        <f aca="false">IF(I103&lt;=0,"SIN FCST",IF(V103&lt;R103,"BAJO SS",IF(T103&lt;R103,"BAJO SS (XLIB CUBRE)",IF(V103&lt;S103,"BAJO P.REORDEN",IF(AND(ISNUMBER(Q103),V103&gt;Q103),"SOBRE MAX VENDIBLE","OK")))))</f>
        <v>OK</v>
      </c>
    </row>
    <row r="104" customFormat="false" ht="15" hidden="false" customHeight="false" outlineLevel="0" collapsed="false">
      <c r="A104" s="3" t="n">
        <v>30001365</v>
      </c>
      <c r="B104" s="3" t="s">
        <v>302</v>
      </c>
      <c r="C104" s="3" t="s">
        <v>124</v>
      </c>
      <c r="D104" s="3" t="s">
        <v>769</v>
      </c>
      <c r="E104" s="3" t="s">
        <v>745</v>
      </c>
      <c r="F104" s="3" t="str">
        <f aca="false">IFERROR(INDEX(ABC_XYZ!$L$5:$L$494,MATCH(A104,ABC_XYZ!$A$5:$A$494,0)),"SIN HIST")</f>
        <v>AX</v>
      </c>
      <c r="G104" s="24" t="n">
        <f aca="false">IF(LEFT(F104,1)="A",Parametros!$B$8,IF(LEFT(F104,1)="B",Parametros!$B$9,IF(LEFT(F104,1)="C",Parametros!$B$10,Parametros!$B$11)))</f>
        <v>0.98</v>
      </c>
      <c r="H104" s="27" t="n">
        <f aca="false">NORMSINV(G104)</f>
        <v>2.05374891063182</v>
      </c>
      <c r="I104" s="23" t="n">
        <v>11974.4</v>
      </c>
      <c r="J104" s="23" t="n">
        <f aca="false">IFERROR(INDEX(ABC_XYZ!$R$5:$R$494,MATCH(A104,ABC_XYZ!$A$5:$A$494,0)),I104*Parametros!$B$13)</f>
        <v>3210.20542443678</v>
      </c>
      <c r="K104" s="27" t="n">
        <f aca="false">IFERROR(VLOOKUP(C104,Parametros!$A$36:$B$66,2,FALSE()),Parametros!$B$12)</f>
        <v>1</v>
      </c>
      <c r="L104" s="23" t="n">
        <f aca="false">H104*J104*SQRT(K104)</f>
        <v>6592.95589334141</v>
      </c>
      <c r="M104" s="29" t="n">
        <v>730</v>
      </c>
      <c r="N104" s="24" t="n">
        <v>0.257534246575343</v>
      </c>
      <c r="O104" s="3" t="s">
        <v>746</v>
      </c>
      <c r="P104" s="30" t="n">
        <f aca="false">IF(AND(ISNUMBER(M104),ISNUMBER(N104)),M104*N104/7,"")</f>
        <v>26.8571428571429</v>
      </c>
      <c r="Q104" s="23" t="n">
        <f aca="false">IF(ISNUMBER(P104),I104*P104,"")</f>
        <v>321598.171428571</v>
      </c>
      <c r="R104" s="23" t="n">
        <f aca="false">IF(ISNUMBER(Q104),MAX(0,MIN(L104,Q104-I104*K104)),L104)</f>
        <v>6592.95589334141</v>
      </c>
      <c r="S104" s="23" t="n">
        <f aca="false">R104+I104*K104</f>
        <v>18567.3558933414</v>
      </c>
      <c r="T104" s="23" t="n">
        <v>11639</v>
      </c>
      <c r="U104" s="23" t="n">
        <v>12322.7</v>
      </c>
      <c r="V104" s="23" t="n">
        <f aca="false">T104+U104</f>
        <v>23961.7</v>
      </c>
      <c r="W104" s="30" t="n">
        <f aca="false">IF(I104&gt;0,V104/I104,"")</f>
        <v>2.00107729823624</v>
      </c>
      <c r="X104" s="3" t="str">
        <f aca="false">IF(I104&lt;=0,"SIN FCST",IF(V104&lt;R104,"BAJO SS",IF(T104&lt;R104,"BAJO SS (XLIB CUBRE)",IF(V104&lt;S104,"BAJO P.REORDEN",IF(AND(ISNUMBER(Q104),V104&gt;Q104),"SOBRE MAX VENDIBLE","OK")))))</f>
        <v>OK</v>
      </c>
    </row>
    <row r="105" customFormat="false" ht="15" hidden="false" customHeight="false" outlineLevel="0" collapsed="false">
      <c r="A105" s="3" t="n">
        <v>30001873</v>
      </c>
      <c r="B105" s="3" t="s">
        <v>829</v>
      </c>
      <c r="C105" s="3" t="s">
        <v>143</v>
      </c>
      <c r="D105" s="3" t="s">
        <v>750</v>
      </c>
      <c r="E105" s="3" t="s">
        <v>762</v>
      </c>
      <c r="F105" s="3" t="str">
        <f aca="false">IFERROR(INDEX(ABC_XYZ!$L$5:$L$494,MATCH(A105,ABC_XYZ!$A$5:$A$494,0)),"SIN HIST")</f>
        <v>AX</v>
      </c>
      <c r="G105" s="24" t="n">
        <f aca="false">IF(LEFT(F105,1)="A",Parametros!$B$8,IF(LEFT(F105,1)="B",Parametros!$B$9,IF(LEFT(F105,1)="C",Parametros!$B$10,Parametros!$B$11)))</f>
        <v>0.98</v>
      </c>
      <c r="H105" s="27" t="n">
        <f aca="false">NORMSINV(G105)</f>
        <v>2.05374891063182</v>
      </c>
      <c r="I105" s="23" t="n">
        <v>11916.7</v>
      </c>
      <c r="J105" s="23" t="n">
        <f aca="false">IFERROR(INDEX(ABC_XYZ!$R$5:$R$494,MATCH(A105,ABC_XYZ!$A$5:$A$494,0)),I105*Parametros!$B$13)</f>
        <v>4962.09625298484</v>
      </c>
      <c r="K105" s="27" t="n">
        <f aca="false">IFERROR(VLOOKUP(C105,Parametros!$A$36:$B$66,2,FALSE()),Parametros!$B$12)</f>
        <v>1</v>
      </c>
      <c r="L105" s="23" t="n">
        <f aca="false">H105*J105*SQRT(K105)</f>
        <v>10190.8997740179</v>
      </c>
      <c r="M105" s="29" t="n">
        <v>184</v>
      </c>
      <c r="N105" s="24" t="n">
        <v>0.239130434782609</v>
      </c>
      <c r="O105" s="3" t="s">
        <v>746</v>
      </c>
      <c r="P105" s="30" t="n">
        <f aca="false">IF(AND(ISNUMBER(M105),ISNUMBER(N105)),M105*N105/7,"")</f>
        <v>6.28571428571428</v>
      </c>
      <c r="Q105" s="23" t="n">
        <f aca="false">IF(ISNUMBER(P105),I105*P105,"")</f>
        <v>74904.9714285714</v>
      </c>
      <c r="R105" s="23" t="n">
        <f aca="false">IF(ISNUMBER(Q105),MAX(0,MIN(L105,Q105-I105*K105)),L105)</f>
        <v>10190.8997740179</v>
      </c>
      <c r="S105" s="23" t="n">
        <f aca="false">R105+I105*K105</f>
        <v>22107.5997740179</v>
      </c>
      <c r="T105" s="23" t="n">
        <v>40348.8</v>
      </c>
      <c r="U105" s="23" t="n">
        <v>0</v>
      </c>
      <c r="V105" s="23" t="n">
        <f aca="false">T105+U105</f>
        <v>40348.8</v>
      </c>
      <c r="W105" s="30" t="n">
        <f aca="false">IF(I105&gt;0,V105/I105,"")</f>
        <v>3.38590381565366</v>
      </c>
      <c r="X105" s="3" t="str">
        <f aca="false">IF(I105&lt;=0,"SIN FCST",IF(V105&lt;R105,"BAJO SS",IF(T105&lt;R105,"BAJO SS (XLIB CUBRE)",IF(V105&lt;S105,"BAJO P.REORDEN",IF(AND(ISNUMBER(Q105),V105&gt;Q105),"SOBRE MAX VENDIBLE","OK")))))</f>
        <v>OK</v>
      </c>
    </row>
    <row r="106" customFormat="false" ht="15" hidden="false" customHeight="false" outlineLevel="0" collapsed="false">
      <c r="A106" s="3" t="n">
        <v>30001754</v>
      </c>
      <c r="B106" s="3" t="s">
        <v>830</v>
      </c>
      <c r="C106" s="3" t="s">
        <v>144</v>
      </c>
      <c r="D106" s="3" t="s">
        <v>753</v>
      </c>
      <c r="E106" s="3" t="s">
        <v>745</v>
      </c>
      <c r="F106" s="3" t="str">
        <f aca="false">IFERROR(INDEX(ABC_XYZ!$L$5:$L$494,MATCH(A106,ABC_XYZ!$A$5:$A$494,0)),"SIN HIST")</f>
        <v>AX</v>
      </c>
      <c r="G106" s="24" t="n">
        <f aca="false">IF(LEFT(F106,1)="A",Parametros!$B$8,IF(LEFT(F106,1)="B",Parametros!$B$9,IF(LEFT(F106,1)="C",Parametros!$B$10,Parametros!$B$11)))</f>
        <v>0.98</v>
      </c>
      <c r="H106" s="27" t="n">
        <f aca="false">NORMSINV(G106)</f>
        <v>2.05374891063182</v>
      </c>
      <c r="I106" s="23" t="n">
        <v>11619.6</v>
      </c>
      <c r="J106" s="23" t="n">
        <f aca="false">IFERROR(INDEX(ABC_XYZ!$R$5:$R$494,MATCH(A106,ABC_XYZ!$A$5:$A$494,0)),I106*Parametros!$B$13)</f>
        <v>3353.31010605069</v>
      </c>
      <c r="K106" s="27" t="n">
        <f aca="false">IFERROR(VLOOKUP(C106,Parametros!$A$36:$B$66,2,FALSE()),Parametros!$B$12)</f>
        <v>1</v>
      </c>
      <c r="L106" s="23" t="n">
        <f aca="false">H106*J106*SQRT(K106)</f>
        <v>6886.85697731228</v>
      </c>
      <c r="M106" s="29" t="n">
        <v>365</v>
      </c>
      <c r="N106" s="24" t="n">
        <v>0.32054794520548</v>
      </c>
      <c r="O106" s="3" t="s">
        <v>754</v>
      </c>
      <c r="P106" s="30" t="n">
        <f aca="false">IF(AND(ISNUMBER(M106),ISNUMBER(N106)),M106*N106/7,"")</f>
        <v>16.7142857142857</v>
      </c>
      <c r="Q106" s="23" t="n">
        <f aca="false">IF(ISNUMBER(P106),I106*P106,"")</f>
        <v>194213.314285714</v>
      </c>
      <c r="R106" s="23" t="n">
        <f aca="false">IF(ISNUMBER(Q106),MAX(0,MIN(L106,Q106-I106*K106)),L106)</f>
        <v>6886.85697731228</v>
      </c>
      <c r="S106" s="23" t="n">
        <f aca="false">R106+I106*K106</f>
        <v>18506.4569773123</v>
      </c>
      <c r="T106" s="23" t="n">
        <v>15179.4</v>
      </c>
      <c r="U106" s="23" t="n">
        <v>0</v>
      </c>
      <c r="V106" s="23" t="n">
        <f aca="false">T106+U106</f>
        <v>15179.4</v>
      </c>
      <c r="W106" s="30" t="n">
        <f aca="false">IF(I106&gt;0,V106/I106,"")</f>
        <v>1.30636166477331</v>
      </c>
      <c r="X106" s="3" t="str">
        <f aca="false">IF(I106&lt;=0,"SIN FCST",IF(V106&lt;R106,"BAJO SS",IF(T106&lt;R106,"BAJO SS (XLIB CUBRE)",IF(V106&lt;S106,"BAJO P.REORDEN",IF(AND(ISNUMBER(Q106),V106&gt;Q106),"SOBRE MAX VENDIBLE","OK")))))</f>
        <v>BAJO P.REORDEN</v>
      </c>
    </row>
    <row r="107" customFormat="false" ht="15" hidden="false" customHeight="false" outlineLevel="0" collapsed="false">
      <c r="A107" s="3" t="n">
        <v>30000717</v>
      </c>
      <c r="B107" s="3" t="s">
        <v>831</v>
      </c>
      <c r="C107" s="3" t="s">
        <v>133</v>
      </c>
      <c r="D107" s="3" t="s">
        <v>758</v>
      </c>
      <c r="E107" s="3"/>
      <c r="F107" s="3" t="str">
        <f aca="false">IFERROR(INDEX(ABC_XYZ!$L$5:$L$494,MATCH(A107,ABC_XYZ!$A$5:$A$494,0)),"SIN HIST")</f>
        <v>SIN HIST</v>
      </c>
      <c r="G107" s="24" t="n">
        <f aca="false">IF(LEFT(F107,1)="A",Parametros!$B$8,IF(LEFT(F107,1)="B",Parametros!$B$9,IF(LEFT(F107,1)="C",Parametros!$B$10,Parametros!$B$11)))</f>
        <v>0.95</v>
      </c>
      <c r="H107" s="27" t="n">
        <f aca="false">NORMSINV(G107)</f>
        <v>1.64485362695147</v>
      </c>
      <c r="I107" s="23" t="n">
        <v>11452.3</v>
      </c>
      <c r="J107" s="23" t="n">
        <f aca="false">IFERROR(INDEX(ABC_XYZ!$R$5:$R$494,MATCH(A107,ABC_XYZ!$A$5:$A$494,0)),I107*Parametros!$B$13)</f>
        <v>3435.69</v>
      </c>
      <c r="K107" s="27" t="n">
        <f aca="false">IFERROR(VLOOKUP(C107,Parametros!$A$36:$B$66,2,FALSE()),Parametros!$B$12)</f>
        <v>1</v>
      </c>
      <c r="L107" s="23" t="n">
        <f aca="false">H107*J107*SQRT(K107)</f>
        <v>5651.2071575809</v>
      </c>
      <c r="M107" s="29"/>
      <c r="N107" s="24"/>
      <c r="O107" s="3"/>
      <c r="P107" s="30" t="str">
        <f aca="false">IF(AND(ISNUMBER(M107),ISNUMBER(N107)),M107*N107/7,"")</f>
        <v/>
      </c>
      <c r="Q107" s="23" t="str">
        <f aca="false">IF(ISNUMBER(P107),I107*P107,"")</f>
        <v/>
      </c>
      <c r="R107" s="23" t="n">
        <f aca="false">IF(ISNUMBER(Q107),MAX(0,MIN(L107,Q107-I107*K107)),L107)</f>
        <v>5651.2071575809</v>
      </c>
      <c r="S107" s="23" t="n">
        <f aca="false">R107+I107*K107</f>
        <v>17103.5071575809</v>
      </c>
      <c r="T107" s="23" t="n">
        <v>173175</v>
      </c>
      <c r="U107" s="23" t="n">
        <v>2175</v>
      </c>
      <c r="V107" s="23" t="n">
        <f aca="false">T107+U107</f>
        <v>175350</v>
      </c>
      <c r="W107" s="30" t="n">
        <f aca="false">IF(I107&gt;0,V107/I107,"")</f>
        <v>15.3113348410363</v>
      </c>
      <c r="X107" s="3" t="str">
        <f aca="false">IF(I107&lt;=0,"SIN FCST",IF(V107&lt;R107,"BAJO SS",IF(T107&lt;R107,"BAJO SS (XLIB CUBRE)",IF(V107&lt;S107,"BAJO P.REORDEN",IF(AND(ISNUMBER(Q107),V107&gt;Q107),"SOBRE MAX VENDIBLE","OK")))))</f>
        <v>OK</v>
      </c>
    </row>
    <row r="108" customFormat="false" ht="15" hidden="false" customHeight="false" outlineLevel="0" collapsed="false">
      <c r="A108" s="3" t="n">
        <v>30001749</v>
      </c>
      <c r="B108" s="3" t="s">
        <v>832</v>
      </c>
      <c r="C108" s="3" t="s">
        <v>144</v>
      </c>
      <c r="D108" s="3" t="s">
        <v>753</v>
      </c>
      <c r="E108" s="3" t="s">
        <v>745</v>
      </c>
      <c r="F108" s="3" t="str">
        <f aca="false">IFERROR(INDEX(ABC_XYZ!$L$5:$L$494,MATCH(A108,ABC_XYZ!$A$5:$A$494,0)),"SIN HIST")</f>
        <v>AX</v>
      </c>
      <c r="G108" s="24" t="n">
        <f aca="false">IF(LEFT(F108,1)="A",Parametros!$B$8,IF(LEFT(F108,1)="B",Parametros!$B$9,IF(LEFT(F108,1)="C",Parametros!$B$10,Parametros!$B$11)))</f>
        <v>0.98</v>
      </c>
      <c r="H108" s="27" t="n">
        <f aca="false">NORMSINV(G108)</f>
        <v>2.05374891063182</v>
      </c>
      <c r="I108" s="23" t="n">
        <v>11355.3</v>
      </c>
      <c r="J108" s="23" t="n">
        <f aca="false">IFERROR(INDEX(ABC_XYZ!$R$5:$R$494,MATCH(A108,ABC_XYZ!$A$5:$A$494,0)),I108*Parametros!$B$13)</f>
        <v>3592.3322085867</v>
      </c>
      <c r="K108" s="27" t="n">
        <f aca="false">IFERROR(VLOOKUP(C108,Parametros!$A$36:$B$66,2,FALSE()),Parametros!$B$12)</f>
        <v>1</v>
      </c>
      <c r="L108" s="23" t="n">
        <f aca="false">H108*J108*SQRT(K108)</f>
        <v>7377.74836001254</v>
      </c>
      <c r="M108" s="29" t="n">
        <v>365</v>
      </c>
      <c r="N108" s="24" t="n">
        <v>0.32054794520548</v>
      </c>
      <c r="O108" s="3" t="s">
        <v>754</v>
      </c>
      <c r="P108" s="30" t="n">
        <f aca="false">IF(AND(ISNUMBER(M108),ISNUMBER(N108)),M108*N108/7,"")</f>
        <v>16.7142857142857</v>
      </c>
      <c r="Q108" s="23" t="n">
        <f aca="false">IF(ISNUMBER(P108),I108*P108,"")</f>
        <v>189795.728571429</v>
      </c>
      <c r="R108" s="23" t="n">
        <f aca="false">IF(ISNUMBER(Q108),MAX(0,MIN(L108,Q108-I108*K108)),L108)</f>
        <v>7377.74836001254</v>
      </c>
      <c r="S108" s="23" t="n">
        <f aca="false">R108+I108*K108</f>
        <v>18733.0483600125</v>
      </c>
      <c r="T108" s="23" t="n">
        <v>8996.4</v>
      </c>
      <c r="U108" s="23" t="n">
        <v>6895.8</v>
      </c>
      <c r="V108" s="23" t="n">
        <f aca="false">T108+U108</f>
        <v>15892.2</v>
      </c>
      <c r="W108" s="30" t="n">
        <f aca="false">IF(I108&gt;0,V108/I108,"")</f>
        <v>1.39954030276611</v>
      </c>
      <c r="X108" s="3" t="str">
        <f aca="false">IF(I108&lt;=0,"SIN FCST",IF(V108&lt;R108,"BAJO SS",IF(T108&lt;R108,"BAJO SS (XLIB CUBRE)",IF(V108&lt;S108,"BAJO P.REORDEN",IF(AND(ISNUMBER(Q108),V108&gt;Q108),"SOBRE MAX VENDIBLE","OK")))))</f>
        <v>BAJO P.REORDEN</v>
      </c>
    </row>
    <row r="109" customFormat="false" ht="15" hidden="false" customHeight="false" outlineLevel="0" collapsed="false">
      <c r="A109" s="3" t="n">
        <v>30001571</v>
      </c>
      <c r="B109" s="3" t="s">
        <v>833</v>
      </c>
      <c r="C109" s="3" t="s">
        <v>133</v>
      </c>
      <c r="D109" s="3" t="s">
        <v>769</v>
      </c>
      <c r="E109" s="3"/>
      <c r="F109" s="3" t="str">
        <f aca="false">IFERROR(INDEX(ABC_XYZ!$L$5:$L$494,MATCH(A109,ABC_XYZ!$A$5:$A$494,0)),"SIN HIST")</f>
        <v>SIN HIST</v>
      </c>
      <c r="G109" s="24" t="n">
        <f aca="false">IF(LEFT(F109,1)="A",Parametros!$B$8,IF(LEFT(F109,1)="B",Parametros!$B$9,IF(LEFT(F109,1)="C",Parametros!$B$10,Parametros!$B$11)))</f>
        <v>0.95</v>
      </c>
      <c r="H109" s="27" t="n">
        <f aca="false">NORMSINV(G109)</f>
        <v>1.64485362695147</v>
      </c>
      <c r="I109" s="23" t="n">
        <v>11326.8</v>
      </c>
      <c r="J109" s="23" t="n">
        <f aca="false">IFERROR(INDEX(ABC_XYZ!$R$5:$R$494,MATCH(A109,ABC_XYZ!$A$5:$A$494,0)),I109*Parametros!$B$13)</f>
        <v>3398.04</v>
      </c>
      <c r="K109" s="27" t="n">
        <f aca="false">IFERROR(VLOOKUP(C109,Parametros!$A$36:$B$66,2,FALSE()),Parametros!$B$12)</f>
        <v>1</v>
      </c>
      <c r="L109" s="23" t="n">
        <f aca="false">H109*J109*SQRT(K109)</f>
        <v>5589.27841852618</v>
      </c>
      <c r="M109" s="29"/>
      <c r="N109" s="24"/>
      <c r="O109" s="3"/>
      <c r="P109" s="30" t="str">
        <f aca="false">IF(AND(ISNUMBER(M109),ISNUMBER(N109)),M109*N109/7,"")</f>
        <v/>
      </c>
      <c r="Q109" s="23" t="str">
        <f aca="false">IF(ISNUMBER(P109),I109*P109,"")</f>
        <v/>
      </c>
      <c r="R109" s="23" t="n">
        <f aca="false">IF(ISNUMBER(Q109),MAX(0,MIN(L109,Q109-I109*K109)),L109)</f>
        <v>5589.27841852618</v>
      </c>
      <c r="S109" s="23" t="n">
        <f aca="false">R109+I109*K109</f>
        <v>16916.0784185262</v>
      </c>
      <c r="T109" s="23" t="n">
        <v>67834.8</v>
      </c>
      <c r="U109" s="23" t="n">
        <v>76032</v>
      </c>
      <c r="V109" s="23" t="n">
        <f aca="false">T109+U109</f>
        <v>143866.8</v>
      </c>
      <c r="W109" s="30" t="n">
        <f aca="false">IF(I109&gt;0,V109/I109,"")</f>
        <v>12.7014514249391</v>
      </c>
      <c r="X109" s="3" t="str">
        <f aca="false">IF(I109&lt;=0,"SIN FCST",IF(V109&lt;R109,"BAJO SS",IF(T109&lt;R109,"BAJO SS (XLIB CUBRE)",IF(V109&lt;S109,"BAJO P.REORDEN",IF(AND(ISNUMBER(Q109),V109&gt;Q109),"SOBRE MAX VENDIBLE","OK")))))</f>
        <v>OK</v>
      </c>
    </row>
    <row r="110" customFormat="false" ht="15" hidden="false" customHeight="false" outlineLevel="0" collapsed="false">
      <c r="A110" s="3" t="n">
        <v>30000398</v>
      </c>
      <c r="B110" s="3" t="s">
        <v>295</v>
      </c>
      <c r="C110" s="3" t="s">
        <v>139</v>
      </c>
      <c r="D110" s="3" t="s">
        <v>753</v>
      </c>
      <c r="E110" s="3" t="s">
        <v>745</v>
      </c>
      <c r="F110" s="3" t="str">
        <f aca="false">IFERROR(INDEX(ABC_XYZ!$L$5:$L$494,MATCH(A110,ABC_XYZ!$A$5:$A$494,0)),"SIN HIST")</f>
        <v>AX</v>
      </c>
      <c r="G110" s="24" t="n">
        <f aca="false">IF(LEFT(F110,1)="A",Parametros!$B$8,IF(LEFT(F110,1)="B",Parametros!$B$9,IF(LEFT(F110,1)="C",Parametros!$B$10,Parametros!$B$11)))</f>
        <v>0.98</v>
      </c>
      <c r="H110" s="27" t="n">
        <f aca="false">NORMSINV(G110)</f>
        <v>2.05374891063182</v>
      </c>
      <c r="I110" s="23" t="n">
        <v>11094.9</v>
      </c>
      <c r="J110" s="23" t="n">
        <f aca="false">IFERROR(INDEX(ABC_XYZ!$R$5:$R$494,MATCH(A110,ABC_XYZ!$A$5:$A$494,0)),I110*Parametros!$B$13)</f>
        <v>2886.73467880028</v>
      </c>
      <c r="K110" s="27" t="n">
        <f aca="false">IFERROR(VLOOKUP(C110,Parametros!$A$36:$B$66,2,FALSE()),Parametros!$B$12)</f>
        <v>1</v>
      </c>
      <c r="L110" s="23" t="n">
        <f aca="false">H110*J110*SQRT(K110)</f>
        <v>5928.62820186918</v>
      </c>
      <c r="M110" s="29" t="n">
        <v>189</v>
      </c>
      <c r="N110" s="24" t="n">
        <v>0.259259259259259</v>
      </c>
      <c r="O110" s="3" t="s">
        <v>746</v>
      </c>
      <c r="P110" s="30" t="n">
        <f aca="false">IF(AND(ISNUMBER(M110),ISNUMBER(N110)),M110*N110/7,"")</f>
        <v>7</v>
      </c>
      <c r="Q110" s="23" t="n">
        <f aca="false">IF(ISNUMBER(P110),I110*P110,"")</f>
        <v>77664.3</v>
      </c>
      <c r="R110" s="23" t="n">
        <f aca="false">IF(ISNUMBER(Q110),MAX(0,MIN(L110,Q110-I110*K110)),L110)</f>
        <v>5928.62820186918</v>
      </c>
      <c r="S110" s="23" t="n">
        <f aca="false">R110+I110*K110</f>
        <v>17023.5282018692</v>
      </c>
      <c r="T110" s="23" t="n">
        <v>37944</v>
      </c>
      <c r="U110" s="23" t="n">
        <v>0</v>
      </c>
      <c r="V110" s="23" t="n">
        <f aca="false">T110+U110</f>
        <v>37944</v>
      </c>
      <c r="W110" s="30" t="n">
        <f aca="false">IF(I110&gt;0,V110/I110,"")</f>
        <v>3.41994970662196</v>
      </c>
      <c r="X110" s="3" t="str">
        <f aca="false">IF(I110&lt;=0,"SIN FCST",IF(V110&lt;R110,"BAJO SS",IF(T110&lt;R110,"BAJO SS (XLIB CUBRE)",IF(V110&lt;S110,"BAJO P.REORDEN",IF(AND(ISNUMBER(Q110),V110&gt;Q110),"SOBRE MAX VENDIBLE","OK")))))</f>
        <v>OK</v>
      </c>
    </row>
    <row r="111" customFormat="false" ht="15" hidden="false" customHeight="false" outlineLevel="0" collapsed="false">
      <c r="A111" s="3" t="n">
        <v>30001760</v>
      </c>
      <c r="B111" s="3" t="s">
        <v>834</v>
      </c>
      <c r="C111" s="3" t="s">
        <v>144</v>
      </c>
      <c r="D111" s="3" t="s">
        <v>753</v>
      </c>
      <c r="E111" s="3" t="s">
        <v>745</v>
      </c>
      <c r="F111" s="3" t="str">
        <f aca="false">IFERROR(INDEX(ABC_XYZ!$L$5:$L$494,MATCH(A111,ABC_XYZ!$A$5:$A$494,0)),"SIN HIST")</f>
        <v>AX</v>
      </c>
      <c r="G111" s="24" t="n">
        <f aca="false">IF(LEFT(F111,1)="A",Parametros!$B$8,IF(LEFT(F111,1)="B",Parametros!$B$9,IF(LEFT(F111,1)="C",Parametros!$B$10,Parametros!$B$11)))</f>
        <v>0.98</v>
      </c>
      <c r="H111" s="27" t="n">
        <f aca="false">NORMSINV(G111)</f>
        <v>2.05374891063182</v>
      </c>
      <c r="I111" s="23" t="n">
        <v>11028.7</v>
      </c>
      <c r="J111" s="23" t="n">
        <f aca="false">IFERROR(INDEX(ABC_XYZ!$R$5:$R$494,MATCH(A111,ABC_XYZ!$A$5:$A$494,0)),I111*Parametros!$B$13)</f>
        <v>2879.80995671521</v>
      </c>
      <c r="K111" s="27" t="n">
        <f aca="false">IFERROR(VLOOKUP(C111,Parametros!$A$36:$B$66,2,FALSE()),Parametros!$B$12)</f>
        <v>1</v>
      </c>
      <c r="L111" s="23" t="n">
        <f aca="false">H111*J111*SQRT(K111)</f>
        <v>5914.40656143053</v>
      </c>
      <c r="M111" s="29" t="n">
        <v>365</v>
      </c>
      <c r="N111" s="24" t="n">
        <v>0.32054794520548</v>
      </c>
      <c r="O111" s="3" t="s">
        <v>754</v>
      </c>
      <c r="P111" s="30" t="n">
        <f aca="false">IF(AND(ISNUMBER(M111),ISNUMBER(N111)),M111*N111/7,"")</f>
        <v>16.7142857142857</v>
      </c>
      <c r="Q111" s="23" t="n">
        <f aca="false">IF(ISNUMBER(P111),I111*P111,"")</f>
        <v>184336.842857143</v>
      </c>
      <c r="R111" s="23" t="n">
        <f aca="false">IF(ISNUMBER(Q111),MAX(0,MIN(L111,Q111-I111*K111)),L111)</f>
        <v>5914.40656143053</v>
      </c>
      <c r="S111" s="23" t="n">
        <f aca="false">R111+I111*K111</f>
        <v>16943.1065614305</v>
      </c>
      <c r="T111" s="23" t="n">
        <v>25012.8</v>
      </c>
      <c r="U111" s="23" t="n">
        <v>0</v>
      </c>
      <c r="V111" s="23" t="n">
        <f aca="false">T111+U111</f>
        <v>25012.8</v>
      </c>
      <c r="W111" s="30" t="n">
        <f aca="false">IF(I111&gt;0,V111/I111,"")</f>
        <v>2.26797355989373</v>
      </c>
      <c r="X111" s="3" t="str">
        <f aca="false">IF(I111&lt;=0,"SIN FCST",IF(V111&lt;R111,"BAJO SS",IF(T111&lt;R111,"BAJO SS (XLIB CUBRE)",IF(V111&lt;S111,"BAJO P.REORDEN",IF(AND(ISNUMBER(Q111),V111&gt;Q111),"SOBRE MAX VENDIBLE","OK")))))</f>
        <v>OK</v>
      </c>
    </row>
    <row r="112" customFormat="false" ht="15" hidden="false" customHeight="false" outlineLevel="0" collapsed="false">
      <c r="A112" s="3" t="n">
        <v>30000207</v>
      </c>
      <c r="B112" s="3" t="s">
        <v>300</v>
      </c>
      <c r="C112" s="3" t="s">
        <v>135</v>
      </c>
      <c r="D112" s="3" t="s">
        <v>753</v>
      </c>
      <c r="E112" s="3" t="s">
        <v>745</v>
      </c>
      <c r="F112" s="3" t="str">
        <f aca="false">IFERROR(INDEX(ABC_XYZ!$L$5:$L$494,MATCH(A112,ABC_XYZ!$A$5:$A$494,0)),"SIN HIST")</f>
        <v>AX</v>
      </c>
      <c r="G112" s="24" t="n">
        <f aca="false">IF(LEFT(F112,1)="A",Parametros!$B$8,IF(LEFT(F112,1)="B",Parametros!$B$9,IF(LEFT(F112,1)="C",Parametros!$B$10,Parametros!$B$11)))</f>
        <v>0.98</v>
      </c>
      <c r="H112" s="27" t="n">
        <f aca="false">NORMSINV(G112)</f>
        <v>2.05374891063182</v>
      </c>
      <c r="I112" s="23" t="n">
        <v>10977.7</v>
      </c>
      <c r="J112" s="23" t="n">
        <f aca="false">IFERROR(INDEX(ABC_XYZ!$R$5:$R$494,MATCH(A112,ABC_XYZ!$A$5:$A$494,0)),I112*Parametros!$B$13)</f>
        <v>1864.73129881278</v>
      </c>
      <c r="K112" s="27" t="n">
        <f aca="false">IFERROR(VLOOKUP(C112,Parametros!$A$36:$B$66,2,FALSE()),Parametros!$B$12)</f>
        <v>1</v>
      </c>
      <c r="L112" s="23" t="n">
        <f aca="false">H112*J112*SQRT(K112)</f>
        <v>3829.68987355781</v>
      </c>
      <c r="M112" s="29" t="n">
        <v>275</v>
      </c>
      <c r="N112" s="24" t="n">
        <v>0.316363636363636</v>
      </c>
      <c r="O112" s="3" t="s">
        <v>754</v>
      </c>
      <c r="P112" s="30" t="n">
        <f aca="false">IF(AND(ISNUMBER(M112),ISNUMBER(N112)),M112*N112/7,"")</f>
        <v>12.4285714285714</v>
      </c>
      <c r="Q112" s="23" t="n">
        <f aca="false">IF(ISNUMBER(P112),I112*P112,"")</f>
        <v>136437.128571429</v>
      </c>
      <c r="R112" s="23" t="n">
        <f aca="false">IF(ISNUMBER(Q112),MAX(0,MIN(L112,Q112-I112*K112)),L112)</f>
        <v>3829.68987355781</v>
      </c>
      <c r="S112" s="23" t="n">
        <f aca="false">R112+I112*K112</f>
        <v>14807.3898735578</v>
      </c>
      <c r="T112" s="23" t="n">
        <v>28002</v>
      </c>
      <c r="U112" s="23" t="n">
        <v>47280</v>
      </c>
      <c r="V112" s="23" t="n">
        <f aca="false">T112+U112</f>
        <v>75282</v>
      </c>
      <c r="W112" s="30" t="n">
        <f aca="false">IF(I112&gt;0,V112/I112,"")</f>
        <v>6.85772065186697</v>
      </c>
      <c r="X112" s="3" t="str">
        <f aca="false">IF(I112&lt;=0,"SIN FCST",IF(V112&lt;R112,"BAJO SS",IF(T112&lt;R112,"BAJO SS (XLIB CUBRE)",IF(V112&lt;S112,"BAJO P.REORDEN",IF(AND(ISNUMBER(Q112),V112&gt;Q112),"SOBRE MAX VENDIBLE","OK")))))</f>
        <v>OK</v>
      </c>
    </row>
    <row r="113" customFormat="false" ht="15" hidden="false" customHeight="false" outlineLevel="0" collapsed="false">
      <c r="A113" s="3" t="n">
        <v>30000627</v>
      </c>
      <c r="B113" s="3" t="s">
        <v>308</v>
      </c>
      <c r="C113" s="3" t="s">
        <v>129</v>
      </c>
      <c r="D113" s="3" t="s">
        <v>753</v>
      </c>
      <c r="E113" s="3" t="s">
        <v>745</v>
      </c>
      <c r="F113" s="3" t="str">
        <f aca="false">IFERROR(INDEX(ABC_XYZ!$L$5:$L$494,MATCH(A113,ABC_XYZ!$A$5:$A$494,0)),"SIN HIST")</f>
        <v>AX</v>
      </c>
      <c r="G113" s="24" t="n">
        <f aca="false">IF(LEFT(F113,1)="A",Parametros!$B$8,IF(LEFT(F113,1)="B",Parametros!$B$9,IF(LEFT(F113,1)="C",Parametros!$B$10,Parametros!$B$11)))</f>
        <v>0.98</v>
      </c>
      <c r="H113" s="27" t="n">
        <f aca="false">NORMSINV(G113)</f>
        <v>2.05374891063182</v>
      </c>
      <c r="I113" s="23" t="n">
        <v>10740.6</v>
      </c>
      <c r="J113" s="23" t="n">
        <f aca="false">IFERROR(INDEX(ABC_XYZ!$R$5:$R$494,MATCH(A113,ABC_XYZ!$A$5:$A$494,0)),I113*Parametros!$B$13)</f>
        <v>2293.029733315</v>
      </c>
      <c r="K113" s="27" t="n">
        <f aca="false">IFERROR(VLOOKUP(C113,Parametros!$A$36:$B$66,2,FALSE()),Parametros!$B$12)</f>
        <v>1</v>
      </c>
      <c r="L113" s="23" t="n">
        <f aca="false">H113*J113*SQRT(K113)</f>
        <v>4709.30731684206</v>
      </c>
      <c r="M113" s="29" t="n">
        <v>730</v>
      </c>
      <c r="N113" s="24" t="n">
        <v>0.328767123287671</v>
      </c>
      <c r="O113" s="3" t="s">
        <v>772</v>
      </c>
      <c r="P113" s="30" t="n">
        <f aca="false">IF(AND(ISNUMBER(M113),ISNUMBER(N113)),M113*N113/7,"")</f>
        <v>34.2857142857143</v>
      </c>
      <c r="Q113" s="23" t="n">
        <f aca="false">IF(ISNUMBER(P113),I113*P113,"")</f>
        <v>368249.142857143</v>
      </c>
      <c r="R113" s="23" t="n">
        <f aca="false">IF(ISNUMBER(Q113),MAX(0,MIN(L113,Q113-I113*K113)),L113)</f>
        <v>4709.30731684206</v>
      </c>
      <c r="S113" s="23" t="n">
        <f aca="false">R113+I113*K113</f>
        <v>15449.9073168421</v>
      </c>
      <c r="T113" s="23" t="n">
        <v>118521.3</v>
      </c>
      <c r="U113" s="23" t="n">
        <v>54579.5</v>
      </c>
      <c r="V113" s="23" t="n">
        <f aca="false">T113+U113</f>
        <v>173100.8</v>
      </c>
      <c r="W113" s="30" t="n">
        <f aca="false">IF(I113&gt;0,V113/I113,"")</f>
        <v>16.116492560937</v>
      </c>
      <c r="X113" s="3" t="str">
        <f aca="false">IF(I113&lt;=0,"SIN FCST",IF(V113&lt;R113,"BAJO SS",IF(T113&lt;R113,"BAJO SS (XLIB CUBRE)",IF(V113&lt;S113,"BAJO P.REORDEN",IF(AND(ISNUMBER(Q113),V113&gt;Q113),"SOBRE MAX VENDIBLE","OK")))))</f>
        <v>OK</v>
      </c>
    </row>
    <row r="114" customFormat="false" ht="15" hidden="false" customHeight="false" outlineLevel="0" collapsed="false">
      <c r="A114" s="3" t="n">
        <v>30000721</v>
      </c>
      <c r="B114" s="3" t="s">
        <v>835</v>
      </c>
      <c r="C114" s="3" t="s">
        <v>133</v>
      </c>
      <c r="D114" s="3" t="s">
        <v>758</v>
      </c>
      <c r="E114" s="3"/>
      <c r="F114" s="3" t="str">
        <f aca="false">IFERROR(INDEX(ABC_XYZ!$L$5:$L$494,MATCH(A114,ABC_XYZ!$A$5:$A$494,0)),"SIN HIST")</f>
        <v>SIN HIST</v>
      </c>
      <c r="G114" s="24" t="n">
        <f aca="false">IF(LEFT(F114,1)="A",Parametros!$B$8,IF(LEFT(F114,1)="B",Parametros!$B$9,IF(LEFT(F114,1)="C",Parametros!$B$10,Parametros!$B$11)))</f>
        <v>0.95</v>
      </c>
      <c r="H114" s="27" t="n">
        <f aca="false">NORMSINV(G114)</f>
        <v>1.64485362695147</v>
      </c>
      <c r="I114" s="23" t="n">
        <v>10672.6</v>
      </c>
      <c r="J114" s="23" t="n">
        <f aca="false">IFERROR(INDEX(ABC_XYZ!$R$5:$R$494,MATCH(A114,ABC_XYZ!$A$5:$A$494,0)),I114*Parametros!$B$13)</f>
        <v>3201.78</v>
      </c>
      <c r="K114" s="27" t="n">
        <f aca="false">IFERROR(VLOOKUP(C114,Parametros!$A$36:$B$66,2,FALSE()),Parametros!$B$12)</f>
        <v>1</v>
      </c>
      <c r="L114" s="23" t="n">
        <f aca="false">H114*J114*SQRT(K114)</f>
        <v>5266.45944570068</v>
      </c>
      <c r="M114" s="29"/>
      <c r="N114" s="24"/>
      <c r="O114" s="3"/>
      <c r="P114" s="30" t="str">
        <f aca="false">IF(AND(ISNUMBER(M114),ISNUMBER(N114)),M114*N114/7,"")</f>
        <v/>
      </c>
      <c r="Q114" s="23" t="str">
        <f aca="false">IF(ISNUMBER(P114),I114*P114,"")</f>
        <v/>
      </c>
      <c r="R114" s="23" t="n">
        <f aca="false">IF(ISNUMBER(Q114),MAX(0,MIN(L114,Q114-I114*K114)),L114)</f>
        <v>5266.45944570068</v>
      </c>
      <c r="S114" s="23" t="n">
        <f aca="false">R114+I114*K114</f>
        <v>15939.0594457007</v>
      </c>
      <c r="T114" s="23" t="n">
        <v>133747.2</v>
      </c>
      <c r="U114" s="23" t="n">
        <v>0</v>
      </c>
      <c r="V114" s="23" t="n">
        <f aca="false">T114+U114</f>
        <v>133747.2</v>
      </c>
      <c r="W114" s="30" t="n">
        <f aca="false">IF(I114&gt;0,V114/I114,"")</f>
        <v>12.5318291700242</v>
      </c>
      <c r="X114" s="3" t="str">
        <f aca="false">IF(I114&lt;=0,"SIN FCST",IF(V114&lt;R114,"BAJO SS",IF(T114&lt;R114,"BAJO SS (XLIB CUBRE)",IF(V114&lt;S114,"BAJO P.REORDEN",IF(AND(ISNUMBER(Q114),V114&gt;Q114),"SOBRE MAX VENDIBLE","OK")))))</f>
        <v>OK</v>
      </c>
    </row>
    <row r="115" customFormat="false" ht="15" hidden="false" customHeight="false" outlineLevel="0" collapsed="false">
      <c r="A115" s="3" t="n">
        <v>30000730</v>
      </c>
      <c r="B115" s="3" t="s">
        <v>836</v>
      </c>
      <c r="C115" s="3" t="s">
        <v>133</v>
      </c>
      <c r="D115" s="3" t="s">
        <v>769</v>
      </c>
      <c r="E115" s="3"/>
      <c r="F115" s="3" t="str">
        <f aca="false">IFERROR(INDEX(ABC_XYZ!$L$5:$L$494,MATCH(A115,ABC_XYZ!$A$5:$A$494,0)),"SIN HIST")</f>
        <v>SIN HIST</v>
      </c>
      <c r="G115" s="24" t="n">
        <f aca="false">IF(LEFT(F115,1)="A",Parametros!$B$8,IF(LEFT(F115,1)="B",Parametros!$B$9,IF(LEFT(F115,1)="C",Parametros!$B$10,Parametros!$B$11)))</f>
        <v>0.95</v>
      </c>
      <c r="H115" s="27" t="n">
        <f aca="false">NORMSINV(G115)</f>
        <v>1.64485362695147</v>
      </c>
      <c r="I115" s="23" t="n">
        <v>10541.7</v>
      </c>
      <c r="J115" s="23" t="n">
        <f aca="false">IFERROR(INDEX(ABC_XYZ!$R$5:$R$494,MATCH(A115,ABC_XYZ!$A$5:$A$494,0)),I115*Parametros!$B$13)</f>
        <v>3162.51</v>
      </c>
      <c r="K115" s="27" t="n">
        <f aca="false">IFERROR(VLOOKUP(C115,Parametros!$A$36:$B$66,2,FALSE()),Parametros!$B$12)</f>
        <v>1</v>
      </c>
      <c r="L115" s="23" t="n">
        <f aca="false">H115*J115*SQRT(K115)</f>
        <v>5201.8660437703</v>
      </c>
      <c r="M115" s="29"/>
      <c r="N115" s="24"/>
      <c r="O115" s="3"/>
      <c r="P115" s="30" t="str">
        <f aca="false">IF(AND(ISNUMBER(M115),ISNUMBER(N115)),M115*N115/7,"")</f>
        <v/>
      </c>
      <c r="Q115" s="23" t="str">
        <f aca="false">IF(ISNUMBER(P115),I115*P115,"")</f>
        <v/>
      </c>
      <c r="R115" s="23" t="n">
        <f aca="false">IF(ISNUMBER(Q115),MAX(0,MIN(L115,Q115-I115*K115)),L115)</f>
        <v>5201.8660437703</v>
      </c>
      <c r="S115" s="23" t="n">
        <f aca="false">R115+I115*K115</f>
        <v>15743.5660437703</v>
      </c>
      <c r="T115" s="23" t="n">
        <v>17250</v>
      </c>
      <c r="U115" s="23" t="n">
        <v>13200</v>
      </c>
      <c r="V115" s="23" t="n">
        <f aca="false">T115+U115</f>
        <v>30450</v>
      </c>
      <c r="W115" s="30" t="n">
        <f aca="false">IF(I115&gt;0,V115/I115,"")</f>
        <v>2.88852841572042</v>
      </c>
      <c r="X115" s="3" t="str">
        <f aca="false">IF(I115&lt;=0,"SIN FCST",IF(V115&lt;R115,"BAJO SS",IF(T115&lt;R115,"BAJO SS (XLIB CUBRE)",IF(V115&lt;S115,"BAJO P.REORDEN",IF(AND(ISNUMBER(Q115),V115&gt;Q115),"SOBRE MAX VENDIBLE","OK")))))</f>
        <v>OK</v>
      </c>
    </row>
    <row r="116" customFormat="false" ht="15" hidden="false" customHeight="false" outlineLevel="0" collapsed="false">
      <c r="A116" s="3" t="n">
        <v>30000065</v>
      </c>
      <c r="B116" s="3" t="s">
        <v>837</v>
      </c>
      <c r="C116" s="3" t="s">
        <v>141</v>
      </c>
      <c r="D116" s="3" t="s">
        <v>750</v>
      </c>
      <c r="E116" s="3" t="s">
        <v>745</v>
      </c>
      <c r="F116" s="3" t="str">
        <f aca="false">IFERROR(INDEX(ABC_XYZ!$L$5:$L$494,MATCH(A116,ABC_XYZ!$A$5:$A$494,0)),"SIN HIST")</f>
        <v>SIN HIST</v>
      </c>
      <c r="G116" s="24" t="n">
        <f aca="false">IF(LEFT(F116,1)="A",Parametros!$B$8,IF(LEFT(F116,1)="B",Parametros!$B$9,IF(LEFT(F116,1)="C",Parametros!$B$10,Parametros!$B$11)))</f>
        <v>0.95</v>
      </c>
      <c r="H116" s="27" t="n">
        <f aca="false">NORMSINV(G116)</f>
        <v>1.64485362695147</v>
      </c>
      <c r="I116" s="23" t="n">
        <v>10465.1</v>
      </c>
      <c r="J116" s="23" t="n">
        <f aca="false">IFERROR(INDEX(ABC_XYZ!$R$5:$R$494,MATCH(A116,ABC_XYZ!$A$5:$A$494,0)),I116*Parametros!$B$13)</f>
        <v>3139.53</v>
      </c>
      <c r="K116" s="27" t="n">
        <f aca="false">IFERROR(VLOOKUP(C116,Parametros!$A$36:$B$66,2,FALSE()),Parametros!$B$12)</f>
        <v>1</v>
      </c>
      <c r="L116" s="23" t="n">
        <f aca="false">H116*J116*SQRT(K116)</f>
        <v>5164.06730742295</v>
      </c>
      <c r="M116" s="29" t="n">
        <v>184</v>
      </c>
      <c r="N116" s="24" t="n">
        <v>0.271739130434783</v>
      </c>
      <c r="O116" s="3" t="s">
        <v>746</v>
      </c>
      <c r="P116" s="30" t="n">
        <f aca="false">IF(AND(ISNUMBER(M116),ISNUMBER(N116)),M116*N116/7,"")</f>
        <v>7.14285714285714</v>
      </c>
      <c r="Q116" s="23" t="n">
        <f aca="false">IF(ISNUMBER(P116),I116*P116,"")</f>
        <v>74750.7142857143</v>
      </c>
      <c r="R116" s="23" t="n">
        <f aca="false">IF(ISNUMBER(Q116),MAX(0,MIN(L116,Q116-I116*K116)),L116)</f>
        <v>5164.06730742295</v>
      </c>
      <c r="S116" s="23" t="n">
        <f aca="false">R116+I116*K116</f>
        <v>15629.167307423</v>
      </c>
      <c r="T116" s="23" t="n">
        <v>50655.2</v>
      </c>
      <c r="U116" s="23" t="n">
        <v>0</v>
      </c>
      <c r="V116" s="23" t="n">
        <f aca="false">T116+U116</f>
        <v>50655.2</v>
      </c>
      <c r="W116" s="30" t="n">
        <f aca="false">IF(I116&gt;0,V116/I116,"")</f>
        <v>4.84039330727848</v>
      </c>
      <c r="X116" s="3" t="str">
        <f aca="false">IF(I116&lt;=0,"SIN FCST",IF(V116&lt;R116,"BAJO SS",IF(T116&lt;R116,"BAJO SS (XLIB CUBRE)",IF(V116&lt;S116,"BAJO P.REORDEN",IF(AND(ISNUMBER(Q116),V116&gt;Q116),"SOBRE MAX VENDIBLE","OK")))))</f>
        <v>OK</v>
      </c>
    </row>
    <row r="117" customFormat="false" ht="15" hidden="false" customHeight="false" outlineLevel="0" collapsed="false">
      <c r="A117" s="3" t="n">
        <v>30000824</v>
      </c>
      <c r="B117" s="3" t="s">
        <v>838</v>
      </c>
      <c r="C117" s="3" t="s">
        <v>133</v>
      </c>
      <c r="D117" s="3" t="s">
        <v>769</v>
      </c>
      <c r="E117" s="3"/>
      <c r="F117" s="3" t="str">
        <f aca="false">IFERROR(INDEX(ABC_XYZ!$L$5:$L$494,MATCH(A117,ABC_XYZ!$A$5:$A$494,0)),"SIN HIST")</f>
        <v>SIN HIST</v>
      </c>
      <c r="G117" s="24" t="n">
        <f aca="false">IF(LEFT(F117,1)="A",Parametros!$B$8,IF(LEFT(F117,1)="B",Parametros!$B$9,IF(LEFT(F117,1)="C",Parametros!$B$10,Parametros!$B$11)))</f>
        <v>0.95</v>
      </c>
      <c r="H117" s="27" t="n">
        <f aca="false">NORMSINV(G117)</f>
        <v>1.64485362695147</v>
      </c>
      <c r="I117" s="23" t="n">
        <v>10465.1</v>
      </c>
      <c r="J117" s="23" t="n">
        <f aca="false">IFERROR(INDEX(ABC_XYZ!$R$5:$R$494,MATCH(A117,ABC_XYZ!$A$5:$A$494,0)),I117*Parametros!$B$13)</f>
        <v>3139.53</v>
      </c>
      <c r="K117" s="27" t="n">
        <f aca="false">IFERROR(VLOOKUP(C117,Parametros!$A$36:$B$66,2,FALSE()),Parametros!$B$12)</f>
        <v>1</v>
      </c>
      <c r="L117" s="23" t="n">
        <f aca="false">H117*J117*SQRT(K117)</f>
        <v>5164.06730742295</v>
      </c>
      <c r="M117" s="29"/>
      <c r="N117" s="24"/>
      <c r="O117" s="3"/>
      <c r="P117" s="30" t="str">
        <f aca="false">IF(AND(ISNUMBER(M117),ISNUMBER(N117)),M117*N117/7,"")</f>
        <v/>
      </c>
      <c r="Q117" s="23" t="str">
        <f aca="false">IF(ISNUMBER(P117),I117*P117,"")</f>
        <v/>
      </c>
      <c r="R117" s="23" t="n">
        <f aca="false">IF(ISNUMBER(Q117),MAX(0,MIN(L117,Q117-I117*K117)),L117)</f>
        <v>5164.06730742295</v>
      </c>
      <c r="S117" s="23" t="n">
        <f aca="false">R117+I117*K117</f>
        <v>15629.167307423</v>
      </c>
      <c r="T117" s="23" t="n">
        <v>96390</v>
      </c>
      <c r="U117" s="23" t="n">
        <v>43200</v>
      </c>
      <c r="V117" s="23" t="n">
        <f aca="false">T117+U117</f>
        <v>139590</v>
      </c>
      <c r="W117" s="30" t="n">
        <f aca="false">IF(I117&gt;0,V117/I117,"")</f>
        <v>13.3386207489656</v>
      </c>
      <c r="X117" s="3" t="str">
        <f aca="false">IF(I117&lt;=0,"SIN FCST",IF(V117&lt;R117,"BAJO SS",IF(T117&lt;R117,"BAJO SS (XLIB CUBRE)",IF(V117&lt;S117,"BAJO P.REORDEN",IF(AND(ISNUMBER(Q117),V117&gt;Q117),"SOBRE MAX VENDIBLE","OK")))))</f>
        <v>OK</v>
      </c>
    </row>
    <row r="118" customFormat="false" ht="15" hidden="false" customHeight="false" outlineLevel="0" collapsed="false">
      <c r="A118" s="3" t="n">
        <v>30000300</v>
      </c>
      <c r="B118" s="3" t="s">
        <v>291</v>
      </c>
      <c r="C118" s="3" t="s">
        <v>139</v>
      </c>
      <c r="D118" s="3" t="s">
        <v>753</v>
      </c>
      <c r="E118" s="3" t="s">
        <v>745</v>
      </c>
      <c r="F118" s="3" t="str">
        <f aca="false">IFERROR(INDEX(ABC_XYZ!$L$5:$L$494,MATCH(A118,ABC_XYZ!$A$5:$A$494,0)),"SIN HIST")</f>
        <v>AX</v>
      </c>
      <c r="G118" s="24" t="n">
        <f aca="false">IF(LEFT(F118,1)="A",Parametros!$B$8,IF(LEFT(F118,1)="B",Parametros!$B$9,IF(LEFT(F118,1)="C",Parametros!$B$10,Parametros!$B$11)))</f>
        <v>0.98</v>
      </c>
      <c r="H118" s="27" t="n">
        <f aca="false">NORMSINV(G118)</f>
        <v>2.05374891063182</v>
      </c>
      <c r="I118" s="23" t="n">
        <v>10450.3</v>
      </c>
      <c r="J118" s="23" t="n">
        <f aca="false">IFERROR(INDEX(ABC_XYZ!$R$5:$R$494,MATCH(A118,ABC_XYZ!$A$5:$A$494,0)),I118*Parametros!$B$13)</f>
        <v>3980.09967834701</v>
      </c>
      <c r="K118" s="27" t="n">
        <f aca="false">IFERROR(VLOOKUP(C118,Parametros!$A$36:$B$66,2,FALSE()),Parametros!$B$12)</f>
        <v>1</v>
      </c>
      <c r="L118" s="23" t="n">
        <f aca="false">H118*J118*SQRT(K118)</f>
        <v>8174.12537861124</v>
      </c>
      <c r="M118" s="29" t="n">
        <v>214</v>
      </c>
      <c r="N118" s="24" t="n">
        <v>0.317757009345794</v>
      </c>
      <c r="O118" s="3" t="s">
        <v>780</v>
      </c>
      <c r="P118" s="30" t="n">
        <f aca="false">IF(AND(ISNUMBER(M118),ISNUMBER(N118)),M118*N118/7,"")</f>
        <v>9.71428571428571</v>
      </c>
      <c r="Q118" s="23" t="n">
        <f aca="false">IF(ISNUMBER(P118),I118*P118,"")</f>
        <v>101517.2</v>
      </c>
      <c r="R118" s="23" t="n">
        <f aca="false">IF(ISNUMBER(Q118),MAX(0,MIN(L118,Q118-I118*K118)),L118)</f>
        <v>8174.12537861124</v>
      </c>
      <c r="S118" s="23" t="n">
        <f aca="false">R118+I118*K118</f>
        <v>18624.4253786112</v>
      </c>
      <c r="T118" s="23" t="n">
        <v>35796</v>
      </c>
      <c r="U118" s="23" t="n">
        <v>0</v>
      </c>
      <c r="V118" s="23" t="n">
        <f aca="false">T118+U118</f>
        <v>35796</v>
      </c>
      <c r="W118" s="30" t="n">
        <f aca="false">IF(I118&gt;0,V118/I118,"")</f>
        <v>3.42535620986957</v>
      </c>
      <c r="X118" s="3" t="str">
        <f aca="false">IF(I118&lt;=0,"SIN FCST",IF(V118&lt;R118,"BAJO SS",IF(T118&lt;R118,"BAJO SS (XLIB CUBRE)",IF(V118&lt;S118,"BAJO P.REORDEN",IF(AND(ISNUMBER(Q118),V118&gt;Q118),"SOBRE MAX VENDIBLE","OK")))))</f>
        <v>OK</v>
      </c>
    </row>
    <row r="119" customFormat="false" ht="15" hidden="false" customHeight="false" outlineLevel="0" collapsed="false">
      <c r="A119" s="3" t="n">
        <v>30001489</v>
      </c>
      <c r="B119" s="3" t="s">
        <v>289</v>
      </c>
      <c r="C119" s="3" t="s">
        <v>155</v>
      </c>
      <c r="D119" s="3" t="s">
        <v>761</v>
      </c>
      <c r="E119" s="3" t="s">
        <v>762</v>
      </c>
      <c r="F119" s="3" t="str">
        <f aca="false">IFERROR(INDEX(ABC_XYZ!$L$5:$L$494,MATCH(A119,ABC_XYZ!$A$5:$A$494,0)),"SIN HIST")</f>
        <v>AX</v>
      </c>
      <c r="G119" s="24" t="n">
        <f aca="false">IF(LEFT(F119,1)="A",Parametros!$B$8,IF(LEFT(F119,1)="B",Parametros!$B$9,IF(LEFT(F119,1)="C",Parametros!$B$10,Parametros!$B$11)))</f>
        <v>0.98</v>
      </c>
      <c r="H119" s="27" t="n">
        <f aca="false">NORMSINV(G119)</f>
        <v>2.05374891063182</v>
      </c>
      <c r="I119" s="23" t="n">
        <v>10392.5</v>
      </c>
      <c r="J119" s="23" t="n">
        <f aca="false">IFERROR(INDEX(ABC_XYZ!$R$5:$R$494,MATCH(A119,ABC_XYZ!$A$5:$A$494,0)),I119*Parametros!$B$13)</f>
        <v>1756.04346897533</v>
      </c>
      <c r="K119" s="27" t="n">
        <f aca="false">IFERROR(VLOOKUP(C119,Parametros!$A$36:$B$66,2,FALSE()),Parametros!$B$12)</f>
        <v>1</v>
      </c>
      <c r="L119" s="23" t="n">
        <f aca="false">H119*J119*SQRT(K119)</f>
        <v>3606.4723614302</v>
      </c>
      <c r="M119" s="29" t="n">
        <v>57</v>
      </c>
      <c r="N119" s="24" t="n">
        <v>0.245614035087719</v>
      </c>
      <c r="O119" s="3" t="s">
        <v>774</v>
      </c>
      <c r="P119" s="30" t="n">
        <f aca="false">IF(AND(ISNUMBER(M119),ISNUMBER(N119)),M119*N119/7,"")</f>
        <v>2</v>
      </c>
      <c r="Q119" s="23" t="n">
        <f aca="false">IF(ISNUMBER(P119),I119*P119,"")</f>
        <v>20785</v>
      </c>
      <c r="R119" s="23" t="n">
        <f aca="false">IF(ISNUMBER(Q119),MAX(0,MIN(L119,Q119-I119*K119)),L119)</f>
        <v>3606.4723614302</v>
      </c>
      <c r="S119" s="23" t="n">
        <f aca="false">R119+I119*K119</f>
        <v>13998.9723614302</v>
      </c>
      <c r="T119" s="23" t="n">
        <v>18483.3</v>
      </c>
      <c r="U119" s="23" t="n">
        <v>4965.5</v>
      </c>
      <c r="V119" s="23" t="n">
        <f aca="false">T119+U119</f>
        <v>23448.8</v>
      </c>
      <c r="W119" s="30" t="n">
        <f aca="false">IF(I119&gt;0,V119/I119,"")</f>
        <v>2.25631946114987</v>
      </c>
      <c r="X119" s="3" t="str">
        <f aca="false">IF(I119&lt;=0,"SIN FCST",IF(V119&lt;R119,"BAJO SS",IF(T119&lt;R119,"BAJO SS (XLIB CUBRE)",IF(V119&lt;S119,"BAJO P.REORDEN",IF(AND(ISNUMBER(Q119),V119&gt;Q119),"SOBRE MAX VENDIBLE","OK")))))</f>
        <v>SOBRE MAX VENDIBLE</v>
      </c>
    </row>
    <row r="120" customFormat="false" ht="15" hidden="false" customHeight="false" outlineLevel="0" collapsed="false">
      <c r="A120" s="3" t="n">
        <v>30000010</v>
      </c>
      <c r="B120" s="3" t="s">
        <v>839</v>
      </c>
      <c r="C120" s="3" t="s">
        <v>139</v>
      </c>
      <c r="D120" s="3" t="s">
        <v>753</v>
      </c>
      <c r="E120" s="3" t="s">
        <v>745</v>
      </c>
      <c r="F120" s="3" t="str">
        <f aca="false">IFERROR(INDEX(ABC_XYZ!$L$5:$L$494,MATCH(A120,ABC_XYZ!$A$5:$A$494,0)),"SIN HIST")</f>
        <v>AX</v>
      </c>
      <c r="G120" s="24" t="n">
        <f aca="false">IF(LEFT(F120,1)="A",Parametros!$B$8,IF(LEFT(F120,1)="B",Parametros!$B$9,IF(LEFT(F120,1)="C",Parametros!$B$10,Parametros!$B$11)))</f>
        <v>0.98</v>
      </c>
      <c r="H120" s="27" t="n">
        <f aca="false">NORMSINV(G120)</f>
        <v>2.05374891063182</v>
      </c>
      <c r="I120" s="23" t="n">
        <v>10260.5</v>
      </c>
      <c r="J120" s="23" t="n">
        <f aca="false">IFERROR(INDEX(ABC_XYZ!$R$5:$R$494,MATCH(A120,ABC_XYZ!$A$5:$A$494,0)),I120*Parametros!$B$13)</f>
        <v>3067.755895969</v>
      </c>
      <c r="K120" s="27" t="n">
        <f aca="false">IFERROR(VLOOKUP(C120,Parametros!$A$36:$B$66,2,FALSE()),Parametros!$B$12)</f>
        <v>1</v>
      </c>
      <c r="L120" s="23" t="n">
        <f aca="false">H120*J120*SQRT(K120)</f>
        <v>6300.40032943069</v>
      </c>
      <c r="M120" s="29" t="n">
        <v>187</v>
      </c>
      <c r="N120" s="24" t="n">
        <v>0.240641711229947</v>
      </c>
      <c r="O120" s="3" t="s">
        <v>746</v>
      </c>
      <c r="P120" s="30" t="n">
        <f aca="false">IF(AND(ISNUMBER(M120),ISNUMBER(N120)),M120*N120/7,"")</f>
        <v>6.42857142857143</v>
      </c>
      <c r="Q120" s="23" t="n">
        <f aca="false">IF(ISNUMBER(P120),I120*P120,"")</f>
        <v>65960.3571428571</v>
      </c>
      <c r="R120" s="23" t="n">
        <f aca="false">IF(ISNUMBER(Q120),MAX(0,MIN(L120,Q120-I120*K120)),L120)</f>
        <v>6300.40032943069</v>
      </c>
      <c r="S120" s="23" t="n">
        <f aca="false">R120+I120*K120</f>
        <v>16560.9003294307</v>
      </c>
      <c r="T120" s="23" t="n">
        <v>25092</v>
      </c>
      <c r="U120" s="23" t="n">
        <v>23124</v>
      </c>
      <c r="V120" s="23" t="n">
        <f aca="false">T120+U120</f>
        <v>48216</v>
      </c>
      <c r="W120" s="30" t="n">
        <f aca="false">IF(I120&gt;0,V120/I120,"")</f>
        <v>4.69918619950295</v>
      </c>
      <c r="X120" s="3" t="str">
        <f aca="false">IF(I120&lt;=0,"SIN FCST",IF(V120&lt;R120,"BAJO SS",IF(T120&lt;R120,"BAJO SS (XLIB CUBRE)",IF(V120&lt;S120,"BAJO P.REORDEN",IF(AND(ISNUMBER(Q120),V120&gt;Q120),"SOBRE MAX VENDIBLE","OK")))))</f>
        <v>OK</v>
      </c>
    </row>
    <row r="121" customFormat="false" ht="15" hidden="false" customHeight="false" outlineLevel="0" collapsed="false">
      <c r="A121" s="3" t="n">
        <v>30001362</v>
      </c>
      <c r="B121" s="3" t="s">
        <v>293</v>
      </c>
      <c r="C121" s="3" t="s">
        <v>124</v>
      </c>
      <c r="D121" s="3" t="s">
        <v>769</v>
      </c>
      <c r="E121" s="3" t="s">
        <v>745</v>
      </c>
      <c r="F121" s="3" t="str">
        <f aca="false">IFERROR(INDEX(ABC_XYZ!$L$5:$L$494,MATCH(A121,ABC_XYZ!$A$5:$A$494,0)),"SIN HIST")</f>
        <v>AX</v>
      </c>
      <c r="G121" s="24" t="n">
        <f aca="false">IF(LEFT(F121,1)="A",Parametros!$B$8,IF(LEFT(F121,1)="B",Parametros!$B$9,IF(LEFT(F121,1)="C",Parametros!$B$10,Parametros!$B$11)))</f>
        <v>0.98</v>
      </c>
      <c r="H121" s="27" t="n">
        <f aca="false">NORMSINV(G121)</f>
        <v>2.05374891063182</v>
      </c>
      <c r="I121" s="23" t="n">
        <v>10202.7</v>
      </c>
      <c r="J121" s="23" t="n">
        <f aca="false">IFERROR(INDEX(ABC_XYZ!$R$5:$R$494,MATCH(A121,ABC_XYZ!$A$5:$A$494,0)),I121*Parametros!$B$13)</f>
        <v>2752.99806126581</v>
      </c>
      <c r="K121" s="27" t="n">
        <f aca="false">IFERROR(VLOOKUP(C121,Parametros!$A$36:$B$66,2,FALSE()),Parametros!$B$12)</f>
        <v>1</v>
      </c>
      <c r="L121" s="23" t="n">
        <f aca="false">H121*J121*SQRT(K121)</f>
        <v>5653.96676929618</v>
      </c>
      <c r="M121" s="29" t="n">
        <v>730</v>
      </c>
      <c r="N121" s="24" t="n">
        <v>0.208219178082192</v>
      </c>
      <c r="O121" s="3" t="s">
        <v>746</v>
      </c>
      <c r="P121" s="30" t="n">
        <f aca="false">IF(AND(ISNUMBER(M121),ISNUMBER(N121)),M121*N121/7,"")</f>
        <v>21.7142857142857</v>
      </c>
      <c r="Q121" s="23" t="n">
        <f aca="false">IF(ISNUMBER(P121),I121*P121,"")</f>
        <v>221544.342857143</v>
      </c>
      <c r="R121" s="23" t="n">
        <f aca="false">IF(ISNUMBER(Q121),MAX(0,MIN(L121,Q121-I121*K121)),L121)</f>
        <v>5653.96676929618</v>
      </c>
      <c r="S121" s="23" t="n">
        <f aca="false">R121+I121*K121</f>
        <v>15856.6667692962</v>
      </c>
      <c r="T121" s="23" t="n">
        <v>18436.8</v>
      </c>
      <c r="U121" s="23" t="n">
        <v>0</v>
      </c>
      <c r="V121" s="23" t="n">
        <f aca="false">T121+U121</f>
        <v>18436.8</v>
      </c>
      <c r="W121" s="30" t="n">
        <f aca="false">IF(I121&gt;0,V121/I121,"")</f>
        <v>1.80705107471552</v>
      </c>
      <c r="X121" s="3" t="str">
        <f aca="false">IF(I121&lt;=0,"SIN FCST",IF(V121&lt;R121,"BAJO SS",IF(T121&lt;R121,"BAJO SS (XLIB CUBRE)",IF(V121&lt;S121,"BAJO P.REORDEN",IF(AND(ISNUMBER(Q121),V121&gt;Q121),"SOBRE MAX VENDIBLE","OK")))))</f>
        <v>OK</v>
      </c>
    </row>
    <row r="122" customFormat="false" ht="15" hidden="false" customHeight="false" outlineLevel="0" collapsed="false">
      <c r="A122" s="3" t="n">
        <v>30001977</v>
      </c>
      <c r="B122" s="3" t="s">
        <v>292</v>
      </c>
      <c r="C122" s="3" t="s">
        <v>139</v>
      </c>
      <c r="D122" s="3" t="s">
        <v>753</v>
      </c>
      <c r="E122" s="3" t="s">
        <v>745</v>
      </c>
      <c r="F122" s="3" t="str">
        <f aca="false">IFERROR(INDEX(ABC_XYZ!$L$5:$L$494,MATCH(A122,ABC_XYZ!$A$5:$A$494,0)),"SIN HIST")</f>
        <v>AX</v>
      </c>
      <c r="G122" s="24" t="n">
        <f aca="false">IF(LEFT(F122,1)="A",Parametros!$B$8,IF(LEFT(F122,1)="B",Parametros!$B$9,IF(LEFT(F122,1)="C",Parametros!$B$10,Parametros!$B$11)))</f>
        <v>0.98</v>
      </c>
      <c r="H122" s="27" t="n">
        <f aca="false">NORMSINV(G122)</f>
        <v>2.05374891063182</v>
      </c>
      <c r="I122" s="23" t="n">
        <v>10013.7</v>
      </c>
      <c r="J122" s="23" t="n">
        <f aca="false">IFERROR(INDEX(ABC_XYZ!$R$5:$R$494,MATCH(A122,ABC_XYZ!$A$5:$A$494,0)),I122*Parametros!$B$13)</f>
        <v>5754.82962064391</v>
      </c>
      <c r="K122" s="27" t="n">
        <f aca="false">IFERROR(VLOOKUP(C122,Parametros!$A$36:$B$66,2,FALSE()),Parametros!$B$12)</f>
        <v>1</v>
      </c>
      <c r="L122" s="23" t="n">
        <f aca="false">H122*J122*SQRT(K122)</f>
        <v>11818.9750642692</v>
      </c>
      <c r="M122" s="29" t="n">
        <v>365</v>
      </c>
      <c r="N122" s="24" t="n">
        <v>0.498630136986301</v>
      </c>
      <c r="O122" s="3" t="s">
        <v>746</v>
      </c>
      <c r="P122" s="30" t="n">
        <f aca="false">IF(AND(ISNUMBER(M122),ISNUMBER(N122)),M122*N122/7,"")</f>
        <v>26</v>
      </c>
      <c r="Q122" s="23" t="n">
        <f aca="false">IF(ISNUMBER(P122),I122*P122,"")</f>
        <v>260356.2</v>
      </c>
      <c r="R122" s="23" t="n">
        <f aca="false">IF(ISNUMBER(Q122),MAX(0,MIN(L122,Q122-I122*K122)),L122)</f>
        <v>11818.9750642692</v>
      </c>
      <c r="S122" s="23" t="n">
        <f aca="false">R122+I122*K122</f>
        <v>21832.6750642692</v>
      </c>
      <c r="T122" s="23" t="n">
        <v>59166</v>
      </c>
      <c r="U122" s="23" t="n">
        <v>0</v>
      </c>
      <c r="V122" s="23" t="n">
        <f aca="false">T122+U122</f>
        <v>59166</v>
      </c>
      <c r="W122" s="30" t="n">
        <f aca="false">IF(I122&gt;0,V122/I122,"")</f>
        <v>5.90850534767369</v>
      </c>
      <c r="X122" s="3" t="str">
        <f aca="false">IF(I122&lt;=0,"SIN FCST",IF(V122&lt;R122,"BAJO SS",IF(T122&lt;R122,"BAJO SS (XLIB CUBRE)",IF(V122&lt;S122,"BAJO P.REORDEN",IF(AND(ISNUMBER(Q122),V122&gt;Q122),"SOBRE MAX VENDIBLE","OK")))))</f>
        <v>OK</v>
      </c>
    </row>
    <row r="123" customFormat="false" ht="15" hidden="false" customHeight="false" outlineLevel="0" collapsed="false">
      <c r="A123" s="3" t="n">
        <v>30000714</v>
      </c>
      <c r="B123" s="3" t="s">
        <v>840</v>
      </c>
      <c r="C123" s="3" t="s">
        <v>133</v>
      </c>
      <c r="D123" s="3" t="s">
        <v>758</v>
      </c>
      <c r="E123" s="3"/>
      <c r="F123" s="3" t="str">
        <f aca="false">IFERROR(INDEX(ABC_XYZ!$L$5:$L$494,MATCH(A123,ABC_XYZ!$A$5:$A$494,0)),"SIN HIST")</f>
        <v>SIN HIST</v>
      </c>
      <c r="G123" s="24" t="n">
        <f aca="false">IF(LEFT(F123,1)="A",Parametros!$B$8,IF(LEFT(F123,1)="B",Parametros!$B$9,IF(LEFT(F123,1)="C",Parametros!$B$10,Parametros!$B$11)))</f>
        <v>0.95</v>
      </c>
      <c r="H123" s="27" t="n">
        <f aca="false">NORMSINV(G123)</f>
        <v>1.64485362695147</v>
      </c>
      <c r="I123" s="23" t="n">
        <v>9799.1</v>
      </c>
      <c r="J123" s="23" t="n">
        <f aca="false">IFERROR(INDEX(ABC_XYZ!$R$5:$R$494,MATCH(A123,ABC_XYZ!$A$5:$A$494,0)),I123*Parametros!$B$13)</f>
        <v>2939.73</v>
      </c>
      <c r="K123" s="27" t="n">
        <f aca="false">IFERROR(VLOOKUP(C123,Parametros!$A$36:$B$66,2,FALSE()),Parametros!$B$12)</f>
        <v>1</v>
      </c>
      <c r="L123" s="23" t="n">
        <f aca="false">H123*J123*SQRT(K123)</f>
        <v>4835.42555275805</v>
      </c>
      <c r="M123" s="29"/>
      <c r="N123" s="24"/>
      <c r="O123" s="3"/>
      <c r="P123" s="30" t="str">
        <f aca="false">IF(AND(ISNUMBER(M123),ISNUMBER(N123)),M123*N123/7,"")</f>
        <v/>
      </c>
      <c r="Q123" s="23" t="str">
        <f aca="false">IF(ISNUMBER(P123),I123*P123,"")</f>
        <v/>
      </c>
      <c r="R123" s="23" t="n">
        <f aca="false">IF(ISNUMBER(Q123),MAX(0,MIN(L123,Q123-I123*K123)),L123)</f>
        <v>4835.42555275805</v>
      </c>
      <c r="S123" s="23" t="n">
        <f aca="false">R123+I123*K123</f>
        <v>14634.525552758</v>
      </c>
      <c r="T123" s="23" t="n">
        <v>21048</v>
      </c>
      <c r="U123" s="23" t="n">
        <v>0</v>
      </c>
      <c r="V123" s="23" t="n">
        <f aca="false">T123+U123</f>
        <v>21048</v>
      </c>
      <c r="W123" s="30" t="n">
        <f aca="false">IF(I123&gt;0,V123/I123,"")</f>
        <v>2.14795236297211</v>
      </c>
      <c r="X123" s="3" t="str">
        <f aca="false">IF(I123&lt;=0,"SIN FCST",IF(V123&lt;R123,"BAJO SS",IF(T123&lt;R123,"BAJO SS (XLIB CUBRE)",IF(V123&lt;S123,"BAJO P.REORDEN",IF(AND(ISNUMBER(Q123),V123&gt;Q123),"SOBRE MAX VENDIBLE","OK")))))</f>
        <v>OK</v>
      </c>
    </row>
    <row r="124" customFormat="false" ht="15" hidden="false" customHeight="false" outlineLevel="0" collapsed="false">
      <c r="A124" s="3" t="n">
        <v>30000107</v>
      </c>
      <c r="B124" s="3" t="s">
        <v>841</v>
      </c>
      <c r="C124" s="3" t="s">
        <v>143</v>
      </c>
      <c r="D124" s="3" t="s">
        <v>750</v>
      </c>
      <c r="E124" s="3" t="s">
        <v>762</v>
      </c>
      <c r="F124" s="3" t="str">
        <f aca="false">IFERROR(INDEX(ABC_XYZ!$L$5:$L$494,MATCH(A124,ABC_XYZ!$A$5:$A$494,0)),"SIN HIST")</f>
        <v>SIN HIST</v>
      </c>
      <c r="G124" s="24" t="n">
        <f aca="false">IF(LEFT(F124,1)="A",Parametros!$B$8,IF(LEFT(F124,1)="B",Parametros!$B$9,IF(LEFT(F124,1)="C",Parametros!$B$10,Parametros!$B$11)))</f>
        <v>0.95</v>
      </c>
      <c r="H124" s="27" t="n">
        <f aca="false">NORMSINV(G124)</f>
        <v>1.64485362695147</v>
      </c>
      <c r="I124" s="23" t="n">
        <v>9767.4</v>
      </c>
      <c r="J124" s="23" t="n">
        <f aca="false">IFERROR(INDEX(ABC_XYZ!$R$5:$R$494,MATCH(A124,ABC_XYZ!$A$5:$A$494,0)),I124*Parametros!$B$13)</f>
        <v>2930.22</v>
      </c>
      <c r="K124" s="27" t="n">
        <f aca="false">IFERROR(VLOOKUP(C124,Parametros!$A$36:$B$66,2,FALSE()),Parametros!$B$12)</f>
        <v>1</v>
      </c>
      <c r="L124" s="23" t="n">
        <f aca="false">H124*J124*SQRT(K124)</f>
        <v>4819.78299476574</v>
      </c>
      <c r="M124" s="29" t="n">
        <v>184</v>
      </c>
      <c r="N124" s="24" t="n">
        <v>0.217391304347826</v>
      </c>
      <c r="O124" s="3" t="s">
        <v>754</v>
      </c>
      <c r="P124" s="30" t="n">
        <f aca="false">IF(AND(ISNUMBER(M124),ISNUMBER(N124)),M124*N124/7,"")</f>
        <v>5.71428571428572</v>
      </c>
      <c r="Q124" s="23" t="n">
        <f aca="false">IF(ISNUMBER(P124),I124*P124,"")</f>
        <v>55813.7142857143</v>
      </c>
      <c r="R124" s="23" t="n">
        <f aca="false">IF(ISNUMBER(Q124),MAX(0,MIN(L124,Q124-I124*K124)),L124)</f>
        <v>4819.78299476574</v>
      </c>
      <c r="S124" s="23" t="n">
        <f aca="false">R124+I124*K124</f>
        <v>14587.1829947657</v>
      </c>
      <c r="T124" s="23" t="n">
        <v>35440</v>
      </c>
      <c r="U124" s="23" t="n">
        <v>0</v>
      </c>
      <c r="V124" s="23" t="n">
        <f aca="false">T124+U124</f>
        <v>35440</v>
      </c>
      <c r="W124" s="30" t="n">
        <f aca="false">IF(I124&gt;0,V124/I124,"")</f>
        <v>3.62839650265168</v>
      </c>
      <c r="X124" s="3" t="str">
        <f aca="false">IF(I124&lt;=0,"SIN FCST",IF(V124&lt;R124,"BAJO SS",IF(T124&lt;R124,"BAJO SS (XLIB CUBRE)",IF(V124&lt;S124,"BAJO P.REORDEN",IF(AND(ISNUMBER(Q124),V124&gt;Q124),"SOBRE MAX VENDIBLE","OK")))))</f>
        <v>OK</v>
      </c>
    </row>
    <row r="125" customFormat="false" ht="15" hidden="false" customHeight="false" outlineLevel="0" collapsed="false">
      <c r="A125" s="3" t="n">
        <v>30000720</v>
      </c>
      <c r="B125" s="3" t="s">
        <v>842</v>
      </c>
      <c r="C125" s="3" t="s">
        <v>133</v>
      </c>
      <c r="D125" s="3" t="s">
        <v>758</v>
      </c>
      <c r="E125" s="3"/>
      <c r="F125" s="3" t="str">
        <f aca="false">IFERROR(INDEX(ABC_XYZ!$L$5:$L$494,MATCH(A125,ABC_XYZ!$A$5:$A$494,0)),"SIN HIST")</f>
        <v>SIN HIST</v>
      </c>
      <c r="G125" s="24" t="n">
        <f aca="false">IF(LEFT(F125,1)="A",Parametros!$B$8,IF(LEFT(F125,1)="B",Parametros!$B$9,IF(LEFT(F125,1)="C",Parametros!$B$10,Parametros!$B$11)))</f>
        <v>0.95</v>
      </c>
      <c r="H125" s="27" t="n">
        <f aca="false">NORMSINV(G125)</f>
        <v>1.64485362695147</v>
      </c>
      <c r="I125" s="23" t="n">
        <v>9662.8</v>
      </c>
      <c r="J125" s="23" t="n">
        <f aca="false">IFERROR(INDEX(ABC_XYZ!$R$5:$R$494,MATCH(A125,ABC_XYZ!$A$5:$A$494,0)),I125*Parametros!$B$13)</f>
        <v>2898.84</v>
      </c>
      <c r="K125" s="27" t="n">
        <f aca="false">IFERROR(VLOOKUP(C125,Parametros!$A$36:$B$66,2,FALSE()),Parametros!$B$12)</f>
        <v>1</v>
      </c>
      <c r="L125" s="23" t="n">
        <f aca="false">H125*J125*SQRT(K125)</f>
        <v>4768.167487952</v>
      </c>
      <c r="M125" s="29"/>
      <c r="N125" s="24"/>
      <c r="O125" s="3"/>
      <c r="P125" s="30" t="str">
        <f aca="false">IF(AND(ISNUMBER(M125),ISNUMBER(N125)),M125*N125/7,"")</f>
        <v/>
      </c>
      <c r="Q125" s="23" t="str">
        <f aca="false">IF(ISNUMBER(P125),I125*P125,"")</f>
        <v/>
      </c>
      <c r="R125" s="23" t="n">
        <f aca="false">IF(ISNUMBER(Q125),MAX(0,MIN(L125,Q125-I125*K125)),L125)</f>
        <v>4768.167487952</v>
      </c>
      <c r="S125" s="23" t="n">
        <f aca="false">R125+I125*K125</f>
        <v>14430.967487952</v>
      </c>
      <c r="T125" s="23" t="n">
        <v>20355</v>
      </c>
      <c r="U125" s="23" t="n">
        <v>0</v>
      </c>
      <c r="V125" s="23" t="n">
        <f aca="false">T125+U125</f>
        <v>20355</v>
      </c>
      <c r="W125" s="30" t="n">
        <f aca="false">IF(I125&gt;0,V125/I125,"")</f>
        <v>2.10653226807965</v>
      </c>
      <c r="X125" s="3" t="str">
        <f aca="false">IF(I125&lt;=0,"SIN FCST",IF(V125&lt;R125,"BAJO SS",IF(T125&lt;R125,"BAJO SS (XLIB CUBRE)",IF(V125&lt;S125,"BAJO P.REORDEN",IF(AND(ISNUMBER(Q125),V125&gt;Q125),"SOBRE MAX VENDIBLE","OK")))))</f>
        <v>OK</v>
      </c>
    </row>
    <row r="126" customFormat="false" ht="15" hidden="false" customHeight="false" outlineLevel="0" collapsed="false">
      <c r="A126" s="3" t="n">
        <v>30001043</v>
      </c>
      <c r="B126" s="3" t="s">
        <v>843</v>
      </c>
      <c r="C126" s="3" t="s">
        <v>155</v>
      </c>
      <c r="D126" s="3" t="s">
        <v>761</v>
      </c>
      <c r="E126" s="3" t="s">
        <v>762</v>
      </c>
      <c r="F126" s="3" t="str">
        <f aca="false">IFERROR(INDEX(ABC_XYZ!$L$5:$L$494,MATCH(A126,ABC_XYZ!$A$5:$A$494,0)),"SIN HIST")</f>
        <v>AX</v>
      </c>
      <c r="G126" s="24" t="n">
        <f aca="false">IF(LEFT(F126,1)="A",Parametros!$B$8,IF(LEFT(F126,1)="B",Parametros!$B$9,IF(LEFT(F126,1)="C",Parametros!$B$10,Parametros!$B$11)))</f>
        <v>0.98</v>
      </c>
      <c r="H126" s="27" t="n">
        <f aca="false">NORMSINV(G126)</f>
        <v>2.05374891063182</v>
      </c>
      <c r="I126" s="23" t="n">
        <v>9599.2</v>
      </c>
      <c r="J126" s="23" t="n">
        <f aca="false">IFERROR(INDEX(ABC_XYZ!$R$5:$R$494,MATCH(A126,ABC_XYZ!$A$5:$A$494,0)),I126*Parametros!$B$13)</f>
        <v>6500.16086002061</v>
      </c>
      <c r="K126" s="27" t="n">
        <f aca="false">IFERROR(VLOOKUP(C126,Parametros!$A$36:$B$66,2,FALSE()),Parametros!$B$12)</f>
        <v>1</v>
      </c>
      <c r="L126" s="23" t="n">
        <f aca="false">H126*J126*SQRT(K126)</f>
        <v>13349.6982851989</v>
      </c>
      <c r="M126" s="29" t="n">
        <v>62</v>
      </c>
      <c r="N126" s="24" t="n">
        <v>0.32258064516129</v>
      </c>
      <c r="O126" s="3" t="s">
        <v>774</v>
      </c>
      <c r="P126" s="30" t="n">
        <f aca="false">IF(AND(ISNUMBER(M126),ISNUMBER(N126)),M126*N126/7,"")</f>
        <v>2.85714285714286</v>
      </c>
      <c r="Q126" s="23" t="n">
        <f aca="false">IF(ISNUMBER(P126),I126*P126,"")</f>
        <v>27426.2857142857</v>
      </c>
      <c r="R126" s="23" t="n">
        <f aca="false">IF(ISNUMBER(Q126),MAX(0,MIN(L126,Q126-I126*K126)),L126)</f>
        <v>13349.6982851989</v>
      </c>
      <c r="S126" s="23" t="n">
        <f aca="false">R126+I126*K126</f>
        <v>22948.8982851989</v>
      </c>
      <c r="T126" s="23" t="n">
        <v>11378.4</v>
      </c>
      <c r="U126" s="23" t="n">
        <v>5047.7</v>
      </c>
      <c r="V126" s="23" t="n">
        <f aca="false">T126+U126</f>
        <v>16426.1</v>
      </c>
      <c r="W126" s="30" t="n">
        <f aca="false">IF(I126&gt;0,V126/I126,"")</f>
        <v>1.71119468289024</v>
      </c>
      <c r="X126" s="3" t="str">
        <f aca="false">IF(I126&lt;=0,"SIN FCST",IF(V126&lt;R126,"BAJO SS",IF(T126&lt;R126,"BAJO SS (XLIB CUBRE)",IF(V126&lt;S126,"BAJO P.REORDEN",IF(AND(ISNUMBER(Q126),V126&gt;Q126),"SOBRE MAX VENDIBLE","OK")))))</f>
        <v>BAJO SS (XLIB CUBRE)</v>
      </c>
    </row>
    <row r="127" customFormat="false" ht="15" hidden="false" customHeight="false" outlineLevel="0" collapsed="false">
      <c r="A127" s="3" t="n">
        <v>30002353</v>
      </c>
      <c r="B127" s="3" t="s">
        <v>481</v>
      </c>
      <c r="C127" s="3" t="s">
        <v>129</v>
      </c>
      <c r="D127" s="3" t="s">
        <v>753</v>
      </c>
      <c r="E127" s="3"/>
      <c r="F127" s="3" t="str">
        <f aca="false">IFERROR(INDEX(ABC_XYZ!$L$5:$L$494,MATCH(A127,ABC_XYZ!$A$5:$A$494,0)),"SIN HIST")</f>
        <v>BZ</v>
      </c>
      <c r="G127" s="24" t="n">
        <f aca="false">IF(LEFT(F127,1)="A",Parametros!$B$8,IF(LEFT(F127,1)="B",Parametros!$B$9,IF(LEFT(F127,1)="C",Parametros!$B$10,Parametros!$B$11)))</f>
        <v>0.95</v>
      </c>
      <c r="H127" s="27" t="n">
        <f aca="false">NORMSINV(G127)</f>
        <v>1.64485362695147</v>
      </c>
      <c r="I127" s="23" t="n">
        <v>9572</v>
      </c>
      <c r="J127" s="23" t="n">
        <f aca="false">IFERROR(INDEX(ABC_XYZ!$R$5:$R$494,MATCH(A127,ABC_XYZ!$A$5:$A$494,0)),I127*Parametros!$B$13)</f>
        <v>3406.85583297366</v>
      </c>
      <c r="K127" s="27" t="n">
        <f aca="false">IFERROR(VLOOKUP(C127,Parametros!$A$36:$B$66,2,FALSE()),Parametros!$B$12)</f>
        <v>1</v>
      </c>
      <c r="L127" s="23" t="n">
        <f aca="false">H127*J127*SQRT(K127)</f>
        <v>5603.77917336751</v>
      </c>
      <c r="M127" s="29"/>
      <c r="N127" s="24"/>
      <c r="O127" s="3"/>
      <c r="P127" s="30" t="str">
        <f aca="false">IF(AND(ISNUMBER(M127),ISNUMBER(N127)),M127*N127/7,"")</f>
        <v/>
      </c>
      <c r="Q127" s="23" t="str">
        <f aca="false">IF(ISNUMBER(P127),I127*P127,"")</f>
        <v/>
      </c>
      <c r="R127" s="23" t="n">
        <f aca="false">IF(ISNUMBER(Q127),MAX(0,MIN(L127,Q127-I127*K127)),L127)</f>
        <v>5603.77917336751</v>
      </c>
      <c r="S127" s="23" t="n">
        <f aca="false">R127+I127*K127</f>
        <v>15175.7791733675</v>
      </c>
      <c r="T127" s="23" t="n">
        <v>14001.6</v>
      </c>
      <c r="U127" s="23" t="n">
        <v>0</v>
      </c>
      <c r="V127" s="23" t="n">
        <f aca="false">T127+U127</f>
        <v>14001.6</v>
      </c>
      <c r="W127" s="30" t="n">
        <f aca="false">IF(I127&gt;0,V127/I127,"")</f>
        <v>1.46276640200585</v>
      </c>
      <c r="X127" s="3" t="str">
        <f aca="false">IF(I127&lt;=0,"SIN FCST",IF(V127&lt;R127,"BAJO SS",IF(T127&lt;R127,"BAJO SS (XLIB CUBRE)",IF(V127&lt;S127,"BAJO P.REORDEN",IF(AND(ISNUMBER(Q127),V127&gt;Q127),"SOBRE MAX VENDIBLE","OK")))))</f>
        <v>BAJO P.REORDEN</v>
      </c>
    </row>
    <row r="128" customFormat="false" ht="15" hidden="false" customHeight="false" outlineLevel="0" collapsed="false">
      <c r="A128" s="3" t="n">
        <v>30002354</v>
      </c>
      <c r="B128" s="3" t="s">
        <v>463</v>
      </c>
      <c r="C128" s="3" t="s">
        <v>129</v>
      </c>
      <c r="D128" s="3" t="s">
        <v>753</v>
      </c>
      <c r="E128" s="3"/>
      <c r="F128" s="3" t="str">
        <f aca="false">IFERROR(INDEX(ABC_XYZ!$L$5:$L$494,MATCH(A128,ABC_XYZ!$A$5:$A$494,0)),"SIN HIST")</f>
        <v>BZ</v>
      </c>
      <c r="G128" s="24" t="n">
        <f aca="false">IF(LEFT(F128,1)="A",Parametros!$B$8,IF(LEFT(F128,1)="B",Parametros!$B$9,IF(LEFT(F128,1)="C",Parametros!$B$10,Parametros!$B$11)))</f>
        <v>0.95</v>
      </c>
      <c r="H128" s="27" t="n">
        <f aca="false">NORMSINV(G128)</f>
        <v>1.64485362695147</v>
      </c>
      <c r="I128" s="23" t="n">
        <v>9467.5</v>
      </c>
      <c r="J128" s="23" t="n">
        <f aca="false">IFERROR(INDEX(ABC_XYZ!$R$5:$R$494,MATCH(A128,ABC_XYZ!$A$5:$A$494,0)),I128*Parametros!$B$13)</f>
        <v>3889.25357020256</v>
      </c>
      <c r="K128" s="27" t="n">
        <f aca="false">IFERROR(VLOOKUP(C128,Parametros!$A$36:$B$66,2,FALSE()),Parametros!$B$12)</f>
        <v>1</v>
      </c>
      <c r="L128" s="23" t="n">
        <f aca="false">H128*J128*SQRT(K128)</f>
        <v>6397.25284108164</v>
      </c>
      <c r="M128" s="29"/>
      <c r="N128" s="24"/>
      <c r="O128" s="3"/>
      <c r="P128" s="30" t="str">
        <f aca="false">IF(AND(ISNUMBER(M128),ISNUMBER(N128)),M128*N128/7,"")</f>
        <v/>
      </c>
      <c r="Q128" s="23" t="str">
        <f aca="false">IF(ISNUMBER(P128),I128*P128,"")</f>
        <v/>
      </c>
      <c r="R128" s="23" t="n">
        <f aca="false">IF(ISNUMBER(Q128),MAX(0,MIN(L128,Q128-I128*K128)),L128)</f>
        <v>6397.25284108164</v>
      </c>
      <c r="S128" s="23" t="n">
        <f aca="false">R128+I128*K128</f>
        <v>15864.7528410816</v>
      </c>
      <c r="T128" s="23" t="n">
        <v>4540.8</v>
      </c>
      <c r="U128" s="23" t="n">
        <v>0</v>
      </c>
      <c r="V128" s="23" t="n">
        <f aca="false">T128+U128</f>
        <v>4540.8</v>
      </c>
      <c r="W128" s="30" t="n">
        <f aca="false">IF(I128&gt;0,V128/I128,"")</f>
        <v>0.479619751782414</v>
      </c>
      <c r="X128" s="3" t="str">
        <f aca="false">IF(I128&lt;=0,"SIN FCST",IF(V128&lt;R128,"BAJO SS",IF(T128&lt;R128,"BAJO SS (XLIB CUBRE)",IF(V128&lt;S128,"BAJO P.REORDEN",IF(AND(ISNUMBER(Q128),V128&gt;Q128),"SOBRE MAX VENDIBLE","OK")))))</f>
        <v>BAJO SS</v>
      </c>
    </row>
    <row r="129" customFormat="false" ht="15" hidden="false" customHeight="false" outlineLevel="0" collapsed="false">
      <c r="A129" s="3" t="n">
        <v>30000318</v>
      </c>
      <c r="B129" s="3" t="s">
        <v>306</v>
      </c>
      <c r="C129" s="3" t="s">
        <v>139</v>
      </c>
      <c r="D129" s="3" t="s">
        <v>753</v>
      </c>
      <c r="E129" s="3" t="s">
        <v>745</v>
      </c>
      <c r="F129" s="3" t="str">
        <f aca="false">IFERROR(INDEX(ABC_XYZ!$L$5:$L$494,MATCH(A129,ABC_XYZ!$A$5:$A$494,0)),"SIN HIST")</f>
        <v>AX</v>
      </c>
      <c r="G129" s="24" t="n">
        <f aca="false">IF(LEFT(F129,1)="A",Parametros!$B$8,IF(LEFT(F129,1)="B",Parametros!$B$9,IF(LEFT(F129,1)="C",Parametros!$B$10,Parametros!$B$11)))</f>
        <v>0.98</v>
      </c>
      <c r="H129" s="27" t="n">
        <f aca="false">NORMSINV(G129)</f>
        <v>2.05374891063182</v>
      </c>
      <c r="I129" s="23" t="n">
        <v>9341</v>
      </c>
      <c r="J129" s="23" t="n">
        <f aca="false">IFERROR(INDEX(ABC_XYZ!$R$5:$R$494,MATCH(A129,ABC_XYZ!$A$5:$A$494,0)),I129*Parametros!$B$13)</f>
        <v>2761.02036781365</v>
      </c>
      <c r="K129" s="27" t="n">
        <f aca="false">IFERROR(VLOOKUP(C129,Parametros!$A$36:$B$66,2,FALSE()),Parametros!$B$12)</f>
        <v>1</v>
      </c>
      <c r="L129" s="23" t="n">
        <f aca="false">H129*J129*SQRT(K129)</f>
        <v>5670.44257262956</v>
      </c>
      <c r="M129" s="29" t="n">
        <v>245</v>
      </c>
      <c r="N129" s="24" t="n">
        <v>0.220408163265306</v>
      </c>
      <c r="O129" s="3" t="s">
        <v>746</v>
      </c>
      <c r="P129" s="30" t="n">
        <f aca="false">IF(AND(ISNUMBER(M129),ISNUMBER(N129)),M129*N129/7,"")</f>
        <v>7.71428571428571</v>
      </c>
      <c r="Q129" s="23" t="n">
        <f aca="false">IF(ISNUMBER(P129),I129*P129,"")</f>
        <v>72059.1428571429</v>
      </c>
      <c r="R129" s="23" t="n">
        <f aca="false">IF(ISNUMBER(Q129),MAX(0,MIN(L129,Q129-I129*K129)),L129)</f>
        <v>5670.44257262956</v>
      </c>
      <c r="S129" s="23" t="n">
        <f aca="false">R129+I129*K129</f>
        <v>15011.4425726296</v>
      </c>
      <c r="T129" s="23" t="n">
        <v>23832</v>
      </c>
      <c r="U129" s="23" t="n">
        <v>864</v>
      </c>
      <c r="V129" s="23" t="n">
        <f aca="false">T129+U129</f>
        <v>24696</v>
      </c>
      <c r="W129" s="30" t="n">
        <f aca="false">IF(I129&gt;0,V129/I129,"")</f>
        <v>2.64382828390965</v>
      </c>
      <c r="X129" s="3" t="str">
        <f aca="false">IF(I129&lt;=0,"SIN FCST",IF(V129&lt;R129,"BAJO SS",IF(T129&lt;R129,"BAJO SS (XLIB CUBRE)",IF(V129&lt;S129,"BAJO P.REORDEN",IF(AND(ISNUMBER(Q129),V129&gt;Q129),"SOBRE MAX VENDIBLE","OK")))))</f>
        <v>OK</v>
      </c>
    </row>
    <row r="130" customFormat="false" ht="15" hidden="false" customHeight="false" outlineLevel="0" collapsed="false">
      <c r="A130" s="3" t="n">
        <v>30002078</v>
      </c>
      <c r="B130" s="3" t="s">
        <v>339</v>
      </c>
      <c r="C130" s="3" t="s">
        <v>139</v>
      </c>
      <c r="D130" s="3" t="s">
        <v>753</v>
      </c>
      <c r="E130" s="3" t="s">
        <v>745</v>
      </c>
      <c r="F130" s="3" t="str">
        <f aca="false">IFERROR(INDEX(ABC_XYZ!$L$5:$L$494,MATCH(A130,ABC_XYZ!$A$5:$A$494,0)),"SIN HIST")</f>
        <v>BX</v>
      </c>
      <c r="G130" s="24" t="n">
        <f aca="false">IF(LEFT(F130,1)="A",Parametros!$B$8,IF(LEFT(F130,1)="B",Parametros!$B$9,IF(LEFT(F130,1)="C",Parametros!$B$10,Parametros!$B$11)))</f>
        <v>0.95</v>
      </c>
      <c r="H130" s="27" t="n">
        <f aca="false">NORMSINV(G130)</f>
        <v>1.64485362695147</v>
      </c>
      <c r="I130" s="23" t="n">
        <v>9333.6</v>
      </c>
      <c r="J130" s="23" t="n">
        <f aca="false">IFERROR(INDEX(ABC_XYZ!$R$5:$R$494,MATCH(A130,ABC_XYZ!$A$5:$A$494,0)),I130*Parametros!$B$13)</f>
        <v>3352.22363337893</v>
      </c>
      <c r="K130" s="27" t="n">
        <f aca="false">IFERROR(VLOOKUP(C130,Parametros!$A$36:$B$66,2,FALSE()),Parametros!$B$12)</f>
        <v>1</v>
      </c>
      <c r="L130" s="23" t="n">
        <f aca="false">H130*J130*SQRT(K130)</f>
        <v>5513.91720171578</v>
      </c>
      <c r="M130" s="29" t="n">
        <v>214</v>
      </c>
      <c r="N130" s="24" t="n">
        <v>0.238317757009346</v>
      </c>
      <c r="O130" s="3" t="s">
        <v>746</v>
      </c>
      <c r="P130" s="30" t="n">
        <f aca="false">IF(AND(ISNUMBER(M130),ISNUMBER(N130)),M130*N130/7,"")</f>
        <v>7.28571428571429</v>
      </c>
      <c r="Q130" s="23" t="n">
        <f aca="false">IF(ISNUMBER(P130),I130*P130,"")</f>
        <v>68001.9428571429</v>
      </c>
      <c r="R130" s="23" t="n">
        <f aca="false">IF(ISNUMBER(Q130),MAX(0,MIN(L130,Q130-I130*K130)),L130)</f>
        <v>5513.91720171578</v>
      </c>
      <c r="S130" s="23" t="n">
        <f aca="false">R130+I130*K130</f>
        <v>14847.5172017158</v>
      </c>
      <c r="T130" s="23" t="n">
        <v>12216</v>
      </c>
      <c r="U130" s="23" t="n">
        <v>0</v>
      </c>
      <c r="V130" s="23" t="n">
        <f aca="false">T130+U130</f>
        <v>12216</v>
      </c>
      <c r="W130" s="30" t="n">
        <f aca="false">IF(I130&gt;0,V130/I130,"")</f>
        <v>1.3088197480072</v>
      </c>
      <c r="X130" s="3" t="str">
        <f aca="false">IF(I130&lt;=0,"SIN FCST",IF(V130&lt;R130,"BAJO SS",IF(T130&lt;R130,"BAJO SS (XLIB CUBRE)",IF(V130&lt;S130,"BAJO P.REORDEN",IF(AND(ISNUMBER(Q130),V130&gt;Q130),"SOBRE MAX VENDIBLE","OK")))))</f>
        <v>BAJO P.REORDEN</v>
      </c>
    </row>
    <row r="131" customFormat="false" ht="15" hidden="false" customHeight="false" outlineLevel="0" collapsed="false">
      <c r="A131" s="3" t="n">
        <v>30002139</v>
      </c>
      <c r="B131" s="3" t="s">
        <v>844</v>
      </c>
      <c r="C131" s="3" t="s">
        <v>155</v>
      </c>
      <c r="D131" s="3" t="s">
        <v>761</v>
      </c>
      <c r="E131" s="3"/>
      <c r="F131" s="3" t="str">
        <f aca="false">IFERROR(INDEX(ABC_XYZ!$L$5:$L$494,MATCH(A131,ABC_XYZ!$A$5:$A$494,0)),"SIN HIST")</f>
        <v>SIN HIST</v>
      </c>
      <c r="G131" s="24" t="n">
        <f aca="false">IF(LEFT(F131,1)="A",Parametros!$B$8,IF(LEFT(F131,1)="B",Parametros!$B$9,IF(LEFT(F131,1)="C",Parametros!$B$10,Parametros!$B$11)))</f>
        <v>0.95</v>
      </c>
      <c r="H131" s="27" t="n">
        <f aca="false">NORMSINV(G131)</f>
        <v>1.64485362695147</v>
      </c>
      <c r="I131" s="23" t="n">
        <v>9302.3</v>
      </c>
      <c r="J131" s="23" t="n">
        <f aca="false">IFERROR(INDEX(ABC_XYZ!$R$5:$R$494,MATCH(A131,ABC_XYZ!$A$5:$A$494,0)),I131*Parametros!$B$13)</f>
        <v>2790.69</v>
      </c>
      <c r="K131" s="27" t="n">
        <f aca="false">IFERROR(VLOOKUP(C131,Parametros!$A$36:$B$66,2,FALSE()),Parametros!$B$12)</f>
        <v>1</v>
      </c>
      <c r="L131" s="23" t="n">
        <f aca="false">H131*J131*SQRT(K131)</f>
        <v>4590.2765681972</v>
      </c>
      <c r="M131" s="29"/>
      <c r="N131" s="24"/>
      <c r="O131" s="3"/>
      <c r="P131" s="30" t="str">
        <f aca="false">IF(AND(ISNUMBER(M131),ISNUMBER(N131)),M131*N131/7,"")</f>
        <v/>
      </c>
      <c r="Q131" s="23" t="str">
        <f aca="false">IF(ISNUMBER(P131),I131*P131,"")</f>
        <v/>
      </c>
      <c r="R131" s="23" t="n">
        <f aca="false">IF(ISNUMBER(Q131),MAX(0,MIN(L131,Q131-I131*K131)),L131)</f>
        <v>4590.2765681972</v>
      </c>
      <c r="S131" s="23" t="n">
        <f aca="false">R131+I131*K131</f>
        <v>13892.5765681972</v>
      </c>
      <c r="T131" s="23" t="n">
        <v>1800</v>
      </c>
      <c r="U131" s="23" t="n">
        <v>0</v>
      </c>
      <c r="V131" s="23" t="n">
        <f aca="false">T131+U131</f>
        <v>1800</v>
      </c>
      <c r="W131" s="30" t="n">
        <f aca="false">IF(I131&gt;0,V131/I131,"")</f>
        <v>0.193500532126463</v>
      </c>
      <c r="X131" s="3" t="str">
        <f aca="false">IF(I131&lt;=0,"SIN FCST",IF(V131&lt;R131,"BAJO SS",IF(T131&lt;R131,"BAJO SS (XLIB CUBRE)",IF(V131&lt;S131,"BAJO P.REORDEN",IF(AND(ISNUMBER(Q131),V131&gt;Q131),"SOBRE MAX VENDIBLE","OK")))))</f>
        <v>BAJO SS</v>
      </c>
    </row>
    <row r="132" customFormat="false" ht="15" hidden="false" customHeight="false" outlineLevel="0" collapsed="false">
      <c r="A132" s="3" t="n">
        <v>30000077</v>
      </c>
      <c r="B132" s="3" t="s">
        <v>845</v>
      </c>
      <c r="C132" s="3" t="s">
        <v>141</v>
      </c>
      <c r="D132" s="3" t="s">
        <v>750</v>
      </c>
      <c r="E132" s="3" t="s">
        <v>762</v>
      </c>
      <c r="F132" s="3" t="str">
        <f aca="false">IFERROR(INDEX(ABC_XYZ!$L$5:$L$494,MATCH(A132,ABC_XYZ!$A$5:$A$494,0)),"SIN HIST")</f>
        <v>SIN HIST</v>
      </c>
      <c r="G132" s="24" t="n">
        <f aca="false">IF(LEFT(F132,1)="A",Parametros!$B$8,IF(LEFT(F132,1)="B",Parametros!$B$9,IF(LEFT(F132,1)="C",Parametros!$B$10,Parametros!$B$11)))</f>
        <v>0.95</v>
      </c>
      <c r="H132" s="27" t="n">
        <f aca="false">NORMSINV(G132)</f>
        <v>1.64485362695147</v>
      </c>
      <c r="I132" s="23" t="n">
        <v>9302.3</v>
      </c>
      <c r="J132" s="23" t="n">
        <f aca="false">IFERROR(INDEX(ABC_XYZ!$R$5:$R$494,MATCH(A132,ABC_XYZ!$A$5:$A$494,0)),I132*Parametros!$B$13)</f>
        <v>2790.69</v>
      </c>
      <c r="K132" s="27" t="n">
        <f aca="false">IFERROR(VLOOKUP(C132,Parametros!$A$36:$B$66,2,FALSE()),Parametros!$B$12)</f>
        <v>1</v>
      </c>
      <c r="L132" s="23" t="n">
        <f aca="false">H132*J132*SQRT(K132)</f>
        <v>4590.2765681972</v>
      </c>
      <c r="M132" s="29" t="n">
        <v>305</v>
      </c>
      <c r="N132" s="24" t="n">
        <v>0.245901639344262</v>
      </c>
      <c r="O132" s="3" t="s">
        <v>772</v>
      </c>
      <c r="P132" s="30" t="n">
        <f aca="false">IF(AND(ISNUMBER(M132),ISNUMBER(N132)),M132*N132/7,"")</f>
        <v>10.7142857142857</v>
      </c>
      <c r="Q132" s="23" t="n">
        <f aca="false">IF(ISNUMBER(P132),I132*P132,"")</f>
        <v>99667.5</v>
      </c>
      <c r="R132" s="23" t="n">
        <f aca="false">IF(ISNUMBER(Q132),MAX(0,MIN(L132,Q132-I132*K132)),L132)</f>
        <v>4590.2765681972</v>
      </c>
      <c r="S132" s="23" t="n">
        <f aca="false">R132+I132*K132</f>
        <v>13892.5765681972</v>
      </c>
      <c r="T132" s="23" t="n">
        <v>16570</v>
      </c>
      <c r="U132" s="23" t="n">
        <v>0</v>
      </c>
      <c r="V132" s="23" t="n">
        <f aca="false">T132+U132</f>
        <v>16570</v>
      </c>
      <c r="W132" s="30" t="n">
        <f aca="false">IF(I132&gt;0,V132/I132,"")</f>
        <v>1.78127989851972</v>
      </c>
      <c r="X132" s="3" t="str">
        <f aca="false">IF(I132&lt;=0,"SIN FCST",IF(V132&lt;R132,"BAJO SS",IF(T132&lt;R132,"BAJO SS (XLIB CUBRE)",IF(V132&lt;S132,"BAJO P.REORDEN",IF(AND(ISNUMBER(Q132),V132&gt;Q132),"SOBRE MAX VENDIBLE","OK")))))</f>
        <v>OK</v>
      </c>
    </row>
    <row r="133" customFormat="false" ht="15" hidden="false" customHeight="false" outlineLevel="0" collapsed="false">
      <c r="A133" s="3" t="n">
        <v>30000104</v>
      </c>
      <c r="B133" s="3" t="s">
        <v>846</v>
      </c>
      <c r="C133" s="3" t="s">
        <v>143</v>
      </c>
      <c r="D133" s="3" t="s">
        <v>750</v>
      </c>
      <c r="E133" s="3" t="s">
        <v>745</v>
      </c>
      <c r="F133" s="3" t="str">
        <f aca="false">IFERROR(INDEX(ABC_XYZ!$L$5:$L$494,MATCH(A133,ABC_XYZ!$A$5:$A$494,0)),"SIN HIST")</f>
        <v>SIN HIST</v>
      </c>
      <c r="G133" s="24" t="n">
        <f aca="false">IF(LEFT(F133,1)="A",Parametros!$B$8,IF(LEFT(F133,1)="B",Parametros!$B$9,IF(LEFT(F133,1)="C",Parametros!$B$10,Parametros!$B$11)))</f>
        <v>0.95</v>
      </c>
      <c r="H133" s="27" t="n">
        <f aca="false">NORMSINV(G133)</f>
        <v>1.64485362695147</v>
      </c>
      <c r="I133" s="23" t="n">
        <v>9302.3</v>
      </c>
      <c r="J133" s="23" t="n">
        <f aca="false">IFERROR(INDEX(ABC_XYZ!$R$5:$R$494,MATCH(A133,ABC_XYZ!$A$5:$A$494,0)),I133*Parametros!$B$13)</f>
        <v>2790.69</v>
      </c>
      <c r="K133" s="27" t="n">
        <f aca="false">IFERROR(VLOOKUP(C133,Parametros!$A$36:$B$66,2,FALSE()),Parametros!$B$12)</f>
        <v>1</v>
      </c>
      <c r="L133" s="23" t="n">
        <f aca="false">H133*J133*SQRT(K133)</f>
        <v>4590.2765681972</v>
      </c>
      <c r="M133" s="29" t="n">
        <v>245</v>
      </c>
      <c r="N133" s="24" t="n">
        <v>0.253061224489796</v>
      </c>
      <c r="O133" s="3" t="s">
        <v>754</v>
      </c>
      <c r="P133" s="30" t="n">
        <f aca="false">IF(AND(ISNUMBER(M133),ISNUMBER(N133)),M133*N133/7,"")</f>
        <v>8.85714285714286</v>
      </c>
      <c r="Q133" s="23" t="n">
        <f aca="false">IF(ISNUMBER(P133),I133*P133,"")</f>
        <v>82391.8</v>
      </c>
      <c r="R133" s="23" t="n">
        <f aca="false">IF(ISNUMBER(Q133),MAX(0,MIN(L133,Q133-I133*K133)),L133)</f>
        <v>4590.2765681972</v>
      </c>
      <c r="S133" s="23" t="n">
        <f aca="false">R133+I133*K133</f>
        <v>13892.5765681972</v>
      </c>
      <c r="T133" s="23" t="n">
        <v>11000</v>
      </c>
      <c r="U133" s="23" t="n">
        <v>2580</v>
      </c>
      <c r="V133" s="23" t="n">
        <f aca="false">T133+U133</f>
        <v>13580</v>
      </c>
      <c r="W133" s="30" t="n">
        <f aca="false">IF(I133&gt;0,V133/I133,"")</f>
        <v>1.45985401459854</v>
      </c>
      <c r="X133" s="3" t="str">
        <f aca="false">IF(I133&lt;=0,"SIN FCST",IF(V133&lt;R133,"BAJO SS",IF(T133&lt;R133,"BAJO SS (XLIB CUBRE)",IF(V133&lt;S133,"BAJO P.REORDEN",IF(AND(ISNUMBER(Q133),V133&gt;Q133),"SOBRE MAX VENDIBLE","OK")))))</f>
        <v>BAJO P.REORDEN</v>
      </c>
    </row>
    <row r="134" customFormat="false" ht="15" hidden="false" customHeight="false" outlineLevel="0" collapsed="false">
      <c r="A134" s="3" t="n">
        <v>30000192</v>
      </c>
      <c r="B134" s="3" t="s">
        <v>847</v>
      </c>
      <c r="C134" s="3" t="s">
        <v>131</v>
      </c>
      <c r="D134" s="3" t="s">
        <v>753</v>
      </c>
      <c r="E134" s="3" t="s">
        <v>745</v>
      </c>
      <c r="F134" s="3" t="str">
        <f aca="false">IFERROR(INDEX(ABC_XYZ!$L$5:$L$494,MATCH(A134,ABC_XYZ!$A$5:$A$494,0)),"SIN HIST")</f>
        <v>AX</v>
      </c>
      <c r="G134" s="24" t="n">
        <f aca="false">IF(LEFT(F134,1)="A",Parametros!$B$8,IF(LEFT(F134,1)="B",Parametros!$B$9,IF(LEFT(F134,1)="C",Parametros!$B$10,Parametros!$B$11)))</f>
        <v>0.98</v>
      </c>
      <c r="H134" s="27" t="n">
        <f aca="false">NORMSINV(G134)</f>
        <v>2.05374891063182</v>
      </c>
      <c r="I134" s="23" t="n">
        <v>9223</v>
      </c>
      <c r="J134" s="23" t="n">
        <f aca="false">IFERROR(INDEX(ABC_XYZ!$R$5:$R$494,MATCH(A134,ABC_XYZ!$A$5:$A$494,0)),I134*Parametros!$B$13)</f>
        <v>1698.8140961663</v>
      </c>
      <c r="K134" s="27" t="n">
        <f aca="false">IFERROR(VLOOKUP(C134,Parametros!$A$36:$B$66,2,FALSE()),Parametros!$B$12)</f>
        <v>1</v>
      </c>
      <c r="L134" s="23" t="n">
        <f aca="false">H134*J134*SQRT(K134)</f>
        <v>3488.93759936753</v>
      </c>
      <c r="M134" s="29" t="n">
        <v>365</v>
      </c>
      <c r="N134" s="24" t="n">
        <v>0.194520547945206</v>
      </c>
      <c r="O134" s="3" t="s">
        <v>746</v>
      </c>
      <c r="P134" s="30" t="n">
        <f aca="false">IF(AND(ISNUMBER(M134),ISNUMBER(N134)),M134*N134/7,"")</f>
        <v>10.1428571428571</v>
      </c>
      <c r="Q134" s="23" t="n">
        <f aca="false">IF(ISNUMBER(P134),I134*P134,"")</f>
        <v>93547.5714285714</v>
      </c>
      <c r="R134" s="23" t="n">
        <f aca="false">IF(ISNUMBER(Q134),MAX(0,MIN(L134,Q134-I134*K134)),L134)</f>
        <v>3488.93759936753</v>
      </c>
      <c r="S134" s="23" t="n">
        <f aca="false">R134+I134*K134</f>
        <v>12711.9375993675</v>
      </c>
      <c r="T134" s="23" t="n">
        <v>59406</v>
      </c>
      <c r="U134" s="23" t="n">
        <v>3312</v>
      </c>
      <c r="V134" s="23" t="n">
        <f aca="false">T134+U134</f>
        <v>62718</v>
      </c>
      <c r="W134" s="30" t="n">
        <f aca="false">IF(I134&gt;0,V134/I134,"")</f>
        <v>6.80017347934512</v>
      </c>
      <c r="X134" s="3" t="str">
        <f aca="false">IF(I134&lt;=0,"SIN FCST",IF(V134&lt;R134,"BAJO SS",IF(T134&lt;R134,"BAJO SS (XLIB CUBRE)",IF(V134&lt;S134,"BAJO P.REORDEN",IF(AND(ISNUMBER(Q134),V134&gt;Q134),"SOBRE MAX VENDIBLE","OK")))))</f>
        <v>OK</v>
      </c>
    </row>
    <row r="135" customFormat="false" ht="15" hidden="false" customHeight="false" outlineLevel="0" collapsed="false">
      <c r="A135" s="3" t="n">
        <v>30001079</v>
      </c>
      <c r="B135" s="3" t="s">
        <v>848</v>
      </c>
      <c r="C135" s="3" t="s">
        <v>155</v>
      </c>
      <c r="D135" s="3" t="s">
        <v>761</v>
      </c>
      <c r="E135" s="3" t="s">
        <v>762</v>
      </c>
      <c r="F135" s="3" t="str">
        <f aca="false">IFERROR(INDEX(ABC_XYZ!$L$5:$L$494,MATCH(A135,ABC_XYZ!$A$5:$A$494,0)),"SIN HIST")</f>
        <v>AX</v>
      </c>
      <c r="G135" s="24" t="n">
        <f aca="false">IF(LEFT(F135,1)="A",Parametros!$B$8,IF(LEFT(F135,1)="B",Parametros!$B$9,IF(LEFT(F135,1)="C",Parametros!$B$10,Parametros!$B$11)))</f>
        <v>0.98</v>
      </c>
      <c r="H135" s="27" t="n">
        <f aca="false">NORMSINV(G135)</f>
        <v>2.05374891063182</v>
      </c>
      <c r="I135" s="23" t="n">
        <v>9205.7</v>
      </c>
      <c r="J135" s="23" t="n">
        <f aca="false">IFERROR(INDEX(ABC_XYZ!$R$5:$R$494,MATCH(A135,ABC_XYZ!$A$5:$A$494,0)),I135*Parametros!$B$13)</f>
        <v>4118.63176164011</v>
      </c>
      <c r="K135" s="27" t="n">
        <f aca="false">IFERROR(VLOOKUP(C135,Parametros!$A$36:$B$66,2,FALSE()),Parametros!$B$12)</f>
        <v>1</v>
      </c>
      <c r="L135" s="23" t="n">
        <f aca="false">H135*J135*SQRT(K135)</f>
        <v>8458.635493762</v>
      </c>
      <c r="M135" s="29" t="n">
        <v>57</v>
      </c>
      <c r="N135" s="24" t="n">
        <v>0.298245614035088</v>
      </c>
      <c r="O135" s="3" t="s">
        <v>763</v>
      </c>
      <c r="P135" s="30" t="n">
        <f aca="false">IF(AND(ISNUMBER(M135),ISNUMBER(N135)),M135*N135/7,"")</f>
        <v>2.42857142857143</v>
      </c>
      <c r="Q135" s="23" t="n">
        <f aca="false">IF(ISNUMBER(P135),I135*P135,"")</f>
        <v>22356.7</v>
      </c>
      <c r="R135" s="23" t="n">
        <f aca="false">IF(ISNUMBER(Q135),MAX(0,MIN(L135,Q135-I135*K135)),L135)</f>
        <v>8458.635493762</v>
      </c>
      <c r="S135" s="23" t="n">
        <f aca="false">R135+I135*K135</f>
        <v>17664.335493762</v>
      </c>
      <c r="T135" s="23" t="n">
        <v>15180</v>
      </c>
      <c r="U135" s="23" t="n">
        <v>0</v>
      </c>
      <c r="V135" s="23" t="n">
        <f aca="false">T135+U135</f>
        <v>15180</v>
      </c>
      <c r="W135" s="30" t="n">
        <f aca="false">IF(I135&gt;0,V135/I135,"")</f>
        <v>1.64897835036988</v>
      </c>
      <c r="X135" s="3" t="str">
        <f aca="false">IF(I135&lt;=0,"SIN FCST",IF(V135&lt;R135,"BAJO SS",IF(T135&lt;R135,"BAJO SS (XLIB CUBRE)",IF(V135&lt;S135,"BAJO P.REORDEN",IF(AND(ISNUMBER(Q135),V135&gt;Q135),"SOBRE MAX VENDIBLE","OK")))))</f>
        <v>BAJO P.REORDEN</v>
      </c>
    </row>
    <row r="136" customFormat="false" ht="15" hidden="false" customHeight="false" outlineLevel="0" collapsed="false">
      <c r="A136" s="3" t="n">
        <v>30000347</v>
      </c>
      <c r="B136" s="3" t="s">
        <v>319</v>
      </c>
      <c r="C136" s="3" t="s">
        <v>130</v>
      </c>
      <c r="D136" s="3" t="s">
        <v>753</v>
      </c>
      <c r="E136" s="3" t="s">
        <v>745</v>
      </c>
      <c r="F136" s="3" t="str">
        <f aca="false">IFERROR(INDEX(ABC_XYZ!$L$5:$L$494,MATCH(A136,ABC_XYZ!$A$5:$A$494,0)),"SIN HIST")</f>
        <v>AX</v>
      </c>
      <c r="G136" s="24" t="n">
        <f aca="false">IF(LEFT(F136,1)="A",Parametros!$B$8,IF(LEFT(F136,1)="B",Parametros!$B$9,IF(LEFT(F136,1)="C",Parametros!$B$10,Parametros!$B$11)))</f>
        <v>0.98</v>
      </c>
      <c r="H136" s="27" t="n">
        <f aca="false">NORMSINV(G136)</f>
        <v>2.05374891063182</v>
      </c>
      <c r="I136" s="23" t="n">
        <v>9162.5</v>
      </c>
      <c r="J136" s="23" t="n">
        <f aca="false">IFERROR(INDEX(ABC_XYZ!$R$5:$R$494,MATCH(A136,ABC_XYZ!$A$5:$A$494,0)),I136*Parametros!$B$13)</f>
        <v>3019.7257768727</v>
      </c>
      <c r="K136" s="27" t="n">
        <f aca="false">IFERROR(VLOOKUP(C136,Parametros!$A$36:$B$66,2,FALSE()),Parametros!$B$12)</f>
        <v>1</v>
      </c>
      <c r="L136" s="23" t="n">
        <f aca="false">H136*J136*SQRT(K136)</f>
        <v>6201.75852465913</v>
      </c>
      <c r="M136" s="29" t="n">
        <v>184</v>
      </c>
      <c r="N136" s="24" t="n">
        <v>0.239130434782609</v>
      </c>
      <c r="O136" s="3" t="s">
        <v>746</v>
      </c>
      <c r="P136" s="30" t="n">
        <f aca="false">IF(AND(ISNUMBER(M136),ISNUMBER(N136)),M136*N136/7,"")</f>
        <v>6.28571428571428</v>
      </c>
      <c r="Q136" s="23" t="n">
        <f aca="false">IF(ISNUMBER(P136),I136*P136,"")</f>
        <v>57592.8571428571</v>
      </c>
      <c r="R136" s="23" t="n">
        <f aca="false">IF(ISNUMBER(Q136),MAX(0,MIN(L136,Q136-I136*K136)),L136)</f>
        <v>6201.75852465913</v>
      </c>
      <c r="S136" s="23" t="n">
        <f aca="false">R136+I136*K136</f>
        <v>15364.2585246591</v>
      </c>
      <c r="T136" s="23" t="n">
        <v>42000</v>
      </c>
      <c r="U136" s="23" t="n">
        <v>0</v>
      </c>
      <c r="V136" s="23" t="n">
        <f aca="false">T136+U136</f>
        <v>42000</v>
      </c>
      <c r="W136" s="30" t="n">
        <f aca="false">IF(I136&gt;0,V136/I136,"")</f>
        <v>4.58390177353342</v>
      </c>
      <c r="X136" s="3" t="str">
        <f aca="false">IF(I136&lt;=0,"SIN FCST",IF(V136&lt;R136,"BAJO SS",IF(T136&lt;R136,"BAJO SS (XLIB CUBRE)",IF(V136&lt;S136,"BAJO P.REORDEN",IF(AND(ISNUMBER(Q136),V136&gt;Q136),"SOBRE MAX VENDIBLE","OK")))))</f>
        <v>OK</v>
      </c>
    </row>
    <row r="137" customFormat="false" ht="15" hidden="false" customHeight="false" outlineLevel="0" collapsed="false">
      <c r="A137" s="3" t="n">
        <v>30001887</v>
      </c>
      <c r="B137" s="3" t="s">
        <v>310</v>
      </c>
      <c r="C137" s="3" t="s">
        <v>142</v>
      </c>
      <c r="D137" s="3" t="s">
        <v>750</v>
      </c>
      <c r="E137" s="3" t="s">
        <v>762</v>
      </c>
      <c r="F137" s="3" t="str">
        <f aca="false">IFERROR(INDEX(ABC_XYZ!$L$5:$L$494,MATCH(A137,ABC_XYZ!$A$5:$A$494,0)),"SIN HIST")</f>
        <v>AX</v>
      </c>
      <c r="G137" s="24" t="n">
        <f aca="false">IF(LEFT(F137,1)="A",Parametros!$B$8,IF(LEFT(F137,1)="B",Parametros!$B$9,IF(LEFT(F137,1)="C",Parametros!$B$10,Parametros!$B$11)))</f>
        <v>0.98</v>
      </c>
      <c r="H137" s="27" t="n">
        <f aca="false">NORMSINV(G137)</f>
        <v>2.05374891063182</v>
      </c>
      <c r="I137" s="23" t="n">
        <v>9146.5</v>
      </c>
      <c r="J137" s="23" t="n">
        <f aca="false">IFERROR(INDEX(ABC_XYZ!$R$5:$R$494,MATCH(A137,ABC_XYZ!$A$5:$A$494,0)),I137*Parametros!$B$13)</f>
        <v>2378.50715141919</v>
      </c>
      <c r="K137" s="27" t="n">
        <f aca="false">IFERROR(VLOOKUP(C137,Parametros!$A$36:$B$66,2,FALSE()),Parametros!$B$12)</f>
        <v>1</v>
      </c>
      <c r="L137" s="23" t="n">
        <f aca="false">H137*J137*SQRT(K137)</f>
        <v>4884.85647115715</v>
      </c>
      <c r="M137" s="29" t="n">
        <v>184</v>
      </c>
      <c r="N137" s="24" t="n">
        <v>0.211956521739131</v>
      </c>
      <c r="O137" s="3" t="s">
        <v>754</v>
      </c>
      <c r="P137" s="30" t="n">
        <f aca="false">IF(AND(ISNUMBER(M137),ISNUMBER(N137)),M137*N137/7,"")</f>
        <v>5.57142857142857</v>
      </c>
      <c r="Q137" s="23" t="n">
        <f aca="false">IF(ISNUMBER(P137),I137*P137,"")</f>
        <v>50959.0714285714</v>
      </c>
      <c r="R137" s="23" t="n">
        <f aca="false">IF(ISNUMBER(Q137),MAX(0,MIN(L137,Q137-I137*K137)),L137)</f>
        <v>4884.85647115715</v>
      </c>
      <c r="S137" s="23" t="n">
        <f aca="false">R137+I137*K137</f>
        <v>14031.3564711572</v>
      </c>
      <c r="T137" s="23" t="n">
        <v>39800</v>
      </c>
      <c r="U137" s="23" t="n">
        <v>15564</v>
      </c>
      <c r="V137" s="23" t="n">
        <f aca="false">T137+U137</f>
        <v>55364</v>
      </c>
      <c r="W137" s="30" t="n">
        <f aca="false">IF(I137&gt;0,V137/I137,"")</f>
        <v>6.05302574755371</v>
      </c>
      <c r="X137" s="3" t="str">
        <f aca="false">IF(I137&lt;=0,"SIN FCST",IF(V137&lt;R137,"BAJO SS",IF(T137&lt;R137,"BAJO SS (XLIB CUBRE)",IF(V137&lt;S137,"BAJO P.REORDEN",IF(AND(ISNUMBER(Q137),V137&gt;Q137),"SOBRE MAX VENDIBLE","OK")))))</f>
        <v>SOBRE MAX VENDIBLE</v>
      </c>
    </row>
    <row r="138" customFormat="false" ht="15" hidden="false" customHeight="false" outlineLevel="0" collapsed="false">
      <c r="A138" s="3" t="n">
        <v>30001404</v>
      </c>
      <c r="B138" s="3" t="s">
        <v>849</v>
      </c>
      <c r="C138" s="3" t="s">
        <v>139</v>
      </c>
      <c r="D138" s="3" t="s">
        <v>753</v>
      </c>
      <c r="E138" s="3" t="s">
        <v>745</v>
      </c>
      <c r="F138" s="3" t="str">
        <f aca="false">IFERROR(INDEX(ABC_XYZ!$L$5:$L$494,MATCH(A138,ABC_XYZ!$A$5:$A$494,0)),"SIN HIST")</f>
        <v>AX</v>
      </c>
      <c r="G138" s="24" t="n">
        <f aca="false">IF(LEFT(F138,1)="A",Parametros!$B$8,IF(LEFT(F138,1)="B",Parametros!$B$9,IF(LEFT(F138,1)="C",Parametros!$B$10,Parametros!$B$11)))</f>
        <v>0.98</v>
      </c>
      <c r="H138" s="27" t="n">
        <f aca="false">NORMSINV(G138)</f>
        <v>2.05374891063182</v>
      </c>
      <c r="I138" s="23" t="n">
        <v>9101.4</v>
      </c>
      <c r="J138" s="23" t="n">
        <f aca="false">IFERROR(INDEX(ABC_XYZ!$R$5:$R$494,MATCH(A138,ABC_XYZ!$A$5:$A$494,0)),I138*Parametros!$B$13)</f>
        <v>1608.13593429306</v>
      </c>
      <c r="K138" s="27" t="n">
        <f aca="false">IFERROR(VLOOKUP(C138,Parametros!$A$36:$B$66,2,FALSE()),Parametros!$B$12)</f>
        <v>1</v>
      </c>
      <c r="L138" s="23" t="n">
        <f aca="false">H138*J138*SQRT(K138)</f>
        <v>3302.70742320226</v>
      </c>
      <c r="M138" s="29" t="n">
        <v>250</v>
      </c>
      <c r="N138" s="24" t="n">
        <v>0.224</v>
      </c>
      <c r="O138" s="3" t="s">
        <v>746</v>
      </c>
      <c r="P138" s="30" t="n">
        <f aca="false">IF(AND(ISNUMBER(M138),ISNUMBER(N138)),M138*N138/7,"")</f>
        <v>8</v>
      </c>
      <c r="Q138" s="23" t="n">
        <f aca="false">IF(ISNUMBER(P138),I138*P138,"")</f>
        <v>72811.2</v>
      </c>
      <c r="R138" s="23" t="n">
        <f aca="false">IF(ISNUMBER(Q138),MAX(0,MIN(L138,Q138-I138*K138)),L138)</f>
        <v>3302.70742320226</v>
      </c>
      <c r="S138" s="23" t="n">
        <f aca="false">R138+I138*K138</f>
        <v>12404.1074232023</v>
      </c>
      <c r="T138" s="23" t="n">
        <v>33115.5</v>
      </c>
      <c r="U138" s="23" t="n">
        <v>0</v>
      </c>
      <c r="V138" s="23" t="n">
        <f aca="false">T138+U138</f>
        <v>33115.5</v>
      </c>
      <c r="W138" s="30" t="n">
        <f aca="false">IF(I138&gt;0,V138/I138,"")</f>
        <v>3.63850616388687</v>
      </c>
      <c r="X138" s="3" t="str">
        <f aca="false">IF(I138&lt;=0,"SIN FCST",IF(V138&lt;R138,"BAJO SS",IF(T138&lt;R138,"BAJO SS (XLIB CUBRE)",IF(V138&lt;S138,"BAJO P.REORDEN",IF(AND(ISNUMBER(Q138),V138&gt;Q138),"SOBRE MAX VENDIBLE","OK")))))</f>
        <v>OK</v>
      </c>
    </row>
    <row r="139" customFormat="false" ht="15" hidden="false" customHeight="false" outlineLevel="0" collapsed="false">
      <c r="A139" s="3" t="n">
        <v>30000752</v>
      </c>
      <c r="B139" s="3" t="s">
        <v>850</v>
      </c>
      <c r="C139" s="3" t="s">
        <v>133</v>
      </c>
      <c r="D139" s="3" t="s">
        <v>769</v>
      </c>
      <c r="E139" s="3"/>
      <c r="F139" s="3" t="str">
        <f aca="false">IFERROR(INDEX(ABC_XYZ!$L$5:$L$494,MATCH(A139,ABC_XYZ!$A$5:$A$494,0)),"SIN HIST")</f>
        <v>SIN HIST</v>
      </c>
      <c r="G139" s="24" t="n">
        <f aca="false">IF(LEFT(F139,1)="A",Parametros!$B$8,IF(LEFT(F139,1)="B",Parametros!$B$9,IF(LEFT(F139,1)="C",Parametros!$B$10,Parametros!$B$11)))</f>
        <v>0.95</v>
      </c>
      <c r="H139" s="27" t="n">
        <f aca="false">NORMSINV(G139)</f>
        <v>1.64485362695147</v>
      </c>
      <c r="I139" s="23" t="n">
        <v>8952.1</v>
      </c>
      <c r="J139" s="23" t="n">
        <f aca="false">IFERROR(INDEX(ABC_XYZ!$R$5:$R$494,MATCH(A139,ABC_XYZ!$A$5:$A$494,0)),I139*Parametros!$B$13)</f>
        <v>2685.63</v>
      </c>
      <c r="K139" s="27" t="n">
        <f aca="false">IFERROR(VLOOKUP(C139,Parametros!$A$36:$B$66,2,FALSE()),Parametros!$B$12)</f>
        <v>1</v>
      </c>
      <c r="L139" s="23" t="n">
        <f aca="false">H139*J139*SQRT(K139)</f>
        <v>4417.46824614968</v>
      </c>
      <c r="M139" s="29"/>
      <c r="N139" s="24"/>
      <c r="O139" s="3"/>
      <c r="P139" s="30" t="str">
        <f aca="false">IF(AND(ISNUMBER(M139),ISNUMBER(N139)),M139*N139/7,"")</f>
        <v/>
      </c>
      <c r="Q139" s="23" t="str">
        <f aca="false">IF(ISNUMBER(P139),I139*P139,"")</f>
        <v/>
      </c>
      <c r="R139" s="23" t="n">
        <f aca="false">IF(ISNUMBER(Q139),MAX(0,MIN(L139,Q139-I139*K139)),L139)</f>
        <v>4417.46824614968</v>
      </c>
      <c r="S139" s="23" t="n">
        <f aca="false">R139+I139*K139</f>
        <v>13369.5682461497</v>
      </c>
      <c r="T139" s="23" t="n">
        <v>190294</v>
      </c>
      <c r="U139" s="23" t="n">
        <v>0</v>
      </c>
      <c r="V139" s="23" t="n">
        <f aca="false">T139+U139</f>
        <v>190294</v>
      </c>
      <c r="W139" s="30" t="n">
        <f aca="false">IF(I139&gt;0,V139/I139,"")</f>
        <v>21.2569117860614</v>
      </c>
      <c r="X139" s="3" t="str">
        <f aca="false">IF(I139&lt;=0,"SIN FCST",IF(V139&lt;R139,"BAJO SS",IF(T139&lt;R139,"BAJO SS (XLIB CUBRE)",IF(V139&lt;S139,"BAJO P.REORDEN",IF(AND(ISNUMBER(Q139),V139&gt;Q139),"SOBRE MAX VENDIBLE","OK")))))</f>
        <v>OK</v>
      </c>
    </row>
    <row r="140" customFormat="false" ht="15" hidden="false" customHeight="false" outlineLevel="0" collapsed="false">
      <c r="A140" s="3" t="n">
        <v>30000817</v>
      </c>
      <c r="B140" s="3" t="s">
        <v>851</v>
      </c>
      <c r="C140" s="3" t="s">
        <v>133</v>
      </c>
      <c r="D140" s="3" t="s">
        <v>769</v>
      </c>
      <c r="E140" s="3"/>
      <c r="F140" s="3" t="str">
        <f aca="false">IFERROR(INDEX(ABC_XYZ!$L$5:$L$494,MATCH(A140,ABC_XYZ!$A$5:$A$494,0)),"SIN HIST")</f>
        <v>SIN HIST</v>
      </c>
      <c r="G140" s="24" t="n">
        <f aca="false">IF(LEFT(F140,1)="A",Parametros!$B$8,IF(LEFT(F140,1)="B",Parametros!$B$9,IF(LEFT(F140,1)="C",Parametros!$B$10,Parametros!$B$11)))</f>
        <v>0.95</v>
      </c>
      <c r="H140" s="27" t="n">
        <f aca="false">NORMSINV(G140)</f>
        <v>1.64485362695147</v>
      </c>
      <c r="I140" s="23" t="n">
        <v>8837.2</v>
      </c>
      <c r="J140" s="23" t="n">
        <f aca="false">IFERROR(INDEX(ABC_XYZ!$R$5:$R$494,MATCH(A140,ABC_XYZ!$A$5:$A$494,0)),I140*Parametros!$B$13)</f>
        <v>2651.16</v>
      </c>
      <c r="K140" s="27" t="n">
        <f aca="false">IFERROR(VLOOKUP(C140,Parametros!$A$36:$B$66,2,FALSE()),Parametros!$B$12)</f>
        <v>1</v>
      </c>
      <c r="L140" s="23" t="n">
        <f aca="false">H140*J140*SQRT(K140)</f>
        <v>4360.77014162866</v>
      </c>
      <c r="M140" s="29"/>
      <c r="N140" s="24"/>
      <c r="O140" s="3"/>
      <c r="P140" s="30" t="str">
        <f aca="false">IF(AND(ISNUMBER(M140),ISNUMBER(N140)),M140*N140/7,"")</f>
        <v/>
      </c>
      <c r="Q140" s="23" t="str">
        <f aca="false">IF(ISNUMBER(P140),I140*P140,"")</f>
        <v/>
      </c>
      <c r="R140" s="23" t="n">
        <f aca="false">IF(ISNUMBER(Q140),MAX(0,MIN(L140,Q140-I140*K140)),L140)</f>
        <v>4360.77014162866</v>
      </c>
      <c r="S140" s="23" t="n">
        <f aca="false">R140+I140*K140</f>
        <v>13197.9701416287</v>
      </c>
      <c r="T140" s="23" t="n">
        <v>126900</v>
      </c>
      <c r="U140" s="23" t="n">
        <v>0</v>
      </c>
      <c r="V140" s="23" t="n">
        <f aca="false">T140+U140</f>
        <v>126900</v>
      </c>
      <c r="W140" s="30" t="n">
        <f aca="false">IF(I140&gt;0,V140/I140,"")</f>
        <v>14.3597519576336</v>
      </c>
      <c r="X140" s="3" t="str">
        <f aca="false">IF(I140&lt;=0,"SIN FCST",IF(V140&lt;R140,"BAJO SS",IF(T140&lt;R140,"BAJO SS (XLIB CUBRE)",IF(V140&lt;S140,"BAJO P.REORDEN",IF(AND(ISNUMBER(Q140),V140&gt;Q140),"SOBRE MAX VENDIBLE","OK")))))</f>
        <v>OK</v>
      </c>
    </row>
    <row r="141" customFormat="false" ht="15" hidden="false" customHeight="false" outlineLevel="0" collapsed="false">
      <c r="A141" s="3" t="n">
        <v>30001057</v>
      </c>
      <c r="B141" s="3" t="s">
        <v>852</v>
      </c>
      <c r="C141" s="3" t="s">
        <v>155</v>
      </c>
      <c r="D141" s="3" t="s">
        <v>761</v>
      </c>
      <c r="E141" s="3" t="s">
        <v>762</v>
      </c>
      <c r="F141" s="3" t="str">
        <f aca="false">IFERROR(INDEX(ABC_XYZ!$L$5:$L$494,MATCH(A141,ABC_XYZ!$A$5:$A$494,0)),"SIN HIST")</f>
        <v>AX</v>
      </c>
      <c r="G141" s="24" t="n">
        <f aca="false">IF(LEFT(F141,1)="A",Parametros!$B$8,IF(LEFT(F141,1)="B",Parametros!$B$9,IF(LEFT(F141,1)="C",Parametros!$B$10,Parametros!$B$11)))</f>
        <v>0.98</v>
      </c>
      <c r="H141" s="27" t="n">
        <f aca="false">NORMSINV(G141)</f>
        <v>2.05374891063182</v>
      </c>
      <c r="I141" s="23" t="n">
        <v>8817.8</v>
      </c>
      <c r="J141" s="23" t="n">
        <f aca="false">IFERROR(INDEX(ABC_XYZ!$R$5:$R$494,MATCH(A141,ABC_XYZ!$A$5:$A$494,0)),I141*Parametros!$B$13)</f>
        <v>2616.82429705235</v>
      </c>
      <c r="K141" s="27" t="n">
        <f aca="false">IFERROR(VLOOKUP(C141,Parametros!$A$36:$B$66,2,FALSE()),Parametros!$B$12)</f>
        <v>1</v>
      </c>
      <c r="L141" s="23" t="n">
        <f aca="false">H141*J141*SQRT(K141)</f>
        <v>5374.30004938616</v>
      </c>
      <c r="M141" s="29" t="n">
        <v>60</v>
      </c>
      <c r="N141" s="24" t="n">
        <v>0.3</v>
      </c>
      <c r="O141" s="3" t="s">
        <v>774</v>
      </c>
      <c r="P141" s="30" t="n">
        <f aca="false">IF(AND(ISNUMBER(M141),ISNUMBER(N141)),M141*N141/7,"")</f>
        <v>2.57142857142857</v>
      </c>
      <c r="Q141" s="23" t="n">
        <f aca="false">IF(ISNUMBER(P141),I141*P141,"")</f>
        <v>22674.3428571429</v>
      </c>
      <c r="R141" s="23" t="n">
        <f aca="false">IF(ISNUMBER(Q141),MAX(0,MIN(L141,Q141-I141*K141)),L141)</f>
        <v>5374.30004938616</v>
      </c>
      <c r="S141" s="23" t="n">
        <f aca="false">R141+I141*K141</f>
        <v>14192.1000493862</v>
      </c>
      <c r="T141" s="23" t="n">
        <v>8893.9</v>
      </c>
      <c r="U141" s="23" t="n">
        <v>0</v>
      </c>
      <c r="V141" s="23" t="n">
        <f aca="false">T141+U141</f>
        <v>8893.9</v>
      </c>
      <c r="W141" s="30" t="n">
        <f aca="false">IF(I141&gt;0,V141/I141,"")</f>
        <v>1.00863027058904</v>
      </c>
      <c r="X141" s="3" t="str">
        <f aca="false">IF(I141&lt;=0,"SIN FCST",IF(V141&lt;R141,"BAJO SS",IF(T141&lt;R141,"BAJO SS (XLIB CUBRE)",IF(V141&lt;S141,"BAJO P.REORDEN",IF(AND(ISNUMBER(Q141),V141&gt;Q141),"SOBRE MAX VENDIBLE","OK")))))</f>
        <v>BAJO P.REORDEN</v>
      </c>
    </row>
    <row r="142" customFormat="false" ht="15" hidden="false" customHeight="false" outlineLevel="0" collapsed="false">
      <c r="A142" s="3" t="n">
        <v>30000705</v>
      </c>
      <c r="B142" s="3" t="s">
        <v>853</v>
      </c>
      <c r="C142" s="3" t="s">
        <v>133</v>
      </c>
      <c r="D142" s="3" t="s">
        <v>769</v>
      </c>
      <c r="E142" s="3"/>
      <c r="F142" s="3" t="str">
        <f aca="false">IFERROR(INDEX(ABC_XYZ!$L$5:$L$494,MATCH(A142,ABC_XYZ!$A$5:$A$494,0)),"SIN HIST")</f>
        <v>SIN HIST</v>
      </c>
      <c r="G142" s="24" t="n">
        <f aca="false">IF(LEFT(F142,1)="A",Parametros!$B$8,IF(LEFT(F142,1)="B",Parametros!$B$9,IF(LEFT(F142,1)="C",Parametros!$B$10,Parametros!$B$11)))</f>
        <v>0.95</v>
      </c>
      <c r="H142" s="27" t="n">
        <f aca="false">NORMSINV(G142)</f>
        <v>1.64485362695147</v>
      </c>
      <c r="I142" s="23" t="n">
        <v>8762.3</v>
      </c>
      <c r="J142" s="23" t="n">
        <f aca="false">IFERROR(INDEX(ABC_XYZ!$R$5:$R$494,MATCH(A142,ABC_XYZ!$A$5:$A$494,0)),I142*Parametros!$B$13)</f>
        <v>2628.69</v>
      </c>
      <c r="K142" s="27" t="n">
        <f aca="false">IFERROR(VLOOKUP(C142,Parametros!$A$36:$B$66,2,FALSE()),Parametros!$B$12)</f>
        <v>1</v>
      </c>
      <c r="L142" s="23" t="n">
        <f aca="false">H142*J142*SQRT(K142)</f>
        <v>4323.81028063106</v>
      </c>
      <c r="M142" s="29"/>
      <c r="N142" s="24"/>
      <c r="O142" s="3"/>
      <c r="P142" s="30" t="str">
        <f aca="false">IF(AND(ISNUMBER(M142),ISNUMBER(N142)),M142*N142/7,"")</f>
        <v/>
      </c>
      <c r="Q142" s="23" t="str">
        <f aca="false">IF(ISNUMBER(P142),I142*P142,"")</f>
        <v/>
      </c>
      <c r="R142" s="23" t="n">
        <f aca="false">IF(ISNUMBER(Q142),MAX(0,MIN(L142,Q142-I142*K142)),L142)</f>
        <v>4323.81028063106</v>
      </c>
      <c r="S142" s="23" t="n">
        <f aca="false">R142+I142*K142</f>
        <v>13086.1102806311</v>
      </c>
      <c r="T142" s="23" t="n">
        <v>91236.6</v>
      </c>
      <c r="U142" s="23" t="n">
        <v>35280</v>
      </c>
      <c r="V142" s="23" t="n">
        <f aca="false">T142+U142</f>
        <v>126516.6</v>
      </c>
      <c r="W142" s="30" t="n">
        <f aca="false">IF(I142&gt;0,V142/I142,"")</f>
        <v>14.4387432523424</v>
      </c>
      <c r="X142" s="3" t="str">
        <f aca="false">IF(I142&lt;=0,"SIN FCST",IF(V142&lt;R142,"BAJO SS",IF(T142&lt;R142,"BAJO SS (XLIB CUBRE)",IF(V142&lt;S142,"BAJO P.REORDEN",IF(AND(ISNUMBER(Q142),V142&gt;Q142),"SOBRE MAX VENDIBLE","OK")))))</f>
        <v>OK</v>
      </c>
    </row>
    <row r="143" customFormat="false" ht="15" hidden="false" customHeight="false" outlineLevel="0" collapsed="false">
      <c r="A143" s="3" t="n">
        <v>30001780</v>
      </c>
      <c r="B143" s="3" t="s">
        <v>340</v>
      </c>
      <c r="C143" s="3" t="s">
        <v>124</v>
      </c>
      <c r="D143" s="3" t="s">
        <v>750</v>
      </c>
      <c r="E143" s="3" t="s">
        <v>745</v>
      </c>
      <c r="F143" s="3" t="str">
        <f aca="false">IFERROR(INDEX(ABC_XYZ!$L$5:$L$494,MATCH(A143,ABC_XYZ!$A$5:$A$494,0)),"SIN HIST")</f>
        <v>BX</v>
      </c>
      <c r="G143" s="24" t="n">
        <f aca="false">IF(LEFT(F143,1)="A",Parametros!$B$8,IF(LEFT(F143,1)="B",Parametros!$B$9,IF(LEFT(F143,1)="C",Parametros!$B$10,Parametros!$B$11)))</f>
        <v>0.95</v>
      </c>
      <c r="H143" s="27" t="n">
        <f aca="false">NORMSINV(G143)</f>
        <v>1.64485362695147</v>
      </c>
      <c r="I143" s="23" t="n">
        <v>8607.7</v>
      </c>
      <c r="J143" s="23" t="n">
        <f aca="false">IFERROR(INDEX(ABC_XYZ!$R$5:$R$494,MATCH(A143,ABC_XYZ!$A$5:$A$494,0)),I143*Parametros!$B$13)</f>
        <v>2509.79339382348</v>
      </c>
      <c r="K143" s="27" t="n">
        <f aca="false">IFERROR(VLOOKUP(C143,Parametros!$A$36:$B$66,2,FALSE()),Parametros!$B$12)</f>
        <v>1</v>
      </c>
      <c r="L143" s="23" t="n">
        <f aca="false">H143*J143*SQRT(K143)</f>
        <v>4128.2427667294</v>
      </c>
      <c r="M143" s="29" t="n">
        <v>365</v>
      </c>
      <c r="N143" s="24" t="n">
        <v>0.273972602739726</v>
      </c>
      <c r="O143" s="3" t="s">
        <v>746</v>
      </c>
      <c r="P143" s="30" t="n">
        <f aca="false">IF(AND(ISNUMBER(M143),ISNUMBER(N143)),M143*N143/7,"")</f>
        <v>14.2857142857143</v>
      </c>
      <c r="Q143" s="23" t="n">
        <f aca="false">IF(ISNUMBER(P143),I143*P143,"")</f>
        <v>122967.142857143</v>
      </c>
      <c r="R143" s="23" t="n">
        <f aca="false">IF(ISNUMBER(Q143),MAX(0,MIN(L143,Q143-I143*K143)),L143)</f>
        <v>4128.2427667294</v>
      </c>
      <c r="S143" s="23" t="n">
        <f aca="false">R143+I143*K143</f>
        <v>12735.9427667294</v>
      </c>
      <c r="T143" s="23" t="n">
        <v>43201.7</v>
      </c>
      <c r="U143" s="23" t="n">
        <v>0</v>
      </c>
      <c r="V143" s="23" t="n">
        <f aca="false">T143+U143</f>
        <v>43201.7</v>
      </c>
      <c r="W143" s="30" t="n">
        <f aca="false">IF(I143&gt;0,V143/I143,"")</f>
        <v>5.01895976857929</v>
      </c>
      <c r="X143" s="3" t="str">
        <f aca="false">IF(I143&lt;=0,"SIN FCST",IF(V143&lt;R143,"BAJO SS",IF(T143&lt;R143,"BAJO SS (XLIB CUBRE)",IF(V143&lt;S143,"BAJO P.REORDEN",IF(AND(ISNUMBER(Q143),V143&gt;Q143),"SOBRE MAX VENDIBLE","OK")))))</f>
        <v>OK</v>
      </c>
    </row>
    <row r="144" customFormat="false" ht="15" hidden="false" customHeight="false" outlineLevel="0" collapsed="false">
      <c r="A144" s="3" t="n">
        <v>30000734</v>
      </c>
      <c r="B144" s="3" t="s">
        <v>854</v>
      </c>
      <c r="C144" s="3" t="s">
        <v>133</v>
      </c>
      <c r="D144" s="3" t="s">
        <v>758</v>
      </c>
      <c r="E144" s="3"/>
      <c r="F144" s="3" t="str">
        <f aca="false">IFERROR(INDEX(ABC_XYZ!$L$5:$L$494,MATCH(A144,ABC_XYZ!$A$5:$A$494,0)),"SIN HIST")</f>
        <v>SIN HIST</v>
      </c>
      <c r="G144" s="24" t="n">
        <f aca="false">IF(LEFT(F144,1)="A",Parametros!$B$8,IF(LEFT(F144,1)="B",Parametros!$B$9,IF(LEFT(F144,1)="C",Parametros!$B$10,Parametros!$B$11)))</f>
        <v>0.95</v>
      </c>
      <c r="H144" s="27" t="n">
        <f aca="false">NORMSINV(G144)</f>
        <v>1.64485362695147</v>
      </c>
      <c r="I144" s="23" t="n">
        <v>8604.6</v>
      </c>
      <c r="J144" s="23" t="n">
        <f aca="false">IFERROR(INDEX(ABC_XYZ!$R$5:$R$494,MATCH(A144,ABC_XYZ!$A$5:$A$494,0)),I144*Parametros!$B$13)</f>
        <v>2581.38</v>
      </c>
      <c r="K144" s="27" t="n">
        <f aca="false">IFERROR(VLOOKUP(C144,Parametros!$A$36:$B$66,2,FALSE()),Parametros!$B$12)</f>
        <v>1</v>
      </c>
      <c r="L144" s="23" t="n">
        <f aca="false">H144*J144*SQRT(K144)</f>
        <v>4245.99225553999</v>
      </c>
      <c r="M144" s="29"/>
      <c r="N144" s="24"/>
      <c r="O144" s="3"/>
      <c r="P144" s="30" t="str">
        <f aca="false">IF(AND(ISNUMBER(M144),ISNUMBER(N144)),M144*N144/7,"")</f>
        <v/>
      </c>
      <c r="Q144" s="23" t="str">
        <f aca="false">IF(ISNUMBER(P144),I144*P144,"")</f>
        <v/>
      </c>
      <c r="R144" s="23" t="n">
        <f aca="false">IF(ISNUMBER(Q144),MAX(0,MIN(L144,Q144-I144*K144)),L144)</f>
        <v>4245.99225553999</v>
      </c>
      <c r="S144" s="23" t="n">
        <f aca="false">R144+I144*K144</f>
        <v>12850.59225554</v>
      </c>
      <c r="T144" s="23" t="n">
        <v>120806</v>
      </c>
      <c r="U144" s="23" t="n">
        <v>21630</v>
      </c>
      <c r="V144" s="23" t="n">
        <f aca="false">T144+U144</f>
        <v>142436</v>
      </c>
      <c r="W144" s="30" t="n">
        <f aca="false">IF(I144&gt;0,V144/I144,"")</f>
        <v>16.5534713990191</v>
      </c>
      <c r="X144" s="3" t="str">
        <f aca="false">IF(I144&lt;=0,"SIN FCST",IF(V144&lt;R144,"BAJO SS",IF(T144&lt;R144,"BAJO SS (XLIB CUBRE)",IF(V144&lt;S144,"BAJO P.REORDEN",IF(AND(ISNUMBER(Q144),V144&gt;Q144),"SOBRE MAX VENDIBLE","OK")))))</f>
        <v>OK</v>
      </c>
    </row>
    <row r="145" customFormat="false" ht="15" hidden="false" customHeight="false" outlineLevel="0" collapsed="false">
      <c r="A145" s="3" t="n">
        <v>30001075</v>
      </c>
      <c r="B145" s="3" t="s">
        <v>855</v>
      </c>
      <c r="C145" s="3" t="s">
        <v>155</v>
      </c>
      <c r="D145" s="3" t="s">
        <v>761</v>
      </c>
      <c r="E145" s="3" t="s">
        <v>762</v>
      </c>
      <c r="F145" s="3" t="str">
        <f aca="false">IFERROR(INDEX(ABC_XYZ!$L$5:$L$494,MATCH(A145,ABC_XYZ!$A$5:$A$494,0)),"SIN HIST")</f>
        <v>AX</v>
      </c>
      <c r="G145" s="24" t="n">
        <f aca="false">IF(LEFT(F145,1)="A",Parametros!$B$8,IF(LEFT(F145,1)="B",Parametros!$B$9,IF(LEFT(F145,1)="C",Parametros!$B$10,Parametros!$B$11)))</f>
        <v>0.98</v>
      </c>
      <c r="H145" s="27" t="n">
        <f aca="false">NORMSINV(G145)</f>
        <v>2.05374891063182</v>
      </c>
      <c r="I145" s="23" t="n">
        <v>8492.3</v>
      </c>
      <c r="J145" s="23" t="n">
        <f aca="false">IFERROR(INDEX(ABC_XYZ!$R$5:$R$494,MATCH(A145,ABC_XYZ!$A$5:$A$494,0)),I145*Parametros!$B$13)</f>
        <v>3643.23288131669</v>
      </c>
      <c r="K145" s="27" t="n">
        <f aca="false">IFERROR(VLOOKUP(C145,Parametros!$A$36:$B$66,2,FALSE()),Parametros!$B$12)</f>
        <v>1</v>
      </c>
      <c r="L145" s="23" t="n">
        <f aca="false">H145*J145*SQRT(K145)</f>
        <v>7482.28556118218</v>
      </c>
      <c r="M145" s="29" t="n">
        <v>57</v>
      </c>
      <c r="N145" s="24" t="n">
        <v>0.298245614035088</v>
      </c>
      <c r="O145" s="3" t="s">
        <v>763</v>
      </c>
      <c r="P145" s="30" t="n">
        <f aca="false">IF(AND(ISNUMBER(M145),ISNUMBER(N145)),M145*N145/7,"")</f>
        <v>2.42857142857143</v>
      </c>
      <c r="Q145" s="23" t="n">
        <f aca="false">IF(ISNUMBER(P145),I145*P145,"")</f>
        <v>20624.1571428572</v>
      </c>
      <c r="R145" s="23" t="n">
        <f aca="false">IF(ISNUMBER(Q145),MAX(0,MIN(L145,Q145-I145*K145)),L145)</f>
        <v>7482.28556118218</v>
      </c>
      <c r="S145" s="23" t="n">
        <f aca="false">R145+I145*K145</f>
        <v>15974.5855611822</v>
      </c>
      <c r="T145" s="23" t="n">
        <v>10549.4</v>
      </c>
      <c r="U145" s="23" t="n">
        <v>0</v>
      </c>
      <c r="V145" s="23" t="n">
        <f aca="false">T145+U145</f>
        <v>10549.4</v>
      </c>
      <c r="W145" s="30" t="n">
        <f aca="false">IF(I145&gt;0,V145/I145,"")</f>
        <v>1.24223119767319</v>
      </c>
      <c r="X145" s="3" t="str">
        <f aca="false">IF(I145&lt;=0,"SIN FCST",IF(V145&lt;R145,"BAJO SS",IF(T145&lt;R145,"BAJO SS (XLIB CUBRE)",IF(V145&lt;S145,"BAJO P.REORDEN",IF(AND(ISNUMBER(Q145),V145&gt;Q145),"SOBRE MAX VENDIBLE","OK")))))</f>
        <v>BAJO P.REORDEN</v>
      </c>
    </row>
    <row r="146" customFormat="false" ht="15" hidden="false" customHeight="false" outlineLevel="0" collapsed="false">
      <c r="A146" s="3" t="n">
        <v>30000306</v>
      </c>
      <c r="B146" s="3" t="s">
        <v>329</v>
      </c>
      <c r="C146" s="3" t="s">
        <v>139</v>
      </c>
      <c r="D146" s="3" t="s">
        <v>753</v>
      </c>
      <c r="E146" s="3" t="s">
        <v>745</v>
      </c>
      <c r="F146" s="3" t="str">
        <f aca="false">IFERROR(INDEX(ABC_XYZ!$L$5:$L$494,MATCH(A146,ABC_XYZ!$A$5:$A$494,0)),"SIN HIST")</f>
        <v>AX</v>
      </c>
      <c r="G146" s="24" t="n">
        <f aca="false">IF(LEFT(F146,1)="A",Parametros!$B$8,IF(LEFT(F146,1)="B",Parametros!$B$9,IF(LEFT(F146,1)="C",Parametros!$B$10,Parametros!$B$11)))</f>
        <v>0.98</v>
      </c>
      <c r="H146" s="27" t="n">
        <f aca="false">NORMSINV(G146)</f>
        <v>2.05374891063182</v>
      </c>
      <c r="I146" s="23" t="n">
        <v>8323.6</v>
      </c>
      <c r="J146" s="23" t="n">
        <f aca="false">IFERROR(INDEX(ABC_XYZ!$R$5:$R$494,MATCH(A146,ABC_XYZ!$A$5:$A$494,0)),I146*Parametros!$B$13)</f>
        <v>2203.79090454783</v>
      </c>
      <c r="K146" s="27" t="n">
        <f aca="false">IFERROR(VLOOKUP(C146,Parametros!$A$36:$B$66,2,FALSE()),Parametros!$B$12)</f>
        <v>1</v>
      </c>
      <c r="L146" s="23" t="n">
        <f aca="false">H146*J146*SQRT(K146)</f>
        <v>4526.03316947543</v>
      </c>
      <c r="M146" s="29" t="n">
        <v>245</v>
      </c>
      <c r="N146" s="24" t="n">
        <v>0.220408163265306</v>
      </c>
      <c r="O146" s="3" t="s">
        <v>746</v>
      </c>
      <c r="P146" s="30" t="n">
        <f aca="false">IF(AND(ISNUMBER(M146),ISNUMBER(N146)),M146*N146/7,"")</f>
        <v>7.71428571428571</v>
      </c>
      <c r="Q146" s="23" t="n">
        <f aca="false">IF(ISNUMBER(P146),I146*P146,"")</f>
        <v>64210.6285714286</v>
      </c>
      <c r="R146" s="23" t="n">
        <f aca="false">IF(ISNUMBER(Q146),MAX(0,MIN(L146,Q146-I146*K146)),L146)</f>
        <v>4526.03316947543</v>
      </c>
      <c r="S146" s="23" t="n">
        <f aca="false">R146+I146*K146</f>
        <v>12849.6331694754</v>
      </c>
      <c r="T146" s="23" t="n">
        <v>36012</v>
      </c>
      <c r="U146" s="23" t="n">
        <v>0</v>
      </c>
      <c r="V146" s="23" t="n">
        <f aca="false">T146+U146</f>
        <v>36012</v>
      </c>
      <c r="W146" s="30" t="n">
        <f aca="false">IF(I146&gt;0,V146/I146,"")</f>
        <v>4.32649334422606</v>
      </c>
      <c r="X146" s="3" t="str">
        <f aca="false">IF(I146&lt;=0,"SIN FCST",IF(V146&lt;R146,"BAJO SS",IF(T146&lt;R146,"BAJO SS (XLIB CUBRE)",IF(V146&lt;S146,"BAJO P.REORDEN",IF(AND(ISNUMBER(Q146),V146&gt;Q146),"SOBRE MAX VENDIBLE","OK")))))</f>
        <v>OK</v>
      </c>
    </row>
    <row r="147" customFormat="false" ht="15" hidden="false" customHeight="false" outlineLevel="0" collapsed="false">
      <c r="A147" s="3" t="n">
        <v>30000746</v>
      </c>
      <c r="B147" s="3" t="s">
        <v>856</v>
      </c>
      <c r="C147" s="3" t="s">
        <v>133</v>
      </c>
      <c r="D147" s="3" t="s">
        <v>758</v>
      </c>
      <c r="E147" s="3"/>
      <c r="F147" s="3" t="str">
        <f aca="false">IFERROR(INDEX(ABC_XYZ!$L$5:$L$494,MATCH(A147,ABC_XYZ!$A$5:$A$494,0)),"SIN HIST")</f>
        <v>SIN HIST</v>
      </c>
      <c r="G147" s="24" t="n">
        <f aca="false">IF(LEFT(F147,1)="A",Parametros!$B$8,IF(LEFT(F147,1)="B",Parametros!$B$9,IF(LEFT(F147,1)="C",Parametros!$B$10,Parametros!$B$11)))</f>
        <v>0.95</v>
      </c>
      <c r="H147" s="27" t="n">
        <f aca="false">NORMSINV(G147)</f>
        <v>1.64485362695147</v>
      </c>
      <c r="I147" s="23" t="n">
        <v>8275.9</v>
      </c>
      <c r="J147" s="23" t="n">
        <f aca="false">IFERROR(INDEX(ABC_XYZ!$R$5:$R$494,MATCH(A147,ABC_XYZ!$A$5:$A$494,0)),I147*Parametros!$B$13)</f>
        <v>2482.77</v>
      </c>
      <c r="K147" s="27" t="n">
        <f aca="false">IFERROR(VLOOKUP(C147,Parametros!$A$36:$B$66,2,FALSE()),Parametros!$B$12)</f>
        <v>1</v>
      </c>
      <c r="L147" s="23" t="n">
        <f aca="false">H147*J147*SQRT(K147)</f>
        <v>4083.79323938631</v>
      </c>
      <c r="M147" s="29"/>
      <c r="N147" s="24"/>
      <c r="O147" s="3"/>
      <c r="P147" s="30" t="str">
        <f aca="false">IF(AND(ISNUMBER(M147),ISNUMBER(N147)),M147*N147/7,"")</f>
        <v/>
      </c>
      <c r="Q147" s="23" t="str">
        <f aca="false">IF(ISNUMBER(P147),I147*P147,"")</f>
        <v/>
      </c>
      <c r="R147" s="23" t="n">
        <f aca="false">IF(ISNUMBER(Q147),MAX(0,MIN(L147,Q147-I147*K147)),L147)</f>
        <v>4083.79323938631</v>
      </c>
      <c r="S147" s="23" t="n">
        <f aca="false">R147+I147*K147</f>
        <v>12359.6932393863</v>
      </c>
      <c r="T147" s="23" t="n">
        <v>42861</v>
      </c>
      <c r="U147" s="23" t="n">
        <v>0</v>
      </c>
      <c r="V147" s="23" t="n">
        <f aca="false">T147+U147</f>
        <v>42861</v>
      </c>
      <c r="W147" s="30" t="n">
        <f aca="false">IF(I147&gt;0,V147/I147,"")</f>
        <v>5.17901376285359</v>
      </c>
      <c r="X147" s="3" t="str">
        <f aca="false">IF(I147&lt;=0,"SIN FCST",IF(V147&lt;R147,"BAJO SS",IF(T147&lt;R147,"BAJO SS (XLIB CUBRE)",IF(V147&lt;S147,"BAJO P.REORDEN",IF(AND(ISNUMBER(Q147),V147&gt;Q147),"SOBRE MAX VENDIBLE","OK")))))</f>
        <v>OK</v>
      </c>
    </row>
    <row r="148" customFormat="false" ht="15" hidden="false" customHeight="false" outlineLevel="0" collapsed="false">
      <c r="A148" s="3" t="n">
        <v>30001091</v>
      </c>
      <c r="B148" s="3" t="s">
        <v>857</v>
      </c>
      <c r="C148" s="3" t="s">
        <v>155</v>
      </c>
      <c r="D148" s="3" t="s">
        <v>761</v>
      </c>
      <c r="E148" s="3" t="s">
        <v>762</v>
      </c>
      <c r="F148" s="3" t="str">
        <f aca="false">IFERROR(INDEX(ABC_XYZ!$L$5:$L$494,MATCH(A148,ABC_XYZ!$A$5:$A$494,0)),"SIN HIST")</f>
        <v>AX</v>
      </c>
      <c r="G148" s="24" t="n">
        <f aca="false">IF(LEFT(F148,1)="A",Parametros!$B$8,IF(LEFT(F148,1)="B",Parametros!$B$9,IF(LEFT(F148,1)="C",Parametros!$B$10,Parametros!$B$11)))</f>
        <v>0.98</v>
      </c>
      <c r="H148" s="27" t="n">
        <f aca="false">NORMSINV(G148)</f>
        <v>2.05374891063182</v>
      </c>
      <c r="I148" s="23" t="n">
        <v>8157.6</v>
      </c>
      <c r="J148" s="23" t="n">
        <f aca="false">IFERROR(INDEX(ABC_XYZ!$R$5:$R$494,MATCH(A148,ABC_XYZ!$A$5:$A$494,0)),I148*Parametros!$B$13)</f>
        <v>2959.58979087279</v>
      </c>
      <c r="K148" s="27" t="n">
        <f aca="false">IFERROR(VLOOKUP(C148,Parametros!$A$36:$B$66,2,FALSE()),Parametros!$B$12)</f>
        <v>1</v>
      </c>
      <c r="L148" s="23" t="n">
        <f aca="false">H148*J148*SQRT(K148)</f>
        <v>6078.25430892206</v>
      </c>
      <c r="M148" s="29" t="n">
        <v>57</v>
      </c>
      <c r="N148" s="24" t="n">
        <v>0.298245614035088</v>
      </c>
      <c r="O148" s="3" t="s">
        <v>763</v>
      </c>
      <c r="P148" s="30" t="n">
        <f aca="false">IF(AND(ISNUMBER(M148),ISNUMBER(N148)),M148*N148/7,"")</f>
        <v>2.42857142857143</v>
      </c>
      <c r="Q148" s="23" t="n">
        <f aca="false">IF(ISNUMBER(P148),I148*P148,"")</f>
        <v>19811.3142857143</v>
      </c>
      <c r="R148" s="23" t="n">
        <f aca="false">IF(ISNUMBER(Q148),MAX(0,MIN(L148,Q148-I148*K148)),L148)</f>
        <v>6078.25430892206</v>
      </c>
      <c r="S148" s="23" t="n">
        <f aca="false">R148+I148*K148</f>
        <v>14235.8543089221</v>
      </c>
      <c r="T148" s="23" t="n">
        <v>4600.8</v>
      </c>
      <c r="U148" s="23" t="n">
        <v>7128</v>
      </c>
      <c r="V148" s="23" t="n">
        <f aca="false">T148+U148</f>
        <v>11728.8</v>
      </c>
      <c r="W148" s="30" t="n">
        <f aca="false">IF(I148&gt;0,V148/I148,"")</f>
        <v>1.43777581641659</v>
      </c>
      <c r="X148" s="3" t="str">
        <f aca="false">IF(I148&lt;=0,"SIN FCST",IF(V148&lt;R148,"BAJO SS",IF(T148&lt;R148,"BAJO SS (XLIB CUBRE)",IF(V148&lt;S148,"BAJO P.REORDEN",IF(AND(ISNUMBER(Q148),V148&gt;Q148),"SOBRE MAX VENDIBLE","OK")))))</f>
        <v>BAJO SS (XLIB CUBRE)</v>
      </c>
    </row>
    <row r="149" customFormat="false" ht="15" hidden="false" customHeight="false" outlineLevel="0" collapsed="false">
      <c r="A149" s="3" t="n">
        <v>30000786</v>
      </c>
      <c r="B149" s="3" t="s">
        <v>858</v>
      </c>
      <c r="C149" s="3" t="s">
        <v>133</v>
      </c>
      <c r="D149" s="3" t="s">
        <v>769</v>
      </c>
      <c r="E149" s="3"/>
      <c r="F149" s="3" t="str">
        <f aca="false">IFERROR(INDEX(ABC_XYZ!$L$5:$L$494,MATCH(A149,ABC_XYZ!$A$5:$A$494,0)),"SIN HIST")</f>
        <v>SIN HIST</v>
      </c>
      <c r="G149" s="24" t="n">
        <f aca="false">IF(LEFT(F149,1)="A",Parametros!$B$8,IF(LEFT(F149,1)="B",Parametros!$B$9,IF(LEFT(F149,1)="C",Parametros!$B$10,Parametros!$B$11)))</f>
        <v>0.95</v>
      </c>
      <c r="H149" s="27" t="n">
        <f aca="false">NORMSINV(G149)</f>
        <v>1.64485362695147</v>
      </c>
      <c r="I149" s="23" t="n">
        <v>8139.5</v>
      </c>
      <c r="J149" s="23" t="n">
        <f aca="false">IFERROR(INDEX(ABC_XYZ!$R$5:$R$494,MATCH(A149,ABC_XYZ!$A$5:$A$494,0)),I149*Parametros!$B$13)</f>
        <v>2441.85</v>
      </c>
      <c r="K149" s="27" t="n">
        <f aca="false">IFERROR(VLOOKUP(C149,Parametros!$A$36:$B$66,2,FALSE()),Parametros!$B$12)</f>
        <v>1</v>
      </c>
      <c r="L149" s="23" t="n">
        <f aca="false">H149*J149*SQRT(K149)</f>
        <v>4016.48582897145</v>
      </c>
      <c r="M149" s="29"/>
      <c r="N149" s="24"/>
      <c r="O149" s="3"/>
      <c r="P149" s="30" t="str">
        <f aca="false">IF(AND(ISNUMBER(M149),ISNUMBER(N149)),M149*N149/7,"")</f>
        <v/>
      </c>
      <c r="Q149" s="23" t="str">
        <f aca="false">IF(ISNUMBER(P149),I149*P149,"")</f>
        <v/>
      </c>
      <c r="R149" s="23" t="n">
        <f aca="false">IF(ISNUMBER(Q149),MAX(0,MIN(L149,Q149-I149*K149)),L149)</f>
        <v>4016.48582897145</v>
      </c>
      <c r="S149" s="23" t="n">
        <f aca="false">R149+I149*K149</f>
        <v>12155.9858289715</v>
      </c>
      <c r="T149" s="23" t="n">
        <v>70816</v>
      </c>
      <c r="U149" s="23" t="n">
        <v>21056</v>
      </c>
      <c r="V149" s="23" t="n">
        <f aca="false">T149+U149</f>
        <v>91872</v>
      </c>
      <c r="W149" s="30" t="n">
        <f aca="false">IF(I149&gt;0,V149/I149,"")</f>
        <v>11.2871798021992</v>
      </c>
      <c r="X149" s="3" t="str">
        <f aca="false">IF(I149&lt;=0,"SIN FCST",IF(V149&lt;R149,"BAJO SS",IF(T149&lt;R149,"BAJO SS (XLIB CUBRE)",IF(V149&lt;S149,"BAJO P.REORDEN",IF(AND(ISNUMBER(Q149),V149&gt;Q149),"SOBRE MAX VENDIBLE","OK")))))</f>
        <v>OK</v>
      </c>
    </row>
    <row r="150" customFormat="false" ht="15" hidden="false" customHeight="false" outlineLevel="0" collapsed="false">
      <c r="A150" s="3" t="n">
        <v>30001106</v>
      </c>
      <c r="B150" s="3" t="s">
        <v>859</v>
      </c>
      <c r="C150" s="3" t="s">
        <v>134</v>
      </c>
      <c r="D150" s="3" t="s">
        <v>753</v>
      </c>
      <c r="E150" s="3" t="s">
        <v>745</v>
      </c>
      <c r="F150" s="3" t="str">
        <f aca="false">IFERROR(INDEX(ABC_XYZ!$L$5:$L$494,MATCH(A150,ABC_XYZ!$A$5:$A$494,0)),"SIN HIST")</f>
        <v>SIN HIST</v>
      </c>
      <c r="G150" s="24" t="n">
        <f aca="false">IF(LEFT(F150,1)="A",Parametros!$B$8,IF(LEFT(F150,1)="B",Parametros!$B$9,IF(LEFT(F150,1)="C",Parametros!$B$10,Parametros!$B$11)))</f>
        <v>0.95</v>
      </c>
      <c r="H150" s="27" t="n">
        <f aca="false">NORMSINV(G150)</f>
        <v>1.64485362695147</v>
      </c>
      <c r="I150" s="23" t="n">
        <v>8139.5</v>
      </c>
      <c r="J150" s="23" t="n">
        <f aca="false">IFERROR(INDEX(ABC_XYZ!$R$5:$R$494,MATCH(A150,ABC_XYZ!$A$5:$A$494,0)),I150*Parametros!$B$13)</f>
        <v>2441.85</v>
      </c>
      <c r="K150" s="27" t="n">
        <f aca="false">IFERROR(VLOOKUP(C150,Parametros!$A$36:$B$66,2,FALSE()),Parametros!$B$12)</f>
        <v>1</v>
      </c>
      <c r="L150" s="23" t="n">
        <f aca="false">H150*J150*SQRT(K150)</f>
        <v>4016.48582897145</v>
      </c>
      <c r="M150" s="29" t="n">
        <v>365</v>
      </c>
      <c r="N150" s="24" t="n">
        <v>0.273972602739726</v>
      </c>
      <c r="O150" s="3" t="s">
        <v>746</v>
      </c>
      <c r="P150" s="30" t="n">
        <f aca="false">IF(AND(ISNUMBER(M150),ISNUMBER(N150)),M150*N150/7,"")</f>
        <v>14.2857142857143</v>
      </c>
      <c r="Q150" s="23" t="n">
        <f aca="false">IF(ISNUMBER(P150),I150*P150,"")</f>
        <v>116278.571428571</v>
      </c>
      <c r="R150" s="23" t="n">
        <f aca="false">IF(ISNUMBER(Q150),MAX(0,MIN(L150,Q150-I150*K150)),L150)</f>
        <v>4016.48582897145</v>
      </c>
      <c r="S150" s="23" t="n">
        <f aca="false">R150+I150*K150</f>
        <v>12155.9858289715</v>
      </c>
      <c r="T150" s="23" t="n">
        <v>76050</v>
      </c>
      <c r="U150" s="23" t="n">
        <v>20475</v>
      </c>
      <c r="V150" s="23" t="n">
        <f aca="false">T150+U150</f>
        <v>96525</v>
      </c>
      <c r="W150" s="30" t="n">
        <f aca="false">IF(I150&gt;0,V150/I150,"")</f>
        <v>11.8588365378709</v>
      </c>
      <c r="X150" s="3" t="str">
        <f aca="false">IF(I150&lt;=0,"SIN FCST",IF(V150&lt;R150,"BAJO SS",IF(T150&lt;R150,"BAJO SS (XLIB CUBRE)",IF(V150&lt;S150,"BAJO P.REORDEN",IF(AND(ISNUMBER(Q150),V150&gt;Q150),"SOBRE MAX VENDIBLE","OK")))))</f>
        <v>OK</v>
      </c>
    </row>
    <row r="151" customFormat="false" ht="15" hidden="false" customHeight="false" outlineLevel="0" collapsed="false">
      <c r="A151" s="3" t="n">
        <v>30000738</v>
      </c>
      <c r="B151" s="3" t="s">
        <v>860</v>
      </c>
      <c r="C151" s="3" t="s">
        <v>133</v>
      </c>
      <c r="D151" s="3" t="s">
        <v>758</v>
      </c>
      <c r="E151" s="3"/>
      <c r="F151" s="3" t="str">
        <f aca="false">IFERROR(INDEX(ABC_XYZ!$L$5:$L$494,MATCH(A151,ABC_XYZ!$A$5:$A$494,0)),"SIN HIST")</f>
        <v>SIN HIST</v>
      </c>
      <c r="G151" s="24" t="n">
        <f aca="false">IF(LEFT(F151,1)="A",Parametros!$B$8,IF(LEFT(F151,1)="B",Parametros!$B$9,IF(LEFT(F151,1)="C",Parametros!$B$10,Parametros!$B$11)))</f>
        <v>0.95</v>
      </c>
      <c r="H151" s="27" t="n">
        <f aca="false">NORMSINV(G151)</f>
        <v>1.64485362695147</v>
      </c>
      <c r="I151" s="23" t="n">
        <v>8139.5</v>
      </c>
      <c r="J151" s="23" t="n">
        <f aca="false">IFERROR(INDEX(ABC_XYZ!$R$5:$R$494,MATCH(A151,ABC_XYZ!$A$5:$A$494,0)),I151*Parametros!$B$13)</f>
        <v>2441.85</v>
      </c>
      <c r="K151" s="27" t="n">
        <f aca="false">IFERROR(VLOOKUP(C151,Parametros!$A$36:$B$66,2,FALSE()),Parametros!$B$12)</f>
        <v>1</v>
      </c>
      <c r="L151" s="23" t="n">
        <f aca="false">H151*J151*SQRT(K151)</f>
        <v>4016.48582897145</v>
      </c>
      <c r="M151" s="29"/>
      <c r="N151" s="24"/>
      <c r="O151" s="3"/>
      <c r="P151" s="30" t="str">
        <f aca="false">IF(AND(ISNUMBER(M151),ISNUMBER(N151)),M151*N151/7,"")</f>
        <v/>
      </c>
      <c r="Q151" s="23" t="str">
        <f aca="false">IF(ISNUMBER(P151),I151*P151,"")</f>
        <v/>
      </c>
      <c r="R151" s="23" t="n">
        <f aca="false">IF(ISNUMBER(Q151),MAX(0,MIN(L151,Q151-I151*K151)),L151)</f>
        <v>4016.48582897145</v>
      </c>
      <c r="S151" s="23" t="n">
        <f aca="false">R151+I151*K151</f>
        <v>12155.9858289715</v>
      </c>
      <c r="T151" s="23" t="n">
        <v>99488</v>
      </c>
      <c r="U151" s="23" t="n">
        <v>0</v>
      </c>
      <c r="V151" s="23" t="n">
        <f aca="false">T151+U151</f>
        <v>99488</v>
      </c>
      <c r="W151" s="30" t="n">
        <f aca="false">IF(I151&gt;0,V151/I151,"")</f>
        <v>12.2228638122735</v>
      </c>
      <c r="X151" s="3" t="str">
        <f aca="false">IF(I151&lt;=0,"SIN FCST",IF(V151&lt;R151,"BAJO SS",IF(T151&lt;R151,"BAJO SS (XLIB CUBRE)",IF(V151&lt;S151,"BAJO P.REORDEN",IF(AND(ISNUMBER(Q151),V151&gt;Q151),"SOBRE MAX VENDIBLE","OK")))))</f>
        <v>OK</v>
      </c>
    </row>
    <row r="152" customFormat="false" ht="15" hidden="false" customHeight="false" outlineLevel="0" collapsed="false">
      <c r="A152" s="3" t="n">
        <v>30000478</v>
      </c>
      <c r="B152" s="3" t="s">
        <v>392</v>
      </c>
      <c r="C152" s="3" t="s">
        <v>139</v>
      </c>
      <c r="D152" s="3" t="s">
        <v>753</v>
      </c>
      <c r="E152" s="3" t="s">
        <v>745</v>
      </c>
      <c r="F152" s="3" t="str">
        <f aca="false">IFERROR(INDEX(ABC_XYZ!$L$5:$L$494,MATCH(A152,ABC_XYZ!$A$5:$A$494,0)),"SIN HIST")</f>
        <v>BX</v>
      </c>
      <c r="G152" s="24" t="n">
        <f aca="false">IF(LEFT(F152,1)="A",Parametros!$B$8,IF(LEFT(F152,1)="B",Parametros!$B$9,IF(LEFT(F152,1)="C",Parametros!$B$10,Parametros!$B$11)))</f>
        <v>0.95</v>
      </c>
      <c r="H152" s="27" t="n">
        <f aca="false">NORMSINV(G152)</f>
        <v>1.64485362695147</v>
      </c>
      <c r="I152" s="23" t="n">
        <v>7949.2</v>
      </c>
      <c r="J152" s="23" t="n">
        <f aca="false">IFERROR(INDEX(ABC_XYZ!$R$5:$R$494,MATCH(A152,ABC_XYZ!$A$5:$A$494,0)),I152*Parametros!$B$13)</f>
        <v>1251.10230060051</v>
      </c>
      <c r="K152" s="27" t="n">
        <f aca="false">IFERROR(VLOOKUP(C152,Parametros!$A$36:$B$66,2,FALSE()),Parametros!$B$12)</f>
        <v>1</v>
      </c>
      <c r="L152" s="23" t="n">
        <f aca="false">H152*J152*SQRT(K152)</f>
        <v>2057.88015683008</v>
      </c>
      <c r="M152" s="29" t="n">
        <v>250</v>
      </c>
      <c r="N152" s="24" t="n">
        <v>0.256</v>
      </c>
      <c r="O152" s="3" t="s">
        <v>746</v>
      </c>
      <c r="P152" s="30" t="n">
        <f aca="false">IF(AND(ISNUMBER(M152),ISNUMBER(N152)),M152*N152/7,"")</f>
        <v>9.14285714285714</v>
      </c>
      <c r="Q152" s="23" t="n">
        <f aca="false">IF(ISNUMBER(P152),I152*P152,"")</f>
        <v>72678.4</v>
      </c>
      <c r="R152" s="23" t="n">
        <f aca="false">IF(ISNUMBER(Q152),MAX(0,MIN(L152,Q152-I152*K152)),L152)</f>
        <v>2057.88015683008</v>
      </c>
      <c r="S152" s="23" t="n">
        <f aca="false">R152+I152*K152</f>
        <v>10007.0801568301</v>
      </c>
      <c r="T152" s="23" t="n">
        <v>18348</v>
      </c>
      <c r="U152" s="23" t="n">
        <v>0</v>
      </c>
      <c r="V152" s="23" t="n">
        <f aca="false">T152+U152</f>
        <v>18348</v>
      </c>
      <c r="W152" s="30" t="n">
        <f aca="false">IF(I152&gt;0,V152/I152,"")</f>
        <v>2.30815679565239</v>
      </c>
      <c r="X152" s="3" t="str">
        <f aca="false">IF(I152&lt;=0,"SIN FCST",IF(V152&lt;R152,"BAJO SS",IF(T152&lt;R152,"BAJO SS (XLIB CUBRE)",IF(V152&lt;S152,"BAJO P.REORDEN",IF(AND(ISNUMBER(Q152),V152&gt;Q152),"SOBRE MAX VENDIBLE","OK")))))</f>
        <v>OK</v>
      </c>
    </row>
    <row r="153" customFormat="false" ht="15" hidden="false" customHeight="false" outlineLevel="0" collapsed="false">
      <c r="A153" s="3" t="n">
        <v>30002230</v>
      </c>
      <c r="B153" s="3" t="s">
        <v>315</v>
      </c>
      <c r="C153" s="3" t="s">
        <v>135</v>
      </c>
      <c r="D153" s="3" t="s">
        <v>753</v>
      </c>
      <c r="E153" s="3"/>
      <c r="F153" s="3" t="str">
        <f aca="false">IFERROR(INDEX(ABC_XYZ!$L$5:$L$494,MATCH(A153,ABC_XYZ!$A$5:$A$494,0)),"SIN HIST")</f>
        <v>AY</v>
      </c>
      <c r="G153" s="24" t="n">
        <f aca="false">IF(LEFT(F153,1)="A",Parametros!$B$8,IF(LEFT(F153,1)="B",Parametros!$B$9,IF(LEFT(F153,1)="C",Parametros!$B$10,Parametros!$B$11)))</f>
        <v>0.98</v>
      </c>
      <c r="H153" s="27" t="n">
        <f aca="false">NORMSINV(G153)</f>
        <v>2.05374891063182</v>
      </c>
      <c r="I153" s="23" t="n">
        <v>7862.8</v>
      </c>
      <c r="J153" s="23" t="n">
        <f aca="false">IFERROR(INDEX(ABC_XYZ!$R$5:$R$494,MATCH(A153,ABC_XYZ!$A$5:$A$494,0)),I153*Parametros!$B$13)</f>
        <v>5174.95783367242</v>
      </c>
      <c r="K153" s="27" t="n">
        <f aca="false">IFERROR(VLOOKUP(C153,Parametros!$A$36:$B$66,2,FALSE()),Parametros!$B$12)</f>
        <v>1</v>
      </c>
      <c r="L153" s="23" t="n">
        <f aca="false">H153*J153*SQRT(K153)</f>
        <v>10628.0640134703</v>
      </c>
      <c r="M153" s="29" t="n">
        <v>365</v>
      </c>
      <c r="N153" s="24" t="n">
        <v>0.273972602739726</v>
      </c>
      <c r="O153" s="3" t="s">
        <v>746</v>
      </c>
      <c r="P153" s="30" t="n">
        <f aca="false">IF(AND(ISNUMBER(M153),ISNUMBER(N153)),M153*N153/7,"")</f>
        <v>14.2857142857143</v>
      </c>
      <c r="Q153" s="23" t="n">
        <f aca="false">IF(ISNUMBER(P153),I153*P153,"")</f>
        <v>112325.714285714</v>
      </c>
      <c r="R153" s="23" t="n">
        <f aca="false">IF(ISNUMBER(Q153),MAX(0,MIN(L153,Q153-I153*K153)),L153)</f>
        <v>10628.0640134703</v>
      </c>
      <c r="S153" s="23" t="n">
        <f aca="false">R153+I153*K153</f>
        <v>18490.8640134703</v>
      </c>
      <c r="T153" s="23" t="n">
        <v>90890.2</v>
      </c>
      <c r="U153" s="23" t="n">
        <v>0</v>
      </c>
      <c r="V153" s="23" t="n">
        <f aca="false">T153+U153</f>
        <v>90890.2</v>
      </c>
      <c r="W153" s="30" t="n">
        <f aca="false">IF(I153&gt;0,V153/I153,"")</f>
        <v>11.559520781401</v>
      </c>
      <c r="X153" s="3" t="str">
        <f aca="false">IF(I153&lt;=0,"SIN FCST",IF(V153&lt;R153,"BAJO SS",IF(T153&lt;R153,"BAJO SS (XLIB CUBRE)",IF(V153&lt;S153,"BAJO P.REORDEN",IF(AND(ISNUMBER(Q153),V153&gt;Q153),"SOBRE MAX VENDIBLE","OK")))))</f>
        <v>OK</v>
      </c>
    </row>
    <row r="154" customFormat="false" ht="15" hidden="false" customHeight="false" outlineLevel="0" collapsed="false">
      <c r="A154" s="3" t="n">
        <v>30000433</v>
      </c>
      <c r="B154" s="3" t="s">
        <v>861</v>
      </c>
      <c r="C154" s="3" t="s">
        <v>148</v>
      </c>
      <c r="D154" s="3" t="s">
        <v>753</v>
      </c>
      <c r="E154" s="3" t="s">
        <v>745</v>
      </c>
      <c r="F154" s="3" t="str">
        <f aca="false">IFERROR(INDEX(ABC_XYZ!$L$5:$L$494,MATCH(A154,ABC_XYZ!$A$5:$A$494,0)),"SIN HIST")</f>
        <v>SIN HIST</v>
      </c>
      <c r="G154" s="24" t="n">
        <f aca="false">IF(LEFT(F154,1)="A",Parametros!$B$8,IF(LEFT(F154,1)="B",Parametros!$B$9,IF(LEFT(F154,1)="C",Parametros!$B$10,Parametros!$B$11)))</f>
        <v>0.95</v>
      </c>
      <c r="H154" s="27" t="n">
        <f aca="false">NORMSINV(G154)</f>
        <v>1.64485362695147</v>
      </c>
      <c r="I154" s="23" t="n">
        <v>7674.4</v>
      </c>
      <c r="J154" s="23" t="n">
        <f aca="false">IFERROR(INDEX(ABC_XYZ!$R$5:$R$494,MATCH(A154,ABC_XYZ!$A$5:$A$494,0)),I154*Parametros!$B$13)</f>
        <v>2302.32</v>
      </c>
      <c r="K154" s="27" t="n">
        <f aca="false">IFERROR(VLOOKUP(C154,Parametros!$A$36:$B$66,2,FALSE()),Parametros!$B$12)</f>
        <v>1</v>
      </c>
      <c r="L154" s="23" t="n">
        <f aca="false">H154*J154*SQRT(K154)</f>
        <v>3786.97940240291</v>
      </c>
      <c r="M154" s="29" t="n">
        <v>184</v>
      </c>
      <c r="N154" s="24" t="n">
        <v>0.271739130434783</v>
      </c>
      <c r="O154" s="3" t="s">
        <v>746</v>
      </c>
      <c r="P154" s="30" t="n">
        <f aca="false">IF(AND(ISNUMBER(M154),ISNUMBER(N154)),M154*N154/7,"")</f>
        <v>7.14285714285714</v>
      </c>
      <c r="Q154" s="23" t="n">
        <f aca="false">IF(ISNUMBER(P154),I154*P154,"")</f>
        <v>54817.1428571429</v>
      </c>
      <c r="R154" s="23" t="n">
        <f aca="false">IF(ISNUMBER(Q154),MAX(0,MIN(L154,Q154-I154*K154)),L154)</f>
        <v>3786.97940240291</v>
      </c>
      <c r="S154" s="23" t="n">
        <f aca="false">R154+I154*K154</f>
        <v>11461.3794024029</v>
      </c>
      <c r="T154" s="23" t="n">
        <v>20210</v>
      </c>
      <c r="U154" s="23" t="n">
        <v>22810</v>
      </c>
      <c r="V154" s="23" t="n">
        <f aca="false">T154+U154</f>
        <v>43020</v>
      </c>
      <c r="W154" s="30" t="n">
        <f aca="false">IF(I154&gt;0,V154/I154,"")</f>
        <v>5.6056499530908</v>
      </c>
      <c r="X154" s="3" t="str">
        <f aca="false">IF(I154&lt;=0,"SIN FCST",IF(V154&lt;R154,"BAJO SS",IF(T154&lt;R154,"BAJO SS (XLIB CUBRE)",IF(V154&lt;S154,"BAJO P.REORDEN",IF(AND(ISNUMBER(Q154),V154&gt;Q154),"SOBRE MAX VENDIBLE","OK")))))</f>
        <v>OK</v>
      </c>
    </row>
    <row r="155" customFormat="false" ht="15" hidden="false" customHeight="false" outlineLevel="0" collapsed="false">
      <c r="A155" s="3" t="n">
        <v>30001689</v>
      </c>
      <c r="B155" s="3" t="s">
        <v>358</v>
      </c>
      <c r="C155" s="3" t="s">
        <v>149</v>
      </c>
      <c r="D155" s="3" t="s">
        <v>744</v>
      </c>
      <c r="E155" s="3" t="s">
        <v>762</v>
      </c>
      <c r="F155" s="3" t="str">
        <f aca="false">IFERROR(INDEX(ABC_XYZ!$L$5:$L$494,MATCH(A155,ABC_XYZ!$A$5:$A$494,0)),"SIN HIST")</f>
        <v>BX</v>
      </c>
      <c r="G155" s="24" t="n">
        <f aca="false">IF(LEFT(F155,1)="A",Parametros!$B$8,IF(LEFT(F155,1)="B",Parametros!$B$9,IF(LEFT(F155,1)="C",Parametros!$B$10,Parametros!$B$11)))</f>
        <v>0.95</v>
      </c>
      <c r="H155" s="27" t="n">
        <f aca="false">NORMSINV(G155)</f>
        <v>1.64485362695147</v>
      </c>
      <c r="I155" s="23" t="n">
        <v>7548.7</v>
      </c>
      <c r="J155" s="23" t="n">
        <f aca="false">IFERROR(INDEX(ABC_XYZ!$R$5:$R$494,MATCH(A155,ABC_XYZ!$A$5:$A$494,0)),I155*Parametros!$B$13)</f>
        <v>2693.49517314179</v>
      </c>
      <c r="K155" s="27" t="n">
        <f aca="false">IFERROR(VLOOKUP(C155,Parametros!$A$36:$B$66,2,FALSE()),Parametros!$B$12)</f>
        <v>1</v>
      </c>
      <c r="L155" s="23" t="n">
        <f aca="false">H155*J155*SQRT(K155)</f>
        <v>4430.40530471856</v>
      </c>
      <c r="M155" s="29" t="n">
        <v>184</v>
      </c>
      <c r="N155" s="24" t="n">
        <v>0.315217391304348</v>
      </c>
      <c r="O155" s="3" t="s">
        <v>780</v>
      </c>
      <c r="P155" s="30" t="n">
        <f aca="false">IF(AND(ISNUMBER(M155),ISNUMBER(N155)),M155*N155/7,"")</f>
        <v>8.28571428571429</v>
      </c>
      <c r="Q155" s="23" t="n">
        <f aca="false">IF(ISNUMBER(P155),I155*P155,"")</f>
        <v>62546.3714285714</v>
      </c>
      <c r="R155" s="23" t="n">
        <f aca="false">IF(ISNUMBER(Q155),MAX(0,MIN(L155,Q155-I155*K155)),L155)</f>
        <v>4430.40530471856</v>
      </c>
      <c r="S155" s="23" t="n">
        <f aca="false">R155+I155*K155</f>
        <v>11979.1053047186</v>
      </c>
      <c r="T155" s="23" t="n">
        <v>18132.4</v>
      </c>
      <c r="U155" s="23" t="n">
        <v>0</v>
      </c>
      <c r="V155" s="23" t="n">
        <f aca="false">T155+U155</f>
        <v>18132.4</v>
      </c>
      <c r="W155" s="30" t="n">
        <f aca="false">IF(I155&gt;0,V155/I155,"")</f>
        <v>2.40205598314942</v>
      </c>
      <c r="X155" s="3" t="str">
        <f aca="false">IF(I155&lt;=0,"SIN FCST",IF(V155&lt;R155,"BAJO SS",IF(T155&lt;R155,"BAJO SS (XLIB CUBRE)",IF(V155&lt;S155,"BAJO P.REORDEN",IF(AND(ISNUMBER(Q155),V155&gt;Q155),"SOBRE MAX VENDIBLE","OK")))))</f>
        <v>OK</v>
      </c>
    </row>
    <row r="156" customFormat="false" ht="15" hidden="false" customHeight="false" outlineLevel="0" collapsed="false">
      <c r="A156" s="3" t="n">
        <v>30002286</v>
      </c>
      <c r="B156" s="3" t="s">
        <v>320</v>
      </c>
      <c r="C156" s="3" t="s">
        <v>155</v>
      </c>
      <c r="D156" s="3" t="s">
        <v>761</v>
      </c>
      <c r="E156" s="3"/>
      <c r="F156" s="3" t="str">
        <f aca="false">IFERROR(INDEX(ABC_XYZ!$L$5:$L$494,MATCH(A156,ABC_XYZ!$A$5:$A$494,0)),"SIN HIST")</f>
        <v>AX</v>
      </c>
      <c r="G156" s="24" t="n">
        <f aca="false">IF(LEFT(F156,1)="A",Parametros!$B$8,IF(LEFT(F156,1)="B",Parametros!$B$9,IF(LEFT(F156,1)="C",Parametros!$B$10,Parametros!$B$11)))</f>
        <v>0.98</v>
      </c>
      <c r="H156" s="27" t="n">
        <f aca="false">NORMSINV(G156)</f>
        <v>2.05374891063182</v>
      </c>
      <c r="I156" s="23" t="n">
        <v>7500</v>
      </c>
      <c r="J156" s="23" t="n">
        <f aca="false">IFERROR(INDEX(ABC_XYZ!$R$5:$R$494,MATCH(A156,ABC_XYZ!$A$5:$A$494,0)),I156*Parametros!$B$13)</f>
        <v>2357.77965062986</v>
      </c>
      <c r="K156" s="27" t="n">
        <f aca="false">IFERROR(VLOOKUP(C156,Parametros!$A$36:$B$66,2,FALSE()),Parametros!$B$12)</f>
        <v>1</v>
      </c>
      <c r="L156" s="23" t="n">
        <f aca="false">H156*J156*SQRT(K156)</f>
        <v>4842.28738899096</v>
      </c>
      <c r="M156" s="29"/>
      <c r="N156" s="24"/>
      <c r="O156" s="3"/>
      <c r="P156" s="30" t="str">
        <f aca="false">IF(AND(ISNUMBER(M156),ISNUMBER(N156)),M156*N156/7,"")</f>
        <v/>
      </c>
      <c r="Q156" s="23" t="str">
        <f aca="false">IF(ISNUMBER(P156),I156*P156,"")</f>
        <v/>
      </c>
      <c r="R156" s="23" t="n">
        <f aca="false">IF(ISNUMBER(Q156),MAX(0,MIN(L156,Q156-I156*K156)),L156)</f>
        <v>4842.28738899096</v>
      </c>
      <c r="S156" s="23" t="n">
        <f aca="false">R156+I156*K156</f>
        <v>12342.287388991</v>
      </c>
      <c r="T156" s="23" t="n">
        <v>8732.1</v>
      </c>
      <c r="U156" s="23" t="n">
        <v>0</v>
      </c>
      <c r="V156" s="23" t="n">
        <f aca="false">T156+U156</f>
        <v>8732.1</v>
      </c>
      <c r="W156" s="30" t="n">
        <f aca="false">IF(I156&gt;0,V156/I156,"")</f>
        <v>1.16428</v>
      </c>
      <c r="X156" s="3" t="str">
        <f aca="false">IF(I156&lt;=0,"SIN FCST",IF(V156&lt;R156,"BAJO SS",IF(T156&lt;R156,"BAJO SS (XLIB CUBRE)",IF(V156&lt;S156,"BAJO P.REORDEN",IF(AND(ISNUMBER(Q156),V156&gt;Q156),"SOBRE MAX VENDIBLE","OK")))))</f>
        <v>BAJO P.REORDEN</v>
      </c>
    </row>
    <row r="157" customFormat="false" ht="15" hidden="false" customHeight="false" outlineLevel="0" collapsed="false">
      <c r="A157" s="3" t="n">
        <v>30002347</v>
      </c>
      <c r="B157" s="3" t="s">
        <v>271</v>
      </c>
      <c r="C157" s="3" t="s">
        <v>149</v>
      </c>
      <c r="D157" s="3"/>
      <c r="E157" s="3"/>
      <c r="F157" s="3" t="str">
        <f aca="false">IFERROR(INDEX(ABC_XYZ!$L$5:$L$494,MATCH(A157,ABC_XYZ!$A$5:$A$494,0)),"SIN HIST")</f>
        <v>AY</v>
      </c>
      <c r="G157" s="24" t="n">
        <f aca="false">IF(LEFT(F157,1)="A",Parametros!$B$8,IF(LEFT(F157,1)="B",Parametros!$B$9,IF(LEFT(F157,1)="C",Parametros!$B$10,Parametros!$B$11)))</f>
        <v>0.98</v>
      </c>
      <c r="H157" s="27" t="n">
        <f aca="false">NORMSINV(G157)</f>
        <v>2.05374891063182</v>
      </c>
      <c r="I157" s="23" t="n">
        <v>7500</v>
      </c>
      <c r="J157" s="23" t="n">
        <f aca="false">IFERROR(INDEX(ABC_XYZ!$R$5:$R$494,MATCH(A157,ABC_XYZ!$A$5:$A$494,0)),I157*Parametros!$B$13)</f>
        <v>8824.02447820558</v>
      </c>
      <c r="K157" s="27" t="n">
        <f aca="false">IFERROR(VLOOKUP(C157,Parametros!$A$36:$B$66,2,FALSE()),Parametros!$B$12)</f>
        <v>1</v>
      </c>
      <c r="L157" s="23" t="n">
        <f aca="false">H157*J157*SQRT(K157)</f>
        <v>18122.3306595032</v>
      </c>
      <c r="M157" s="29"/>
      <c r="N157" s="24"/>
      <c r="O157" s="3"/>
      <c r="P157" s="30" t="str">
        <f aca="false">IF(AND(ISNUMBER(M157),ISNUMBER(N157)),M157*N157/7,"")</f>
        <v/>
      </c>
      <c r="Q157" s="23" t="str">
        <f aca="false">IF(ISNUMBER(P157),I157*P157,"")</f>
        <v/>
      </c>
      <c r="R157" s="23" t="n">
        <f aca="false">IF(ISNUMBER(Q157),MAX(0,MIN(L157,Q157-I157*K157)),L157)</f>
        <v>18122.3306595032</v>
      </c>
      <c r="S157" s="23" t="n">
        <f aca="false">R157+I157*K157</f>
        <v>25622.3306595032</v>
      </c>
      <c r="T157" s="23" t="n">
        <v>26700</v>
      </c>
      <c r="U157" s="23" t="n">
        <v>33740</v>
      </c>
      <c r="V157" s="23" t="n">
        <f aca="false">T157+U157</f>
        <v>60440</v>
      </c>
      <c r="W157" s="30" t="n">
        <f aca="false">IF(I157&gt;0,V157/I157,"")</f>
        <v>8.05866666666667</v>
      </c>
      <c r="X157" s="3" t="str">
        <f aca="false">IF(I157&lt;=0,"SIN FCST",IF(V157&lt;R157,"BAJO SS",IF(T157&lt;R157,"BAJO SS (XLIB CUBRE)",IF(V157&lt;S157,"BAJO P.REORDEN",IF(AND(ISNUMBER(Q157),V157&gt;Q157),"SOBRE MAX VENDIBLE","OK")))))</f>
        <v>OK</v>
      </c>
    </row>
    <row r="158" customFormat="false" ht="15" hidden="false" customHeight="false" outlineLevel="0" collapsed="false">
      <c r="A158" s="3" t="n">
        <v>30001508</v>
      </c>
      <c r="B158" s="3" t="s">
        <v>318</v>
      </c>
      <c r="C158" s="3" t="s">
        <v>155</v>
      </c>
      <c r="D158" s="3" t="s">
        <v>753</v>
      </c>
      <c r="E158" s="3" t="s">
        <v>762</v>
      </c>
      <c r="F158" s="3" t="str">
        <f aca="false">IFERROR(INDEX(ABC_XYZ!$L$5:$L$494,MATCH(A158,ABC_XYZ!$A$5:$A$494,0)),"SIN HIST")</f>
        <v>AX</v>
      </c>
      <c r="G158" s="24" t="n">
        <f aca="false">IF(LEFT(F158,1)="A",Parametros!$B$8,IF(LEFT(F158,1)="B",Parametros!$B$9,IF(LEFT(F158,1)="C",Parametros!$B$10,Parametros!$B$11)))</f>
        <v>0.98</v>
      </c>
      <c r="H158" s="27" t="n">
        <f aca="false">NORMSINV(G158)</f>
        <v>2.05374891063182</v>
      </c>
      <c r="I158" s="23" t="n">
        <v>7486.2</v>
      </c>
      <c r="J158" s="23" t="n">
        <f aca="false">IFERROR(INDEX(ABC_XYZ!$R$5:$R$494,MATCH(A158,ABC_XYZ!$A$5:$A$494,0)),I158*Parametros!$B$13)</f>
        <v>1254.74481724033</v>
      </c>
      <c r="K158" s="27" t="n">
        <f aca="false">IFERROR(VLOOKUP(C158,Parametros!$A$36:$B$66,2,FALSE()),Parametros!$B$12)</f>
        <v>1</v>
      </c>
      <c r="L158" s="23" t="n">
        <f aca="false">H158*J158*SQRT(K158)</f>
        <v>2576.93080152825</v>
      </c>
      <c r="M158" s="29" t="n">
        <v>73</v>
      </c>
      <c r="N158" s="24" t="n">
        <v>0.26027397260274</v>
      </c>
      <c r="O158" s="3" t="s">
        <v>772</v>
      </c>
      <c r="P158" s="30" t="n">
        <f aca="false">IF(AND(ISNUMBER(M158),ISNUMBER(N158)),M158*N158/7,"")</f>
        <v>2.71428571428572</v>
      </c>
      <c r="Q158" s="23" t="n">
        <f aca="false">IF(ISNUMBER(P158),I158*P158,"")</f>
        <v>20319.6857142857</v>
      </c>
      <c r="R158" s="23" t="n">
        <f aca="false">IF(ISNUMBER(Q158),MAX(0,MIN(L158,Q158-I158*K158)),L158)</f>
        <v>2576.93080152825</v>
      </c>
      <c r="S158" s="23" t="n">
        <f aca="false">R158+I158*K158</f>
        <v>10063.1308015283</v>
      </c>
      <c r="T158" s="23" t="n">
        <v>11719.6</v>
      </c>
      <c r="U158" s="23" t="n">
        <v>6969</v>
      </c>
      <c r="V158" s="23" t="n">
        <f aca="false">T158+U158</f>
        <v>18688.6</v>
      </c>
      <c r="W158" s="30" t="n">
        <f aca="false">IF(I158&gt;0,V158/I158,"")</f>
        <v>2.49640672170126</v>
      </c>
      <c r="X158" s="3" t="str">
        <f aca="false">IF(I158&lt;=0,"SIN FCST",IF(V158&lt;R158,"BAJO SS",IF(T158&lt;R158,"BAJO SS (XLIB CUBRE)",IF(V158&lt;S158,"BAJO P.REORDEN",IF(AND(ISNUMBER(Q158),V158&gt;Q158),"SOBRE MAX VENDIBLE","OK")))))</f>
        <v>OK</v>
      </c>
    </row>
    <row r="159" customFormat="false" ht="15" hidden="false" customHeight="false" outlineLevel="0" collapsed="false">
      <c r="A159" s="3" t="n">
        <v>30002165</v>
      </c>
      <c r="B159" s="3" t="s">
        <v>314</v>
      </c>
      <c r="C159" s="3" t="s">
        <v>155</v>
      </c>
      <c r="D159" s="3" t="s">
        <v>761</v>
      </c>
      <c r="E159" s="3" t="s">
        <v>762</v>
      </c>
      <c r="F159" s="3" t="str">
        <f aca="false">IFERROR(INDEX(ABC_XYZ!$L$5:$L$494,MATCH(A159,ABC_XYZ!$A$5:$A$494,0)),"SIN HIST")</f>
        <v>AX</v>
      </c>
      <c r="G159" s="24" t="n">
        <f aca="false">IF(LEFT(F159,1)="A",Parametros!$B$8,IF(LEFT(F159,1)="B",Parametros!$B$9,IF(LEFT(F159,1)="C",Parametros!$B$10,Parametros!$B$11)))</f>
        <v>0.98</v>
      </c>
      <c r="H159" s="27" t="n">
        <f aca="false">NORMSINV(G159)</f>
        <v>2.05374891063182</v>
      </c>
      <c r="I159" s="23" t="n">
        <v>7407.6</v>
      </c>
      <c r="J159" s="23" t="n">
        <f aca="false">IFERROR(INDEX(ABC_XYZ!$R$5:$R$494,MATCH(A159,ABC_XYZ!$A$5:$A$494,0)),I159*Parametros!$B$13)</f>
        <v>1670.67219847139</v>
      </c>
      <c r="K159" s="27" t="n">
        <f aca="false">IFERROR(VLOOKUP(C159,Parametros!$A$36:$B$66,2,FALSE()),Parametros!$B$12)</f>
        <v>1</v>
      </c>
      <c r="L159" s="23" t="n">
        <f aca="false">H159*J159*SQRT(K159)</f>
        <v>3431.14120763348</v>
      </c>
      <c r="M159" s="29" t="n">
        <v>60</v>
      </c>
      <c r="N159" s="24" t="n">
        <v>0.183333333333333</v>
      </c>
      <c r="O159" s="3" t="s">
        <v>754</v>
      </c>
      <c r="P159" s="30" t="n">
        <f aca="false">IF(AND(ISNUMBER(M159),ISNUMBER(N159)),M159*N159/7,"")</f>
        <v>1.57142857142857</v>
      </c>
      <c r="Q159" s="23" t="n">
        <f aca="false">IF(ISNUMBER(P159),I159*P159,"")</f>
        <v>11640.5142857143</v>
      </c>
      <c r="R159" s="23" t="n">
        <f aca="false">IF(ISNUMBER(Q159),MAX(0,MIN(L159,Q159-I159*K159)),L159)</f>
        <v>3431.14120763348</v>
      </c>
      <c r="S159" s="23" t="n">
        <f aca="false">R159+I159*K159</f>
        <v>10838.7412076335</v>
      </c>
      <c r="T159" s="23" t="n">
        <v>20.2</v>
      </c>
      <c r="U159" s="23" t="n">
        <v>0</v>
      </c>
      <c r="V159" s="23" t="n">
        <f aca="false">T159+U159</f>
        <v>20.2</v>
      </c>
      <c r="W159" s="30" t="n">
        <f aca="false">IF(I159&gt;0,V159/I159,"")</f>
        <v>0.0027269290998434</v>
      </c>
      <c r="X159" s="3" t="str">
        <f aca="false">IF(I159&lt;=0,"SIN FCST",IF(V159&lt;R159,"BAJO SS",IF(T159&lt;R159,"BAJO SS (XLIB CUBRE)",IF(V159&lt;S159,"BAJO P.REORDEN",IF(AND(ISNUMBER(Q159),V159&gt;Q159),"SOBRE MAX VENDIBLE","OK")))))</f>
        <v>BAJO SS</v>
      </c>
    </row>
    <row r="160" customFormat="false" ht="15" hidden="false" customHeight="false" outlineLevel="0" collapsed="false">
      <c r="A160" s="3" t="n">
        <v>30001944</v>
      </c>
      <c r="B160" s="3" t="s">
        <v>336</v>
      </c>
      <c r="C160" s="3" t="s">
        <v>135</v>
      </c>
      <c r="D160" s="3" t="s">
        <v>753</v>
      </c>
      <c r="E160" s="3" t="s">
        <v>762</v>
      </c>
      <c r="F160" s="3" t="str">
        <f aca="false">IFERROR(INDEX(ABC_XYZ!$L$5:$L$494,MATCH(A160,ABC_XYZ!$A$5:$A$494,0)),"SIN HIST")</f>
        <v>AX</v>
      </c>
      <c r="G160" s="24" t="n">
        <f aca="false">IF(LEFT(F160,1)="A",Parametros!$B$8,IF(LEFT(F160,1)="B",Parametros!$B$9,IF(LEFT(F160,1)="C",Parametros!$B$10,Parametros!$B$11)))</f>
        <v>0.98</v>
      </c>
      <c r="H160" s="27" t="n">
        <f aca="false">NORMSINV(G160)</f>
        <v>2.05374891063182</v>
      </c>
      <c r="I160" s="23" t="n">
        <v>7325</v>
      </c>
      <c r="J160" s="23" t="n">
        <f aca="false">IFERROR(INDEX(ABC_XYZ!$R$5:$R$494,MATCH(A160,ABC_XYZ!$A$5:$A$494,0)),I160*Parametros!$B$13)</f>
        <v>1341.83061701095</v>
      </c>
      <c r="K160" s="27" t="n">
        <f aca="false">IFERROR(VLOOKUP(C160,Parametros!$A$36:$B$66,2,FALSE()),Parametros!$B$12)</f>
        <v>1</v>
      </c>
      <c r="L160" s="23" t="n">
        <f aca="false">H160*J160*SQRT(K160)</f>
        <v>2755.78316793867</v>
      </c>
      <c r="M160" s="29" t="n">
        <v>70</v>
      </c>
      <c r="N160" s="24" t="n">
        <v>0.185714285714286</v>
      </c>
      <c r="O160" s="3" t="s">
        <v>754</v>
      </c>
      <c r="P160" s="30" t="n">
        <f aca="false">IF(AND(ISNUMBER(M160),ISNUMBER(N160)),M160*N160/7,"")</f>
        <v>1.85714285714286</v>
      </c>
      <c r="Q160" s="23" t="n">
        <f aca="false">IF(ISNUMBER(P160),I160*P160,"")</f>
        <v>13603.5714285714</v>
      </c>
      <c r="R160" s="23" t="n">
        <f aca="false">IF(ISNUMBER(Q160),MAX(0,MIN(L160,Q160-I160*K160)),L160)</f>
        <v>2755.78316793867</v>
      </c>
      <c r="S160" s="23" t="n">
        <f aca="false">R160+I160*K160</f>
        <v>10080.7831679387</v>
      </c>
      <c r="T160" s="23" t="n">
        <v>7593.6</v>
      </c>
      <c r="U160" s="23" t="n">
        <v>9417.6</v>
      </c>
      <c r="V160" s="23" t="n">
        <f aca="false">T160+U160</f>
        <v>17011.2</v>
      </c>
      <c r="W160" s="30" t="n">
        <f aca="false">IF(I160&gt;0,V160/I160,"")</f>
        <v>2.32234812286689</v>
      </c>
      <c r="X160" s="3" t="str">
        <f aca="false">IF(I160&lt;=0,"SIN FCST",IF(V160&lt;R160,"BAJO SS",IF(T160&lt;R160,"BAJO SS (XLIB CUBRE)",IF(V160&lt;S160,"BAJO P.REORDEN",IF(AND(ISNUMBER(Q160),V160&gt;Q160),"SOBRE MAX VENDIBLE","OK")))))</f>
        <v>SOBRE MAX VENDIBLE</v>
      </c>
    </row>
    <row r="161" customFormat="false" ht="15" hidden="false" customHeight="false" outlineLevel="0" collapsed="false">
      <c r="A161" s="3" t="n">
        <v>30002336</v>
      </c>
      <c r="B161" s="3" t="s">
        <v>862</v>
      </c>
      <c r="C161" s="3" t="s">
        <v>149</v>
      </c>
      <c r="D161" s="3"/>
      <c r="E161" s="3"/>
      <c r="F161" s="3" t="str">
        <f aca="false">IFERROR(INDEX(ABC_XYZ!$L$5:$L$494,MATCH(A161,ABC_XYZ!$A$5:$A$494,0)),"SIN HIST")</f>
        <v>AX</v>
      </c>
      <c r="G161" s="24" t="n">
        <f aca="false">IF(LEFT(F161,1)="A",Parametros!$B$8,IF(LEFT(F161,1)="B",Parametros!$B$9,IF(LEFT(F161,1)="C",Parametros!$B$10,Parametros!$B$11)))</f>
        <v>0.98</v>
      </c>
      <c r="H161" s="27" t="n">
        <f aca="false">NORMSINV(G161)</f>
        <v>2.05374891063182</v>
      </c>
      <c r="I161" s="23" t="n">
        <v>7308.7</v>
      </c>
      <c r="J161" s="23" t="n">
        <f aca="false">IFERROR(INDEX(ABC_XYZ!$R$5:$R$494,MATCH(A161,ABC_XYZ!$A$5:$A$494,0)),I161*Parametros!$B$13)</f>
        <v>4793.48899772283</v>
      </c>
      <c r="K161" s="27" t="n">
        <f aca="false">IFERROR(VLOOKUP(C161,Parametros!$A$36:$B$66,2,FALSE()),Parametros!$B$12)</f>
        <v>1</v>
      </c>
      <c r="L161" s="23" t="n">
        <f aca="false">H161*J161*SQRT(K161)</f>
        <v>9844.62280719889</v>
      </c>
      <c r="M161" s="29"/>
      <c r="N161" s="24"/>
      <c r="O161" s="3"/>
      <c r="P161" s="30" t="str">
        <f aca="false">IF(AND(ISNUMBER(M161),ISNUMBER(N161)),M161*N161/7,"")</f>
        <v/>
      </c>
      <c r="Q161" s="23" t="str">
        <f aca="false">IF(ISNUMBER(P161),I161*P161,"")</f>
        <v/>
      </c>
      <c r="R161" s="23" t="n">
        <f aca="false">IF(ISNUMBER(Q161),MAX(0,MIN(L161,Q161-I161*K161)),L161)</f>
        <v>9844.62280719889</v>
      </c>
      <c r="S161" s="23" t="n">
        <f aca="false">R161+I161*K161</f>
        <v>17153.3228071989</v>
      </c>
      <c r="T161" s="23" t="n">
        <v>42170</v>
      </c>
      <c r="U161" s="23" t="n">
        <v>31010</v>
      </c>
      <c r="V161" s="23" t="n">
        <f aca="false">T161+U161</f>
        <v>73180</v>
      </c>
      <c r="W161" s="30" t="n">
        <f aca="false">IF(I161&gt;0,V161/I161,"")</f>
        <v>10.0127245611395</v>
      </c>
      <c r="X161" s="3" t="str">
        <f aca="false">IF(I161&lt;=0,"SIN FCST",IF(V161&lt;R161,"BAJO SS",IF(T161&lt;R161,"BAJO SS (XLIB CUBRE)",IF(V161&lt;S161,"BAJO P.REORDEN",IF(AND(ISNUMBER(Q161),V161&gt;Q161),"SOBRE MAX VENDIBLE","OK")))))</f>
        <v>OK</v>
      </c>
    </row>
    <row r="162" customFormat="false" ht="15" hidden="false" customHeight="false" outlineLevel="0" collapsed="false">
      <c r="A162" s="3" t="n">
        <v>30000774</v>
      </c>
      <c r="B162" s="3" t="s">
        <v>863</v>
      </c>
      <c r="C162" s="3" t="s">
        <v>133</v>
      </c>
      <c r="D162" s="3" t="s">
        <v>769</v>
      </c>
      <c r="E162" s="3"/>
      <c r="F162" s="3" t="str">
        <f aca="false">IFERROR(INDEX(ABC_XYZ!$L$5:$L$494,MATCH(A162,ABC_XYZ!$A$5:$A$494,0)),"SIN HIST")</f>
        <v>SIN HIST</v>
      </c>
      <c r="G162" s="24" t="n">
        <f aca="false">IF(LEFT(F162,1)="A",Parametros!$B$8,IF(LEFT(F162,1)="B",Parametros!$B$9,IF(LEFT(F162,1)="C",Parametros!$B$10,Parametros!$B$11)))</f>
        <v>0.95</v>
      </c>
      <c r="H162" s="27" t="n">
        <f aca="false">NORMSINV(G162)</f>
        <v>1.64485362695147</v>
      </c>
      <c r="I162" s="23" t="n">
        <v>7306.2</v>
      </c>
      <c r="J162" s="23" t="n">
        <f aca="false">IFERROR(INDEX(ABC_XYZ!$R$5:$R$494,MATCH(A162,ABC_XYZ!$A$5:$A$494,0)),I162*Parametros!$B$13)</f>
        <v>2191.86</v>
      </c>
      <c r="K162" s="27" t="n">
        <f aca="false">IFERROR(VLOOKUP(C162,Parametros!$A$36:$B$66,2,FALSE()),Parametros!$B$12)</f>
        <v>1</v>
      </c>
      <c r="L162" s="23" t="n">
        <f aca="false">H162*J162*SQRT(K162)</f>
        <v>3605.28887076985</v>
      </c>
      <c r="M162" s="29"/>
      <c r="N162" s="24"/>
      <c r="O162" s="3"/>
      <c r="P162" s="30" t="str">
        <f aca="false">IF(AND(ISNUMBER(M162),ISNUMBER(N162)),M162*N162/7,"")</f>
        <v/>
      </c>
      <c r="Q162" s="23" t="str">
        <f aca="false">IF(ISNUMBER(P162),I162*P162,"")</f>
        <v/>
      </c>
      <c r="R162" s="23" t="n">
        <f aca="false">IF(ISNUMBER(Q162),MAX(0,MIN(L162,Q162-I162*K162)),L162)</f>
        <v>3605.28887076985</v>
      </c>
      <c r="S162" s="23" t="n">
        <f aca="false">R162+I162*K162</f>
        <v>10911.4888707699</v>
      </c>
      <c r="T162" s="23" t="n">
        <v>31608</v>
      </c>
      <c r="U162" s="23" t="n">
        <v>0</v>
      </c>
      <c r="V162" s="23" t="n">
        <f aca="false">T162+U162</f>
        <v>31608</v>
      </c>
      <c r="W162" s="30" t="n">
        <f aca="false">IF(I162&gt;0,V162/I162,"")</f>
        <v>4.32618871643262</v>
      </c>
      <c r="X162" s="3" t="str">
        <f aca="false">IF(I162&lt;=0,"SIN FCST",IF(V162&lt;R162,"BAJO SS",IF(T162&lt;R162,"BAJO SS (XLIB CUBRE)",IF(V162&lt;S162,"BAJO P.REORDEN",IF(AND(ISNUMBER(Q162),V162&gt;Q162),"SOBRE MAX VENDIBLE","OK")))))</f>
        <v>OK</v>
      </c>
    </row>
    <row r="163" customFormat="false" ht="15" hidden="false" customHeight="false" outlineLevel="0" collapsed="false">
      <c r="A163" s="3" t="n">
        <v>30001815</v>
      </c>
      <c r="B163" s="3" t="s">
        <v>332</v>
      </c>
      <c r="C163" s="3" t="s">
        <v>149</v>
      </c>
      <c r="D163" s="3" t="s">
        <v>744</v>
      </c>
      <c r="E163" s="3" t="s">
        <v>762</v>
      </c>
      <c r="F163" s="3" t="str">
        <f aca="false">IFERROR(INDEX(ABC_XYZ!$L$5:$L$494,MATCH(A163,ABC_XYZ!$A$5:$A$494,0)),"SIN HIST")</f>
        <v>AX</v>
      </c>
      <c r="G163" s="24" t="n">
        <f aca="false">IF(LEFT(F163,1)="A",Parametros!$B$8,IF(LEFT(F163,1)="B",Parametros!$B$9,IF(LEFT(F163,1)="C",Parametros!$B$10,Parametros!$B$11)))</f>
        <v>0.98</v>
      </c>
      <c r="H163" s="27" t="n">
        <f aca="false">NORMSINV(G163)</f>
        <v>2.05374891063182</v>
      </c>
      <c r="I163" s="23" t="n">
        <v>7300</v>
      </c>
      <c r="J163" s="23" t="n">
        <f aca="false">IFERROR(INDEX(ABC_XYZ!$R$5:$R$494,MATCH(A163,ABC_XYZ!$A$5:$A$494,0)),I163*Parametros!$B$13)</f>
        <v>1689.35313016907</v>
      </c>
      <c r="K163" s="27" t="n">
        <f aca="false">IFERROR(VLOOKUP(C163,Parametros!$A$36:$B$66,2,FALSE()),Parametros!$B$12)</f>
        <v>1</v>
      </c>
      <c r="L163" s="23" t="n">
        <f aca="false">H163*J163*SQRT(K163)</f>
        <v>3469.50715075719</v>
      </c>
      <c r="M163" s="29" t="n">
        <v>184</v>
      </c>
      <c r="N163" s="24" t="n">
        <v>0.211956521739131</v>
      </c>
      <c r="O163" s="3" t="s">
        <v>754</v>
      </c>
      <c r="P163" s="30" t="n">
        <f aca="false">IF(AND(ISNUMBER(M163),ISNUMBER(N163)),M163*N163/7,"")</f>
        <v>5.57142857142857</v>
      </c>
      <c r="Q163" s="23" t="n">
        <f aca="false">IF(ISNUMBER(P163),I163*P163,"")</f>
        <v>40671.4285714286</v>
      </c>
      <c r="R163" s="23" t="n">
        <f aca="false">IF(ISNUMBER(Q163),MAX(0,MIN(L163,Q163-I163*K163)),L163)</f>
        <v>3469.50715075719</v>
      </c>
      <c r="S163" s="23" t="n">
        <f aca="false">R163+I163*K163</f>
        <v>10769.5071507572</v>
      </c>
      <c r="T163" s="23" t="n">
        <v>13880</v>
      </c>
      <c r="U163" s="23" t="n">
        <v>0</v>
      </c>
      <c r="V163" s="23" t="n">
        <f aca="false">T163+U163</f>
        <v>13880</v>
      </c>
      <c r="W163" s="30" t="n">
        <f aca="false">IF(I163&gt;0,V163/I163,"")</f>
        <v>1.9013698630137</v>
      </c>
      <c r="X163" s="3" t="str">
        <f aca="false">IF(I163&lt;=0,"SIN FCST",IF(V163&lt;R163,"BAJO SS",IF(T163&lt;R163,"BAJO SS (XLIB CUBRE)",IF(V163&lt;S163,"BAJO P.REORDEN",IF(AND(ISNUMBER(Q163),V163&gt;Q163),"SOBRE MAX VENDIBLE","OK")))))</f>
        <v>OK</v>
      </c>
    </row>
    <row r="164" customFormat="false" ht="15" hidden="false" customHeight="false" outlineLevel="0" collapsed="false">
      <c r="A164" s="3" t="n">
        <v>30000354</v>
      </c>
      <c r="B164" s="3" t="s">
        <v>864</v>
      </c>
      <c r="C164" s="3" t="s">
        <v>139</v>
      </c>
      <c r="D164" s="3" t="s">
        <v>753</v>
      </c>
      <c r="E164" s="3" t="s">
        <v>745</v>
      </c>
      <c r="F164" s="3" t="str">
        <f aca="false">IFERROR(INDEX(ABC_XYZ!$L$5:$L$494,MATCH(A164,ABC_XYZ!$A$5:$A$494,0)),"SIN HIST")</f>
        <v>BX</v>
      </c>
      <c r="G164" s="24" t="n">
        <f aca="false">IF(LEFT(F164,1)="A",Parametros!$B$8,IF(LEFT(F164,1)="B",Parametros!$B$9,IF(LEFT(F164,1)="C",Parametros!$B$10,Parametros!$B$11)))</f>
        <v>0.95</v>
      </c>
      <c r="H164" s="27" t="n">
        <f aca="false">NORMSINV(G164)</f>
        <v>1.64485362695147</v>
      </c>
      <c r="I164" s="23" t="n">
        <v>7298</v>
      </c>
      <c r="J164" s="23" t="n">
        <f aca="false">IFERROR(INDEX(ABC_XYZ!$R$5:$R$494,MATCH(A164,ABC_XYZ!$A$5:$A$494,0)),I164*Parametros!$B$13)</f>
        <v>1342.50804004701</v>
      </c>
      <c r="K164" s="27" t="n">
        <f aca="false">IFERROR(VLOOKUP(C164,Parametros!$A$36:$B$66,2,FALSE()),Parametros!$B$12)</f>
        <v>1</v>
      </c>
      <c r="L164" s="23" t="n">
        <f aca="false">H164*J164*SQRT(K164)</f>
        <v>2208.22921888284</v>
      </c>
      <c r="M164" s="29" t="n">
        <v>189</v>
      </c>
      <c r="N164" s="24" t="n">
        <v>0.275132275132275</v>
      </c>
      <c r="O164" s="3" t="s">
        <v>746</v>
      </c>
      <c r="P164" s="30" t="n">
        <f aca="false">IF(AND(ISNUMBER(M164),ISNUMBER(N164)),M164*N164/7,"")</f>
        <v>7.42857142857143</v>
      </c>
      <c r="Q164" s="23" t="n">
        <f aca="false">IF(ISNUMBER(P164),I164*P164,"")</f>
        <v>54213.7142857143</v>
      </c>
      <c r="R164" s="23" t="n">
        <f aca="false">IF(ISNUMBER(Q164),MAX(0,MIN(L164,Q164-I164*K164)),L164)</f>
        <v>2208.22921888284</v>
      </c>
      <c r="S164" s="23" t="n">
        <f aca="false">R164+I164*K164</f>
        <v>9506.22921888284</v>
      </c>
      <c r="T164" s="23" t="n">
        <v>14226</v>
      </c>
      <c r="U164" s="23" t="n">
        <v>19008</v>
      </c>
      <c r="V164" s="23" t="n">
        <f aca="false">T164+U164</f>
        <v>33234</v>
      </c>
      <c r="W164" s="30" t="n">
        <f aca="false">IF(I164&gt;0,V164/I164,"")</f>
        <v>4.55385036996437</v>
      </c>
      <c r="X164" s="3" t="str">
        <f aca="false">IF(I164&lt;=0,"SIN FCST",IF(V164&lt;R164,"BAJO SS",IF(T164&lt;R164,"BAJO SS (XLIB CUBRE)",IF(V164&lt;S164,"BAJO P.REORDEN",IF(AND(ISNUMBER(Q164),V164&gt;Q164),"SOBRE MAX VENDIBLE","OK")))))</f>
        <v>OK</v>
      </c>
    </row>
    <row r="165" customFormat="false" ht="15" hidden="false" customHeight="false" outlineLevel="0" collapsed="false">
      <c r="A165" s="3" t="n">
        <v>30002272</v>
      </c>
      <c r="B165" s="3" t="s">
        <v>865</v>
      </c>
      <c r="C165" s="3" t="s">
        <v>139</v>
      </c>
      <c r="D165" s="3" t="s">
        <v>753</v>
      </c>
      <c r="E165" s="3"/>
      <c r="F165" s="3" t="str">
        <f aca="false">IFERROR(INDEX(ABC_XYZ!$L$5:$L$494,MATCH(A165,ABC_XYZ!$A$5:$A$494,0)),"SIN HIST")</f>
        <v>BX</v>
      </c>
      <c r="G165" s="24" t="n">
        <f aca="false">IF(LEFT(F165,1)="A",Parametros!$B$8,IF(LEFT(F165,1)="B",Parametros!$B$9,IF(LEFT(F165,1)="C",Parametros!$B$10,Parametros!$B$11)))</f>
        <v>0.95</v>
      </c>
      <c r="H165" s="27" t="n">
        <f aca="false">NORMSINV(G165)</f>
        <v>1.64485362695147</v>
      </c>
      <c r="I165" s="23" t="n">
        <v>7208.8</v>
      </c>
      <c r="J165" s="23" t="n">
        <f aca="false">IFERROR(INDEX(ABC_XYZ!$R$5:$R$494,MATCH(A165,ABC_XYZ!$A$5:$A$494,0)),I165*Parametros!$B$13)</f>
        <v>1756.63323609743</v>
      </c>
      <c r="K165" s="27" t="n">
        <f aca="false">IFERROR(VLOOKUP(C165,Parametros!$A$36:$B$66,2,FALSE()),Parametros!$B$12)</f>
        <v>1</v>
      </c>
      <c r="L165" s="23" t="n">
        <f aca="false">H165*J165*SQRT(K165)</f>
        <v>2889.40454961835</v>
      </c>
      <c r="M165" s="29"/>
      <c r="N165" s="24"/>
      <c r="O165" s="3"/>
      <c r="P165" s="30" t="str">
        <f aca="false">IF(AND(ISNUMBER(M165),ISNUMBER(N165)),M165*N165/7,"")</f>
        <v/>
      </c>
      <c r="Q165" s="23" t="str">
        <f aca="false">IF(ISNUMBER(P165),I165*P165,"")</f>
        <v/>
      </c>
      <c r="R165" s="23" t="n">
        <f aca="false">IF(ISNUMBER(Q165),MAX(0,MIN(L165,Q165-I165*K165)),L165)</f>
        <v>2889.40454961835</v>
      </c>
      <c r="S165" s="23" t="n">
        <f aca="false">R165+I165*K165</f>
        <v>10098.2045496184</v>
      </c>
      <c r="T165" s="23" t="n">
        <v>12828</v>
      </c>
      <c r="U165" s="23" t="n">
        <v>0</v>
      </c>
      <c r="V165" s="23" t="n">
        <f aca="false">T165+U165</f>
        <v>12828</v>
      </c>
      <c r="W165" s="30" t="n">
        <f aca="false">IF(I165&gt;0,V165/I165,"")</f>
        <v>1.77949173232716</v>
      </c>
      <c r="X165" s="3" t="str">
        <f aca="false">IF(I165&lt;=0,"SIN FCST",IF(V165&lt;R165,"BAJO SS",IF(T165&lt;R165,"BAJO SS (XLIB CUBRE)",IF(V165&lt;S165,"BAJO P.REORDEN",IF(AND(ISNUMBER(Q165),V165&gt;Q165),"SOBRE MAX VENDIBLE","OK")))))</f>
        <v>OK</v>
      </c>
    </row>
    <row r="166" customFormat="false" ht="15" hidden="false" customHeight="false" outlineLevel="0" collapsed="false">
      <c r="A166" s="3" t="n">
        <v>30001058</v>
      </c>
      <c r="B166" s="3" t="s">
        <v>866</v>
      </c>
      <c r="C166" s="3" t="s">
        <v>155</v>
      </c>
      <c r="D166" s="3" t="s">
        <v>761</v>
      </c>
      <c r="E166" s="3" t="s">
        <v>762</v>
      </c>
      <c r="F166" s="3" t="str">
        <f aca="false">IFERROR(INDEX(ABC_XYZ!$L$5:$L$494,MATCH(A166,ABC_XYZ!$A$5:$A$494,0)),"SIN HIST")</f>
        <v>AX</v>
      </c>
      <c r="G166" s="24" t="n">
        <f aca="false">IF(LEFT(F166,1)="A",Parametros!$B$8,IF(LEFT(F166,1)="B",Parametros!$B$9,IF(LEFT(F166,1)="C",Parametros!$B$10,Parametros!$B$11)))</f>
        <v>0.98</v>
      </c>
      <c r="H166" s="27" t="n">
        <f aca="false">NORMSINV(G166)</f>
        <v>2.05374891063182</v>
      </c>
      <c r="I166" s="23" t="n">
        <v>7151.5</v>
      </c>
      <c r="J166" s="23" t="n">
        <f aca="false">IFERROR(INDEX(ABC_XYZ!$R$5:$R$494,MATCH(A166,ABC_XYZ!$A$5:$A$494,0)),I166*Parametros!$B$13)</f>
        <v>3964.47211709082</v>
      </c>
      <c r="K166" s="27" t="n">
        <f aca="false">IFERROR(VLOOKUP(C166,Parametros!$A$36:$B$66,2,FALSE()),Parametros!$B$12)</f>
        <v>1</v>
      </c>
      <c r="L166" s="23" t="n">
        <f aca="false">H166*J166*SQRT(K166)</f>
        <v>8142.03029170551</v>
      </c>
      <c r="M166" s="29" t="n">
        <v>60</v>
      </c>
      <c r="N166" s="24" t="n">
        <v>0.3</v>
      </c>
      <c r="O166" s="3" t="s">
        <v>774</v>
      </c>
      <c r="P166" s="30" t="n">
        <f aca="false">IF(AND(ISNUMBER(M166),ISNUMBER(N166)),M166*N166/7,"")</f>
        <v>2.57142857142857</v>
      </c>
      <c r="Q166" s="23" t="n">
        <f aca="false">IF(ISNUMBER(P166),I166*P166,"")</f>
        <v>18389.5714285714</v>
      </c>
      <c r="R166" s="23" t="n">
        <f aca="false">IF(ISNUMBER(Q166),MAX(0,MIN(L166,Q166-I166*K166)),L166)</f>
        <v>8142.03029170551</v>
      </c>
      <c r="S166" s="23" t="n">
        <f aca="false">R166+I166*K166</f>
        <v>15293.5302917055</v>
      </c>
      <c r="T166" s="23" t="n">
        <v>268.8</v>
      </c>
      <c r="U166" s="23" t="n">
        <v>0</v>
      </c>
      <c r="V166" s="23" t="n">
        <f aca="false">T166+U166</f>
        <v>268.8</v>
      </c>
      <c r="W166" s="30" t="n">
        <f aca="false">IF(I166&gt;0,V166/I166,"")</f>
        <v>0.0375865203104244</v>
      </c>
      <c r="X166" s="3" t="str">
        <f aca="false">IF(I166&lt;=0,"SIN FCST",IF(V166&lt;R166,"BAJO SS",IF(T166&lt;R166,"BAJO SS (XLIB CUBRE)",IF(V166&lt;S166,"BAJO P.REORDEN",IF(AND(ISNUMBER(Q166),V166&gt;Q166),"SOBRE MAX VENDIBLE","OK")))))</f>
        <v>BAJO SS</v>
      </c>
    </row>
    <row r="167" customFormat="false" ht="15" hidden="false" customHeight="false" outlineLevel="0" collapsed="false">
      <c r="A167" s="3" t="n">
        <v>30000301</v>
      </c>
      <c r="B167" s="3" t="s">
        <v>323</v>
      </c>
      <c r="C167" s="3" t="s">
        <v>142</v>
      </c>
      <c r="D167" s="3" t="s">
        <v>750</v>
      </c>
      <c r="E167" s="3" t="s">
        <v>762</v>
      </c>
      <c r="F167" s="3" t="str">
        <f aca="false">IFERROR(INDEX(ABC_XYZ!$L$5:$L$494,MATCH(A167,ABC_XYZ!$A$5:$A$494,0)),"SIN HIST")</f>
        <v>AX</v>
      </c>
      <c r="G167" s="24" t="n">
        <f aca="false">IF(LEFT(F167,1)="A",Parametros!$B$8,IF(LEFT(F167,1)="B",Parametros!$B$9,IF(LEFT(F167,1)="C",Parametros!$B$10,Parametros!$B$11)))</f>
        <v>0.98</v>
      </c>
      <c r="H167" s="27" t="n">
        <f aca="false">NORMSINV(G167)</f>
        <v>2.05374891063182</v>
      </c>
      <c r="I167" s="23" t="n">
        <v>7150</v>
      </c>
      <c r="J167" s="23" t="n">
        <f aca="false">IFERROR(INDEX(ABC_XYZ!$R$5:$R$494,MATCH(A167,ABC_XYZ!$A$5:$A$494,0)),I167*Parametros!$B$13)</f>
        <v>2405.93943453348</v>
      </c>
      <c r="K167" s="27" t="n">
        <f aca="false">IFERROR(VLOOKUP(C167,Parametros!$A$36:$B$66,2,FALSE()),Parametros!$B$12)</f>
        <v>1</v>
      </c>
      <c r="L167" s="23" t="n">
        <f aca="false">H167*J167*SQRT(K167)</f>
        <v>4941.19549271928</v>
      </c>
      <c r="M167" s="29" t="n">
        <v>184</v>
      </c>
      <c r="N167" s="24" t="n">
        <v>0.315217391304348</v>
      </c>
      <c r="O167" s="3" t="s">
        <v>780</v>
      </c>
      <c r="P167" s="30" t="n">
        <f aca="false">IF(AND(ISNUMBER(M167),ISNUMBER(N167)),M167*N167/7,"")</f>
        <v>8.28571428571429</v>
      </c>
      <c r="Q167" s="23" t="n">
        <f aca="false">IF(ISNUMBER(P167),I167*P167,"")</f>
        <v>59242.8571428571</v>
      </c>
      <c r="R167" s="23" t="n">
        <f aca="false">IF(ISNUMBER(Q167),MAX(0,MIN(L167,Q167-I167*K167)),L167)</f>
        <v>4941.19549271928</v>
      </c>
      <c r="S167" s="23" t="n">
        <f aca="false">R167+I167*K167</f>
        <v>12091.1954927193</v>
      </c>
      <c r="T167" s="23" t="n">
        <v>4620</v>
      </c>
      <c r="U167" s="23" t="n">
        <v>9005</v>
      </c>
      <c r="V167" s="23" t="n">
        <f aca="false">T167+U167</f>
        <v>13625</v>
      </c>
      <c r="W167" s="30" t="n">
        <f aca="false">IF(I167&gt;0,V167/I167,"")</f>
        <v>1.90559440559441</v>
      </c>
      <c r="X167" s="3" t="str">
        <f aca="false">IF(I167&lt;=0,"SIN FCST",IF(V167&lt;R167,"BAJO SS",IF(T167&lt;R167,"BAJO SS (XLIB CUBRE)",IF(V167&lt;S167,"BAJO P.REORDEN",IF(AND(ISNUMBER(Q167),V167&gt;Q167),"SOBRE MAX VENDIBLE","OK")))))</f>
        <v>BAJO SS (XLIB CUBRE)</v>
      </c>
    </row>
    <row r="168" customFormat="false" ht="15" hidden="false" customHeight="false" outlineLevel="0" collapsed="false">
      <c r="A168" s="3" t="n">
        <v>30001094</v>
      </c>
      <c r="B168" s="3" t="s">
        <v>867</v>
      </c>
      <c r="C168" s="3" t="s">
        <v>155</v>
      </c>
      <c r="D168" s="3" t="s">
        <v>761</v>
      </c>
      <c r="E168" s="3" t="s">
        <v>762</v>
      </c>
      <c r="F168" s="3" t="str">
        <f aca="false">IFERROR(INDEX(ABC_XYZ!$L$5:$L$494,MATCH(A168,ABC_XYZ!$A$5:$A$494,0)),"SIN HIST")</f>
        <v>AX</v>
      </c>
      <c r="G168" s="24" t="n">
        <f aca="false">IF(LEFT(F168,1)="A",Parametros!$B$8,IF(LEFT(F168,1)="B",Parametros!$B$9,IF(LEFT(F168,1)="C",Parametros!$B$10,Parametros!$B$11)))</f>
        <v>0.98</v>
      </c>
      <c r="H168" s="27" t="n">
        <f aca="false">NORMSINV(G168)</f>
        <v>2.05374891063182</v>
      </c>
      <c r="I168" s="23" t="n">
        <v>7075.8</v>
      </c>
      <c r="J168" s="23" t="n">
        <f aca="false">IFERROR(INDEX(ABC_XYZ!$R$5:$R$494,MATCH(A168,ABC_XYZ!$A$5:$A$494,0)),I168*Parametros!$B$13)</f>
        <v>2253.85973506856</v>
      </c>
      <c r="K168" s="27" t="n">
        <f aca="false">IFERROR(VLOOKUP(C168,Parametros!$A$36:$B$66,2,FALSE()),Parametros!$B$12)</f>
        <v>1</v>
      </c>
      <c r="L168" s="23" t="n">
        <f aca="false">H168*J168*SQRT(K168)</f>
        <v>4628.86197561399</v>
      </c>
      <c r="M168" s="29" t="n">
        <v>57</v>
      </c>
      <c r="N168" s="24" t="n">
        <v>0.298245614035088</v>
      </c>
      <c r="O168" s="3" t="s">
        <v>763</v>
      </c>
      <c r="P168" s="30" t="n">
        <f aca="false">IF(AND(ISNUMBER(M168),ISNUMBER(N168)),M168*N168/7,"")</f>
        <v>2.42857142857143</v>
      </c>
      <c r="Q168" s="23" t="n">
        <f aca="false">IF(ISNUMBER(P168),I168*P168,"")</f>
        <v>17184.0857142857</v>
      </c>
      <c r="R168" s="23" t="n">
        <f aca="false">IF(ISNUMBER(Q168),MAX(0,MIN(L168,Q168-I168*K168)),L168)</f>
        <v>4628.86197561399</v>
      </c>
      <c r="S168" s="23" t="n">
        <f aca="false">R168+I168*K168</f>
        <v>11704.661975614</v>
      </c>
      <c r="T168" s="23" t="n">
        <v>8510.4</v>
      </c>
      <c r="U168" s="23" t="n">
        <v>0</v>
      </c>
      <c r="V168" s="23" t="n">
        <f aca="false">T168+U168</f>
        <v>8510.4</v>
      </c>
      <c r="W168" s="30" t="n">
        <f aca="false">IF(I168&gt;0,V168/I168,"")</f>
        <v>1.20274739252099</v>
      </c>
      <c r="X168" s="3" t="str">
        <f aca="false">IF(I168&lt;=0,"SIN FCST",IF(V168&lt;R168,"BAJO SS",IF(T168&lt;R168,"BAJO SS (XLIB CUBRE)",IF(V168&lt;S168,"BAJO P.REORDEN",IF(AND(ISNUMBER(Q168),V168&gt;Q168),"SOBRE MAX VENDIBLE","OK")))))</f>
        <v>BAJO P.REORDEN</v>
      </c>
    </row>
    <row r="169" customFormat="false" ht="15" hidden="false" customHeight="false" outlineLevel="0" collapsed="false">
      <c r="A169" s="3" t="n">
        <v>30001032</v>
      </c>
      <c r="B169" s="3" t="s">
        <v>868</v>
      </c>
      <c r="C169" s="3" t="s">
        <v>155</v>
      </c>
      <c r="D169" s="3" t="s">
        <v>761</v>
      </c>
      <c r="E169" s="3" t="s">
        <v>762</v>
      </c>
      <c r="F169" s="3" t="str">
        <f aca="false">IFERROR(INDEX(ABC_XYZ!$L$5:$L$494,MATCH(A169,ABC_XYZ!$A$5:$A$494,0)),"SIN HIST")</f>
        <v>AX</v>
      </c>
      <c r="G169" s="24" t="n">
        <f aca="false">IF(LEFT(F169,1)="A",Parametros!$B$8,IF(LEFT(F169,1)="B",Parametros!$B$9,IF(LEFT(F169,1)="C",Parametros!$B$10,Parametros!$B$11)))</f>
        <v>0.98</v>
      </c>
      <c r="H169" s="27" t="n">
        <f aca="false">NORMSINV(G169)</f>
        <v>2.05374891063182</v>
      </c>
      <c r="I169" s="23" t="n">
        <v>6991.5</v>
      </c>
      <c r="J169" s="23" t="n">
        <f aca="false">IFERROR(INDEX(ABC_XYZ!$R$5:$R$494,MATCH(A169,ABC_XYZ!$A$5:$A$494,0)),I169*Parametros!$B$13)</f>
        <v>2164.1939417541</v>
      </c>
      <c r="K169" s="27" t="n">
        <f aca="false">IFERROR(VLOOKUP(C169,Parametros!$A$36:$B$66,2,FALSE()),Parametros!$B$12)</f>
        <v>1</v>
      </c>
      <c r="L169" s="23" t="n">
        <f aca="false">H169*J169*SQRT(K169)</f>
        <v>4444.71095027347</v>
      </c>
      <c r="M169" s="29" t="n">
        <v>62</v>
      </c>
      <c r="N169" s="24" t="n">
        <v>0.193548387096774</v>
      </c>
      <c r="O169" s="3" t="s">
        <v>774</v>
      </c>
      <c r="P169" s="30" t="n">
        <f aca="false">IF(AND(ISNUMBER(M169),ISNUMBER(N169)),M169*N169/7,"")</f>
        <v>1.71428571428571</v>
      </c>
      <c r="Q169" s="23" t="n">
        <f aca="false">IF(ISNUMBER(P169),I169*P169,"")</f>
        <v>11985.4285714286</v>
      </c>
      <c r="R169" s="23" t="n">
        <f aca="false">IF(ISNUMBER(Q169),MAX(0,MIN(L169,Q169-I169*K169)),L169)</f>
        <v>4444.71095027347</v>
      </c>
      <c r="S169" s="23" t="n">
        <f aca="false">R169+I169*K169</f>
        <v>11436.2109502735</v>
      </c>
      <c r="T169" s="23" t="n">
        <v>9320.4</v>
      </c>
      <c r="U169" s="23" t="n">
        <v>0</v>
      </c>
      <c r="V169" s="23" t="n">
        <f aca="false">T169+U169</f>
        <v>9320.4</v>
      </c>
      <c r="W169" s="30" t="n">
        <f aca="false">IF(I169&gt;0,V169/I169,"")</f>
        <v>1.33310448401631</v>
      </c>
      <c r="X169" s="3" t="str">
        <f aca="false">IF(I169&lt;=0,"SIN FCST",IF(V169&lt;R169,"BAJO SS",IF(T169&lt;R169,"BAJO SS (XLIB CUBRE)",IF(V169&lt;S169,"BAJO P.REORDEN",IF(AND(ISNUMBER(Q169),V169&gt;Q169),"SOBRE MAX VENDIBLE","OK")))))</f>
        <v>BAJO P.REORDEN</v>
      </c>
    </row>
    <row r="170" customFormat="false" ht="15" hidden="false" customHeight="false" outlineLevel="0" collapsed="false">
      <c r="A170" s="3" t="n">
        <v>30000658</v>
      </c>
      <c r="B170" s="3" t="s">
        <v>869</v>
      </c>
      <c r="C170" s="3" t="s">
        <v>147</v>
      </c>
      <c r="D170" s="3" t="s">
        <v>753</v>
      </c>
      <c r="E170" s="3" t="s">
        <v>762</v>
      </c>
      <c r="F170" s="3" t="str">
        <f aca="false">IFERROR(INDEX(ABC_XYZ!$L$5:$L$494,MATCH(A170,ABC_XYZ!$A$5:$A$494,0)),"SIN HIST")</f>
        <v>AX</v>
      </c>
      <c r="G170" s="24" t="n">
        <f aca="false">IF(LEFT(F170,1)="A",Parametros!$B$8,IF(LEFT(F170,1)="B",Parametros!$B$9,IF(LEFT(F170,1)="C",Parametros!$B$10,Parametros!$B$11)))</f>
        <v>0.98</v>
      </c>
      <c r="H170" s="27" t="n">
        <f aca="false">NORMSINV(G170)</f>
        <v>2.05374891063182</v>
      </c>
      <c r="I170" s="23" t="n">
        <v>6980.7</v>
      </c>
      <c r="J170" s="23" t="n">
        <f aca="false">IFERROR(INDEX(ABC_XYZ!$R$5:$R$494,MATCH(A170,ABC_XYZ!$A$5:$A$494,0)),I170*Parametros!$B$13)</f>
        <v>1764.66302358716</v>
      </c>
      <c r="K170" s="27" t="n">
        <f aca="false">IFERROR(VLOOKUP(C170,Parametros!$A$36:$B$66,2,FALSE()),Parametros!$B$12)</f>
        <v>1</v>
      </c>
      <c r="L170" s="23" t="n">
        <f aca="false">H170*J170*SQRT(K170)</f>
        <v>3624.1747623244</v>
      </c>
      <c r="M170" s="29" t="n">
        <v>110</v>
      </c>
      <c r="N170" s="24" t="n">
        <v>0.318181818181818</v>
      </c>
      <c r="O170" s="3" t="s">
        <v>780</v>
      </c>
      <c r="P170" s="30" t="n">
        <f aca="false">IF(AND(ISNUMBER(M170),ISNUMBER(N170)),M170*N170/7,"")</f>
        <v>5</v>
      </c>
      <c r="Q170" s="23" t="n">
        <f aca="false">IF(ISNUMBER(P170),I170*P170,"")</f>
        <v>34903.5</v>
      </c>
      <c r="R170" s="23" t="n">
        <f aca="false">IF(ISNUMBER(Q170),MAX(0,MIN(L170,Q170-I170*K170)),L170)</f>
        <v>3624.1747623244</v>
      </c>
      <c r="S170" s="23" t="n">
        <f aca="false">R170+I170*K170</f>
        <v>10604.8747623244</v>
      </c>
      <c r="T170" s="23" t="n">
        <v>9328.8</v>
      </c>
      <c r="U170" s="23" t="n">
        <v>0</v>
      </c>
      <c r="V170" s="23" t="n">
        <f aca="false">T170+U170</f>
        <v>9328.8</v>
      </c>
      <c r="W170" s="30" t="n">
        <f aca="false">IF(I170&gt;0,V170/I170,"")</f>
        <v>1.33637027805234</v>
      </c>
      <c r="X170" s="3" t="str">
        <f aca="false">IF(I170&lt;=0,"SIN FCST",IF(V170&lt;R170,"BAJO SS",IF(T170&lt;R170,"BAJO SS (XLIB CUBRE)",IF(V170&lt;S170,"BAJO P.REORDEN",IF(AND(ISNUMBER(Q170),V170&gt;Q170),"SOBRE MAX VENDIBLE","OK")))))</f>
        <v>BAJO P.REORDEN</v>
      </c>
    </row>
    <row r="171" customFormat="false" ht="15" hidden="false" customHeight="false" outlineLevel="0" collapsed="false">
      <c r="A171" s="3" t="n">
        <v>30000857</v>
      </c>
      <c r="B171" s="3" t="s">
        <v>870</v>
      </c>
      <c r="C171" s="3" t="s">
        <v>133</v>
      </c>
      <c r="D171" s="3" t="s">
        <v>769</v>
      </c>
      <c r="E171" s="3"/>
      <c r="F171" s="3" t="str">
        <f aca="false">IFERROR(INDEX(ABC_XYZ!$L$5:$L$494,MATCH(A171,ABC_XYZ!$A$5:$A$494,0)),"SIN HIST")</f>
        <v>SIN HIST</v>
      </c>
      <c r="G171" s="24" t="n">
        <f aca="false">IF(LEFT(F171,1)="A",Parametros!$B$8,IF(LEFT(F171,1)="B",Parametros!$B$9,IF(LEFT(F171,1)="C",Parametros!$B$10,Parametros!$B$11)))</f>
        <v>0.95</v>
      </c>
      <c r="H171" s="27" t="n">
        <f aca="false">NORMSINV(G171)</f>
        <v>1.64485362695147</v>
      </c>
      <c r="I171" s="23" t="n">
        <v>6976.8</v>
      </c>
      <c r="J171" s="23" t="n">
        <f aca="false">IFERROR(INDEX(ABC_XYZ!$R$5:$R$494,MATCH(A171,ABC_XYZ!$A$5:$A$494,0)),I171*Parametros!$B$13)</f>
        <v>2093.04</v>
      </c>
      <c r="K171" s="27" t="n">
        <f aca="false">IFERROR(VLOOKUP(C171,Parametros!$A$36:$B$66,2,FALSE()),Parametros!$B$12)</f>
        <v>1</v>
      </c>
      <c r="L171" s="23" t="n">
        <f aca="false">H171*J171*SQRT(K171)</f>
        <v>3442.74443535451</v>
      </c>
      <c r="M171" s="29"/>
      <c r="N171" s="24"/>
      <c r="O171" s="3"/>
      <c r="P171" s="30" t="str">
        <f aca="false">IF(AND(ISNUMBER(M171),ISNUMBER(N171)),M171*N171/7,"")</f>
        <v/>
      </c>
      <c r="Q171" s="23" t="str">
        <f aca="false">IF(ISNUMBER(P171),I171*P171,"")</f>
        <v/>
      </c>
      <c r="R171" s="23" t="n">
        <f aca="false">IF(ISNUMBER(Q171),MAX(0,MIN(L171,Q171-I171*K171)),L171)</f>
        <v>3442.74443535451</v>
      </c>
      <c r="S171" s="23" t="n">
        <f aca="false">R171+I171*K171</f>
        <v>10419.5444353545</v>
      </c>
      <c r="T171" s="23" t="n">
        <v>93745</v>
      </c>
      <c r="U171" s="23" t="n">
        <v>43100</v>
      </c>
      <c r="V171" s="23" t="n">
        <f aca="false">T171+U171</f>
        <v>136845</v>
      </c>
      <c r="W171" s="30" t="n">
        <f aca="false">IF(I171&gt;0,V171/I171,"")</f>
        <v>19.6142930856553</v>
      </c>
      <c r="X171" s="3" t="str">
        <f aca="false">IF(I171&lt;=0,"SIN FCST",IF(V171&lt;R171,"BAJO SS",IF(T171&lt;R171,"BAJO SS (XLIB CUBRE)",IF(V171&lt;S171,"BAJO P.REORDEN",IF(AND(ISNUMBER(Q171),V171&gt;Q171),"SOBRE MAX VENDIBLE","OK")))))</f>
        <v>OK</v>
      </c>
    </row>
    <row r="172" customFormat="false" ht="15" hidden="false" customHeight="false" outlineLevel="0" collapsed="false">
      <c r="A172" s="3" t="n">
        <v>30001015</v>
      </c>
      <c r="B172" s="3" t="s">
        <v>871</v>
      </c>
      <c r="C172" s="3" t="s">
        <v>124</v>
      </c>
      <c r="D172" s="3" t="s">
        <v>750</v>
      </c>
      <c r="E172" s="3"/>
      <c r="F172" s="3" t="str">
        <f aca="false">IFERROR(INDEX(ABC_XYZ!$L$5:$L$494,MATCH(A172,ABC_XYZ!$A$5:$A$494,0)),"SIN HIST")</f>
        <v>SIN HIST</v>
      </c>
      <c r="G172" s="24" t="n">
        <f aca="false">IF(LEFT(F172,1)="A",Parametros!$B$8,IF(LEFT(F172,1)="B",Parametros!$B$9,IF(LEFT(F172,1)="C",Parametros!$B$10,Parametros!$B$11)))</f>
        <v>0.95</v>
      </c>
      <c r="H172" s="27" t="n">
        <f aca="false">NORMSINV(G172)</f>
        <v>1.64485362695147</v>
      </c>
      <c r="I172" s="23" t="n">
        <v>6976.7</v>
      </c>
      <c r="J172" s="23" t="n">
        <f aca="false">IFERROR(INDEX(ABC_XYZ!$R$5:$R$494,MATCH(A172,ABC_XYZ!$A$5:$A$494,0)),I172*Parametros!$B$13)</f>
        <v>2093.01</v>
      </c>
      <c r="K172" s="27" t="n">
        <f aca="false">IFERROR(VLOOKUP(C172,Parametros!$A$36:$B$66,2,FALSE()),Parametros!$B$12)</f>
        <v>1</v>
      </c>
      <c r="L172" s="23" t="n">
        <f aca="false">H172*J172*SQRT(K172)</f>
        <v>3442.6950897457</v>
      </c>
      <c r="M172" s="29"/>
      <c r="N172" s="24"/>
      <c r="O172" s="3"/>
      <c r="P172" s="30" t="str">
        <f aca="false">IF(AND(ISNUMBER(M172),ISNUMBER(N172)),M172*N172/7,"")</f>
        <v/>
      </c>
      <c r="Q172" s="23" t="str">
        <f aca="false">IF(ISNUMBER(P172),I172*P172,"")</f>
        <v/>
      </c>
      <c r="R172" s="23" t="n">
        <f aca="false">IF(ISNUMBER(Q172),MAX(0,MIN(L172,Q172-I172*K172)),L172)</f>
        <v>3442.6950897457</v>
      </c>
      <c r="S172" s="23" t="n">
        <f aca="false">R172+I172*K172</f>
        <v>10419.3950897457</v>
      </c>
      <c r="T172" s="23" t="n">
        <v>0</v>
      </c>
      <c r="U172" s="23" t="n">
        <v>0</v>
      </c>
      <c r="V172" s="23" t="n">
        <f aca="false">T172+U172</f>
        <v>0</v>
      </c>
      <c r="W172" s="30" t="n">
        <f aca="false">IF(I172&gt;0,V172/I172,"")</f>
        <v>0</v>
      </c>
      <c r="X172" s="3" t="str">
        <f aca="false">IF(I172&lt;=0,"SIN FCST",IF(V172&lt;R172,"BAJO SS",IF(T172&lt;R172,"BAJO SS (XLIB CUBRE)",IF(V172&lt;S172,"BAJO P.REORDEN",IF(AND(ISNUMBER(Q172),V172&gt;Q172),"SOBRE MAX VENDIBLE","OK")))))</f>
        <v>BAJO SS</v>
      </c>
    </row>
    <row r="173" customFormat="false" ht="15" hidden="false" customHeight="false" outlineLevel="0" collapsed="false">
      <c r="A173" s="3" t="n">
        <v>30000091</v>
      </c>
      <c r="B173" s="3" t="s">
        <v>872</v>
      </c>
      <c r="C173" s="3" t="s">
        <v>141</v>
      </c>
      <c r="D173" s="3" t="s">
        <v>750</v>
      </c>
      <c r="E173" s="3" t="s">
        <v>762</v>
      </c>
      <c r="F173" s="3" t="str">
        <f aca="false">IFERROR(INDEX(ABC_XYZ!$L$5:$L$494,MATCH(A173,ABC_XYZ!$A$5:$A$494,0)),"SIN HIST")</f>
        <v>SIN HIST</v>
      </c>
      <c r="G173" s="24" t="n">
        <f aca="false">IF(LEFT(F173,1)="A",Parametros!$B$8,IF(LEFT(F173,1)="B",Parametros!$B$9,IF(LEFT(F173,1)="C",Parametros!$B$10,Parametros!$B$11)))</f>
        <v>0.95</v>
      </c>
      <c r="H173" s="27" t="n">
        <f aca="false">NORMSINV(G173)</f>
        <v>1.64485362695147</v>
      </c>
      <c r="I173" s="23" t="n">
        <v>6976.7</v>
      </c>
      <c r="J173" s="23" t="n">
        <f aca="false">IFERROR(INDEX(ABC_XYZ!$R$5:$R$494,MATCH(A173,ABC_XYZ!$A$5:$A$494,0)),I173*Parametros!$B$13)</f>
        <v>2093.01</v>
      </c>
      <c r="K173" s="27" t="n">
        <f aca="false">IFERROR(VLOOKUP(C173,Parametros!$A$36:$B$66,2,FALSE()),Parametros!$B$12)</f>
        <v>1</v>
      </c>
      <c r="L173" s="23" t="n">
        <f aca="false">H173*J173*SQRT(K173)</f>
        <v>3442.6950897457</v>
      </c>
      <c r="M173" s="29" t="n">
        <v>184</v>
      </c>
      <c r="N173" s="24" t="n">
        <v>0.217391304347826</v>
      </c>
      <c r="O173" s="3" t="s">
        <v>754</v>
      </c>
      <c r="P173" s="30" t="n">
        <f aca="false">IF(AND(ISNUMBER(M173),ISNUMBER(N173)),M173*N173/7,"")</f>
        <v>5.71428571428572</v>
      </c>
      <c r="Q173" s="23" t="n">
        <f aca="false">IF(ISNUMBER(P173),I173*P173,"")</f>
        <v>39866.8571428572</v>
      </c>
      <c r="R173" s="23" t="n">
        <f aca="false">IF(ISNUMBER(Q173),MAX(0,MIN(L173,Q173-I173*K173)),L173)</f>
        <v>3442.6950897457</v>
      </c>
      <c r="S173" s="23" t="n">
        <f aca="false">R173+I173*K173</f>
        <v>10419.3950897457</v>
      </c>
      <c r="T173" s="23" t="n">
        <v>31220</v>
      </c>
      <c r="U173" s="23" t="n">
        <v>0</v>
      </c>
      <c r="V173" s="23" t="n">
        <f aca="false">T173+U173</f>
        <v>31220</v>
      </c>
      <c r="W173" s="30" t="n">
        <f aca="false">IF(I173&gt;0,V173/I173,"")</f>
        <v>4.47489500766838</v>
      </c>
      <c r="X173" s="3" t="str">
        <f aca="false">IF(I173&lt;=0,"SIN FCST",IF(V173&lt;R173,"BAJO SS",IF(T173&lt;R173,"BAJO SS (XLIB CUBRE)",IF(V173&lt;S173,"BAJO P.REORDEN",IF(AND(ISNUMBER(Q173),V173&gt;Q173),"SOBRE MAX VENDIBLE","OK")))))</f>
        <v>OK</v>
      </c>
    </row>
    <row r="174" customFormat="false" ht="15" hidden="false" customHeight="false" outlineLevel="0" collapsed="false">
      <c r="A174" s="3" t="n">
        <v>30001014</v>
      </c>
      <c r="B174" s="3" t="s">
        <v>873</v>
      </c>
      <c r="C174" s="3" t="s">
        <v>124</v>
      </c>
      <c r="D174" s="3" t="s">
        <v>750</v>
      </c>
      <c r="E174" s="3"/>
      <c r="F174" s="3" t="str">
        <f aca="false">IFERROR(INDEX(ABC_XYZ!$L$5:$L$494,MATCH(A174,ABC_XYZ!$A$5:$A$494,0)),"SIN HIST")</f>
        <v>SIN HIST</v>
      </c>
      <c r="G174" s="24" t="n">
        <f aca="false">IF(LEFT(F174,1)="A",Parametros!$B$8,IF(LEFT(F174,1)="B",Parametros!$B$9,IF(LEFT(F174,1)="C",Parametros!$B$10,Parametros!$B$11)))</f>
        <v>0.95</v>
      </c>
      <c r="H174" s="27" t="n">
        <f aca="false">NORMSINV(G174)</f>
        <v>1.64485362695147</v>
      </c>
      <c r="I174" s="23" t="n">
        <v>6976.7</v>
      </c>
      <c r="J174" s="23" t="n">
        <f aca="false">IFERROR(INDEX(ABC_XYZ!$R$5:$R$494,MATCH(A174,ABC_XYZ!$A$5:$A$494,0)),I174*Parametros!$B$13)</f>
        <v>2093.01</v>
      </c>
      <c r="K174" s="27" t="n">
        <f aca="false">IFERROR(VLOOKUP(C174,Parametros!$A$36:$B$66,2,FALSE()),Parametros!$B$12)</f>
        <v>1</v>
      </c>
      <c r="L174" s="23" t="n">
        <f aca="false">H174*J174*SQRT(K174)</f>
        <v>3442.6950897457</v>
      </c>
      <c r="M174" s="29"/>
      <c r="N174" s="24"/>
      <c r="O174" s="3"/>
      <c r="P174" s="30" t="str">
        <f aca="false">IF(AND(ISNUMBER(M174),ISNUMBER(N174)),M174*N174/7,"")</f>
        <v/>
      </c>
      <c r="Q174" s="23" t="str">
        <f aca="false">IF(ISNUMBER(P174),I174*P174,"")</f>
        <v/>
      </c>
      <c r="R174" s="23" t="n">
        <f aca="false">IF(ISNUMBER(Q174),MAX(0,MIN(L174,Q174-I174*K174)),L174)</f>
        <v>3442.6950897457</v>
      </c>
      <c r="S174" s="23" t="n">
        <f aca="false">R174+I174*K174</f>
        <v>10419.3950897457</v>
      </c>
      <c r="T174" s="23" t="n">
        <v>0</v>
      </c>
      <c r="U174" s="23" t="n">
        <v>0</v>
      </c>
      <c r="V174" s="23" t="n">
        <f aca="false">T174+U174</f>
        <v>0</v>
      </c>
      <c r="W174" s="30" t="n">
        <f aca="false">IF(I174&gt;0,V174/I174,"")</f>
        <v>0</v>
      </c>
      <c r="X174" s="3" t="str">
        <f aca="false">IF(I174&lt;=0,"SIN FCST",IF(V174&lt;R174,"BAJO SS",IF(T174&lt;R174,"BAJO SS (XLIB CUBRE)",IF(V174&lt;S174,"BAJO P.REORDEN",IF(AND(ISNUMBER(Q174),V174&gt;Q174),"SOBRE MAX VENDIBLE","OK")))))</f>
        <v>BAJO SS</v>
      </c>
    </row>
    <row r="175" customFormat="false" ht="15" hidden="false" customHeight="false" outlineLevel="0" collapsed="false">
      <c r="A175" s="3" t="n">
        <v>30000538</v>
      </c>
      <c r="B175" s="3" t="s">
        <v>874</v>
      </c>
      <c r="C175" s="3" t="s">
        <v>148</v>
      </c>
      <c r="D175" s="3" t="s">
        <v>753</v>
      </c>
      <c r="E175" s="3" t="s">
        <v>745</v>
      </c>
      <c r="F175" s="3" t="str">
        <f aca="false">IFERROR(INDEX(ABC_XYZ!$L$5:$L$494,MATCH(A175,ABC_XYZ!$A$5:$A$494,0)),"SIN HIST")</f>
        <v>SIN HIST</v>
      </c>
      <c r="G175" s="24" t="n">
        <f aca="false">IF(LEFT(F175,1)="A",Parametros!$B$8,IF(LEFT(F175,1)="B",Parametros!$B$9,IF(LEFT(F175,1)="C",Parametros!$B$10,Parametros!$B$11)))</f>
        <v>0.95</v>
      </c>
      <c r="H175" s="27" t="n">
        <f aca="false">NORMSINV(G175)</f>
        <v>1.64485362695147</v>
      </c>
      <c r="I175" s="23" t="n">
        <v>6869.8</v>
      </c>
      <c r="J175" s="23" t="n">
        <f aca="false">IFERROR(INDEX(ABC_XYZ!$R$5:$R$494,MATCH(A175,ABC_XYZ!$A$5:$A$494,0)),I175*Parametros!$B$13)</f>
        <v>2060.94</v>
      </c>
      <c r="K175" s="27" t="n">
        <f aca="false">IFERROR(VLOOKUP(C175,Parametros!$A$36:$B$66,2,FALSE()),Parametros!$B$12)</f>
        <v>1</v>
      </c>
      <c r="L175" s="23" t="n">
        <f aca="false">H175*J175*SQRT(K175)</f>
        <v>3389.94463392937</v>
      </c>
      <c r="M175" s="29" t="n">
        <v>184</v>
      </c>
      <c r="N175" s="24" t="n">
        <v>0.271739130434783</v>
      </c>
      <c r="O175" s="3" t="s">
        <v>746</v>
      </c>
      <c r="P175" s="30" t="n">
        <f aca="false">IF(AND(ISNUMBER(M175),ISNUMBER(N175)),M175*N175/7,"")</f>
        <v>7.14285714285714</v>
      </c>
      <c r="Q175" s="23" t="n">
        <f aca="false">IF(ISNUMBER(P175),I175*P175,"")</f>
        <v>49070</v>
      </c>
      <c r="R175" s="23" t="n">
        <f aca="false">IF(ISNUMBER(Q175),MAX(0,MIN(L175,Q175-I175*K175)),L175)</f>
        <v>3389.94463392937</v>
      </c>
      <c r="S175" s="23" t="n">
        <f aca="false">R175+I175*K175</f>
        <v>10259.7446339294</v>
      </c>
      <c r="T175" s="23" t="n">
        <v>17890</v>
      </c>
      <c r="U175" s="23" t="n">
        <v>0</v>
      </c>
      <c r="V175" s="23" t="n">
        <f aca="false">T175+U175</f>
        <v>17890</v>
      </c>
      <c r="W175" s="30" t="n">
        <f aca="false">IF(I175&gt;0,V175/I175,"")</f>
        <v>2.60415150368279</v>
      </c>
      <c r="X175" s="3" t="str">
        <f aca="false">IF(I175&lt;=0,"SIN FCST",IF(V175&lt;R175,"BAJO SS",IF(T175&lt;R175,"BAJO SS (XLIB CUBRE)",IF(V175&lt;S175,"BAJO P.REORDEN",IF(AND(ISNUMBER(Q175),V175&gt;Q175),"SOBRE MAX VENDIBLE","OK")))))</f>
        <v>OK</v>
      </c>
    </row>
    <row r="176" customFormat="false" ht="15" hidden="false" customHeight="false" outlineLevel="0" collapsed="false">
      <c r="A176" s="3" t="n">
        <v>30001711</v>
      </c>
      <c r="B176" s="3" t="s">
        <v>875</v>
      </c>
      <c r="C176" s="3" t="s">
        <v>155</v>
      </c>
      <c r="D176" s="3" t="s">
        <v>761</v>
      </c>
      <c r="E176" s="3" t="s">
        <v>762</v>
      </c>
      <c r="F176" s="3" t="str">
        <f aca="false">IFERROR(INDEX(ABC_XYZ!$L$5:$L$494,MATCH(A176,ABC_XYZ!$A$5:$A$494,0)),"SIN HIST")</f>
        <v>AX</v>
      </c>
      <c r="G176" s="24" t="n">
        <f aca="false">IF(LEFT(F176,1)="A",Parametros!$B$8,IF(LEFT(F176,1)="B",Parametros!$B$9,IF(LEFT(F176,1)="C",Parametros!$B$10,Parametros!$B$11)))</f>
        <v>0.98</v>
      </c>
      <c r="H176" s="27" t="n">
        <f aca="false">NORMSINV(G176)</f>
        <v>2.05374891063182</v>
      </c>
      <c r="I176" s="23" t="n">
        <v>6810.4</v>
      </c>
      <c r="J176" s="23" t="n">
        <f aca="false">IFERROR(INDEX(ABC_XYZ!$R$5:$R$494,MATCH(A176,ABC_XYZ!$A$5:$A$494,0)),I176*Parametros!$B$13)</f>
        <v>5524.99082839807</v>
      </c>
      <c r="K176" s="27" t="n">
        <f aca="false">IFERROR(VLOOKUP(C176,Parametros!$A$36:$B$66,2,FALSE()),Parametros!$B$12)</f>
        <v>1</v>
      </c>
      <c r="L176" s="23" t="n">
        <f aca="false">H176*J176*SQRT(K176)</f>
        <v>11346.9438950733</v>
      </c>
      <c r="M176" s="29" t="n">
        <v>71</v>
      </c>
      <c r="N176" s="24" t="n">
        <v>0.295774647887324</v>
      </c>
      <c r="O176" s="3" t="s">
        <v>774</v>
      </c>
      <c r="P176" s="30" t="n">
        <f aca="false">IF(AND(ISNUMBER(M176),ISNUMBER(N176)),M176*N176/7,"")</f>
        <v>3</v>
      </c>
      <c r="Q176" s="23" t="n">
        <f aca="false">IF(ISNUMBER(P176),I176*P176,"")</f>
        <v>20431.2</v>
      </c>
      <c r="R176" s="23" t="n">
        <f aca="false">IF(ISNUMBER(Q176),MAX(0,MIN(L176,Q176-I176*K176)),L176)</f>
        <v>11346.9438950733</v>
      </c>
      <c r="S176" s="23" t="n">
        <f aca="false">R176+I176*K176</f>
        <v>18157.3438950733</v>
      </c>
      <c r="T176" s="23" t="n">
        <v>3934.6</v>
      </c>
      <c r="U176" s="23" t="n">
        <v>0</v>
      </c>
      <c r="V176" s="23" t="n">
        <f aca="false">T176+U176</f>
        <v>3934.6</v>
      </c>
      <c r="W176" s="30" t="n">
        <f aca="false">IF(I176&gt;0,V176/I176,"")</f>
        <v>0.577734053800071</v>
      </c>
      <c r="X176" s="3" t="str">
        <f aca="false">IF(I176&lt;=0,"SIN FCST",IF(V176&lt;R176,"BAJO SS",IF(T176&lt;R176,"BAJO SS (XLIB CUBRE)",IF(V176&lt;S176,"BAJO P.REORDEN",IF(AND(ISNUMBER(Q176),V176&gt;Q176),"SOBRE MAX VENDIBLE","OK")))))</f>
        <v>BAJO SS</v>
      </c>
    </row>
    <row r="177" customFormat="false" ht="15" hidden="false" customHeight="false" outlineLevel="0" collapsed="false">
      <c r="A177" s="3" t="n">
        <v>30000733</v>
      </c>
      <c r="B177" s="3" t="s">
        <v>876</v>
      </c>
      <c r="C177" s="3" t="s">
        <v>133</v>
      </c>
      <c r="D177" s="3" t="s">
        <v>758</v>
      </c>
      <c r="E177" s="3"/>
      <c r="F177" s="3" t="str">
        <f aca="false">IFERROR(INDEX(ABC_XYZ!$L$5:$L$494,MATCH(A177,ABC_XYZ!$A$5:$A$494,0)),"SIN HIST")</f>
        <v>SIN HIST</v>
      </c>
      <c r="G177" s="24" t="n">
        <f aca="false">IF(LEFT(F177,1)="A",Parametros!$B$8,IF(LEFT(F177,1)="B",Parametros!$B$9,IF(LEFT(F177,1)="C",Parametros!$B$10,Parametros!$B$11)))</f>
        <v>0.95</v>
      </c>
      <c r="H177" s="27" t="n">
        <f aca="false">NORMSINV(G177)</f>
        <v>1.64485362695147</v>
      </c>
      <c r="I177" s="23" t="n">
        <v>6793.8</v>
      </c>
      <c r="J177" s="23" t="n">
        <f aca="false">IFERROR(INDEX(ABC_XYZ!$R$5:$R$494,MATCH(A177,ABC_XYZ!$A$5:$A$494,0)),I177*Parametros!$B$13)</f>
        <v>2038.14</v>
      </c>
      <c r="K177" s="27" t="n">
        <f aca="false">IFERROR(VLOOKUP(C177,Parametros!$A$36:$B$66,2,FALSE()),Parametros!$B$12)</f>
        <v>1</v>
      </c>
      <c r="L177" s="23" t="n">
        <f aca="false">H177*J177*SQRT(K177)</f>
        <v>3352.44197123487</v>
      </c>
      <c r="M177" s="29"/>
      <c r="N177" s="24"/>
      <c r="O177" s="3"/>
      <c r="P177" s="30" t="str">
        <f aca="false">IF(AND(ISNUMBER(M177),ISNUMBER(N177)),M177*N177/7,"")</f>
        <v/>
      </c>
      <c r="Q177" s="23" t="str">
        <f aca="false">IF(ISNUMBER(P177),I177*P177,"")</f>
        <v/>
      </c>
      <c r="R177" s="23" t="n">
        <f aca="false">IF(ISNUMBER(Q177),MAX(0,MIN(L177,Q177-I177*K177)),L177)</f>
        <v>3352.44197123487</v>
      </c>
      <c r="S177" s="23" t="n">
        <f aca="false">R177+I177*K177</f>
        <v>10146.2419712349</v>
      </c>
      <c r="T177" s="23" t="n">
        <v>24760</v>
      </c>
      <c r="U177" s="23" t="n">
        <v>0</v>
      </c>
      <c r="V177" s="23" t="n">
        <f aca="false">T177+U177</f>
        <v>24760</v>
      </c>
      <c r="W177" s="30" t="n">
        <f aca="false">IF(I177&gt;0,V177/I177,"")</f>
        <v>3.64449939650858</v>
      </c>
      <c r="X177" s="3" t="str">
        <f aca="false">IF(I177&lt;=0,"SIN FCST",IF(V177&lt;R177,"BAJO SS",IF(T177&lt;R177,"BAJO SS (XLIB CUBRE)",IF(V177&lt;S177,"BAJO P.REORDEN",IF(AND(ISNUMBER(Q177),V177&gt;Q177),"SOBRE MAX VENDIBLE","OK")))))</f>
        <v>OK</v>
      </c>
    </row>
    <row r="178" customFormat="false" ht="15" hidden="false" customHeight="false" outlineLevel="0" collapsed="false">
      <c r="A178" s="3" t="n">
        <v>30001882</v>
      </c>
      <c r="B178" s="3" t="s">
        <v>376</v>
      </c>
      <c r="C178" s="3" t="s">
        <v>130</v>
      </c>
      <c r="D178" s="3" t="s">
        <v>753</v>
      </c>
      <c r="E178" s="3" t="s">
        <v>745</v>
      </c>
      <c r="F178" s="3" t="str">
        <f aca="false">IFERROR(INDEX(ABC_XYZ!$L$5:$L$494,MATCH(A178,ABC_XYZ!$A$5:$A$494,0)),"SIN HIST")</f>
        <v>BX</v>
      </c>
      <c r="G178" s="24" t="n">
        <f aca="false">IF(LEFT(F178,1)="A",Parametros!$B$8,IF(LEFT(F178,1)="B",Parametros!$B$9,IF(LEFT(F178,1)="C",Parametros!$B$10,Parametros!$B$11)))</f>
        <v>0.95</v>
      </c>
      <c r="H178" s="27" t="n">
        <f aca="false">NORMSINV(G178)</f>
        <v>1.64485362695147</v>
      </c>
      <c r="I178" s="23" t="n">
        <v>6766.1</v>
      </c>
      <c r="J178" s="23" t="n">
        <f aca="false">IFERROR(INDEX(ABC_XYZ!$R$5:$R$494,MATCH(A178,ABC_XYZ!$A$5:$A$494,0)),I178*Parametros!$B$13)</f>
        <v>1167.64682241633</v>
      </c>
      <c r="K178" s="27" t="n">
        <f aca="false">IFERROR(VLOOKUP(C178,Parametros!$A$36:$B$66,2,FALSE()),Parametros!$B$12)</f>
        <v>1</v>
      </c>
      <c r="L178" s="23" t="n">
        <f aca="false">H178*J178*SQRT(K178)</f>
        <v>1920.60811084986</v>
      </c>
      <c r="M178" s="29" t="n">
        <v>184</v>
      </c>
      <c r="N178" s="24" t="n">
        <v>0.190217391304348</v>
      </c>
      <c r="O178" s="3" t="s">
        <v>746</v>
      </c>
      <c r="P178" s="30" t="n">
        <f aca="false">IF(AND(ISNUMBER(M178),ISNUMBER(N178)),M178*N178/7,"")</f>
        <v>5</v>
      </c>
      <c r="Q178" s="23" t="n">
        <f aca="false">IF(ISNUMBER(P178),I178*P178,"")</f>
        <v>33830.5</v>
      </c>
      <c r="R178" s="23" t="n">
        <f aca="false">IF(ISNUMBER(Q178),MAX(0,MIN(L178,Q178-I178*K178)),L178)</f>
        <v>1920.60811084986</v>
      </c>
      <c r="S178" s="23" t="n">
        <f aca="false">R178+I178*K178</f>
        <v>8686.70811084986</v>
      </c>
      <c r="T178" s="23" t="n">
        <v>8196</v>
      </c>
      <c r="U178" s="23" t="n">
        <v>6870</v>
      </c>
      <c r="V178" s="23" t="n">
        <f aca="false">T178+U178</f>
        <v>15066</v>
      </c>
      <c r="W178" s="30" t="n">
        <f aca="false">IF(I178&gt;0,V178/I178,"")</f>
        <v>2.22668893454132</v>
      </c>
      <c r="X178" s="3" t="str">
        <f aca="false">IF(I178&lt;=0,"SIN FCST",IF(V178&lt;R178,"BAJO SS",IF(T178&lt;R178,"BAJO SS (XLIB CUBRE)",IF(V178&lt;S178,"BAJO P.REORDEN",IF(AND(ISNUMBER(Q178),V178&gt;Q178),"SOBRE MAX VENDIBLE","OK")))))</f>
        <v>OK</v>
      </c>
    </row>
    <row r="179" customFormat="false" ht="15" hidden="false" customHeight="false" outlineLevel="0" collapsed="false">
      <c r="A179" s="3" t="n">
        <v>30001598</v>
      </c>
      <c r="B179" s="3" t="s">
        <v>383</v>
      </c>
      <c r="C179" s="3" t="s">
        <v>129</v>
      </c>
      <c r="D179" s="3" t="s">
        <v>753</v>
      </c>
      <c r="E179" s="3" t="s">
        <v>745</v>
      </c>
      <c r="F179" s="3" t="str">
        <f aca="false">IFERROR(INDEX(ABC_XYZ!$L$5:$L$494,MATCH(A179,ABC_XYZ!$A$5:$A$494,0)),"SIN HIST")</f>
        <v>BY</v>
      </c>
      <c r="G179" s="24" t="n">
        <f aca="false">IF(LEFT(F179,1)="A",Parametros!$B$8,IF(LEFT(F179,1)="B",Parametros!$B$9,IF(LEFT(F179,1)="C",Parametros!$B$10,Parametros!$B$11)))</f>
        <v>0.95</v>
      </c>
      <c r="H179" s="27" t="n">
        <f aca="false">NORMSINV(G179)</f>
        <v>1.64485362695147</v>
      </c>
      <c r="I179" s="23" t="n">
        <v>6685.2</v>
      </c>
      <c r="J179" s="23" t="n">
        <f aca="false">IFERROR(INDEX(ABC_XYZ!$R$5:$R$494,MATCH(A179,ABC_XYZ!$A$5:$A$494,0)),I179*Parametros!$B$13)</f>
        <v>3601.21928981468</v>
      </c>
      <c r="K179" s="27" t="n">
        <f aca="false">IFERROR(VLOOKUP(C179,Parametros!$A$36:$B$66,2,FALSE()),Parametros!$B$12)</f>
        <v>1</v>
      </c>
      <c r="L179" s="23" t="n">
        <f aca="false">H179*J179*SQRT(K179)</f>
        <v>5923.47861029928</v>
      </c>
      <c r="M179" s="29" t="n">
        <v>914</v>
      </c>
      <c r="N179" s="24" t="n">
        <v>0.464989059080963</v>
      </c>
      <c r="O179" s="3" t="s">
        <v>763</v>
      </c>
      <c r="P179" s="30" t="n">
        <f aca="false">IF(AND(ISNUMBER(M179),ISNUMBER(N179)),M179*N179/7,"")</f>
        <v>60.7142857142857</v>
      </c>
      <c r="Q179" s="23" t="n">
        <f aca="false">IF(ISNUMBER(P179),I179*P179,"")</f>
        <v>405887.142857143</v>
      </c>
      <c r="R179" s="23" t="n">
        <f aca="false">IF(ISNUMBER(Q179),MAX(0,MIN(L179,Q179-I179*K179)),L179)</f>
        <v>5923.47861029928</v>
      </c>
      <c r="S179" s="23" t="n">
        <f aca="false">R179+I179*K179</f>
        <v>12608.6786102993</v>
      </c>
      <c r="T179" s="23" t="n">
        <v>143824</v>
      </c>
      <c r="U179" s="23" t="n">
        <v>0</v>
      </c>
      <c r="V179" s="23" t="n">
        <f aca="false">T179+U179</f>
        <v>143824</v>
      </c>
      <c r="W179" s="30" t="n">
        <f aca="false">IF(I179&gt;0,V179/I179,"")</f>
        <v>21.5137916591875</v>
      </c>
      <c r="X179" s="3" t="str">
        <f aca="false">IF(I179&lt;=0,"SIN FCST",IF(V179&lt;R179,"BAJO SS",IF(T179&lt;R179,"BAJO SS (XLIB CUBRE)",IF(V179&lt;S179,"BAJO P.REORDEN",IF(AND(ISNUMBER(Q179),V179&gt;Q179),"SOBRE MAX VENDIBLE","OK")))))</f>
        <v>OK</v>
      </c>
    </row>
    <row r="180" customFormat="false" ht="15" hidden="false" customHeight="false" outlineLevel="0" collapsed="false">
      <c r="A180" s="3" t="n">
        <v>30000195</v>
      </c>
      <c r="B180" s="3" t="s">
        <v>877</v>
      </c>
      <c r="C180" s="3" t="s">
        <v>131</v>
      </c>
      <c r="D180" s="3" t="s">
        <v>753</v>
      </c>
      <c r="E180" s="3" t="s">
        <v>745</v>
      </c>
      <c r="F180" s="3" t="str">
        <f aca="false">IFERROR(INDEX(ABC_XYZ!$L$5:$L$494,MATCH(A180,ABC_XYZ!$A$5:$A$494,0)),"SIN HIST")</f>
        <v>BX</v>
      </c>
      <c r="G180" s="24" t="n">
        <f aca="false">IF(LEFT(F180,1)="A",Parametros!$B$8,IF(LEFT(F180,1)="B",Parametros!$B$9,IF(LEFT(F180,1)="C",Parametros!$B$10,Parametros!$B$11)))</f>
        <v>0.95</v>
      </c>
      <c r="H180" s="27" t="n">
        <f aca="false">NORMSINV(G180)</f>
        <v>1.64485362695147</v>
      </c>
      <c r="I180" s="23" t="n">
        <v>6670</v>
      </c>
      <c r="J180" s="23" t="n">
        <f aca="false">IFERROR(INDEX(ABC_XYZ!$R$5:$R$494,MATCH(A180,ABC_XYZ!$A$5:$A$494,0)),I180*Parametros!$B$13)</f>
        <v>1278.77780191348</v>
      </c>
      <c r="K180" s="27" t="n">
        <f aca="false">IFERROR(VLOOKUP(C180,Parametros!$A$36:$B$66,2,FALSE()),Parametros!$B$12)</f>
        <v>1</v>
      </c>
      <c r="L180" s="23" t="n">
        <f aca="false">H180*J180*SQRT(K180)</f>
        <v>2103.40230554242</v>
      </c>
      <c r="M180" s="29" t="n">
        <v>365</v>
      </c>
      <c r="N180" s="24" t="n">
        <v>0.194520547945206</v>
      </c>
      <c r="O180" s="3" t="s">
        <v>746</v>
      </c>
      <c r="P180" s="30" t="n">
        <f aca="false">IF(AND(ISNUMBER(M180),ISNUMBER(N180)),M180*N180/7,"")</f>
        <v>10.1428571428571</v>
      </c>
      <c r="Q180" s="23" t="n">
        <f aca="false">IF(ISNUMBER(P180),I180*P180,"")</f>
        <v>67652.8571428571</v>
      </c>
      <c r="R180" s="23" t="n">
        <f aca="false">IF(ISNUMBER(Q180),MAX(0,MIN(L180,Q180-I180*K180)),L180)</f>
        <v>2103.40230554242</v>
      </c>
      <c r="S180" s="23" t="n">
        <f aca="false">R180+I180*K180</f>
        <v>8773.40230554242</v>
      </c>
      <c r="T180" s="23" t="n">
        <v>14484</v>
      </c>
      <c r="U180" s="23" t="n">
        <v>0</v>
      </c>
      <c r="V180" s="23" t="n">
        <f aca="false">T180+U180</f>
        <v>14484</v>
      </c>
      <c r="W180" s="30" t="n">
        <f aca="false">IF(I180&gt;0,V180/I180,"")</f>
        <v>2.17151424287856</v>
      </c>
      <c r="X180" s="3" t="str">
        <f aca="false">IF(I180&lt;=0,"SIN FCST",IF(V180&lt;R180,"BAJO SS",IF(T180&lt;R180,"BAJO SS (XLIB CUBRE)",IF(V180&lt;S180,"BAJO P.REORDEN",IF(AND(ISNUMBER(Q180),V180&gt;Q180),"SOBRE MAX VENDIBLE","OK")))))</f>
        <v>OK</v>
      </c>
    </row>
    <row r="181" customFormat="false" ht="15" hidden="false" customHeight="false" outlineLevel="0" collapsed="false">
      <c r="A181" s="3" t="n">
        <v>30001480</v>
      </c>
      <c r="B181" s="3" t="s">
        <v>560</v>
      </c>
      <c r="C181" s="3" t="s">
        <v>127</v>
      </c>
      <c r="D181" s="3" t="s">
        <v>753</v>
      </c>
      <c r="E181" s="3" t="s">
        <v>745</v>
      </c>
      <c r="F181" s="3" t="str">
        <f aca="false">IFERROR(INDEX(ABC_XYZ!$L$5:$L$494,MATCH(A181,ABC_XYZ!$A$5:$A$494,0)),"SIN HIST")</f>
        <v>CZ</v>
      </c>
      <c r="G181" s="24" t="n">
        <f aca="false">IF(LEFT(F181,1)="A",Parametros!$B$8,IF(LEFT(F181,1)="B",Parametros!$B$9,IF(LEFT(F181,1)="C",Parametros!$B$10,Parametros!$B$11)))</f>
        <v>0.9</v>
      </c>
      <c r="H181" s="27" t="n">
        <f aca="false">NORMSINV(G181)</f>
        <v>1.2815515655446</v>
      </c>
      <c r="I181" s="23" t="n">
        <v>6652.3</v>
      </c>
      <c r="J181" s="23" t="n">
        <f aca="false">IFERROR(INDEX(ABC_XYZ!$R$5:$R$494,MATCH(A181,ABC_XYZ!$A$5:$A$494,0)),I181*Parametros!$B$13)</f>
        <v>1504.341253927</v>
      </c>
      <c r="K181" s="27" t="n">
        <f aca="false">IFERROR(VLOOKUP(C181,Parametros!$A$36:$B$66,2,FALSE()),Parametros!$B$12)</f>
        <v>1</v>
      </c>
      <c r="L181" s="23" t="n">
        <f aca="false">H181*J181*SQRT(K181)</f>
        <v>1927.89088908348</v>
      </c>
      <c r="M181" s="29" t="n">
        <v>365</v>
      </c>
      <c r="N181" s="24" t="n">
        <v>0.194520547945206</v>
      </c>
      <c r="O181" s="3" t="s">
        <v>746</v>
      </c>
      <c r="P181" s="30" t="n">
        <f aca="false">IF(AND(ISNUMBER(M181),ISNUMBER(N181)),M181*N181/7,"")</f>
        <v>10.1428571428571</v>
      </c>
      <c r="Q181" s="23" t="n">
        <f aca="false">IF(ISNUMBER(P181),I181*P181,"")</f>
        <v>67473.3285714286</v>
      </c>
      <c r="R181" s="23" t="n">
        <f aca="false">IF(ISNUMBER(Q181),MAX(0,MIN(L181,Q181-I181*K181)),L181)</f>
        <v>1927.89088908348</v>
      </c>
      <c r="S181" s="23" t="n">
        <f aca="false">R181+I181*K181</f>
        <v>8580.19088908348</v>
      </c>
      <c r="T181" s="23" t="n">
        <v>15062.8</v>
      </c>
      <c r="U181" s="23" t="n">
        <v>1240.9</v>
      </c>
      <c r="V181" s="23" t="n">
        <f aca="false">T181+U181</f>
        <v>16303.7</v>
      </c>
      <c r="W181" s="30" t="n">
        <f aca="false">IF(I181&gt;0,V181/I181,"")</f>
        <v>2.45083655277122</v>
      </c>
      <c r="X181" s="3" t="str">
        <f aca="false">IF(I181&lt;=0,"SIN FCST",IF(V181&lt;R181,"BAJO SS",IF(T181&lt;R181,"BAJO SS (XLIB CUBRE)",IF(V181&lt;S181,"BAJO P.REORDEN",IF(AND(ISNUMBER(Q181),V181&gt;Q181),"SOBRE MAX VENDIBLE","OK")))))</f>
        <v>OK</v>
      </c>
    </row>
    <row r="182" customFormat="false" ht="15" hidden="false" customHeight="false" outlineLevel="0" collapsed="false">
      <c r="A182" s="3" t="n">
        <v>30001423</v>
      </c>
      <c r="B182" s="3" t="s">
        <v>878</v>
      </c>
      <c r="C182" s="3" t="s">
        <v>139</v>
      </c>
      <c r="D182" s="3" t="s">
        <v>753</v>
      </c>
      <c r="E182" s="3" t="s">
        <v>745</v>
      </c>
      <c r="F182" s="3" t="str">
        <f aca="false">IFERROR(INDEX(ABC_XYZ!$L$5:$L$494,MATCH(A182,ABC_XYZ!$A$5:$A$494,0)),"SIN HIST")</f>
        <v>AX</v>
      </c>
      <c r="G182" s="24" t="n">
        <f aca="false">IF(LEFT(F182,1)="A",Parametros!$B$8,IF(LEFT(F182,1)="B",Parametros!$B$9,IF(LEFT(F182,1)="C",Parametros!$B$10,Parametros!$B$11)))</f>
        <v>0.98</v>
      </c>
      <c r="H182" s="27" t="n">
        <f aca="false">NORMSINV(G182)</f>
        <v>2.05374891063182</v>
      </c>
      <c r="I182" s="23" t="n">
        <v>6600.3</v>
      </c>
      <c r="J182" s="23" t="n">
        <f aca="false">IFERROR(INDEX(ABC_XYZ!$R$5:$R$494,MATCH(A182,ABC_XYZ!$A$5:$A$494,0)),I182*Parametros!$B$13)</f>
        <v>1926.06601948616</v>
      </c>
      <c r="K182" s="27" t="n">
        <f aca="false">IFERROR(VLOOKUP(C182,Parametros!$A$36:$B$66,2,FALSE()),Parametros!$B$12)</f>
        <v>1</v>
      </c>
      <c r="L182" s="23" t="n">
        <f aca="false">H182*J182*SQRT(K182)</f>
        <v>3955.65598932468</v>
      </c>
      <c r="M182" s="29" t="n">
        <v>189</v>
      </c>
      <c r="N182" s="24" t="n">
        <v>0.211640211640212</v>
      </c>
      <c r="O182" s="3" t="s">
        <v>746</v>
      </c>
      <c r="P182" s="30" t="n">
        <f aca="false">IF(AND(ISNUMBER(M182),ISNUMBER(N182)),M182*N182/7,"")</f>
        <v>5.71428571428571</v>
      </c>
      <c r="Q182" s="23" t="n">
        <f aca="false">IF(ISNUMBER(P182),I182*P182,"")</f>
        <v>37716</v>
      </c>
      <c r="R182" s="23" t="n">
        <f aca="false">IF(ISNUMBER(Q182),MAX(0,MIN(L182,Q182-I182*K182)),L182)</f>
        <v>3955.65598932468</v>
      </c>
      <c r="S182" s="23" t="n">
        <f aca="false">R182+I182*K182</f>
        <v>10555.9559893247</v>
      </c>
      <c r="T182" s="23" t="n">
        <v>21744</v>
      </c>
      <c r="U182" s="23" t="n">
        <v>0</v>
      </c>
      <c r="V182" s="23" t="n">
        <f aca="false">T182+U182</f>
        <v>21744</v>
      </c>
      <c r="W182" s="30" t="n">
        <f aca="false">IF(I182&gt;0,V182/I182,"")</f>
        <v>3.29439570928594</v>
      </c>
      <c r="X182" s="3" t="str">
        <f aca="false">IF(I182&lt;=0,"SIN FCST",IF(V182&lt;R182,"BAJO SS",IF(T182&lt;R182,"BAJO SS (XLIB CUBRE)",IF(V182&lt;S182,"BAJO P.REORDEN",IF(AND(ISNUMBER(Q182),V182&gt;Q182),"SOBRE MAX VENDIBLE","OK")))))</f>
        <v>OK</v>
      </c>
    </row>
    <row r="183" customFormat="false" ht="15" hidden="false" customHeight="false" outlineLevel="0" collapsed="false">
      <c r="A183" s="3" t="n">
        <v>30002092</v>
      </c>
      <c r="B183" s="3" t="s">
        <v>879</v>
      </c>
      <c r="C183" s="3" t="s">
        <v>153</v>
      </c>
      <c r="D183" s="3" t="s">
        <v>744</v>
      </c>
      <c r="E183" s="3" t="s">
        <v>745</v>
      </c>
      <c r="F183" s="3" t="str">
        <f aca="false">IFERROR(INDEX(ABC_XYZ!$L$5:$L$494,MATCH(A183,ABC_XYZ!$A$5:$A$494,0)),"SIN HIST")</f>
        <v>SIN HIST</v>
      </c>
      <c r="G183" s="24" t="n">
        <f aca="false">IF(LEFT(F183,1)="A",Parametros!$B$8,IF(LEFT(F183,1)="B",Parametros!$B$9,IF(LEFT(F183,1)="C",Parametros!$B$10,Parametros!$B$11)))</f>
        <v>0.95</v>
      </c>
      <c r="H183" s="27" t="n">
        <f aca="false">NORMSINV(G183)</f>
        <v>1.64485362695147</v>
      </c>
      <c r="I183" s="23" t="n">
        <v>6511.6</v>
      </c>
      <c r="J183" s="23" t="n">
        <f aca="false">IFERROR(INDEX(ABC_XYZ!$R$5:$R$494,MATCH(A183,ABC_XYZ!$A$5:$A$494,0)),I183*Parametros!$B$13)</f>
        <v>1953.48</v>
      </c>
      <c r="K183" s="27" t="n">
        <f aca="false">IFERROR(VLOOKUP(C183,Parametros!$A$36:$B$66,2,FALSE()),Parametros!$B$12)</f>
        <v>1</v>
      </c>
      <c r="L183" s="23" t="n">
        <f aca="false">H183*J183*SQRT(K183)</f>
        <v>3213.18866317716</v>
      </c>
      <c r="M183" s="29" t="n">
        <v>184</v>
      </c>
      <c r="N183" s="24" t="n">
        <v>0.28804347826087</v>
      </c>
      <c r="O183" s="3" t="s">
        <v>746</v>
      </c>
      <c r="P183" s="30" t="n">
        <f aca="false">IF(AND(ISNUMBER(M183),ISNUMBER(N183)),M183*N183/7,"")</f>
        <v>7.57142857142857</v>
      </c>
      <c r="Q183" s="23" t="n">
        <f aca="false">IF(ISNUMBER(P183),I183*P183,"")</f>
        <v>49302.1142857143</v>
      </c>
      <c r="R183" s="23" t="n">
        <f aca="false">IF(ISNUMBER(Q183),MAX(0,MIN(L183,Q183-I183*K183)),L183)</f>
        <v>3213.18866317716</v>
      </c>
      <c r="S183" s="23" t="n">
        <f aca="false">R183+I183*K183</f>
        <v>9724.78866317716</v>
      </c>
      <c r="T183" s="23" t="n">
        <v>22632</v>
      </c>
      <c r="U183" s="23" t="n">
        <v>0</v>
      </c>
      <c r="V183" s="23" t="n">
        <f aca="false">T183+U183</f>
        <v>22632</v>
      </c>
      <c r="W183" s="30" t="n">
        <f aca="false">IF(I183&gt;0,V183/I183,"")</f>
        <v>3.47564346704343</v>
      </c>
      <c r="X183" s="3" t="str">
        <f aca="false">IF(I183&lt;=0,"SIN FCST",IF(V183&lt;R183,"BAJO SS",IF(T183&lt;R183,"BAJO SS (XLIB CUBRE)",IF(V183&lt;S183,"BAJO P.REORDEN",IF(AND(ISNUMBER(Q183),V183&gt;Q183),"SOBRE MAX VENDIBLE","OK")))))</f>
        <v>OK</v>
      </c>
    </row>
    <row r="184" customFormat="false" ht="15" hidden="false" customHeight="false" outlineLevel="0" collapsed="false">
      <c r="A184" s="3" t="n">
        <v>30000480</v>
      </c>
      <c r="B184" s="3" t="s">
        <v>880</v>
      </c>
      <c r="C184" s="3" t="s">
        <v>148</v>
      </c>
      <c r="D184" s="3" t="s">
        <v>753</v>
      </c>
      <c r="E184" s="3" t="s">
        <v>745</v>
      </c>
      <c r="F184" s="3" t="str">
        <f aca="false">IFERROR(INDEX(ABC_XYZ!$L$5:$L$494,MATCH(A184,ABC_XYZ!$A$5:$A$494,0)),"SIN HIST")</f>
        <v>SIN HIST</v>
      </c>
      <c r="G184" s="24" t="n">
        <f aca="false">IF(LEFT(F184,1)="A",Parametros!$B$8,IF(LEFT(F184,1)="B",Parametros!$B$9,IF(LEFT(F184,1)="C",Parametros!$B$10,Parametros!$B$11)))</f>
        <v>0.95</v>
      </c>
      <c r="H184" s="27" t="n">
        <f aca="false">NORMSINV(G184)</f>
        <v>1.64485362695147</v>
      </c>
      <c r="I184" s="23" t="n">
        <v>6511.6</v>
      </c>
      <c r="J184" s="23" t="n">
        <f aca="false">IFERROR(INDEX(ABC_XYZ!$R$5:$R$494,MATCH(A184,ABC_XYZ!$A$5:$A$494,0)),I184*Parametros!$B$13)</f>
        <v>1953.48</v>
      </c>
      <c r="K184" s="27" t="n">
        <f aca="false">IFERROR(VLOOKUP(C184,Parametros!$A$36:$B$66,2,FALSE()),Parametros!$B$12)</f>
        <v>1</v>
      </c>
      <c r="L184" s="23" t="n">
        <f aca="false">H184*J184*SQRT(K184)</f>
        <v>3213.18866317716</v>
      </c>
      <c r="M184" s="29" t="n">
        <v>184</v>
      </c>
      <c r="N184" s="24" t="n">
        <v>0.271739130434783</v>
      </c>
      <c r="O184" s="3" t="s">
        <v>746</v>
      </c>
      <c r="P184" s="30" t="n">
        <f aca="false">IF(AND(ISNUMBER(M184),ISNUMBER(N184)),M184*N184/7,"")</f>
        <v>7.14285714285714</v>
      </c>
      <c r="Q184" s="23" t="n">
        <f aca="false">IF(ISNUMBER(P184),I184*P184,"")</f>
        <v>46511.4285714286</v>
      </c>
      <c r="R184" s="23" t="n">
        <f aca="false">IF(ISNUMBER(Q184),MAX(0,MIN(L184,Q184-I184*K184)),L184)</f>
        <v>3213.18866317716</v>
      </c>
      <c r="S184" s="23" t="n">
        <f aca="false">R184+I184*K184</f>
        <v>9724.78866317716</v>
      </c>
      <c r="T184" s="23" t="n">
        <v>8590</v>
      </c>
      <c r="U184" s="23" t="n">
        <v>0</v>
      </c>
      <c r="V184" s="23" t="n">
        <f aca="false">T184+U184</f>
        <v>8590</v>
      </c>
      <c r="W184" s="30" t="n">
        <f aca="false">IF(I184&gt;0,V184/I184,"")</f>
        <v>1.31918422507525</v>
      </c>
      <c r="X184" s="3" t="str">
        <f aca="false">IF(I184&lt;=0,"SIN FCST",IF(V184&lt;R184,"BAJO SS",IF(T184&lt;R184,"BAJO SS (XLIB CUBRE)",IF(V184&lt;S184,"BAJO P.REORDEN",IF(AND(ISNUMBER(Q184),V184&gt;Q184),"SOBRE MAX VENDIBLE","OK")))))</f>
        <v>BAJO P.REORDEN</v>
      </c>
    </row>
    <row r="185" customFormat="false" ht="15" hidden="false" customHeight="false" outlineLevel="0" collapsed="false">
      <c r="A185" s="3" t="n">
        <v>30000732</v>
      </c>
      <c r="B185" s="3" t="s">
        <v>881</v>
      </c>
      <c r="C185" s="3" t="s">
        <v>133</v>
      </c>
      <c r="D185" s="3" t="s">
        <v>769</v>
      </c>
      <c r="E185" s="3"/>
      <c r="F185" s="3" t="str">
        <f aca="false">IFERROR(INDEX(ABC_XYZ!$L$5:$L$494,MATCH(A185,ABC_XYZ!$A$5:$A$494,0)),"SIN HIST")</f>
        <v>SIN HIST</v>
      </c>
      <c r="G185" s="24" t="n">
        <f aca="false">IF(LEFT(F185,1)="A",Parametros!$B$8,IF(LEFT(F185,1)="B",Parametros!$B$9,IF(LEFT(F185,1)="C",Parametros!$B$10,Parametros!$B$11)))</f>
        <v>0.95</v>
      </c>
      <c r="H185" s="27" t="n">
        <f aca="false">NORMSINV(G185)</f>
        <v>1.64485362695147</v>
      </c>
      <c r="I185" s="23" t="n">
        <v>6511.6</v>
      </c>
      <c r="J185" s="23" t="n">
        <f aca="false">IFERROR(INDEX(ABC_XYZ!$R$5:$R$494,MATCH(A185,ABC_XYZ!$A$5:$A$494,0)),I185*Parametros!$B$13)</f>
        <v>1953.48</v>
      </c>
      <c r="K185" s="27" t="n">
        <f aca="false">IFERROR(VLOOKUP(C185,Parametros!$A$36:$B$66,2,FALSE()),Parametros!$B$12)</f>
        <v>1</v>
      </c>
      <c r="L185" s="23" t="n">
        <f aca="false">H185*J185*SQRT(K185)</f>
        <v>3213.18866317716</v>
      </c>
      <c r="M185" s="29"/>
      <c r="N185" s="24"/>
      <c r="O185" s="3"/>
      <c r="P185" s="30" t="str">
        <f aca="false">IF(AND(ISNUMBER(M185),ISNUMBER(N185)),M185*N185/7,"")</f>
        <v/>
      </c>
      <c r="Q185" s="23" t="str">
        <f aca="false">IF(ISNUMBER(P185),I185*P185,"")</f>
        <v/>
      </c>
      <c r="R185" s="23" t="n">
        <f aca="false">IF(ISNUMBER(Q185),MAX(0,MIN(L185,Q185-I185*K185)),L185)</f>
        <v>3213.18866317716</v>
      </c>
      <c r="S185" s="23" t="n">
        <f aca="false">R185+I185*K185</f>
        <v>9724.78866317716</v>
      </c>
      <c r="T185" s="23" t="n">
        <v>5300</v>
      </c>
      <c r="U185" s="23" t="n">
        <v>0</v>
      </c>
      <c r="V185" s="23" t="n">
        <f aca="false">T185+U185</f>
        <v>5300</v>
      </c>
      <c r="W185" s="30" t="n">
        <f aca="false">IF(I185&gt;0,V185/I185,"")</f>
        <v>0.813932059708827</v>
      </c>
      <c r="X185" s="3" t="str">
        <f aca="false">IF(I185&lt;=0,"SIN FCST",IF(V185&lt;R185,"BAJO SS",IF(T185&lt;R185,"BAJO SS (XLIB CUBRE)",IF(V185&lt;S185,"BAJO P.REORDEN",IF(AND(ISNUMBER(Q185),V185&gt;Q185),"SOBRE MAX VENDIBLE","OK")))))</f>
        <v>BAJO P.REORDEN</v>
      </c>
    </row>
    <row r="186" customFormat="false" ht="15" hidden="false" customHeight="false" outlineLevel="0" collapsed="false">
      <c r="A186" s="3" t="n">
        <v>30001574</v>
      </c>
      <c r="B186" s="3" t="s">
        <v>365</v>
      </c>
      <c r="C186" s="3" t="s">
        <v>139</v>
      </c>
      <c r="D186" s="3" t="s">
        <v>753</v>
      </c>
      <c r="E186" s="3" t="s">
        <v>745</v>
      </c>
      <c r="F186" s="3" t="str">
        <f aca="false">IFERROR(INDEX(ABC_XYZ!$L$5:$L$494,MATCH(A186,ABC_XYZ!$A$5:$A$494,0)),"SIN HIST")</f>
        <v>BX</v>
      </c>
      <c r="G186" s="24" t="n">
        <f aca="false">IF(LEFT(F186,1)="A",Parametros!$B$8,IF(LEFT(F186,1)="B",Parametros!$B$9,IF(LEFT(F186,1)="C",Parametros!$B$10,Parametros!$B$11)))</f>
        <v>0.95</v>
      </c>
      <c r="H186" s="27" t="n">
        <f aca="false">NORMSINV(G186)</f>
        <v>1.64485362695147</v>
      </c>
      <c r="I186" s="23" t="n">
        <v>6423.3</v>
      </c>
      <c r="J186" s="23" t="n">
        <f aca="false">IFERROR(INDEX(ABC_XYZ!$R$5:$R$494,MATCH(A186,ABC_XYZ!$A$5:$A$494,0)),I186*Parametros!$B$13)</f>
        <v>2277.13643842327</v>
      </c>
      <c r="K186" s="27" t="n">
        <f aca="false">IFERROR(VLOOKUP(C186,Parametros!$A$36:$B$66,2,FALSE()),Parametros!$B$12)</f>
        <v>1</v>
      </c>
      <c r="L186" s="23" t="n">
        <f aca="false">H186*J186*SQRT(K186)</f>
        <v>3745.55612980386</v>
      </c>
      <c r="M186" s="29" t="n">
        <v>245</v>
      </c>
      <c r="N186" s="24" t="n">
        <v>0.273469387755102</v>
      </c>
      <c r="O186" s="3" t="s">
        <v>746</v>
      </c>
      <c r="P186" s="30" t="n">
        <f aca="false">IF(AND(ISNUMBER(M186),ISNUMBER(N186)),M186*N186/7,"")</f>
        <v>9.57142857142857</v>
      </c>
      <c r="Q186" s="23" t="n">
        <f aca="false">IF(ISNUMBER(P186),I186*P186,"")</f>
        <v>61480.1571428571</v>
      </c>
      <c r="R186" s="23" t="n">
        <f aca="false">IF(ISNUMBER(Q186),MAX(0,MIN(L186,Q186-I186*K186)),L186)</f>
        <v>3745.55612980386</v>
      </c>
      <c r="S186" s="23" t="n">
        <f aca="false">R186+I186*K186</f>
        <v>10168.8561298039</v>
      </c>
      <c r="T186" s="23" t="n">
        <v>16560</v>
      </c>
      <c r="U186" s="23" t="n">
        <v>0</v>
      </c>
      <c r="V186" s="23" t="n">
        <f aca="false">T186+U186</f>
        <v>16560</v>
      </c>
      <c r="W186" s="30" t="n">
        <f aca="false">IF(I186&gt;0,V186/I186,"")</f>
        <v>2.57811405352389</v>
      </c>
      <c r="X186" s="3" t="str">
        <f aca="false">IF(I186&lt;=0,"SIN FCST",IF(V186&lt;R186,"BAJO SS",IF(T186&lt;R186,"BAJO SS (XLIB CUBRE)",IF(V186&lt;S186,"BAJO P.REORDEN",IF(AND(ISNUMBER(Q186),V186&gt;Q186),"SOBRE MAX VENDIBLE","OK")))))</f>
        <v>OK</v>
      </c>
    </row>
    <row r="187" customFormat="false" ht="15" hidden="false" customHeight="false" outlineLevel="0" collapsed="false">
      <c r="A187" s="3" t="n">
        <v>30002331</v>
      </c>
      <c r="B187" s="3" t="s">
        <v>543</v>
      </c>
      <c r="C187" s="3" t="s">
        <v>129</v>
      </c>
      <c r="D187" s="3" t="s">
        <v>753</v>
      </c>
      <c r="E187" s="3"/>
      <c r="F187" s="3" t="str">
        <f aca="false">IFERROR(INDEX(ABC_XYZ!$L$5:$L$494,MATCH(A187,ABC_XYZ!$A$5:$A$494,0)),"SIN HIST")</f>
        <v>CZ</v>
      </c>
      <c r="G187" s="24" t="n">
        <f aca="false">IF(LEFT(F187,1)="A",Parametros!$B$8,IF(LEFT(F187,1)="B",Parametros!$B$9,IF(LEFT(F187,1)="C",Parametros!$B$10,Parametros!$B$11)))</f>
        <v>0.9</v>
      </c>
      <c r="H187" s="27" t="n">
        <f aca="false">NORMSINV(G187)</f>
        <v>1.2815515655446</v>
      </c>
      <c r="I187" s="23" t="n">
        <v>6363.8</v>
      </c>
      <c r="J187" s="23" t="n">
        <f aca="false">IFERROR(INDEX(ABC_XYZ!$R$5:$R$494,MATCH(A187,ABC_XYZ!$A$5:$A$494,0)),I187*Parametros!$B$13)</f>
        <v>1253.9363088557</v>
      </c>
      <c r="K187" s="27" t="n">
        <f aca="false">IFERROR(VLOOKUP(C187,Parametros!$A$36:$B$66,2,FALSE()),Parametros!$B$12)</f>
        <v>1</v>
      </c>
      <c r="L187" s="23" t="n">
        <f aca="false">H187*J187*SQRT(K187)</f>
        <v>1606.98403970724</v>
      </c>
      <c r="M187" s="29"/>
      <c r="N187" s="24"/>
      <c r="O187" s="3"/>
      <c r="P187" s="30" t="str">
        <f aca="false">IF(AND(ISNUMBER(M187),ISNUMBER(N187)),M187*N187/7,"")</f>
        <v/>
      </c>
      <c r="Q187" s="23" t="str">
        <f aca="false">IF(ISNUMBER(P187),I187*P187,"")</f>
        <v/>
      </c>
      <c r="R187" s="23" t="n">
        <f aca="false">IF(ISNUMBER(Q187),MAX(0,MIN(L187,Q187-I187*K187)),L187)</f>
        <v>1606.98403970724</v>
      </c>
      <c r="S187" s="23" t="n">
        <f aca="false">R187+I187*K187</f>
        <v>7970.78403970725</v>
      </c>
      <c r="T187" s="23" t="n">
        <v>13488</v>
      </c>
      <c r="U187" s="23" t="n">
        <v>0</v>
      </c>
      <c r="V187" s="23" t="n">
        <f aca="false">T187+U187</f>
        <v>13488</v>
      </c>
      <c r="W187" s="30" t="n">
        <f aca="false">IF(I187&gt;0,V187/I187,"")</f>
        <v>2.1194883560137</v>
      </c>
      <c r="X187" s="3" t="str">
        <f aca="false">IF(I187&lt;=0,"SIN FCST",IF(V187&lt;R187,"BAJO SS",IF(T187&lt;R187,"BAJO SS (XLIB CUBRE)",IF(V187&lt;S187,"BAJO P.REORDEN",IF(AND(ISNUMBER(Q187),V187&gt;Q187),"SOBRE MAX VENDIBLE","OK")))))</f>
        <v>OK</v>
      </c>
    </row>
    <row r="188" customFormat="false" ht="15" hidden="false" customHeight="false" outlineLevel="0" collapsed="false">
      <c r="A188" s="3" t="n">
        <v>30001017</v>
      </c>
      <c r="B188" s="3" t="s">
        <v>882</v>
      </c>
      <c r="C188" s="3" t="s">
        <v>155</v>
      </c>
      <c r="D188" s="3" t="s">
        <v>761</v>
      </c>
      <c r="E188" s="3" t="s">
        <v>762</v>
      </c>
      <c r="F188" s="3" t="str">
        <f aca="false">IFERROR(INDEX(ABC_XYZ!$L$5:$L$494,MATCH(A188,ABC_XYZ!$A$5:$A$494,0)),"SIN HIST")</f>
        <v>BX</v>
      </c>
      <c r="G188" s="24" t="n">
        <f aca="false">IF(LEFT(F188,1)="A",Parametros!$B$8,IF(LEFT(F188,1)="B",Parametros!$B$9,IF(LEFT(F188,1)="C",Parametros!$B$10,Parametros!$B$11)))</f>
        <v>0.95</v>
      </c>
      <c r="H188" s="27" t="n">
        <f aca="false">NORMSINV(G188)</f>
        <v>1.64485362695147</v>
      </c>
      <c r="I188" s="23" t="n">
        <v>6356.7</v>
      </c>
      <c r="J188" s="23" t="n">
        <f aca="false">IFERROR(INDEX(ABC_XYZ!$R$5:$R$494,MATCH(A188,ABC_XYZ!$A$5:$A$494,0)),I188*Parametros!$B$13)</f>
        <v>866.850044337868</v>
      </c>
      <c r="K188" s="27" t="n">
        <f aca="false">IFERROR(VLOOKUP(C188,Parametros!$A$36:$B$66,2,FALSE()),Parametros!$B$12)</f>
        <v>1</v>
      </c>
      <c r="L188" s="23" t="n">
        <f aca="false">H188*J188*SQRT(K188)</f>
        <v>1425.84143945219</v>
      </c>
      <c r="M188" s="29" t="n">
        <v>65</v>
      </c>
      <c r="N188" s="24" t="n">
        <v>0.323076923076923</v>
      </c>
      <c r="O188" s="3" t="s">
        <v>774</v>
      </c>
      <c r="P188" s="30" t="n">
        <f aca="false">IF(AND(ISNUMBER(M188),ISNUMBER(N188)),M188*N188/7,"")</f>
        <v>3</v>
      </c>
      <c r="Q188" s="23" t="n">
        <f aca="false">IF(ISNUMBER(P188),I188*P188,"")</f>
        <v>19070.1</v>
      </c>
      <c r="R188" s="23" t="n">
        <f aca="false">IF(ISNUMBER(Q188),MAX(0,MIN(L188,Q188-I188*K188)),L188)</f>
        <v>1425.84143945219</v>
      </c>
      <c r="S188" s="23" t="n">
        <f aca="false">R188+I188*K188</f>
        <v>7782.54143945219</v>
      </c>
      <c r="T188" s="23" t="n">
        <v>5017.7</v>
      </c>
      <c r="U188" s="23" t="n">
        <v>5580.7</v>
      </c>
      <c r="V188" s="23" t="n">
        <f aca="false">T188+U188</f>
        <v>10598.4</v>
      </c>
      <c r="W188" s="30" t="n">
        <f aca="false">IF(I188&gt;0,V188/I188,"")</f>
        <v>1.66728019255274</v>
      </c>
      <c r="X188" s="3" t="str">
        <f aca="false">IF(I188&lt;=0,"SIN FCST",IF(V188&lt;R188,"BAJO SS",IF(T188&lt;R188,"BAJO SS (XLIB CUBRE)",IF(V188&lt;S188,"BAJO P.REORDEN",IF(AND(ISNUMBER(Q188),V188&gt;Q188),"SOBRE MAX VENDIBLE","OK")))))</f>
        <v>OK</v>
      </c>
    </row>
    <row r="189" customFormat="false" ht="15" hidden="false" customHeight="false" outlineLevel="0" collapsed="false">
      <c r="A189" s="3" t="n">
        <v>30001774</v>
      </c>
      <c r="B189" s="3" t="s">
        <v>284</v>
      </c>
      <c r="C189" s="3" t="s">
        <v>149</v>
      </c>
      <c r="D189" s="3" t="s">
        <v>744</v>
      </c>
      <c r="E189" s="3" t="s">
        <v>762</v>
      </c>
      <c r="F189" s="3" t="str">
        <f aca="false">IFERROR(INDEX(ABC_XYZ!$L$5:$L$494,MATCH(A189,ABC_XYZ!$A$5:$A$494,0)),"SIN HIST")</f>
        <v>AY</v>
      </c>
      <c r="G189" s="24" t="n">
        <f aca="false">IF(LEFT(F189,1)="A",Parametros!$B$8,IF(LEFT(F189,1)="B",Parametros!$B$9,IF(LEFT(F189,1)="C",Parametros!$B$10,Parametros!$B$11)))</f>
        <v>0.98</v>
      </c>
      <c r="H189" s="27" t="n">
        <f aca="false">NORMSINV(G189)</f>
        <v>2.05374891063182</v>
      </c>
      <c r="I189" s="23" t="n">
        <v>6350</v>
      </c>
      <c r="J189" s="23" t="n">
        <f aca="false">IFERROR(INDEX(ABC_XYZ!$R$5:$R$494,MATCH(A189,ABC_XYZ!$A$5:$A$494,0)),I189*Parametros!$B$13)</f>
        <v>7797.36527553246</v>
      </c>
      <c r="K189" s="27" t="n">
        <f aca="false">IFERROR(VLOOKUP(C189,Parametros!$A$36:$B$66,2,FALSE()),Parametros!$B$12)</f>
        <v>1</v>
      </c>
      <c r="L189" s="23" t="n">
        <f aca="false">H189*J189*SQRT(K189)</f>
        <v>16013.8304404232</v>
      </c>
      <c r="M189" s="29" t="n">
        <v>184</v>
      </c>
      <c r="N189" s="24" t="n">
        <v>0.211956521739131</v>
      </c>
      <c r="O189" s="3" t="s">
        <v>754</v>
      </c>
      <c r="P189" s="30" t="n">
        <f aca="false">IF(AND(ISNUMBER(M189),ISNUMBER(N189)),M189*N189/7,"")</f>
        <v>5.57142857142857</v>
      </c>
      <c r="Q189" s="23" t="n">
        <f aca="false">IF(ISNUMBER(P189),I189*P189,"")</f>
        <v>35378.5714285714</v>
      </c>
      <c r="R189" s="23" t="n">
        <f aca="false">IF(ISNUMBER(Q189),MAX(0,MIN(L189,Q189-I189*K189)),L189)</f>
        <v>16013.8304404232</v>
      </c>
      <c r="S189" s="23" t="n">
        <f aca="false">R189+I189*K189</f>
        <v>22363.8304404232</v>
      </c>
      <c r="T189" s="23" t="n">
        <v>47880</v>
      </c>
      <c r="U189" s="23" t="n">
        <v>0</v>
      </c>
      <c r="V189" s="23" t="n">
        <f aca="false">T189+U189</f>
        <v>47880</v>
      </c>
      <c r="W189" s="30" t="n">
        <f aca="false">IF(I189&gt;0,V189/I189,"")</f>
        <v>7.54015748031496</v>
      </c>
      <c r="X189" s="3" t="str">
        <f aca="false">IF(I189&lt;=0,"SIN FCST",IF(V189&lt;R189,"BAJO SS",IF(T189&lt;R189,"BAJO SS (XLIB CUBRE)",IF(V189&lt;S189,"BAJO P.REORDEN",IF(AND(ISNUMBER(Q189),V189&gt;Q189),"SOBRE MAX VENDIBLE","OK")))))</f>
        <v>SOBRE MAX VENDIBLE</v>
      </c>
    </row>
    <row r="190" customFormat="false" ht="15" hidden="false" customHeight="false" outlineLevel="0" collapsed="false">
      <c r="A190" s="3" t="n">
        <v>30001864</v>
      </c>
      <c r="B190" s="3" t="s">
        <v>883</v>
      </c>
      <c r="C190" s="3" t="s">
        <v>133</v>
      </c>
      <c r="D190" s="3" t="s">
        <v>769</v>
      </c>
      <c r="E190" s="3"/>
      <c r="F190" s="3" t="str">
        <f aca="false">IFERROR(INDEX(ABC_XYZ!$L$5:$L$494,MATCH(A190,ABC_XYZ!$A$5:$A$494,0)),"SIN HIST")</f>
        <v>SIN HIST</v>
      </c>
      <c r="G190" s="24" t="n">
        <f aca="false">IF(LEFT(F190,1)="A",Parametros!$B$8,IF(LEFT(F190,1)="B",Parametros!$B$9,IF(LEFT(F190,1)="C",Parametros!$B$10,Parametros!$B$11)))</f>
        <v>0.95</v>
      </c>
      <c r="H190" s="27" t="n">
        <f aca="false">NORMSINV(G190)</f>
        <v>1.64485362695147</v>
      </c>
      <c r="I190" s="23" t="n">
        <v>6323.7</v>
      </c>
      <c r="J190" s="23" t="n">
        <f aca="false">IFERROR(INDEX(ABC_XYZ!$R$5:$R$494,MATCH(A190,ABC_XYZ!$A$5:$A$494,0)),I190*Parametros!$B$13)</f>
        <v>1897.11</v>
      </c>
      <c r="K190" s="27" t="n">
        <f aca="false">IFERROR(VLOOKUP(C190,Parametros!$A$36:$B$66,2,FALSE()),Parametros!$B$12)</f>
        <v>1</v>
      </c>
      <c r="L190" s="23" t="n">
        <f aca="false">H190*J190*SQRT(K190)</f>
        <v>3120.46826422591</v>
      </c>
      <c r="M190" s="29"/>
      <c r="N190" s="24"/>
      <c r="O190" s="3"/>
      <c r="P190" s="30" t="str">
        <f aca="false">IF(AND(ISNUMBER(M190),ISNUMBER(N190)),M190*N190/7,"")</f>
        <v/>
      </c>
      <c r="Q190" s="23" t="str">
        <f aca="false">IF(ISNUMBER(P190),I190*P190,"")</f>
        <v/>
      </c>
      <c r="R190" s="23" t="n">
        <f aca="false">IF(ISNUMBER(Q190),MAX(0,MIN(L190,Q190-I190*K190)),L190)</f>
        <v>3120.46826422591</v>
      </c>
      <c r="S190" s="23" t="n">
        <f aca="false">R190+I190*K190</f>
        <v>9444.16826422591</v>
      </c>
      <c r="T190" s="23" t="n">
        <v>48756</v>
      </c>
      <c r="U190" s="23" t="n">
        <v>0</v>
      </c>
      <c r="V190" s="23" t="n">
        <f aca="false">T190+U190</f>
        <v>48756</v>
      </c>
      <c r="W190" s="30" t="n">
        <f aca="false">IF(I190&gt;0,V190/I190,"")</f>
        <v>7.71004317092841</v>
      </c>
      <c r="X190" s="3" t="str">
        <f aca="false">IF(I190&lt;=0,"SIN FCST",IF(V190&lt;R190,"BAJO SS",IF(T190&lt;R190,"BAJO SS (XLIB CUBRE)",IF(V190&lt;S190,"BAJO P.REORDEN",IF(AND(ISNUMBER(Q190),V190&gt;Q190),"SOBRE MAX VENDIBLE","OK")))))</f>
        <v>OK</v>
      </c>
    </row>
    <row r="191" customFormat="false" ht="15" hidden="false" customHeight="false" outlineLevel="0" collapsed="false">
      <c r="A191" s="3" t="n">
        <v>30000178</v>
      </c>
      <c r="B191" s="3" t="s">
        <v>884</v>
      </c>
      <c r="C191" s="3" t="s">
        <v>144</v>
      </c>
      <c r="D191" s="3" t="s">
        <v>753</v>
      </c>
      <c r="E191" s="3" t="s">
        <v>745</v>
      </c>
      <c r="F191" s="3" t="str">
        <f aca="false">IFERROR(INDEX(ABC_XYZ!$L$5:$L$494,MATCH(A191,ABC_XYZ!$A$5:$A$494,0)),"SIN HIST")</f>
        <v>BX</v>
      </c>
      <c r="G191" s="24" t="n">
        <f aca="false">IF(LEFT(F191,1)="A",Parametros!$B$8,IF(LEFT(F191,1)="B",Parametros!$B$9,IF(LEFT(F191,1)="C",Parametros!$B$10,Parametros!$B$11)))</f>
        <v>0.95</v>
      </c>
      <c r="H191" s="27" t="n">
        <f aca="false">NORMSINV(G191)</f>
        <v>1.64485362695147</v>
      </c>
      <c r="I191" s="23" t="n">
        <v>6304.4</v>
      </c>
      <c r="J191" s="23" t="n">
        <f aca="false">IFERROR(INDEX(ABC_XYZ!$R$5:$R$494,MATCH(A191,ABC_XYZ!$A$5:$A$494,0)),I191*Parametros!$B$13)</f>
        <v>1759.80174982756</v>
      </c>
      <c r="K191" s="27" t="n">
        <f aca="false">IFERROR(VLOOKUP(C191,Parametros!$A$36:$B$66,2,FALSE()),Parametros!$B$12)</f>
        <v>1</v>
      </c>
      <c r="L191" s="23" t="n">
        <f aca="false">H191*J191*SQRT(K191)</f>
        <v>2894.6162909194</v>
      </c>
      <c r="M191" s="29" t="n">
        <v>184</v>
      </c>
      <c r="N191" s="24" t="n">
        <v>0.28804347826087</v>
      </c>
      <c r="O191" s="3" t="s">
        <v>746</v>
      </c>
      <c r="P191" s="30" t="n">
        <f aca="false">IF(AND(ISNUMBER(M191),ISNUMBER(N191)),M191*N191/7,"")</f>
        <v>7.57142857142857</v>
      </c>
      <c r="Q191" s="23" t="n">
        <f aca="false">IF(ISNUMBER(P191),I191*P191,"")</f>
        <v>47733.3142857143</v>
      </c>
      <c r="R191" s="23" t="n">
        <f aca="false">IF(ISNUMBER(Q191),MAX(0,MIN(L191,Q191-I191*K191)),L191)</f>
        <v>2894.6162909194</v>
      </c>
      <c r="S191" s="23" t="n">
        <f aca="false">R191+I191*K191</f>
        <v>9199.0162909194</v>
      </c>
      <c r="T191" s="23" t="n">
        <v>8438.4</v>
      </c>
      <c r="U191" s="23" t="n">
        <v>0</v>
      </c>
      <c r="V191" s="23" t="n">
        <f aca="false">T191+U191</f>
        <v>8438.4</v>
      </c>
      <c r="W191" s="30" t="n">
        <f aca="false">IF(I191&gt;0,V191/I191,"")</f>
        <v>1.33849375039655</v>
      </c>
      <c r="X191" s="3" t="str">
        <f aca="false">IF(I191&lt;=0,"SIN FCST",IF(V191&lt;R191,"BAJO SS",IF(T191&lt;R191,"BAJO SS (XLIB CUBRE)",IF(V191&lt;S191,"BAJO P.REORDEN",IF(AND(ISNUMBER(Q191),V191&gt;Q191),"SOBRE MAX VENDIBLE","OK")))))</f>
        <v>BAJO P.REORDEN</v>
      </c>
    </row>
    <row r="192" customFormat="false" ht="15" hidden="false" customHeight="false" outlineLevel="0" collapsed="false">
      <c r="A192" s="3" t="n">
        <v>30001709</v>
      </c>
      <c r="B192" s="3" t="s">
        <v>885</v>
      </c>
      <c r="C192" s="3" t="s">
        <v>155</v>
      </c>
      <c r="D192" s="3" t="s">
        <v>761</v>
      </c>
      <c r="E192" s="3" t="s">
        <v>762</v>
      </c>
      <c r="F192" s="3" t="str">
        <f aca="false">IFERROR(INDEX(ABC_XYZ!$L$5:$L$494,MATCH(A192,ABC_XYZ!$A$5:$A$494,0)),"SIN HIST")</f>
        <v>BX</v>
      </c>
      <c r="G192" s="24" t="n">
        <f aca="false">IF(LEFT(F192,1)="A",Parametros!$B$8,IF(LEFT(F192,1)="B",Parametros!$B$9,IF(LEFT(F192,1)="C",Parametros!$B$10,Parametros!$B$11)))</f>
        <v>0.95</v>
      </c>
      <c r="H192" s="27" t="n">
        <f aca="false">NORMSINV(G192)</f>
        <v>1.64485362695147</v>
      </c>
      <c r="I192" s="23" t="n">
        <v>6190.6</v>
      </c>
      <c r="J192" s="23" t="n">
        <f aca="false">IFERROR(INDEX(ABC_XYZ!$R$5:$R$494,MATCH(A192,ABC_XYZ!$A$5:$A$494,0)),I192*Parametros!$B$13)</f>
        <v>2172.36756119104</v>
      </c>
      <c r="K192" s="27" t="n">
        <f aca="false">IFERROR(VLOOKUP(C192,Parametros!$A$36:$B$66,2,FALSE()),Parametros!$B$12)</f>
        <v>1</v>
      </c>
      <c r="L192" s="23" t="n">
        <f aca="false">H192*J192*SQRT(K192)</f>
        <v>3573.22666209681</v>
      </c>
      <c r="M192" s="29" t="n">
        <v>71</v>
      </c>
      <c r="N192" s="24" t="n">
        <v>0.295774647887324</v>
      </c>
      <c r="O192" s="3" t="s">
        <v>774</v>
      </c>
      <c r="P192" s="30" t="n">
        <f aca="false">IF(AND(ISNUMBER(M192),ISNUMBER(N192)),M192*N192/7,"")</f>
        <v>3</v>
      </c>
      <c r="Q192" s="23" t="n">
        <f aca="false">IF(ISNUMBER(P192),I192*P192,"")</f>
        <v>18571.8</v>
      </c>
      <c r="R192" s="23" t="n">
        <f aca="false">IF(ISNUMBER(Q192),MAX(0,MIN(L192,Q192-I192*K192)),L192)</f>
        <v>3573.22666209681</v>
      </c>
      <c r="S192" s="23" t="n">
        <f aca="false">R192+I192*K192</f>
        <v>9763.82666209681</v>
      </c>
      <c r="T192" s="23" t="n">
        <v>1528.8</v>
      </c>
      <c r="U192" s="23" t="n">
        <v>0</v>
      </c>
      <c r="V192" s="23" t="n">
        <f aca="false">T192+U192</f>
        <v>1528.8</v>
      </c>
      <c r="W192" s="30" t="n">
        <f aca="false">IF(I192&gt;0,V192/I192,"")</f>
        <v>0.246955060898782</v>
      </c>
      <c r="X192" s="3" t="str">
        <f aca="false">IF(I192&lt;=0,"SIN FCST",IF(V192&lt;R192,"BAJO SS",IF(T192&lt;R192,"BAJO SS (XLIB CUBRE)",IF(V192&lt;S192,"BAJO P.REORDEN",IF(AND(ISNUMBER(Q192),V192&gt;Q192),"SOBRE MAX VENDIBLE","OK")))))</f>
        <v>BAJO SS</v>
      </c>
    </row>
    <row r="193" customFormat="false" ht="15" hidden="false" customHeight="false" outlineLevel="0" collapsed="false">
      <c r="A193" s="3" t="n">
        <v>30001939</v>
      </c>
      <c r="B193" s="3" t="s">
        <v>312</v>
      </c>
      <c r="C193" s="3" t="s">
        <v>135</v>
      </c>
      <c r="D193" s="3" t="s">
        <v>753</v>
      </c>
      <c r="E193" s="3" t="s">
        <v>762</v>
      </c>
      <c r="F193" s="3" t="str">
        <f aca="false">IFERROR(INDEX(ABC_XYZ!$L$5:$L$494,MATCH(A193,ABC_XYZ!$A$5:$A$494,0)),"SIN HIST")</f>
        <v>AX</v>
      </c>
      <c r="G193" s="24" t="n">
        <f aca="false">IF(LEFT(F193,1)="A",Parametros!$B$8,IF(LEFT(F193,1)="B",Parametros!$B$9,IF(LEFT(F193,1)="C",Parametros!$B$10,Parametros!$B$11)))</f>
        <v>0.98</v>
      </c>
      <c r="H193" s="27" t="n">
        <f aca="false">NORMSINV(G193)</f>
        <v>2.05374891063182</v>
      </c>
      <c r="I193" s="23" t="n">
        <v>6175</v>
      </c>
      <c r="J193" s="23" t="n">
        <f aca="false">IFERROR(INDEX(ABC_XYZ!$R$5:$R$494,MATCH(A193,ABC_XYZ!$A$5:$A$494,0)),I193*Parametros!$B$13)</f>
        <v>2026.65457995995</v>
      </c>
      <c r="K193" s="27" t="n">
        <f aca="false">IFERROR(VLOOKUP(C193,Parametros!$A$36:$B$66,2,FALSE()),Parametros!$B$12)</f>
        <v>1</v>
      </c>
      <c r="L193" s="23" t="n">
        <f aca="false">H193*J193*SQRT(K193)</f>
        <v>4162.23963581974</v>
      </c>
      <c r="M193" s="29" t="n">
        <v>70</v>
      </c>
      <c r="N193" s="24" t="n">
        <v>0.228571428571429</v>
      </c>
      <c r="O193" s="3" t="s">
        <v>754</v>
      </c>
      <c r="P193" s="30" t="n">
        <f aca="false">IF(AND(ISNUMBER(M193),ISNUMBER(N193)),M193*N193/7,"")</f>
        <v>2.28571428571429</v>
      </c>
      <c r="Q193" s="23" t="n">
        <f aca="false">IF(ISNUMBER(P193),I193*P193,"")</f>
        <v>14114.2857142857</v>
      </c>
      <c r="R193" s="23" t="n">
        <f aca="false">IF(ISNUMBER(Q193),MAX(0,MIN(L193,Q193-I193*K193)),L193)</f>
        <v>4162.23963581974</v>
      </c>
      <c r="S193" s="23" t="n">
        <f aca="false">R193+I193*K193</f>
        <v>10337.2396358197</v>
      </c>
      <c r="T193" s="23" t="n">
        <v>13363.2</v>
      </c>
      <c r="U193" s="23" t="n">
        <v>6998.4</v>
      </c>
      <c r="V193" s="23" t="n">
        <f aca="false">T193+U193</f>
        <v>20361.6</v>
      </c>
      <c r="W193" s="30" t="n">
        <f aca="false">IF(I193&gt;0,V193/I193,"")</f>
        <v>3.29742510121457</v>
      </c>
      <c r="X193" s="3" t="str">
        <f aca="false">IF(I193&lt;=0,"SIN FCST",IF(V193&lt;R193,"BAJO SS",IF(T193&lt;R193,"BAJO SS (XLIB CUBRE)",IF(V193&lt;S193,"BAJO P.REORDEN",IF(AND(ISNUMBER(Q193),V193&gt;Q193),"SOBRE MAX VENDIBLE","OK")))))</f>
        <v>SOBRE MAX VENDIBLE</v>
      </c>
    </row>
    <row r="194" customFormat="false" ht="15" hidden="false" customHeight="false" outlineLevel="0" collapsed="false">
      <c r="A194" s="3" t="n">
        <v>30001923</v>
      </c>
      <c r="B194" s="3" t="s">
        <v>886</v>
      </c>
      <c r="C194" s="3" t="s">
        <v>135</v>
      </c>
      <c r="D194" s="3" t="s">
        <v>753</v>
      </c>
      <c r="E194" s="3" t="s">
        <v>745</v>
      </c>
      <c r="F194" s="3" t="str">
        <f aca="false">IFERROR(INDEX(ABC_XYZ!$L$5:$L$494,MATCH(A194,ABC_XYZ!$A$5:$A$494,0)),"SIN HIST")</f>
        <v>BY</v>
      </c>
      <c r="G194" s="24" t="n">
        <f aca="false">IF(LEFT(F194,1)="A",Parametros!$B$8,IF(LEFT(F194,1)="B",Parametros!$B$9,IF(LEFT(F194,1)="C",Parametros!$B$10,Parametros!$B$11)))</f>
        <v>0.95</v>
      </c>
      <c r="H194" s="27" t="n">
        <f aca="false">NORMSINV(G194)</f>
        <v>1.64485362695147</v>
      </c>
      <c r="I194" s="23" t="n">
        <v>6131.5</v>
      </c>
      <c r="J194" s="23" t="n">
        <f aca="false">IFERROR(INDEX(ABC_XYZ!$R$5:$R$494,MATCH(A194,ABC_XYZ!$A$5:$A$494,0)),I194*Parametros!$B$13)</f>
        <v>1454.05241822476</v>
      </c>
      <c r="K194" s="27" t="n">
        <f aca="false">IFERROR(VLOOKUP(C194,Parametros!$A$36:$B$66,2,FALSE()),Parametros!$B$12)</f>
        <v>1</v>
      </c>
      <c r="L194" s="23" t="n">
        <f aca="false">H194*J194*SQRT(K194)</f>
        <v>2391.70339389455</v>
      </c>
      <c r="M194" s="29" t="n">
        <v>184</v>
      </c>
      <c r="N194" s="24" t="n">
        <v>0.190217391304348</v>
      </c>
      <c r="O194" s="3" t="s">
        <v>746</v>
      </c>
      <c r="P194" s="30" t="n">
        <f aca="false">IF(AND(ISNUMBER(M194),ISNUMBER(N194)),M194*N194/7,"")</f>
        <v>5</v>
      </c>
      <c r="Q194" s="23" t="n">
        <f aca="false">IF(ISNUMBER(P194),I194*P194,"")</f>
        <v>30657.5</v>
      </c>
      <c r="R194" s="23" t="n">
        <f aca="false">IF(ISNUMBER(Q194),MAX(0,MIN(L194,Q194-I194*K194)),L194)</f>
        <v>2391.70339389455</v>
      </c>
      <c r="S194" s="23" t="n">
        <f aca="false">R194+I194*K194</f>
        <v>8523.20339389456</v>
      </c>
      <c r="T194" s="23" t="n">
        <v>10602</v>
      </c>
      <c r="U194" s="23" t="n">
        <v>864</v>
      </c>
      <c r="V194" s="23" t="n">
        <f aca="false">T194+U194</f>
        <v>11466</v>
      </c>
      <c r="W194" s="30" t="n">
        <f aca="false">IF(I194&gt;0,V194/I194,"")</f>
        <v>1.87001549376172</v>
      </c>
      <c r="X194" s="3" t="str">
        <f aca="false">IF(I194&lt;=0,"SIN FCST",IF(V194&lt;R194,"BAJO SS",IF(T194&lt;R194,"BAJO SS (XLIB CUBRE)",IF(V194&lt;S194,"BAJO P.REORDEN",IF(AND(ISNUMBER(Q194),V194&gt;Q194),"SOBRE MAX VENDIBLE","OK")))))</f>
        <v>OK</v>
      </c>
    </row>
    <row r="195" customFormat="false" ht="15" hidden="false" customHeight="false" outlineLevel="0" collapsed="false">
      <c r="A195" s="3" t="n">
        <v>30001773</v>
      </c>
      <c r="B195" s="3" t="s">
        <v>345</v>
      </c>
      <c r="C195" s="3" t="s">
        <v>149</v>
      </c>
      <c r="D195" s="3" t="s">
        <v>744</v>
      </c>
      <c r="E195" s="3" t="s">
        <v>762</v>
      </c>
      <c r="F195" s="3" t="str">
        <f aca="false">IFERROR(INDEX(ABC_XYZ!$L$5:$L$494,MATCH(A195,ABC_XYZ!$A$5:$A$494,0)),"SIN HIST")</f>
        <v>BX</v>
      </c>
      <c r="G195" s="24" t="n">
        <f aca="false">IF(LEFT(F195,1)="A",Parametros!$B$8,IF(LEFT(F195,1)="B",Parametros!$B$9,IF(LEFT(F195,1)="C",Parametros!$B$10,Parametros!$B$11)))</f>
        <v>0.95</v>
      </c>
      <c r="H195" s="27" t="n">
        <f aca="false">NORMSINV(G195)</f>
        <v>1.64485362695147</v>
      </c>
      <c r="I195" s="23" t="n">
        <v>6125</v>
      </c>
      <c r="J195" s="23" t="n">
        <f aca="false">IFERROR(INDEX(ABC_XYZ!$R$5:$R$494,MATCH(A195,ABC_XYZ!$A$5:$A$494,0)),I195*Parametros!$B$13)</f>
        <v>3036.61783490642</v>
      </c>
      <c r="K195" s="27" t="n">
        <f aca="false">IFERROR(VLOOKUP(C195,Parametros!$A$36:$B$66,2,FALSE()),Parametros!$B$12)</f>
        <v>1</v>
      </c>
      <c r="L195" s="23" t="n">
        <f aca="false">H195*J195*SQRT(K195)</f>
        <v>4994.79185941135</v>
      </c>
      <c r="M195" s="29" t="n">
        <v>184</v>
      </c>
      <c r="N195" s="24" t="n">
        <v>0.315217391304348</v>
      </c>
      <c r="O195" s="3" t="s">
        <v>780</v>
      </c>
      <c r="P195" s="30" t="n">
        <f aca="false">IF(AND(ISNUMBER(M195),ISNUMBER(N195)),M195*N195/7,"")</f>
        <v>8.28571428571429</v>
      </c>
      <c r="Q195" s="23" t="n">
        <f aca="false">IF(ISNUMBER(P195),I195*P195,"")</f>
        <v>50750</v>
      </c>
      <c r="R195" s="23" t="n">
        <f aca="false">IF(ISNUMBER(Q195),MAX(0,MIN(L195,Q195-I195*K195)),L195)</f>
        <v>4994.79185941135</v>
      </c>
      <c r="S195" s="23" t="n">
        <f aca="false">R195+I195*K195</f>
        <v>11119.7918594113</v>
      </c>
      <c r="T195" s="23" t="n">
        <v>12083.4</v>
      </c>
      <c r="U195" s="23" t="n">
        <v>11440.3</v>
      </c>
      <c r="V195" s="23" t="n">
        <f aca="false">T195+U195</f>
        <v>23523.7</v>
      </c>
      <c r="W195" s="30" t="n">
        <f aca="false">IF(I195&gt;0,V195/I195,"")</f>
        <v>3.84060408163265</v>
      </c>
      <c r="X195" s="3" t="str">
        <f aca="false">IF(I195&lt;=0,"SIN FCST",IF(V195&lt;R195,"BAJO SS",IF(T195&lt;R195,"BAJO SS (XLIB CUBRE)",IF(V195&lt;S195,"BAJO P.REORDEN",IF(AND(ISNUMBER(Q195),V195&gt;Q195),"SOBRE MAX VENDIBLE","OK")))))</f>
        <v>OK</v>
      </c>
    </row>
    <row r="196" customFormat="false" ht="15" hidden="false" customHeight="false" outlineLevel="0" collapsed="false">
      <c r="A196" s="3" t="n">
        <v>30001895</v>
      </c>
      <c r="B196" s="3" t="s">
        <v>887</v>
      </c>
      <c r="C196" s="3" t="s">
        <v>138</v>
      </c>
      <c r="D196" s="3" t="s">
        <v>744</v>
      </c>
      <c r="E196" s="3" t="s">
        <v>745</v>
      </c>
      <c r="F196" s="3" t="str">
        <f aca="false">IFERROR(INDEX(ABC_XYZ!$L$5:$L$494,MATCH(A196,ABC_XYZ!$A$5:$A$494,0)),"SIN HIST")</f>
        <v>BY</v>
      </c>
      <c r="G196" s="24" t="n">
        <f aca="false">IF(LEFT(F196,1)="A",Parametros!$B$8,IF(LEFT(F196,1)="B",Parametros!$B$9,IF(LEFT(F196,1)="C",Parametros!$B$10,Parametros!$B$11)))</f>
        <v>0.95</v>
      </c>
      <c r="H196" s="27" t="n">
        <f aca="false">NORMSINV(G196)</f>
        <v>1.64485362695147</v>
      </c>
      <c r="I196" s="23" t="n">
        <v>6115.9</v>
      </c>
      <c r="J196" s="23" t="n">
        <f aca="false">IFERROR(INDEX(ABC_XYZ!$R$5:$R$494,MATCH(A196,ABC_XYZ!$A$5:$A$494,0)),I196*Parametros!$B$13)</f>
        <v>2641.02049592992</v>
      </c>
      <c r="K196" s="27" t="n">
        <f aca="false">IFERROR(VLOOKUP(C196,Parametros!$A$36:$B$66,2,FALSE()),Parametros!$B$12)</f>
        <v>1</v>
      </c>
      <c r="L196" s="23" t="n">
        <f aca="false">H196*J196*SQRT(K196)</f>
        <v>4344.0921415835</v>
      </c>
      <c r="M196" s="29" t="n">
        <v>548</v>
      </c>
      <c r="N196" s="24" t="n">
        <v>0.197080291970803</v>
      </c>
      <c r="O196" s="3" t="s">
        <v>746</v>
      </c>
      <c r="P196" s="30" t="n">
        <f aca="false">IF(AND(ISNUMBER(M196),ISNUMBER(N196)),M196*N196/7,"")</f>
        <v>15.4285714285714</v>
      </c>
      <c r="Q196" s="23" t="n">
        <f aca="false">IF(ISNUMBER(P196),I196*P196,"")</f>
        <v>94359.6</v>
      </c>
      <c r="R196" s="23" t="n">
        <f aca="false">IF(ISNUMBER(Q196),MAX(0,MIN(L196,Q196-I196*K196)),L196)</f>
        <v>4344.0921415835</v>
      </c>
      <c r="S196" s="23" t="n">
        <f aca="false">R196+I196*K196</f>
        <v>10459.9921415835</v>
      </c>
      <c r="T196" s="23" t="n">
        <v>28971.2</v>
      </c>
      <c r="U196" s="23" t="n">
        <v>0</v>
      </c>
      <c r="V196" s="23" t="n">
        <f aca="false">T196+U196</f>
        <v>28971.2</v>
      </c>
      <c r="W196" s="30" t="n">
        <f aca="false">IF(I196&gt;0,V196/I196,"")</f>
        <v>4.73702970944587</v>
      </c>
      <c r="X196" s="3" t="str">
        <f aca="false">IF(I196&lt;=0,"SIN FCST",IF(V196&lt;R196,"BAJO SS",IF(T196&lt;R196,"BAJO SS (XLIB CUBRE)",IF(V196&lt;S196,"BAJO P.REORDEN",IF(AND(ISNUMBER(Q196),V196&gt;Q196),"SOBRE MAX VENDIBLE","OK")))))</f>
        <v>OK</v>
      </c>
    </row>
    <row r="197" customFormat="false" ht="15" hidden="false" customHeight="false" outlineLevel="0" collapsed="false">
      <c r="A197" s="3" t="n">
        <v>30000328</v>
      </c>
      <c r="B197" s="3" t="s">
        <v>888</v>
      </c>
      <c r="C197" s="3" t="s">
        <v>139</v>
      </c>
      <c r="D197" s="3" t="s">
        <v>753</v>
      </c>
      <c r="E197" s="3" t="s">
        <v>745</v>
      </c>
      <c r="F197" s="3" t="str">
        <f aca="false">IFERROR(INDEX(ABC_XYZ!$L$5:$L$494,MATCH(A197,ABC_XYZ!$A$5:$A$494,0)),"SIN HIST")</f>
        <v>BX</v>
      </c>
      <c r="G197" s="24" t="n">
        <f aca="false">IF(LEFT(F197,1)="A",Parametros!$B$8,IF(LEFT(F197,1)="B",Parametros!$B$9,IF(LEFT(F197,1)="C",Parametros!$B$10,Parametros!$B$11)))</f>
        <v>0.95</v>
      </c>
      <c r="H197" s="27" t="n">
        <f aca="false">NORMSINV(G197)</f>
        <v>1.64485362695147</v>
      </c>
      <c r="I197" s="23" t="n">
        <v>6114.1</v>
      </c>
      <c r="J197" s="23" t="n">
        <f aca="false">IFERROR(INDEX(ABC_XYZ!$R$5:$R$494,MATCH(A197,ABC_XYZ!$A$5:$A$494,0)),I197*Parametros!$B$13)</f>
        <v>2075.56683362322</v>
      </c>
      <c r="K197" s="27" t="n">
        <f aca="false">IFERROR(VLOOKUP(C197,Parametros!$A$36:$B$66,2,FALSE()),Parametros!$B$12)</f>
        <v>1</v>
      </c>
      <c r="L197" s="23" t="n">
        <f aca="false">H197*J197*SQRT(K197)</f>
        <v>3414.00363426534</v>
      </c>
      <c r="M197" s="29" t="n">
        <v>189</v>
      </c>
      <c r="N197" s="24" t="n">
        <v>0.259259259259259</v>
      </c>
      <c r="O197" s="3" t="s">
        <v>746</v>
      </c>
      <c r="P197" s="30" t="n">
        <f aca="false">IF(AND(ISNUMBER(M197),ISNUMBER(N197)),M197*N197/7,"")</f>
        <v>7</v>
      </c>
      <c r="Q197" s="23" t="n">
        <f aca="false">IF(ISNUMBER(P197),I197*P197,"")</f>
        <v>42798.7</v>
      </c>
      <c r="R197" s="23" t="n">
        <f aca="false">IF(ISNUMBER(Q197),MAX(0,MIN(L197,Q197-I197*K197)),L197)</f>
        <v>3414.00363426534</v>
      </c>
      <c r="S197" s="23" t="n">
        <f aca="false">R197+I197*K197</f>
        <v>9528.10363426534</v>
      </c>
      <c r="T197" s="23" t="n">
        <v>14136</v>
      </c>
      <c r="U197" s="23" t="n">
        <v>0</v>
      </c>
      <c r="V197" s="23" t="n">
        <f aca="false">T197+U197</f>
        <v>14136</v>
      </c>
      <c r="W197" s="30" t="n">
        <f aca="false">IF(I197&gt;0,V197/I197,"")</f>
        <v>2.31203284211904</v>
      </c>
      <c r="X197" s="3" t="str">
        <f aca="false">IF(I197&lt;=0,"SIN FCST",IF(V197&lt;R197,"BAJO SS",IF(T197&lt;R197,"BAJO SS (XLIB CUBRE)",IF(V197&lt;S197,"BAJO P.REORDEN",IF(AND(ISNUMBER(Q197),V197&gt;Q197),"SOBRE MAX VENDIBLE","OK")))))</f>
        <v>OK</v>
      </c>
    </row>
    <row r="198" customFormat="false" ht="15" hidden="false" customHeight="false" outlineLevel="0" collapsed="false">
      <c r="A198" s="3" t="n">
        <v>30001482</v>
      </c>
      <c r="B198" s="3" t="s">
        <v>566</v>
      </c>
      <c r="C198" s="3" t="s">
        <v>127</v>
      </c>
      <c r="D198" s="3" t="s">
        <v>753</v>
      </c>
      <c r="E198" s="3" t="s">
        <v>745</v>
      </c>
      <c r="F198" s="3" t="str">
        <f aca="false">IFERROR(INDEX(ABC_XYZ!$L$5:$L$494,MATCH(A198,ABC_XYZ!$A$5:$A$494,0)),"SIN HIST")</f>
        <v>CZ</v>
      </c>
      <c r="G198" s="24" t="n">
        <f aca="false">IF(LEFT(F198,1)="A",Parametros!$B$8,IF(LEFT(F198,1)="B",Parametros!$B$9,IF(LEFT(F198,1)="C",Parametros!$B$10,Parametros!$B$11)))</f>
        <v>0.9</v>
      </c>
      <c r="H198" s="27" t="n">
        <f aca="false">NORMSINV(G198)</f>
        <v>1.2815515655446</v>
      </c>
      <c r="I198" s="23" t="n">
        <v>6098.6</v>
      </c>
      <c r="J198" s="23" t="n">
        <f aca="false">IFERROR(INDEX(ABC_XYZ!$R$5:$R$494,MATCH(A198,ABC_XYZ!$A$5:$A$494,0)),I198*Parametros!$B$13)</f>
        <v>1353.56733638683</v>
      </c>
      <c r="K198" s="27" t="n">
        <f aca="false">IFERROR(VLOOKUP(C198,Parametros!$A$36:$B$66,2,FALSE()),Parametros!$B$12)</f>
        <v>1</v>
      </c>
      <c r="L198" s="23" t="n">
        <f aca="false">H198*J198*SQRT(K198)</f>
        <v>1734.66633901658</v>
      </c>
      <c r="M198" s="29" t="n">
        <v>365</v>
      </c>
      <c r="N198" s="24" t="n">
        <v>0.194520547945206</v>
      </c>
      <c r="O198" s="3" t="s">
        <v>746</v>
      </c>
      <c r="P198" s="30" t="n">
        <f aca="false">IF(AND(ISNUMBER(M198),ISNUMBER(N198)),M198*N198/7,"")</f>
        <v>10.1428571428571</v>
      </c>
      <c r="Q198" s="23" t="n">
        <f aca="false">IF(ISNUMBER(P198),I198*P198,"")</f>
        <v>61857.2285714286</v>
      </c>
      <c r="R198" s="23" t="n">
        <f aca="false">IF(ISNUMBER(Q198),MAX(0,MIN(L198,Q198-I198*K198)),L198)</f>
        <v>1734.66633901658</v>
      </c>
      <c r="S198" s="23" t="n">
        <f aca="false">R198+I198*K198</f>
        <v>7833.26633901658</v>
      </c>
      <c r="T198" s="23" t="n">
        <v>14450.4</v>
      </c>
      <c r="U198" s="23" t="n">
        <v>0</v>
      </c>
      <c r="V198" s="23" t="n">
        <f aca="false">T198+U198</f>
        <v>14450.4</v>
      </c>
      <c r="W198" s="30" t="n">
        <f aca="false">IF(I198&gt;0,V198/I198,"")</f>
        <v>2.36946184370183</v>
      </c>
      <c r="X198" s="3" t="str">
        <f aca="false">IF(I198&lt;=0,"SIN FCST",IF(V198&lt;R198,"BAJO SS",IF(T198&lt;R198,"BAJO SS (XLIB CUBRE)",IF(V198&lt;S198,"BAJO P.REORDEN",IF(AND(ISNUMBER(Q198),V198&gt;Q198),"SOBRE MAX VENDIBLE","OK")))))</f>
        <v>OK</v>
      </c>
    </row>
    <row r="199" customFormat="false" ht="15" hidden="false" customHeight="false" outlineLevel="0" collapsed="false">
      <c r="A199" s="3" t="n">
        <v>30001710</v>
      </c>
      <c r="B199" s="3" t="s">
        <v>889</v>
      </c>
      <c r="C199" s="3" t="s">
        <v>155</v>
      </c>
      <c r="D199" s="3" t="s">
        <v>761</v>
      </c>
      <c r="E199" s="3" t="s">
        <v>762</v>
      </c>
      <c r="F199" s="3" t="str">
        <f aca="false">IFERROR(INDEX(ABC_XYZ!$L$5:$L$494,MATCH(A199,ABC_XYZ!$A$5:$A$494,0)),"SIN HIST")</f>
        <v>AX</v>
      </c>
      <c r="G199" s="24" t="n">
        <f aca="false">IF(LEFT(F199,1)="A",Parametros!$B$8,IF(LEFT(F199,1)="B",Parametros!$B$9,IF(LEFT(F199,1)="C",Parametros!$B$10,Parametros!$B$11)))</f>
        <v>0.98</v>
      </c>
      <c r="H199" s="27" t="n">
        <f aca="false">NORMSINV(G199)</f>
        <v>2.05374891063182</v>
      </c>
      <c r="I199" s="23" t="n">
        <v>6071.6</v>
      </c>
      <c r="J199" s="23" t="n">
        <f aca="false">IFERROR(INDEX(ABC_XYZ!$R$5:$R$494,MATCH(A199,ABC_XYZ!$A$5:$A$494,0)),I199*Parametros!$B$13)</f>
        <v>2174.47587293941</v>
      </c>
      <c r="K199" s="27" t="n">
        <f aca="false">IFERROR(VLOOKUP(C199,Parametros!$A$36:$B$66,2,FALSE()),Parametros!$B$12)</f>
        <v>1</v>
      </c>
      <c r="L199" s="23" t="n">
        <f aca="false">H199*J199*SQRT(K199)</f>
        <v>4465.8274552445</v>
      </c>
      <c r="M199" s="29" t="n">
        <v>71</v>
      </c>
      <c r="N199" s="24" t="n">
        <v>0.295774647887324</v>
      </c>
      <c r="O199" s="3" t="s">
        <v>774</v>
      </c>
      <c r="P199" s="30" t="n">
        <f aca="false">IF(AND(ISNUMBER(M199),ISNUMBER(N199)),M199*N199/7,"")</f>
        <v>3</v>
      </c>
      <c r="Q199" s="23" t="n">
        <f aca="false">IF(ISNUMBER(P199),I199*P199,"")</f>
        <v>18214.8</v>
      </c>
      <c r="R199" s="23" t="n">
        <f aca="false">IF(ISNUMBER(Q199),MAX(0,MIN(L199,Q199-I199*K199)),L199)</f>
        <v>4465.8274552445</v>
      </c>
      <c r="S199" s="23" t="n">
        <f aca="false">R199+I199*K199</f>
        <v>10537.4274552445</v>
      </c>
      <c r="T199" s="23" t="n">
        <v>4556.2</v>
      </c>
      <c r="U199" s="23" t="n">
        <v>0</v>
      </c>
      <c r="V199" s="23" t="n">
        <f aca="false">T199+U199</f>
        <v>4556.2</v>
      </c>
      <c r="W199" s="30" t="n">
        <f aca="false">IF(I199&gt;0,V199/I199,"")</f>
        <v>0.750411753079913</v>
      </c>
      <c r="X199" s="3" t="str">
        <f aca="false">IF(I199&lt;=0,"SIN FCST",IF(V199&lt;R199,"BAJO SS",IF(T199&lt;R199,"BAJO SS (XLIB CUBRE)",IF(V199&lt;S199,"BAJO P.REORDEN",IF(AND(ISNUMBER(Q199),V199&gt;Q199),"SOBRE MAX VENDIBLE","OK")))))</f>
        <v>BAJO P.REORDEN</v>
      </c>
    </row>
    <row r="200" customFormat="false" ht="15" hidden="false" customHeight="false" outlineLevel="0" collapsed="false">
      <c r="A200" s="3" t="n">
        <v>30000630</v>
      </c>
      <c r="B200" s="3" t="s">
        <v>890</v>
      </c>
      <c r="C200" s="3" t="s">
        <v>129</v>
      </c>
      <c r="D200" s="3" t="s">
        <v>753</v>
      </c>
      <c r="E200" s="3" t="s">
        <v>745</v>
      </c>
      <c r="F200" s="3" t="str">
        <f aca="false">IFERROR(INDEX(ABC_XYZ!$L$5:$L$494,MATCH(A200,ABC_XYZ!$A$5:$A$494,0)),"SIN HIST")</f>
        <v>BX</v>
      </c>
      <c r="G200" s="24" t="n">
        <f aca="false">IF(LEFT(F200,1)="A",Parametros!$B$8,IF(LEFT(F200,1)="B",Parametros!$B$9,IF(LEFT(F200,1)="C",Parametros!$B$10,Parametros!$B$11)))</f>
        <v>0.95</v>
      </c>
      <c r="H200" s="27" t="n">
        <f aca="false">NORMSINV(G200)</f>
        <v>1.64485362695147</v>
      </c>
      <c r="I200" s="23" t="n">
        <v>6041</v>
      </c>
      <c r="J200" s="23" t="n">
        <f aca="false">IFERROR(INDEX(ABC_XYZ!$R$5:$R$494,MATCH(A200,ABC_XYZ!$A$5:$A$494,0)),I200*Parametros!$B$13)</f>
        <v>1643.14428516386</v>
      </c>
      <c r="K200" s="27" t="n">
        <f aca="false">IFERROR(VLOOKUP(C200,Parametros!$A$36:$B$66,2,FALSE()),Parametros!$B$12)</f>
        <v>1</v>
      </c>
      <c r="L200" s="23" t="n">
        <f aca="false">H200*J200*SQRT(K200)</f>
        <v>2702.73183705637</v>
      </c>
      <c r="M200" s="29" t="n">
        <v>730</v>
      </c>
      <c r="N200" s="24" t="n">
        <v>0.328767123287671</v>
      </c>
      <c r="O200" s="3" t="s">
        <v>772</v>
      </c>
      <c r="P200" s="30" t="n">
        <f aca="false">IF(AND(ISNUMBER(M200),ISNUMBER(N200)),M200*N200/7,"")</f>
        <v>34.2857142857143</v>
      </c>
      <c r="Q200" s="23" t="n">
        <f aca="false">IF(ISNUMBER(P200),I200*P200,"")</f>
        <v>207120</v>
      </c>
      <c r="R200" s="23" t="n">
        <f aca="false">IF(ISNUMBER(Q200),MAX(0,MIN(L200,Q200-I200*K200)),L200)</f>
        <v>2702.73183705637</v>
      </c>
      <c r="S200" s="23" t="n">
        <f aca="false">R200+I200*K200</f>
        <v>8743.73183705636</v>
      </c>
      <c r="T200" s="23" t="n">
        <v>113587.2</v>
      </c>
      <c r="U200" s="23" t="n">
        <v>0</v>
      </c>
      <c r="V200" s="23" t="n">
        <f aca="false">T200+U200</f>
        <v>113587.2</v>
      </c>
      <c r="W200" s="30" t="n">
        <f aca="false">IF(I200&gt;0,V200/I200,"")</f>
        <v>18.8027147823208</v>
      </c>
      <c r="X200" s="3" t="str">
        <f aca="false">IF(I200&lt;=0,"SIN FCST",IF(V200&lt;R200,"BAJO SS",IF(T200&lt;R200,"BAJO SS (XLIB CUBRE)",IF(V200&lt;S200,"BAJO P.REORDEN",IF(AND(ISNUMBER(Q200),V200&gt;Q200),"SOBRE MAX VENDIBLE","OK")))))</f>
        <v>OK</v>
      </c>
    </row>
    <row r="201" customFormat="false" ht="15" hidden="false" customHeight="false" outlineLevel="0" collapsed="false">
      <c r="A201" s="3" t="n">
        <v>30001487</v>
      </c>
      <c r="B201" s="3" t="s">
        <v>891</v>
      </c>
      <c r="C201" s="3" t="s">
        <v>135</v>
      </c>
      <c r="D201" s="3" t="s">
        <v>753</v>
      </c>
      <c r="E201" s="3" t="s">
        <v>745</v>
      </c>
      <c r="F201" s="3" t="str">
        <f aca="false">IFERROR(INDEX(ABC_XYZ!$L$5:$L$494,MATCH(A201,ABC_XYZ!$A$5:$A$494,0)),"SIN HIST")</f>
        <v>BX</v>
      </c>
      <c r="G201" s="24" t="n">
        <f aca="false">IF(LEFT(F201,1)="A",Parametros!$B$8,IF(LEFT(F201,1)="B",Parametros!$B$9,IF(LEFT(F201,1)="C",Parametros!$B$10,Parametros!$B$11)))</f>
        <v>0.95</v>
      </c>
      <c r="H201" s="27" t="n">
        <f aca="false">NORMSINV(G201)</f>
        <v>1.64485362695147</v>
      </c>
      <c r="I201" s="23" t="n">
        <v>6040.3</v>
      </c>
      <c r="J201" s="23" t="n">
        <f aca="false">IFERROR(INDEX(ABC_XYZ!$R$5:$R$494,MATCH(A201,ABC_XYZ!$A$5:$A$494,0)),I201*Parametros!$B$13)</f>
        <v>2216.43960029778</v>
      </c>
      <c r="K201" s="27" t="n">
        <f aca="false">IFERROR(VLOOKUP(C201,Parametros!$A$36:$B$66,2,FALSE()),Parametros!$B$12)</f>
        <v>1</v>
      </c>
      <c r="L201" s="23" t="n">
        <f aca="false">H201*J201*SQRT(K201)</f>
        <v>3645.71871546868</v>
      </c>
      <c r="M201" s="29" t="n">
        <v>180</v>
      </c>
      <c r="N201" s="24" t="n">
        <v>0.311111111111111</v>
      </c>
      <c r="O201" s="3" t="s">
        <v>780</v>
      </c>
      <c r="P201" s="30" t="n">
        <f aca="false">IF(AND(ISNUMBER(M201),ISNUMBER(N201)),M201*N201/7,"")</f>
        <v>8</v>
      </c>
      <c r="Q201" s="23" t="n">
        <f aca="false">IF(ISNUMBER(P201),I201*P201,"")</f>
        <v>48322.4</v>
      </c>
      <c r="R201" s="23" t="n">
        <f aca="false">IF(ISNUMBER(Q201),MAX(0,MIN(L201,Q201-I201*K201)),L201)</f>
        <v>3645.71871546868</v>
      </c>
      <c r="S201" s="23" t="n">
        <f aca="false">R201+I201*K201</f>
        <v>9686.01871546868</v>
      </c>
      <c r="T201" s="23" t="n">
        <v>11316</v>
      </c>
      <c r="U201" s="23" t="n">
        <v>13164</v>
      </c>
      <c r="V201" s="23" t="n">
        <f aca="false">T201+U201</f>
        <v>24480</v>
      </c>
      <c r="W201" s="30" t="n">
        <f aca="false">IF(I201&gt;0,V201/I201,"")</f>
        <v>4.0527788354883</v>
      </c>
      <c r="X201" s="3" t="str">
        <f aca="false">IF(I201&lt;=0,"SIN FCST",IF(V201&lt;R201,"BAJO SS",IF(T201&lt;R201,"BAJO SS (XLIB CUBRE)",IF(V201&lt;S201,"BAJO P.REORDEN",IF(AND(ISNUMBER(Q201),V201&gt;Q201),"SOBRE MAX VENDIBLE","OK")))))</f>
        <v>OK</v>
      </c>
    </row>
    <row r="202" customFormat="false" ht="15" hidden="false" customHeight="false" outlineLevel="0" collapsed="false">
      <c r="A202" s="3" t="n">
        <v>30001093</v>
      </c>
      <c r="B202" s="3" t="s">
        <v>892</v>
      </c>
      <c r="C202" s="3" t="s">
        <v>155</v>
      </c>
      <c r="D202" s="3" t="s">
        <v>761</v>
      </c>
      <c r="E202" s="3" t="s">
        <v>762</v>
      </c>
      <c r="F202" s="3" t="str">
        <f aca="false">IFERROR(INDEX(ABC_XYZ!$L$5:$L$494,MATCH(A202,ABC_XYZ!$A$5:$A$494,0)),"SIN HIST")</f>
        <v>AX</v>
      </c>
      <c r="G202" s="24" t="n">
        <f aca="false">IF(LEFT(F202,1)="A",Parametros!$B$8,IF(LEFT(F202,1)="B",Parametros!$B$9,IF(LEFT(F202,1)="C",Parametros!$B$10,Parametros!$B$11)))</f>
        <v>0.98</v>
      </c>
      <c r="H202" s="27" t="n">
        <f aca="false">NORMSINV(G202)</f>
        <v>2.05374891063182</v>
      </c>
      <c r="I202" s="23" t="n">
        <v>6034.3</v>
      </c>
      <c r="J202" s="23" t="n">
        <f aca="false">IFERROR(INDEX(ABC_XYZ!$R$5:$R$494,MATCH(A202,ABC_XYZ!$A$5:$A$494,0)),I202*Parametros!$B$13)</f>
        <v>1428.86425751435</v>
      </c>
      <c r="K202" s="27" t="n">
        <f aca="false">IFERROR(VLOOKUP(C202,Parametros!$A$36:$B$66,2,FALSE()),Parametros!$B$12)</f>
        <v>1</v>
      </c>
      <c r="L202" s="23" t="n">
        <f aca="false">H202*J202*SQRT(K202)</f>
        <v>2934.52841231083</v>
      </c>
      <c r="M202" s="29" t="n">
        <v>57</v>
      </c>
      <c r="N202" s="24" t="n">
        <v>0.298245614035088</v>
      </c>
      <c r="O202" s="3" t="s">
        <v>763</v>
      </c>
      <c r="P202" s="30" t="n">
        <f aca="false">IF(AND(ISNUMBER(M202),ISNUMBER(N202)),M202*N202/7,"")</f>
        <v>2.42857142857143</v>
      </c>
      <c r="Q202" s="23" t="n">
        <f aca="false">IF(ISNUMBER(P202),I202*P202,"")</f>
        <v>14654.7285714286</v>
      </c>
      <c r="R202" s="23" t="n">
        <f aca="false">IF(ISNUMBER(Q202),MAX(0,MIN(L202,Q202-I202*K202)),L202)</f>
        <v>2934.52841231083</v>
      </c>
      <c r="S202" s="23" t="n">
        <f aca="false">R202+I202*K202</f>
        <v>8968.82841231083</v>
      </c>
      <c r="T202" s="23" t="n">
        <v>9194.4</v>
      </c>
      <c r="U202" s="23" t="n">
        <v>0</v>
      </c>
      <c r="V202" s="23" t="n">
        <f aca="false">T202+U202</f>
        <v>9194.4</v>
      </c>
      <c r="W202" s="30" t="n">
        <f aca="false">IF(I202&gt;0,V202/I202,"")</f>
        <v>1.52368957459854</v>
      </c>
      <c r="X202" s="3" t="str">
        <f aca="false">IF(I202&lt;=0,"SIN FCST",IF(V202&lt;R202,"BAJO SS",IF(T202&lt;R202,"BAJO SS (XLIB CUBRE)",IF(V202&lt;S202,"BAJO P.REORDEN",IF(AND(ISNUMBER(Q202),V202&gt;Q202),"SOBRE MAX VENDIBLE","OK")))))</f>
        <v>OK</v>
      </c>
    </row>
    <row r="203" customFormat="false" ht="15" hidden="false" customHeight="false" outlineLevel="0" collapsed="false">
      <c r="A203" s="3" t="n">
        <v>30002198</v>
      </c>
      <c r="B203" s="3" t="s">
        <v>362</v>
      </c>
      <c r="C203" s="3" t="s">
        <v>155</v>
      </c>
      <c r="D203" s="3" t="s">
        <v>761</v>
      </c>
      <c r="E203" s="3"/>
      <c r="F203" s="3" t="str">
        <f aca="false">IFERROR(INDEX(ABC_XYZ!$L$5:$L$494,MATCH(A203,ABC_XYZ!$A$5:$A$494,0)),"SIN HIST")</f>
        <v>BX</v>
      </c>
      <c r="G203" s="24" t="n">
        <f aca="false">IF(LEFT(F203,1)="A",Parametros!$B$8,IF(LEFT(F203,1)="B",Parametros!$B$9,IF(LEFT(F203,1)="C",Parametros!$B$10,Parametros!$B$11)))</f>
        <v>0.95</v>
      </c>
      <c r="H203" s="27" t="n">
        <f aca="false">NORMSINV(G203)</f>
        <v>1.64485362695147</v>
      </c>
      <c r="I203" s="23" t="n">
        <v>5965.2</v>
      </c>
      <c r="J203" s="23" t="n">
        <f aca="false">IFERROR(INDEX(ABC_XYZ!$R$5:$R$494,MATCH(A203,ABC_XYZ!$A$5:$A$494,0)),I203*Parametros!$B$13)</f>
        <v>1579.50333021277</v>
      </c>
      <c r="K203" s="27" t="n">
        <f aca="false">IFERROR(VLOOKUP(C203,Parametros!$A$36:$B$66,2,FALSE()),Parametros!$B$12)</f>
        <v>1</v>
      </c>
      <c r="L203" s="23" t="n">
        <f aca="false">H203*J203*SQRT(K203)</f>
        <v>2598.0517814824</v>
      </c>
      <c r="M203" s="29" t="n">
        <v>63</v>
      </c>
      <c r="N203" s="24" t="n">
        <v>0.238095238095238</v>
      </c>
      <c r="O203" s="3" t="s">
        <v>754</v>
      </c>
      <c r="P203" s="30" t="n">
        <f aca="false">IF(AND(ISNUMBER(M203),ISNUMBER(N203)),M203*N203/7,"")</f>
        <v>2.14285714285714</v>
      </c>
      <c r="Q203" s="23" t="n">
        <f aca="false">IF(ISNUMBER(P203),I203*P203,"")</f>
        <v>12782.5714285714</v>
      </c>
      <c r="R203" s="23" t="n">
        <f aca="false">IF(ISNUMBER(Q203),MAX(0,MIN(L203,Q203-I203*K203)),L203)</f>
        <v>2598.0517814824</v>
      </c>
      <c r="S203" s="23" t="n">
        <f aca="false">R203+I203*K203</f>
        <v>8563.2517814824</v>
      </c>
      <c r="T203" s="23" t="n">
        <v>686.4</v>
      </c>
      <c r="U203" s="23" t="n">
        <v>0</v>
      </c>
      <c r="V203" s="23" t="n">
        <f aca="false">T203+U203</f>
        <v>686.4</v>
      </c>
      <c r="W203" s="30" t="n">
        <f aca="false">IF(I203&gt;0,V203/I203,"")</f>
        <v>0.115067390867029</v>
      </c>
      <c r="X203" s="3" t="str">
        <f aca="false">IF(I203&lt;=0,"SIN FCST",IF(V203&lt;R203,"BAJO SS",IF(T203&lt;R203,"BAJO SS (XLIB CUBRE)",IF(V203&lt;S203,"BAJO P.REORDEN",IF(AND(ISNUMBER(Q203),V203&gt;Q203),"SOBRE MAX VENDIBLE","OK")))))</f>
        <v>BAJO SS</v>
      </c>
    </row>
    <row r="204" customFormat="false" ht="15" hidden="false" customHeight="false" outlineLevel="0" collapsed="false">
      <c r="A204" s="3" t="n">
        <v>30000739</v>
      </c>
      <c r="B204" s="3" t="s">
        <v>893</v>
      </c>
      <c r="C204" s="3" t="s">
        <v>133</v>
      </c>
      <c r="D204" s="3" t="s">
        <v>758</v>
      </c>
      <c r="E204" s="3"/>
      <c r="F204" s="3" t="str">
        <f aca="false">IFERROR(INDEX(ABC_XYZ!$L$5:$L$494,MATCH(A204,ABC_XYZ!$A$5:$A$494,0)),"SIN HIST")</f>
        <v>SIN HIST</v>
      </c>
      <c r="G204" s="24" t="n">
        <f aca="false">IF(LEFT(F204,1)="A",Parametros!$B$8,IF(LEFT(F204,1)="B",Parametros!$B$9,IF(LEFT(F204,1)="C",Parametros!$B$10,Parametros!$B$11)))</f>
        <v>0.95</v>
      </c>
      <c r="H204" s="27" t="n">
        <f aca="false">NORMSINV(G204)</f>
        <v>1.64485362695147</v>
      </c>
      <c r="I204" s="23" t="n">
        <v>5849</v>
      </c>
      <c r="J204" s="23" t="n">
        <f aca="false">IFERROR(INDEX(ABC_XYZ!$R$5:$R$494,MATCH(A204,ABC_XYZ!$A$5:$A$494,0)),I204*Parametros!$B$13)</f>
        <v>1754.7</v>
      </c>
      <c r="K204" s="27" t="n">
        <f aca="false">IFERROR(VLOOKUP(C204,Parametros!$A$36:$B$66,2,FALSE()),Parametros!$B$12)</f>
        <v>1</v>
      </c>
      <c r="L204" s="23" t="n">
        <f aca="false">H204*J204*SQRT(K204)</f>
        <v>2886.22465921175</v>
      </c>
      <c r="M204" s="29"/>
      <c r="N204" s="24"/>
      <c r="O204" s="3"/>
      <c r="P204" s="30" t="str">
        <f aca="false">IF(AND(ISNUMBER(M204),ISNUMBER(N204)),M204*N204/7,"")</f>
        <v/>
      </c>
      <c r="Q204" s="23" t="str">
        <f aca="false">IF(ISNUMBER(P204),I204*P204,"")</f>
        <v/>
      </c>
      <c r="R204" s="23" t="n">
        <f aca="false">IF(ISNUMBER(Q204),MAX(0,MIN(L204,Q204-I204*K204)),L204)</f>
        <v>2886.22465921175</v>
      </c>
      <c r="S204" s="23" t="n">
        <f aca="false">R204+I204*K204</f>
        <v>8735.22465921175</v>
      </c>
      <c r="T204" s="23" t="n">
        <v>21240</v>
      </c>
      <c r="U204" s="23" t="n">
        <v>0</v>
      </c>
      <c r="V204" s="23" t="n">
        <f aca="false">T204+U204</f>
        <v>21240</v>
      </c>
      <c r="W204" s="30" t="n">
        <f aca="false">IF(I204&gt;0,V204/I204,"")</f>
        <v>3.63138998119337</v>
      </c>
      <c r="X204" s="3" t="str">
        <f aca="false">IF(I204&lt;=0,"SIN FCST",IF(V204&lt;R204,"BAJO SS",IF(T204&lt;R204,"BAJO SS (XLIB CUBRE)",IF(V204&lt;S204,"BAJO P.REORDEN",IF(AND(ISNUMBER(Q204),V204&gt;Q204),"SOBRE MAX VENDIBLE","OK")))))</f>
        <v>OK</v>
      </c>
    </row>
    <row r="205" customFormat="false" ht="15" hidden="false" customHeight="false" outlineLevel="0" collapsed="false">
      <c r="A205" s="3" t="n">
        <v>30001490</v>
      </c>
      <c r="B205" s="3" t="s">
        <v>337</v>
      </c>
      <c r="C205" s="3" t="s">
        <v>155</v>
      </c>
      <c r="D205" s="3" t="s">
        <v>761</v>
      </c>
      <c r="E205" s="3" t="s">
        <v>762</v>
      </c>
      <c r="F205" s="3" t="str">
        <f aca="false">IFERROR(INDEX(ABC_XYZ!$L$5:$L$494,MATCH(A205,ABC_XYZ!$A$5:$A$494,0)),"SIN HIST")</f>
        <v>BX</v>
      </c>
      <c r="G205" s="24" t="n">
        <f aca="false">IF(LEFT(F205,1)="A",Parametros!$B$8,IF(LEFT(F205,1)="B",Parametros!$B$9,IF(LEFT(F205,1)="C",Parametros!$B$10,Parametros!$B$11)))</f>
        <v>0.95</v>
      </c>
      <c r="H205" s="27" t="n">
        <f aca="false">NORMSINV(G205)</f>
        <v>1.64485362695147</v>
      </c>
      <c r="I205" s="23" t="n">
        <v>5846.2</v>
      </c>
      <c r="J205" s="23" t="n">
        <f aca="false">IFERROR(INDEX(ABC_XYZ!$R$5:$R$494,MATCH(A205,ABC_XYZ!$A$5:$A$494,0)),I205*Parametros!$B$13)</f>
        <v>1161.30895417653</v>
      </c>
      <c r="K205" s="27" t="n">
        <f aca="false">IFERROR(VLOOKUP(C205,Parametros!$A$36:$B$66,2,FALSE()),Parametros!$B$12)</f>
        <v>1</v>
      </c>
      <c r="L205" s="23" t="n">
        <f aca="false">H205*J205*SQRT(K205)</f>
        <v>1910.18324528849</v>
      </c>
      <c r="M205" s="29" t="n">
        <v>57</v>
      </c>
      <c r="N205" s="24" t="n">
        <v>0.228070175438597</v>
      </c>
      <c r="O205" s="3" t="s">
        <v>754</v>
      </c>
      <c r="P205" s="30" t="n">
        <f aca="false">IF(AND(ISNUMBER(M205),ISNUMBER(N205)),M205*N205/7,"")</f>
        <v>1.85714285714286</v>
      </c>
      <c r="Q205" s="23" t="n">
        <f aca="false">IF(ISNUMBER(P205),I205*P205,"")</f>
        <v>10857.2285714286</v>
      </c>
      <c r="R205" s="23" t="n">
        <f aca="false">IF(ISNUMBER(Q205),MAX(0,MIN(L205,Q205-I205*K205)),L205)</f>
        <v>1910.18324528849</v>
      </c>
      <c r="S205" s="23" t="n">
        <f aca="false">R205+I205*K205</f>
        <v>7756.38324528849</v>
      </c>
      <c r="T205" s="23" t="n">
        <v>11651.8</v>
      </c>
      <c r="U205" s="23" t="n">
        <v>0</v>
      </c>
      <c r="V205" s="23" t="n">
        <f aca="false">T205+U205</f>
        <v>11651.8</v>
      </c>
      <c r="W205" s="30" t="n">
        <f aca="false">IF(I205&gt;0,V205/I205,"")</f>
        <v>1.99305531798433</v>
      </c>
      <c r="X205" s="3" t="str">
        <f aca="false">IF(I205&lt;=0,"SIN FCST",IF(V205&lt;R205,"BAJO SS",IF(T205&lt;R205,"BAJO SS (XLIB CUBRE)",IF(V205&lt;S205,"BAJO P.REORDEN",IF(AND(ISNUMBER(Q205),V205&gt;Q205),"SOBRE MAX VENDIBLE","OK")))))</f>
        <v>SOBRE MAX VENDIBLE</v>
      </c>
    </row>
    <row r="206" customFormat="false" ht="15" hidden="false" customHeight="false" outlineLevel="0" collapsed="false">
      <c r="A206" s="3" t="n">
        <v>30001031</v>
      </c>
      <c r="B206" s="3" t="s">
        <v>894</v>
      </c>
      <c r="C206" s="3" t="s">
        <v>155</v>
      </c>
      <c r="D206" s="3" t="s">
        <v>761</v>
      </c>
      <c r="E206" s="3" t="s">
        <v>762</v>
      </c>
      <c r="F206" s="3" t="str">
        <f aca="false">IFERROR(INDEX(ABC_XYZ!$L$5:$L$494,MATCH(A206,ABC_XYZ!$A$5:$A$494,0)),"SIN HIST")</f>
        <v>AX</v>
      </c>
      <c r="G206" s="24" t="n">
        <f aca="false">IF(LEFT(F206,1)="A",Parametros!$B$8,IF(LEFT(F206,1)="B",Parametros!$B$9,IF(LEFT(F206,1)="C",Parametros!$B$10,Parametros!$B$11)))</f>
        <v>0.98</v>
      </c>
      <c r="H206" s="27" t="n">
        <f aca="false">NORMSINV(G206)</f>
        <v>2.05374891063182</v>
      </c>
      <c r="I206" s="23" t="n">
        <v>5836.4</v>
      </c>
      <c r="J206" s="23" t="n">
        <f aca="false">IFERROR(INDEX(ABC_XYZ!$R$5:$R$494,MATCH(A206,ABC_XYZ!$A$5:$A$494,0)),I206*Parametros!$B$13)</f>
        <v>1919.96714980435</v>
      </c>
      <c r="K206" s="27" t="n">
        <f aca="false">IFERROR(VLOOKUP(C206,Parametros!$A$36:$B$66,2,FALSE()),Parametros!$B$12)</f>
        <v>1</v>
      </c>
      <c r="L206" s="23" t="n">
        <f aca="false">H206*J206*SQRT(K206)</f>
        <v>3943.13044235957</v>
      </c>
      <c r="M206" s="29" t="n">
        <v>62</v>
      </c>
      <c r="N206" s="24" t="n">
        <v>0.193548387096774</v>
      </c>
      <c r="O206" s="3" t="s">
        <v>774</v>
      </c>
      <c r="P206" s="30" t="n">
        <f aca="false">IF(AND(ISNUMBER(M206),ISNUMBER(N206)),M206*N206/7,"")</f>
        <v>1.71428571428571</v>
      </c>
      <c r="Q206" s="23" t="n">
        <f aca="false">IF(ISNUMBER(P206),I206*P206,"")</f>
        <v>10005.2571428571</v>
      </c>
      <c r="R206" s="23" t="n">
        <f aca="false">IF(ISNUMBER(Q206),MAX(0,MIN(L206,Q206-I206*K206)),L206)</f>
        <v>3943.13044235957</v>
      </c>
      <c r="S206" s="23" t="n">
        <f aca="false">R206+I206*K206</f>
        <v>9779.53044235957</v>
      </c>
      <c r="T206" s="23" t="n">
        <v>7948.8</v>
      </c>
      <c r="U206" s="23" t="n">
        <v>0</v>
      </c>
      <c r="V206" s="23" t="n">
        <f aca="false">T206+U206</f>
        <v>7948.8</v>
      </c>
      <c r="W206" s="30" t="n">
        <f aca="false">IF(I206&gt;0,V206/I206,"")</f>
        <v>1.36193543965458</v>
      </c>
      <c r="X206" s="3" t="str">
        <f aca="false">IF(I206&lt;=0,"SIN FCST",IF(V206&lt;R206,"BAJO SS",IF(T206&lt;R206,"BAJO SS (XLIB CUBRE)",IF(V206&lt;S206,"BAJO P.REORDEN",IF(AND(ISNUMBER(Q206),V206&gt;Q206),"SOBRE MAX VENDIBLE","OK")))))</f>
        <v>BAJO P.REORDEN</v>
      </c>
    </row>
    <row r="207" customFormat="false" ht="15" hidden="false" customHeight="false" outlineLevel="0" collapsed="false">
      <c r="A207" s="3" t="n">
        <v>30001758</v>
      </c>
      <c r="B207" s="3" t="s">
        <v>895</v>
      </c>
      <c r="C207" s="3" t="s">
        <v>144</v>
      </c>
      <c r="D207" s="3" t="s">
        <v>753</v>
      </c>
      <c r="E207" s="3" t="s">
        <v>745</v>
      </c>
      <c r="F207" s="3" t="str">
        <f aca="false">IFERROR(INDEX(ABC_XYZ!$L$5:$L$494,MATCH(A207,ABC_XYZ!$A$5:$A$494,0)),"SIN HIST")</f>
        <v>BX</v>
      </c>
      <c r="G207" s="24" t="n">
        <f aca="false">IF(LEFT(F207,1)="A",Parametros!$B$8,IF(LEFT(F207,1)="B",Parametros!$B$9,IF(LEFT(F207,1)="C",Parametros!$B$10,Parametros!$B$11)))</f>
        <v>0.95</v>
      </c>
      <c r="H207" s="27" t="n">
        <f aca="false">NORMSINV(G207)</f>
        <v>1.64485362695147</v>
      </c>
      <c r="I207" s="23" t="n">
        <v>5825</v>
      </c>
      <c r="J207" s="23" t="n">
        <f aca="false">IFERROR(INDEX(ABC_XYZ!$R$5:$R$494,MATCH(A207,ABC_XYZ!$A$5:$A$494,0)),I207*Parametros!$B$13)</f>
        <v>1468.17002932222</v>
      </c>
      <c r="K207" s="27" t="n">
        <f aca="false">IFERROR(VLOOKUP(C207,Parametros!$A$36:$B$66,2,FALSE()),Parametros!$B$12)</f>
        <v>1</v>
      </c>
      <c r="L207" s="23" t="n">
        <f aca="false">H207*J207*SQRT(K207)</f>
        <v>2414.9247977121</v>
      </c>
      <c r="M207" s="29" t="n">
        <v>365</v>
      </c>
      <c r="N207" s="24" t="n">
        <v>0.273972602739726</v>
      </c>
      <c r="O207" s="3" t="s">
        <v>746</v>
      </c>
      <c r="P207" s="30" t="n">
        <f aca="false">IF(AND(ISNUMBER(M207),ISNUMBER(N207)),M207*N207/7,"")</f>
        <v>14.2857142857143</v>
      </c>
      <c r="Q207" s="23" t="n">
        <f aca="false">IF(ISNUMBER(P207),I207*P207,"")</f>
        <v>83214.2857142857</v>
      </c>
      <c r="R207" s="23" t="n">
        <f aca="false">IF(ISNUMBER(Q207),MAX(0,MIN(L207,Q207-I207*K207)),L207)</f>
        <v>2414.9247977121</v>
      </c>
      <c r="S207" s="23" t="n">
        <f aca="false">R207+I207*K207</f>
        <v>8239.9247977121</v>
      </c>
      <c r="T207" s="23" t="n">
        <v>21654</v>
      </c>
      <c r="U207" s="23" t="n">
        <v>0</v>
      </c>
      <c r="V207" s="23" t="n">
        <f aca="false">T207+U207</f>
        <v>21654</v>
      </c>
      <c r="W207" s="30" t="n">
        <f aca="false">IF(I207&gt;0,V207/I207,"")</f>
        <v>3.71742489270386</v>
      </c>
      <c r="X207" s="3" t="str">
        <f aca="false">IF(I207&lt;=0,"SIN FCST",IF(V207&lt;R207,"BAJO SS",IF(T207&lt;R207,"BAJO SS (XLIB CUBRE)",IF(V207&lt;S207,"BAJO P.REORDEN",IF(AND(ISNUMBER(Q207),V207&gt;Q207),"SOBRE MAX VENDIBLE","OK")))))</f>
        <v>OK</v>
      </c>
    </row>
    <row r="208" customFormat="false" ht="15" hidden="false" customHeight="false" outlineLevel="0" collapsed="false">
      <c r="A208" s="3" t="n">
        <v>30000629</v>
      </c>
      <c r="B208" s="3" t="s">
        <v>896</v>
      </c>
      <c r="C208" s="3" t="s">
        <v>129</v>
      </c>
      <c r="D208" s="3" t="s">
        <v>753</v>
      </c>
      <c r="E208" s="3" t="s">
        <v>745</v>
      </c>
      <c r="F208" s="3" t="str">
        <f aca="false">IFERROR(INDEX(ABC_XYZ!$L$5:$L$494,MATCH(A208,ABC_XYZ!$A$5:$A$494,0)),"SIN HIST")</f>
        <v>BX</v>
      </c>
      <c r="G208" s="24" t="n">
        <f aca="false">IF(LEFT(F208,1)="A",Parametros!$B$8,IF(LEFT(F208,1)="B",Parametros!$B$9,IF(LEFT(F208,1)="C",Parametros!$B$10,Parametros!$B$11)))</f>
        <v>0.95</v>
      </c>
      <c r="H208" s="27" t="n">
        <f aca="false">NORMSINV(G208)</f>
        <v>1.64485362695147</v>
      </c>
      <c r="I208" s="23" t="n">
        <v>5797.5</v>
      </c>
      <c r="J208" s="23" t="n">
        <f aca="false">IFERROR(INDEX(ABC_XYZ!$R$5:$R$494,MATCH(A208,ABC_XYZ!$A$5:$A$494,0)),I208*Parametros!$B$13)</f>
        <v>2512.58148938497</v>
      </c>
      <c r="K208" s="27" t="n">
        <f aca="false">IFERROR(VLOOKUP(C208,Parametros!$A$36:$B$66,2,FALSE()),Parametros!$B$12)</f>
        <v>1</v>
      </c>
      <c r="L208" s="23" t="n">
        <f aca="false">H208*J208*SQRT(K208)</f>
        <v>4132.828775826</v>
      </c>
      <c r="M208" s="29" t="n">
        <v>1020</v>
      </c>
      <c r="N208" s="24" t="n">
        <v>0.468627450980392</v>
      </c>
      <c r="O208" s="3" t="s">
        <v>763</v>
      </c>
      <c r="P208" s="30" t="n">
        <f aca="false">IF(AND(ISNUMBER(M208),ISNUMBER(N208)),M208*N208/7,"")</f>
        <v>68.2857142857143</v>
      </c>
      <c r="Q208" s="23" t="n">
        <f aca="false">IF(ISNUMBER(P208),I208*P208,"")</f>
        <v>395886.428571429</v>
      </c>
      <c r="R208" s="23" t="n">
        <f aca="false">IF(ISNUMBER(Q208),MAX(0,MIN(L208,Q208-I208*K208)),L208)</f>
        <v>4132.828775826</v>
      </c>
      <c r="S208" s="23" t="n">
        <f aca="false">R208+I208*K208</f>
        <v>9930.328775826</v>
      </c>
      <c r="T208" s="23" t="n">
        <v>58745</v>
      </c>
      <c r="U208" s="23" t="n">
        <v>0</v>
      </c>
      <c r="V208" s="23" t="n">
        <f aca="false">T208+U208</f>
        <v>58745</v>
      </c>
      <c r="W208" s="30" t="n">
        <f aca="false">IF(I208&gt;0,V208/I208,"")</f>
        <v>10.132815868909</v>
      </c>
      <c r="X208" s="3" t="str">
        <f aca="false">IF(I208&lt;=0,"SIN FCST",IF(V208&lt;R208,"BAJO SS",IF(T208&lt;R208,"BAJO SS (XLIB CUBRE)",IF(V208&lt;S208,"BAJO P.REORDEN",IF(AND(ISNUMBER(Q208),V208&gt;Q208),"SOBRE MAX VENDIBLE","OK")))))</f>
        <v>OK</v>
      </c>
    </row>
    <row r="209" customFormat="false" ht="15" hidden="false" customHeight="false" outlineLevel="0" collapsed="false">
      <c r="A209" s="3" t="n">
        <v>30000176</v>
      </c>
      <c r="B209" s="3" t="s">
        <v>897</v>
      </c>
      <c r="C209" s="3" t="s">
        <v>144</v>
      </c>
      <c r="D209" s="3" t="s">
        <v>753</v>
      </c>
      <c r="E209" s="3" t="s">
        <v>745</v>
      </c>
      <c r="F209" s="3" t="str">
        <f aca="false">IFERROR(INDEX(ABC_XYZ!$L$5:$L$494,MATCH(A209,ABC_XYZ!$A$5:$A$494,0)),"SIN HIST")</f>
        <v>BX</v>
      </c>
      <c r="G209" s="24" t="n">
        <f aca="false">IF(LEFT(F209,1)="A",Parametros!$B$8,IF(LEFT(F209,1)="B",Parametros!$B$9,IF(LEFT(F209,1)="C",Parametros!$B$10,Parametros!$B$11)))</f>
        <v>0.95</v>
      </c>
      <c r="H209" s="27" t="n">
        <f aca="false">NORMSINV(G209)</f>
        <v>1.64485362695147</v>
      </c>
      <c r="I209" s="23" t="n">
        <v>5721.7</v>
      </c>
      <c r="J209" s="23" t="n">
        <f aca="false">IFERROR(INDEX(ABC_XYZ!$R$5:$R$494,MATCH(A209,ABC_XYZ!$A$5:$A$494,0)),I209*Parametros!$B$13)</f>
        <v>1383.69402895769</v>
      </c>
      <c r="K209" s="27" t="n">
        <f aca="false">IFERROR(VLOOKUP(C209,Parametros!$A$36:$B$66,2,FALSE()),Parametros!$B$12)</f>
        <v>1</v>
      </c>
      <c r="L209" s="23" t="n">
        <f aca="false">H209*J209*SQRT(K209)</f>
        <v>2275.97414212216</v>
      </c>
      <c r="M209" s="29" t="n">
        <v>184</v>
      </c>
      <c r="N209" s="24" t="n">
        <v>0.28804347826087</v>
      </c>
      <c r="O209" s="3" t="s">
        <v>746</v>
      </c>
      <c r="P209" s="30" t="n">
        <f aca="false">IF(AND(ISNUMBER(M209),ISNUMBER(N209)),M209*N209/7,"")</f>
        <v>7.57142857142857</v>
      </c>
      <c r="Q209" s="23" t="n">
        <f aca="false">IF(ISNUMBER(P209),I209*P209,"")</f>
        <v>43321.4428571429</v>
      </c>
      <c r="R209" s="23" t="n">
        <f aca="false">IF(ISNUMBER(Q209),MAX(0,MIN(L209,Q209-I209*K209)),L209)</f>
        <v>2275.97414212216</v>
      </c>
      <c r="S209" s="23" t="n">
        <f aca="false">R209+I209*K209</f>
        <v>7997.67414212216</v>
      </c>
      <c r="T209" s="23" t="n">
        <v>28329.6</v>
      </c>
      <c r="U209" s="23" t="n">
        <v>0</v>
      </c>
      <c r="V209" s="23" t="n">
        <f aca="false">T209+U209</f>
        <v>28329.6</v>
      </c>
      <c r="W209" s="30" t="n">
        <f aca="false">IF(I209&gt;0,V209/I209,"")</f>
        <v>4.95125574566999</v>
      </c>
      <c r="X209" s="3" t="str">
        <f aca="false">IF(I209&lt;=0,"SIN FCST",IF(V209&lt;R209,"BAJO SS",IF(T209&lt;R209,"BAJO SS (XLIB CUBRE)",IF(V209&lt;S209,"BAJO P.REORDEN",IF(AND(ISNUMBER(Q209),V209&gt;Q209),"SOBRE MAX VENDIBLE","OK")))))</f>
        <v>OK</v>
      </c>
    </row>
    <row r="210" customFormat="false" ht="15" hidden="false" customHeight="false" outlineLevel="0" collapsed="false">
      <c r="A210" s="3" t="n">
        <v>30002098</v>
      </c>
      <c r="B210" s="3" t="s">
        <v>898</v>
      </c>
      <c r="C210" s="3" t="s">
        <v>140</v>
      </c>
      <c r="D210" s="3" t="s">
        <v>744</v>
      </c>
      <c r="E210" s="3" t="s">
        <v>745</v>
      </c>
      <c r="F210" s="3" t="str">
        <f aca="false">IFERROR(INDEX(ABC_XYZ!$L$5:$L$494,MATCH(A210,ABC_XYZ!$A$5:$A$494,0)),"SIN HIST")</f>
        <v>BX</v>
      </c>
      <c r="G210" s="24" t="n">
        <f aca="false">IF(LEFT(F210,1)="A",Parametros!$B$8,IF(LEFT(F210,1)="B",Parametros!$B$9,IF(LEFT(F210,1)="C",Parametros!$B$10,Parametros!$B$11)))</f>
        <v>0.95</v>
      </c>
      <c r="H210" s="27" t="n">
        <f aca="false">NORMSINV(G210)</f>
        <v>1.64485362695147</v>
      </c>
      <c r="I210" s="23" t="n">
        <v>5627.5</v>
      </c>
      <c r="J210" s="23" t="n">
        <f aca="false">IFERROR(INDEX(ABC_XYZ!$R$5:$R$494,MATCH(A210,ABC_XYZ!$A$5:$A$494,0)),I210*Parametros!$B$13)</f>
        <v>1323.87552952231</v>
      </c>
      <c r="K210" s="27" t="n">
        <f aca="false">IFERROR(VLOOKUP(C210,Parametros!$A$36:$B$66,2,FALSE()),Parametros!$B$12)</f>
        <v>1</v>
      </c>
      <c r="L210" s="23" t="n">
        <f aca="false">H210*J210*SQRT(K210)</f>
        <v>2177.58146636708</v>
      </c>
      <c r="M210" s="29" t="n">
        <v>184</v>
      </c>
      <c r="N210" s="24" t="n">
        <v>0.190217391304348</v>
      </c>
      <c r="O210" s="3" t="s">
        <v>746</v>
      </c>
      <c r="P210" s="30" t="n">
        <f aca="false">IF(AND(ISNUMBER(M210),ISNUMBER(N210)),M210*N210/7,"")</f>
        <v>5</v>
      </c>
      <c r="Q210" s="23" t="n">
        <f aca="false">IF(ISNUMBER(P210),I210*P210,"")</f>
        <v>28137.5</v>
      </c>
      <c r="R210" s="23" t="n">
        <f aca="false">IF(ISNUMBER(Q210),MAX(0,MIN(L210,Q210-I210*K210)),L210)</f>
        <v>2177.58146636708</v>
      </c>
      <c r="S210" s="23" t="n">
        <f aca="false">R210+I210*K210</f>
        <v>7805.08146636708</v>
      </c>
      <c r="T210" s="23" t="n">
        <v>16623</v>
      </c>
      <c r="U210" s="23" t="n">
        <v>0</v>
      </c>
      <c r="V210" s="23" t="n">
        <f aca="false">T210+U210</f>
        <v>16623</v>
      </c>
      <c r="W210" s="30" t="n">
        <f aca="false">IF(I210&gt;0,V210/I210,"")</f>
        <v>2.95388716126166</v>
      </c>
      <c r="X210" s="3" t="str">
        <f aca="false">IF(I210&lt;=0,"SIN FCST",IF(V210&lt;R210,"BAJO SS",IF(T210&lt;R210,"BAJO SS (XLIB CUBRE)",IF(V210&lt;S210,"BAJO P.REORDEN",IF(AND(ISNUMBER(Q210),V210&gt;Q210),"SOBRE MAX VENDIBLE","OK")))))</f>
        <v>OK</v>
      </c>
    </row>
    <row r="211" customFormat="false" ht="15" hidden="false" customHeight="false" outlineLevel="0" collapsed="false">
      <c r="A211" s="3" t="n">
        <v>30001656</v>
      </c>
      <c r="B211" s="3" t="s">
        <v>350</v>
      </c>
      <c r="C211" s="3" t="s">
        <v>144</v>
      </c>
      <c r="D211" s="3" t="s">
        <v>753</v>
      </c>
      <c r="E211" s="3" t="s">
        <v>745</v>
      </c>
      <c r="F211" s="3" t="str">
        <f aca="false">IFERROR(INDEX(ABC_XYZ!$L$5:$L$494,MATCH(A211,ABC_XYZ!$A$5:$A$494,0)),"SIN HIST")</f>
        <v>BX</v>
      </c>
      <c r="G211" s="24" t="n">
        <f aca="false">IF(LEFT(F211,1)="A",Parametros!$B$8,IF(LEFT(F211,1)="B",Parametros!$B$9,IF(LEFT(F211,1)="C",Parametros!$B$10,Parametros!$B$11)))</f>
        <v>0.95</v>
      </c>
      <c r="H211" s="27" t="n">
        <f aca="false">NORMSINV(G211)</f>
        <v>1.64485362695147</v>
      </c>
      <c r="I211" s="23" t="n">
        <v>5595.9</v>
      </c>
      <c r="J211" s="23" t="n">
        <f aca="false">IFERROR(INDEX(ABC_XYZ!$R$5:$R$494,MATCH(A211,ABC_XYZ!$A$5:$A$494,0)),I211*Parametros!$B$13)</f>
        <v>1270.49816931964</v>
      </c>
      <c r="K211" s="27" t="n">
        <f aca="false">IFERROR(VLOOKUP(C211,Parametros!$A$36:$B$66,2,FALSE()),Parametros!$B$12)</f>
        <v>1</v>
      </c>
      <c r="L211" s="23" t="n">
        <f aca="false">H211*J211*SQRT(K211)</f>
        <v>2089.78352184061</v>
      </c>
      <c r="M211" s="29" t="n">
        <v>365</v>
      </c>
      <c r="N211" s="24" t="n">
        <v>0.273972602739726</v>
      </c>
      <c r="O211" s="3" t="s">
        <v>746</v>
      </c>
      <c r="P211" s="30" t="n">
        <f aca="false">IF(AND(ISNUMBER(M211),ISNUMBER(N211)),M211*N211/7,"")</f>
        <v>14.2857142857143</v>
      </c>
      <c r="Q211" s="23" t="n">
        <f aca="false">IF(ISNUMBER(P211),I211*P211,"")</f>
        <v>79941.4285714286</v>
      </c>
      <c r="R211" s="23" t="n">
        <f aca="false">IF(ISNUMBER(Q211),MAX(0,MIN(L211,Q211-I211*K211)),L211)</f>
        <v>2089.78352184061</v>
      </c>
      <c r="S211" s="23" t="n">
        <f aca="false">R211+I211*K211</f>
        <v>7685.68352184061</v>
      </c>
      <c r="T211" s="23" t="n">
        <v>1175</v>
      </c>
      <c r="U211" s="23" t="n">
        <v>0</v>
      </c>
      <c r="V211" s="23" t="n">
        <f aca="false">T211+U211</f>
        <v>1175</v>
      </c>
      <c r="W211" s="30" t="n">
        <f aca="false">IF(I211&gt;0,V211/I211,"")</f>
        <v>0.209975160385282</v>
      </c>
      <c r="X211" s="3" t="str">
        <f aca="false">IF(I211&lt;=0,"SIN FCST",IF(V211&lt;R211,"BAJO SS",IF(T211&lt;R211,"BAJO SS (XLIB CUBRE)",IF(V211&lt;S211,"BAJO P.REORDEN",IF(AND(ISNUMBER(Q211),V211&gt;Q211),"SOBRE MAX VENDIBLE","OK")))))</f>
        <v>BAJO SS</v>
      </c>
    </row>
    <row r="212" customFormat="false" ht="15" hidden="false" customHeight="false" outlineLevel="0" collapsed="false">
      <c r="A212" s="3" t="n">
        <v>30001481</v>
      </c>
      <c r="B212" s="3" t="s">
        <v>588</v>
      </c>
      <c r="C212" s="3" t="s">
        <v>127</v>
      </c>
      <c r="D212" s="3" t="s">
        <v>753</v>
      </c>
      <c r="E212" s="3" t="s">
        <v>745</v>
      </c>
      <c r="F212" s="3" t="str">
        <f aca="false">IFERROR(INDEX(ABC_XYZ!$L$5:$L$494,MATCH(A212,ABC_XYZ!$A$5:$A$494,0)),"SIN HIST")</f>
        <v>CZ</v>
      </c>
      <c r="G212" s="24" t="n">
        <f aca="false">IF(LEFT(F212,1)="A",Parametros!$B$8,IF(LEFT(F212,1)="B",Parametros!$B$9,IF(LEFT(F212,1)="C",Parametros!$B$10,Parametros!$B$11)))</f>
        <v>0.9</v>
      </c>
      <c r="H212" s="27" t="n">
        <f aca="false">NORMSINV(G212)</f>
        <v>1.2815515655446</v>
      </c>
      <c r="I212" s="23" t="n">
        <v>5570.4</v>
      </c>
      <c r="J212" s="23" t="n">
        <f aca="false">IFERROR(INDEX(ABC_XYZ!$R$5:$R$494,MATCH(A212,ABC_XYZ!$A$5:$A$494,0)),I212*Parametros!$B$13)</f>
        <v>979.657318998162</v>
      </c>
      <c r="K212" s="27" t="n">
        <f aca="false">IFERROR(VLOOKUP(C212,Parametros!$A$36:$B$66,2,FALSE()),Parametros!$B$12)</f>
        <v>1</v>
      </c>
      <c r="L212" s="23" t="n">
        <f aca="false">H212*J212*SQRT(K212)</f>
        <v>1255.48137085932</v>
      </c>
      <c r="M212" s="29" t="n">
        <v>365</v>
      </c>
      <c r="N212" s="24" t="n">
        <v>0.194520547945206</v>
      </c>
      <c r="O212" s="3" t="s">
        <v>746</v>
      </c>
      <c r="P212" s="30" t="n">
        <f aca="false">IF(AND(ISNUMBER(M212),ISNUMBER(N212)),M212*N212/7,"")</f>
        <v>10.1428571428571</v>
      </c>
      <c r="Q212" s="23" t="n">
        <f aca="false">IF(ISNUMBER(P212),I212*P212,"")</f>
        <v>56499.7714285714</v>
      </c>
      <c r="R212" s="23" t="n">
        <f aca="false">IF(ISNUMBER(Q212),MAX(0,MIN(L212,Q212-I212*K212)),L212)</f>
        <v>1255.48137085932</v>
      </c>
      <c r="S212" s="23" t="n">
        <f aca="false">R212+I212*K212</f>
        <v>6825.88137085932</v>
      </c>
      <c r="T212" s="23" t="n">
        <v>4254.1</v>
      </c>
      <c r="U212" s="23" t="n">
        <v>10121.8</v>
      </c>
      <c r="V212" s="23" t="n">
        <f aca="false">T212+U212</f>
        <v>14375.9</v>
      </c>
      <c r="W212" s="30" t="n">
        <f aca="false">IF(I212&gt;0,V212/I212,"")</f>
        <v>2.58076619273302</v>
      </c>
      <c r="X212" s="3" t="str">
        <f aca="false">IF(I212&lt;=0,"SIN FCST",IF(V212&lt;R212,"BAJO SS",IF(T212&lt;R212,"BAJO SS (XLIB CUBRE)",IF(V212&lt;S212,"BAJO P.REORDEN",IF(AND(ISNUMBER(Q212),V212&gt;Q212),"SOBRE MAX VENDIBLE","OK")))))</f>
        <v>OK</v>
      </c>
    </row>
    <row r="213" customFormat="false" ht="15" hidden="false" customHeight="false" outlineLevel="0" collapsed="false">
      <c r="A213" s="3" t="n">
        <v>30001715</v>
      </c>
      <c r="B213" s="3" t="s">
        <v>899</v>
      </c>
      <c r="C213" s="3" t="s">
        <v>138</v>
      </c>
      <c r="D213" s="3" t="s">
        <v>744</v>
      </c>
      <c r="E213" s="3" t="s">
        <v>745</v>
      </c>
      <c r="F213" s="3" t="str">
        <f aca="false">IFERROR(INDEX(ABC_XYZ!$L$5:$L$494,MATCH(A213,ABC_XYZ!$A$5:$A$494,0)),"SIN HIST")</f>
        <v>AX</v>
      </c>
      <c r="G213" s="24" t="n">
        <f aca="false">IF(LEFT(F213,1)="A",Parametros!$B$8,IF(LEFT(F213,1)="B",Parametros!$B$9,IF(LEFT(F213,1)="C",Parametros!$B$10,Parametros!$B$11)))</f>
        <v>0.98</v>
      </c>
      <c r="H213" s="27" t="n">
        <f aca="false">NORMSINV(G213)</f>
        <v>2.05374891063182</v>
      </c>
      <c r="I213" s="23" t="n">
        <v>5465</v>
      </c>
      <c r="J213" s="23" t="n">
        <f aca="false">IFERROR(INDEX(ABC_XYZ!$R$5:$R$494,MATCH(A213,ABC_XYZ!$A$5:$A$494,0)),I213*Parametros!$B$13)</f>
        <v>5969.53507635273</v>
      </c>
      <c r="K213" s="27" t="n">
        <f aca="false">IFERROR(VLOOKUP(C213,Parametros!$A$36:$B$66,2,FALSE()),Parametros!$B$12)</f>
        <v>1</v>
      </c>
      <c r="L213" s="23" t="n">
        <f aca="false">H213*J213*SQRT(K213)</f>
        <v>12259.9261600379</v>
      </c>
      <c r="M213" s="29" t="n">
        <v>365</v>
      </c>
      <c r="N213" s="24" t="n">
        <v>0.194520547945206</v>
      </c>
      <c r="O213" s="3" t="s">
        <v>746</v>
      </c>
      <c r="P213" s="30" t="n">
        <f aca="false">IF(AND(ISNUMBER(M213),ISNUMBER(N213)),M213*N213/7,"")</f>
        <v>10.1428571428571</v>
      </c>
      <c r="Q213" s="23" t="n">
        <f aca="false">IF(ISNUMBER(P213),I213*P213,"")</f>
        <v>55430.7142857143</v>
      </c>
      <c r="R213" s="23" t="n">
        <f aca="false">IF(ISNUMBER(Q213),MAX(0,MIN(L213,Q213-I213*K213)),L213)</f>
        <v>12259.9261600379</v>
      </c>
      <c r="S213" s="23" t="n">
        <f aca="false">R213+I213*K213</f>
        <v>17724.9261600379</v>
      </c>
      <c r="T213" s="23" t="n">
        <v>28933.2</v>
      </c>
      <c r="U213" s="23" t="n">
        <v>0</v>
      </c>
      <c r="V213" s="23" t="n">
        <f aca="false">T213+U213</f>
        <v>28933.2</v>
      </c>
      <c r="W213" s="30" t="n">
        <f aca="false">IF(I213&gt;0,V213/I213,"")</f>
        <v>5.29427264409881</v>
      </c>
      <c r="X213" s="3" t="str">
        <f aca="false">IF(I213&lt;=0,"SIN FCST",IF(V213&lt;R213,"BAJO SS",IF(T213&lt;R213,"BAJO SS (XLIB CUBRE)",IF(V213&lt;S213,"BAJO P.REORDEN",IF(AND(ISNUMBER(Q213),V213&gt;Q213),"SOBRE MAX VENDIBLE","OK")))))</f>
        <v>OK</v>
      </c>
    </row>
    <row r="214" customFormat="false" ht="15" hidden="false" customHeight="false" outlineLevel="0" collapsed="false">
      <c r="A214" s="3" t="n">
        <v>30001019</v>
      </c>
      <c r="B214" s="3" t="s">
        <v>900</v>
      </c>
      <c r="C214" s="3" t="s">
        <v>155</v>
      </c>
      <c r="D214" s="3" t="s">
        <v>761</v>
      </c>
      <c r="E214" s="3" t="s">
        <v>762</v>
      </c>
      <c r="F214" s="3" t="str">
        <f aca="false">IFERROR(INDEX(ABC_XYZ!$L$5:$L$494,MATCH(A214,ABC_XYZ!$A$5:$A$494,0)),"SIN HIST")</f>
        <v>BX</v>
      </c>
      <c r="G214" s="24" t="n">
        <f aca="false">IF(LEFT(F214,1)="A",Parametros!$B$8,IF(LEFT(F214,1)="B",Parametros!$B$9,IF(LEFT(F214,1)="C",Parametros!$B$10,Parametros!$B$11)))</f>
        <v>0.95</v>
      </c>
      <c r="H214" s="27" t="n">
        <f aca="false">NORMSINV(G214)</f>
        <v>1.64485362695147</v>
      </c>
      <c r="I214" s="23" t="n">
        <v>5454.5</v>
      </c>
      <c r="J214" s="23" t="n">
        <f aca="false">IFERROR(INDEX(ABC_XYZ!$R$5:$R$494,MATCH(A214,ABC_XYZ!$A$5:$A$494,0)),I214*Parametros!$B$13)</f>
        <v>2100.32906928557</v>
      </c>
      <c r="K214" s="27" t="n">
        <f aca="false">IFERROR(VLOOKUP(C214,Parametros!$A$36:$B$66,2,FALSE()),Parametros!$B$12)</f>
        <v>1</v>
      </c>
      <c r="L214" s="23" t="n">
        <f aca="false">H214*J214*SQRT(K214)</f>
        <v>3454.73388740598</v>
      </c>
      <c r="M214" s="29" t="n">
        <v>65</v>
      </c>
      <c r="N214" s="24" t="n">
        <v>0.323076923076923</v>
      </c>
      <c r="O214" s="3" t="s">
        <v>774</v>
      </c>
      <c r="P214" s="30" t="n">
        <f aca="false">IF(AND(ISNUMBER(M214),ISNUMBER(N214)),M214*N214/7,"")</f>
        <v>3</v>
      </c>
      <c r="Q214" s="23" t="n">
        <f aca="false">IF(ISNUMBER(P214),I214*P214,"")</f>
        <v>16363.5</v>
      </c>
      <c r="R214" s="23" t="n">
        <f aca="false">IF(ISNUMBER(Q214),MAX(0,MIN(L214,Q214-I214*K214)),L214)</f>
        <v>3454.73388740598</v>
      </c>
      <c r="S214" s="23" t="n">
        <f aca="false">R214+I214*K214</f>
        <v>8909.23388740598</v>
      </c>
      <c r="T214" s="23" t="n">
        <v>3251.3</v>
      </c>
      <c r="U214" s="23" t="n">
        <v>6624</v>
      </c>
      <c r="V214" s="23" t="n">
        <f aca="false">T214+U214</f>
        <v>9875.3</v>
      </c>
      <c r="W214" s="30" t="n">
        <f aca="false">IF(I214&gt;0,V214/I214,"")</f>
        <v>1.81048675405628</v>
      </c>
      <c r="X214" s="3" t="str">
        <f aca="false">IF(I214&lt;=0,"SIN FCST",IF(V214&lt;R214,"BAJO SS",IF(T214&lt;R214,"BAJO SS (XLIB CUBRE)",IF(V214&lt;S214,"BAJO P.REORDEN",IF(AND(ISNUMBER(Q214),V214&gt;Q214),"SOBRE MAX VENDIBLE","OK")))))</f>
        <v>BAJO SS (XLIB CUBRE)</v>
      </c>
    </row>
    <row r="215" customFormat="false" ht="15" hidden="false" customHeight="false" outlineLevel="0" collapsed="false">
      <c r="A215" s="3" t="n">
        <v>30000736</v>
      </c>
      <c r="B215" s="3" t="s">
        <v>901</v>
      </c>
      <c r="C215" s="3" t="s">
        <v>133</v>
      </c>
      <c r="D215" s="3" t="s">
        <v>758</v>
      </c>
      <c r="E215" s="3"/>
      <c r="F215" s="3" t="str">
        <f aca="false">IFERROR(INDEX(ABC_XYZ!$L$5:$L$494,MATCH(A215,ABC_XYZ!$A$5:$A$494,0)),"SIN HIST")</f>
        <v>SIN HIST</v>
      </c>
      <c r="G215" s="24" t="n">
        <f aca="false">IF(LEFT(F215,1)="A",Parametros!$B$8,IF(LEFT(F215,1)="B",Parametros!$B$9,IF(LEFT(F215,1)="C",Parametros!$B$10,Parametros!$B$11)))</f>
        <v>0.95</v>
      </c>
      <c r="H215" s="27" t="n">
        <f aca="false">NORMSINV(G215)</f>
        <v>1.64485362695147</v>
      </c>
      <c r="I215" s="23" t="n">
        <v>5454.4</v>
      </c>
      <c r="J215" s="23" t="n">
        <f aca="false">IFERROR(INDEX(ABC_XYZ!$R$5:$R$494,MATCH(A215,ABC_XYZ!$A$5:$A$494,0)),I215*Parametros!$B$13)</f>
        <v>1636.32</v>
      </c>
      <c r="K215" s="27" t="n">
        <f aca="false">IFERROR(VLOOKUP(C215,Parametros!$A$36:$B$66,2,FALSE()),Parametros!$B$12)</f>
        <v>1</v>
      </c>
      <c r="L215" s="23" t="n">
        <f aca="false">H215*J215*SQRT(K215)</f>
        <v>2691.50688685323</v>
      </c>
      <c r="M215" s="29"/>
      <c r="N215" s="24"/>
      <c r="O215" s="3"/>
      <c r="P215" s="30" t="str">
        <f aca="false">IF(AND(ISNUMBER(M215),ISNUMBER(N215)),M215*N215/7,"")</f>
        <v/>
      </c>
      <c r="Q215" s="23" t="str">
        <f aca="false">IF(ISNUMBER(P215),I215*P215,"")</f>
        <v/>
      </c>
      <c r="R215" s="23" t="n">
        <f aca="false">IF(ISNUMBER(Q215),MAX(0,MIN(L215,Q215-I215*K215)),L215)</f>
        <v>2691.50688685323</v>
      </c>
      <c r="S215" s="23" t="n">
        <f aca="false">R215+I215*K215</f>
        <v>8145.90688685323</v>
      </c>
      <c r="T215" s="23" t="n">
        <v>65920</v>
      </c>
      <c r="U215" s="23" t="n">
        <v>0</v>
      </c>
      <c r="V215" s="23" t="n">
        <f aca="false">T215+U215</f>
        <v>65920</v>
      </c>
      <c r="W215" s="30" t="n">
        <f aca="false">IF(I215&gt;0,V215/I215,"")</f>
        <v>12.0856556174831</v>
      </c>
      <c r="X215" s="3" t="str">
        <f aca="false">IF(I215&lt;=0,"SIN FCST",IF(V215&lt;R215,"BAJO SS",IF(T215&lt;R215,"BAJO SS (XLIB CUBRE)",IF(V215&lt;S215,"BAJO P.REORDEN",IF(AND(ISNUMBER(Q215),V215&gt;Q215),"SOBRE MAX VENDIBLE","OK")))))</f>
        <v>OK</v>
      </c>
    </row>
    <row r="216" customFormat="false" ht="15" hidden="false" customHeight="false" outlineLevel="0" collapsed="false">
      <c r="A216" s="3" t="n">
        <v>30000097</v>
      </c>
      <c r="B216" s="3" t="s">
        <v>354</v>
      </c>
      <c r="C216" s="3" t="s">
        <v>143</v>
      </c>
      <c r="D216" s="3" t="s">
        <v>750</v>
      </c>
      <c r="E216" s="3" t="s">
        <v>762</v>
      </c>
      <c r="F216" s="3" t="str">
        <f aca="false">IFERROR(INDEX(ABC_XYZ!$L$5:$L$494,MATCH(A216,ABC_XYZ!$A$5:$A$494,0)),"SIN HIST")</f>
        <v>BX</v>
      </c>
      <c r="G216" s="24" t="n">
        <f aca="false">IF(LEFT(F216,1)="A",Parametros!$B$8,IF(LEFT(F216,1)="B",Parametros!$B$9,IF(LEFT(F216,1)="C",Parametros!$B$10,Parametros!$B$11)))</f>
        <v>0.95</v>
      </c>
      <c r="H216" s="27" t="n">
        <f aca="false">NORMSINV(G216)</f>
        <v>1.64485362695147</v>
      </c>
      <c r="I216" s="23" t="n">
        <v>5450</v>
      </c>
      <c r="J216" s="23" t="n">
        <f aca="false">IFERROR(INDEX(ABC_XYZ!$R$5:$R$494,MATCH(A216,ABC_XYZ!$A$5:$A$494,0)),I216*Parametros!$B$13)</f>
        <v>1061.32542625582</v>
      </c>
      <c r="K216" s="27" t="n">
        <f aca="false">IFERROR(VLOOKUP(C216,Parametros!$A$36:$B$66,2,FALSE()),Parametros!$B$12)</f>
        <v>1</v>
      </c>
      <c r="L216" s="23" t="n">
        <f aca="false">H216*J216*SQRT(K216)</f>
        <v>1745.72497675271</v>
      </c>
      <c r="M216" s="29" t="n">
        <v>184</v>
      </c>
      <c r="N216" s="24" t="n">
        <v>0.244565217391304</v>
      </c>
      <c r="O216" s="3" t="s">
        <v>772</v>
      </c>
      <c r="P216" s="30" t="n">
        <f aca="false">IF(AND(ISNUMBER(M216),ISNUMBER(N216)),M216*N216/7,"")</f>
        <v>6.42857142857143</v>
      </c>
      <c r="Q216" s="23" t="n">
        <f aca="false">IF(ISNUMBER(P216),I216*P216,"")</f>
        <v>35035.7142857143</v>
      </c>
      <c r="R216" s="23" t="n">
        <f aca="false">IF(ISNUMBER(Q216),MAX(0,MIN(L216,Q216-I216*K216)),L216)</f>
        <v>1745.72497675271</v>
      </c>
      <c r="S216" s="23" t="n">
        <f aca="false">R216+I216*K216</f>
        <v>7195.72497675271</v>
      </c>
      <c r="T216" s="23" t="n">
        <v>21827.4</v>
      </c>
      <c r="U216" s="23" t="n">
        <v>0</v>
      </c>
      <c r="V216" s="23" t="n">
        <f aca="false">T216+U216</f>
        <v>21827.4</v>
      </c>
      <c r="W216" s="30" t="n">
        <f aca="false">IF(I216&gt;0,V216/I216,"")</f>
        <v>4.00502752293578</v>
      </c>
      <c r="X216" s="3" t="str">
        <f aca="false">IF(I216&lt;=0,"SIN FCST",IF(V216&lt;R216,"BAJO SS",IF(T216&lt;R216,"BAJO SS (XLIB CUBRE)",IF(V216&lt;S216,"BAJO P.REORDEN",IF(AND(ISNUMBER(Q216),V216&gt;Q216),"SOBRE MAX VENDIBLE","OK")))))</f>
        <v>OK</v>
      </c>
    </row>
    <row r="217" customFormat="false" ht="15" hidden="false" customHeight="false" outlineLevel="0" collapsed="false">
      <c r="A217" s="3" t="n">
        <v>30001756</v>
      </c>
      <c r="B217" s="3" t="s">
        <v>902</v>
      </c>
      <c r="C217" s="3" t="s">
        <v>144</v>
      </c>
      <c r="D217" s="3" t="s">
        <v>753</v>
      </c>
      <c r="E217" s="3" t="s">
        <v>745</v>
      </c>
      <c r="F217" s="3" t="str">
        <f aca="false">IFERROR(INDEX(ABC_XYZ!$L$5:$L$494,MATCH(A217,ABC_XYZ!$A$5:$A$494,0)),"SIN HIST")</f>
        <v>BX</v>
      </c>
      <c r="G217" s="24" t="n">
        <f aca="false">IF(LEFT(F217,1)="A",Parametros!$B$8,IF(LEFT(F217,1)="B",Parametros!$B$9,IF(LEFT(F217,1)="C",Parametros!$B$10,Parametros!$B$11)))</f>
        <v>0.95</v>
      </c>
      <c r="H217" s="27" t="n">
        <f aca="false">NORMSINV(G217)</f>
        <v>1.64485362695147</v>
      </c>
      <c r="I217" s="23" t="n">
        <v>5375</v>
      </c>
      <c r="J217" s="23" t="n">
        <f aca="false">IFERROR(INDEX(ABC_XYZ!$R$5:$R$494,MATCH(A217,ABC_XYZ!$A$5:$A$494,0)),I217*Parametros!$B$13)</f>
        <v>1132.42978001581</v>
      </c>
      <c r="K217" s="27" t="n">
        <f aca="false">IFERROR(VLOOKUP(C217,Parametros!$A$36:$B$66,2,FALSE()),Parametros!$B$12)</f>
        <v>1</v>
      </c>
      <c r="L217" s="23" t="n">
        <f aca="false">H217*J217*SQRT(K217)</f>
        <v>1862.68123092687</v>
      </c>
      <c r="M217" s="29" t="n">
        <v>365</v>
      </c>
      <c r="N217" s="24" t="n">
        <v>0.273972602739726</v>
      </c>
      <c r="O217" s="3" t="s">
        <v>746</v>
      </c>
      <c r="P217" s="30" t="n">
        <f aca="false">IF(AND(ISNUMBER(M217),ISNUMBER(N217)),M217*N217/7,"")</f>
        <v>14.2857142857143</v>
      </c>
      <c r="Q217" s="23" t="n">
        <f aca="false">IF(ISNUMBER(P217),I217*P217,"")</f>
        <v>76785.7142857143</v>
      </c>
      <c r="R217" s="23" t="n">
        <f aca="false">IF(ISNUMBER(Q217),MAX(0,MIN(L217,Q217-I217*K217)),L217)</f>
        <v>1862.68123092687</v>
      </c>
      <c r="S217" s="23" t="n">
        <f aca="false">R217+I217*K217</f>
        <v>7237.68123092687</v>
      </c>
      <c r="T217" s="23" t="n">
        <v>8672.4</v>
      </c>
      <c r="U217" s="23" t="n">
        <v>0</v>
      </c>
      <c r="V217" s="23" t="n">
        <f aca="false">T217+U217</f>
        <v>8672.4</v>
      </c>
      <c r="W217" s="30" t="n">
        <f aca="false">IF(I217&gt;0,V217/I217,"")</f>
        <v>1.61346976744186</v>
      </c>
      <c r="X217" s="3" t="str">
        <f aca="false">IF(I217&lt;=0,"SIN FCST",IF(V217&lt;R217,"BAJO SS",IF(T217&lt;R217,"BAJO SS (XLIB CUBRE)",IF(V217&lt;S217,"BAJO P.REORDEN",IF(AND(ISNUMBER(Q217),V217&gt;Q217),"SOBRE MAX VENDIBLE","OK")))))</f>
        <v>OK</v>
      </c>
    </row>
    <row r="218" customFormat="false" ht="15" hidden="false" customHeight="false" outlineLevel="0" collapsed="false">
      <c r="A218" s="3" t="n">
        <v>30000775</v>
      </c>
      <c r="B218" s="3" t="s">
        <v>903</v>
      </c>
      <c r="C218" s="3" t="s">
        <v>133</v>
      </c>
      <c r="D218" s="3" t="s">
        <v>758</v>
      </c>
      <c r="E218" s="3"/>
      <c r="F218" s="3" t="str">
        <f aca="false">IFERROR(INDEX(ABC_XYZ!$L$5:$L$494,MATCH(A218,ABC_XYZ!$A$5:$A$494,0)),"SIN HIST")</f>
        <v>SIN HIST</v>
      </c>
      <c r="G218" s="24" t="n">
        <f aca="false">IF(LEFT(F218,1)="A",Parametros!$B$8,IF(LEFT(F218,1)="B",Parametros!$B$9,IF(LEFT(F218,1)="C",Parametros!$B$10,Parametros!$B$11)))</f>
        <v>0.95</v>
      </c>
      <c r="H218" s="27" t="n">
        <f aca="false">NORMSINV(G218)</f>
        <v>1.64485362695147</v>
      </c>
      <c r="I218" s="23" t="n">
        <v>5375</v>
      </c>
      <c r="J218" s="23" t="n">
        <f aca="false">IFERROR(INDEX(ABC_XYZ!$R$5:$R$494,MATCH(A218,ABC_XYZ!$A$5:$A$494,0)),I218*Parametros!$B$13)</f>
        <v>1612.5</v>
      </c>
      <c r="K218" s="27" t="n">
        <f aca="false">IFERROR(VLOOKUP(C218,Parametros!$A$36:$B$66,2,FALSE()),Parametros!$B$12)</f>
        <v>1</v>
      </c>
      <c r="L218" s="23" t="n">
        <f aca="false">H218*J218*SQRT(K218)</f>
        <v>2652.32647345925</v>
      </c>
      <c r="M218" s="29"/>
      <c r="N218" s="24"/>
      <c r="O218" s="3"/>
      <c r="P218" s="30" t="str">
        <f aca="false">IF(AND(ISNUMBER(M218),ISNUMBER(N218)),M218*N218/7,"")</f>
        <v/>
      </c>
      <c r="Q218" s="23" t="str">
        <f aca="false">IF(ISNUMBER(P218),I218*P218,"")</f>
        <v/>
      </c>
      <c r="R218" s="23" t="n">
        <f aca="false">IF(ISNUMBER(Q218),MAX(0,MIN(L218,Q218-I218*K218)),L218)</f>
        <v>2652.32647345925</v>
      </c>
      <c r="S218" s="23" t="n">
        <f aca="false">R218+I218*K218</f>
        <v>8027.32647345925</v>
      </c>
      <c r="T218" s="23" t="n">
        <v>5920</v>
      </c>
      <c r="U218" s="23" t="n">
        <v>6850</v>
      </c>
      <c r="V218" s="23" t="n">
        <f aca="false">T218+U218</f>
        <v>12770</v>
      </c>
      <c r="W218" s="30" t="n">
        <f aca="false">IF(I218&gt;0,V218/I218,"")</f>
        <v>2.37581395348837</v>
      </c>
      <c r="X218" s="3" t="str">
        <f aca="false">IF(I218&lt;=0,"SIN FCST",IF(V218&lt;R218,"BAJO SS",IF(T218&lt;R218,"BAJO SS (XLIB CUBRE)",IF(V218&lt;S218,"BAJO P.REORDEN",IF(AND(ISNUMBER(Q218),V218&gt;Q218),"SOBRE MAX VENDIBLE","OK")))))</f>
        <v>OK</v>
      </c>
    </row>
    <row r="219" customFormat="false" ht="15" hidden="false" customHeight="false" outlineLevel="0" collapsed="false">
      <c r="A219" s="3" t="n">
        <v>30000321</v>
      </c>
      <c r="B219" s="3" t="s">
        <v>904</v>
      </c>
      <c r="C219" s="3" t="s">
        <v>138</v>
      </c>
      <c r="D219" s="3" t="s">
        <v>744</v>
      </c>
      <c r="E219" s="3" t="s">
        <v>745</v>
      </c>
      <c r="F219" s="3" t="str">
        <f aca="false">IFERROR(INDEX(ABC_XYZ!$L$5:$L$494,MATCH(A219,ABC_XYZ!$A$5:$A$494,0)),"SIN HIST")</f>
        <v>BX</v>
      </c>
      <c r="G219" s="24" t="n">
        <f aca="false">IF(LEFT(F219,1)="A",Parametros!$B$8,IF(LEFT(F219,1)="B",Parametros!$B$9,IF(LEFT(F219,1)="C",Parametros!$B$10,Parametros!$B$11)))</f>
        <v>0.95</v>
      </c>
      <c r="H219" s="27" t="n">
        <f aca="false">NORMSINV(G219)</f>
        <v>1.64485362695147</v>
      </c>
      <c r="I219" s="23" t="n">
        <v>5374.8</v>
      </c>
      <c r="J219" s="23" t="n">
        <f aca="false">IFERROR(INDEX(ABC_XYZ!$R$5:$R$494,MATCH(A219,ABC_XYZ!$A$5:$A$494,0)),I219*Parametros!$B$13)</f>
        <v>689.510700628407</v>
      </c>
      <c r="K219" s="27" t="n">
        <f aca="false">IFERROR(VLOOKUP(C219,Parametros!$A$36:$B$66,2,FALSE()),Parametros!$B$12)</f>
        <v>1</v>
      </c>
      <c r="L219" s="23" t="n">
        <f aca="false">H219*J219*SQRT(K219)</f>
        <v>1134.14417675049</v>
      </c>
      <c r="M219" s="29" t="n">
        <v>365</v>
      </c>
      <c r="N219" s="24" t="n">
        <v>0.32054794520548</v>
      </c>
      <c r="O219" s="3" t="s">
        <v>754</v>
      </c>
      <c r="P219" s="30" t="n">
        <f aca="false">IF(AND(ISNUMBER(M219),ISNUMBER(N219)),M219*N219/7,"")</f>
        <v>16.7142857142857</v>
      </c>
      <c r="Q219" s="23" t="n">
        <f aca="false">IF(ISNUMBER(P219),I219*P219,"")</f>
        <v>89835.9428571429</v>
      </c>
      <c r="R219" s="23" t="n">
        <f aca="false">IF(ISNUMBER(Q219),MAX(0,MIN(L219,Q219-I219*K219)),L219)</f>
        <v>1134.14417675049</v>
      </c>
      <c r="S219" s="23" t="n">
        <f aca="false">R219+I219*K219</f>
        <v>6508.94417675049</v>
      </c>
      <c r="T219" s="23" t="n">
        <v>16928</v>
      </c>
      <c r="U219" s="23" t="n">
        <v>0</v>
      </c>
      <c r="V219" s="23" t="n">
        <f aca="false">T219+U219</f>
        <v>16928</v>
      </c>
      <c r="W219" s="30" t="n">
        <f aca="false">IF(I219&gt;0,V219/I219,"")</f>
        <v>3.14951254000149</v>
      </c>
      <c r="X219" s="3" t="str">
        <f aca="false">IF(I219&lt;=0,"SIN FCST",IF(V219&lt;R219,"BAJO SS",IF(T219&lt;R219,"BAJO SS (XLIB CUBRE)",IF(V219&lt;S219,"BAJO P.REORDEN",IF(AND(ISNUMBER(Q219),V219&gt;Q219),"SOBRE MAX VENDIBLE","OK")))))</f>
        <v>OK</v>
      </c>
    </row>
    <row r="220" customFormat="false" ht="15" hidden="false" customHeight="false" outlineLevel="0" collapsed="false">
      <c r="A220" s="3" t="n">
        <v>30000054</v>
      </c>
      <c r="B220" s="3" t="s">
        <v>349</v>
      </c>
      <c r="C220" s="3" t="s">
        <v>124</v>
      </c>
      <c r="D220" s="3" t="s">
        <v>750</v>
      </c>
      <c r="E220" s="3" t="s">
        <v>745</v>
      </c>
      <c r="F220" s="3" t="str">
        <f aca="false">IFERROR(INDEX(ABC_XYZ!$L$5:$L$494,MATCH(A220,ABC_XYZ!$A$5:$A$494,0)),"SIN HIST")</f>
        <v>BX</v>
      </c>
      <c r="G220" s="24" t="n">
        <f aca="false">IF(LEFT(F220,1)="A",Parametros!$B$8,IF(LEFT(F220,1)="B",Parametros!$B$9,IF(LEFT(F220,1)="C",Parametros!$B$10,Parametros!$B$11)))</f>
        <v>0.95</v>
      </c>
      <c r="H220" s="27" t="n">
        <f aca="false">NORMSINV(G220)</f>
        <v>1.64485362695147</v>
      </c>
      <c r="I220" s="23" t="n">
        <v>5352.9</v>
      </c>
      <c r="J220" s="23" t="n">
        <f aca="false">IFERROR(INDEX(ABC_XYZ!$R$5:$R$494,MATCH(A220,ABC_XYZ!$A$5:$A$494,0)),I220*Parametros!$B$13)</f>
        <v>2803.06694223785</v>
      </c>
      <c r="K220" s="27" t="n">
        <f aca="false">IFERROR(VLOOKUP(C220,Parametros!$A$36:$B$66,2,FALSE()),Parametros!$B$12)</f>
        <v>1</v>
      </c>
      <c r="L220" s="23" t="n">
        <f aca="false">H220*J220*SQRT(K220)</f>
        <v>4610.6348265277</v>
      </c>
      <c r="M220" s="29" t="n">
        <v>365</v>
      </c>
      <c r="N220" s="24" t="n">
        <v>0.32054794520548</v>
      </c>
      <c r="O220" s="3" t="s">
        <v>754</v>
      </c>
      <c r="P220" s="30" t="n">
        <f aca="false">IF(AND(ISNUMBER(M220),ISNUMBER(N220)),M220*N220/7,"")</f>
        <v>16.7142857142857</v>
      </c>
      <c r="Q220" s="23" t="n">
        <f aca="false">IF(ISNUMBER(P220),I220*P220,"")</f>
        <v>89469.9</v>
      </c>
      <c r="R220" s="23" t="n">
        <f aca="false">IF(ISNUMBER(Q220),MAX(0,MIN(L220,Q220-I220*K220)),L220)</f>
        <v>4610.6348265277</v>
      </c>
      <c r="S220" s="23" t="n">
        <f aca="false">R220+I220*K220</f>
        <v>9963.5348265277</v>
      </c>
      <c r="T220" s="23" t="n">
        <v>24575</v>
      </c>
      <c r="U220" s="23" t="n">
        <v>0</v>
      </c>
      <c r="V220" s="23" t="n">
        <f aca="false">T220+U220</f>
        <v>24575</v>
      </c>
      <c r="W220" s="30" t="n">
        <f aca="false">IF(I220&gt;0,V220/I220,"")</f>
        <v>4.59096938108315</v>
      </c>
      <c r="X220" s="3" t="str">
        <f aca="false">IF(I220&lt;=0,"SIN FCST",IF(V220&lt;R220,"BAJO SS",IF(T220&lt;R220,"BAJO SS (XLIB CUBRE)",IF(V220&lt;S220,"BAJO P.REORDEN",IF(AND(ISNUMBER(Q220),V220&gt;Q220),"SOBRE MAX VENDIBLE","OK")))))</f>
        <v>OK</v>
      </c>
    </row>
    <row r="221" customFormat="false" ht="15" hidden="false" customHeight="false" outlineLevel="0" collapsed="false">
      <c r="A221" s="3" t="n">
        <v>30000111</v>
      </c>
      <c r="B221" s="3" t="s">
        <v>905</v>
      </c>
      <c r="C221" s="3" t="s">
        <v>141</v>
      </c>
      <c r="D221" s="3" t="s">
        <v>750</v>
      </c>
      <c r="E221" s="3" t="s">
        <v>762</v>
      </c>
      <c r="F221" s="3" t="str">
        <f aca="false">IFERROR(INDEX(ABC_XYZ!$L$5:$L$494,MATCH(A221,ABC_XYZ!$A$5:$A$494,0)),"SIN HIST")</f>
        <v>SIN HIST</v>
      </c>
      <c r="G221" s="24" t="n">
        <f aca="false">IF(LEFT(F221,1)="A",Parametros!$B$8,IF(LEFT(F221,1)="B",Parametros!$B$9,IF(LEFT(F221,1)="C",Parametros!$B$10,Parametros!$B$11)))</f>
        <v>0.95</v>
      </c>
      <c r="H221" s="27" t="n">
        <f aca="false">NORMSINV(G221)</f>
        <v>1.64485362695147</v>
      </c>
      <c r="I221" s="23" t="n">
        <v>5348.8</v>
      </c>
      <c r="J221" s="23" t="n">
        <f aca="false">IFERROR(INDEX(ABC_XYZ!$R$5:$R$494,MATCH(A221,ABC_XYZ!$A$5:$A$494,0)),I221*Parametros!$B$13)</f>
        <v>1604.64</v>
      </c>
      <c r="K221" s="27" t="n">
        <f aca="false">IFERROR(VLOOKUP(C221,Parametros!$A$36:$B$66,2,FALSE()),Parametros!$B$12)</f>
        <v>1</v>
      </c>
      <c r="L221" s="23" t="n">
        <f aca="false">H221*J221*SQRT(K221)</f>
        <v>2639.39792395141</v>
      </c>
      <c r="M221" s="29" t="n">
        <v>245</v>
      </c>
      <c r="N221" s="24" t="n">
        <v>0.220408163265306</v>
      </c>
      <c r="O221" s="3" t="s">
        <v>754</v>
      </c>
      <c r="P221" s="30" t="n">
        <f aca="false">IF(AND(ISNUMBER(M221),ISNUMBER(N221)),M221*N221/7,"")</f>
        <v>7.71428571428571</v>
      </c>
      <c r="Q221" s="23" t="n">
        <f aca="false">IF(ISNUMBER(P221),I221*P221,"")</f>
        <v>41262.1714285714</v>
      </c>
      <c r="R221" s="23" t="n">
        <f aca="false">IF(ISNUMBER(Q221),MAX(0,MIN(L221,Q221-I221*K221)),L221)</f>
        <v>2639.39792395141</v>
      </c>
      <c r="S221" s="23" t="n">
        <f aca="false">R221+I221*K221</f>
        <v>7988.19792395141</v>
      </c>
      <c r="T221" s="23" t="n">
        <v>12960</v>
      </c>
      <c r="U221" s="23" t="n">
        <v>10</v>
      </c>
      <c r="V221" s="23" t="n">
        <f aca="false">T221+U221</f>
        <v>12970</v>
      </c>
      <c r="W221" s="30" t="n">
        <f aca="false">IF(I221&gt;0,V221/I221,"")</f>
        <v>2.42484295542926</v>
      </c>
      <c r="X221" s="3" t="str">
        <f aca="false">IF(I221&lt;=0,"SIN FCST",IF(V221&lt;R221,"BAJO SS",IF(T221&lt;R221,"BAJO SS (XLIB CUBRE)",IF(V221&lt;S221,"BAJO P.REORDEN",IF(AND(ISNUMBER(Q221),V221&gt;Q221),"SOBRE MAX VENDIBLE","OK")))))</f>
        <v>OK</v>
      </c>
    </row>
    <row r="222" customFormat="false" ht="15" hidden="false" customHeight="false" outlineLevel="0" collapsed="false">
      <c r="A222" s="3" t="n">
        <v>30000814</v>
      </c>
      <c r="B222" s="3" t="s">
        <v>906</v>
      </c>
      <c r="C222" s="3" t="s">
        <v>133</v>
      </c>
      <c r="D222" s="3" t="s">
        <v>758</v>
      </c>
      <c r="E222" s="3"/>
      <c r="F222" s="3" t="str">
        <f aca="false">IFERROR(INDEX(ABC_XYZ!$L$5:$L$494,MATCH(A222,ABC_XYZ!$A$5:$A$494,0)),"SIN HIST")</f>
        <v>SIN HIST</v>
      </c>
      <c r="G222" s="24" t="n">
        <f aca="false">IF(LEFT(F222,1)="A",Parametros!$B$8,IF(LEFT(F222,1)="B",Parametros!$B$9,IF(LEFT(F222,1)="C",Parametros!$B$10,Parametros!$B$11)))</f>
        <v>0.95</v>
      </c>
      <c r="H222" s="27" t="n">
        <f aca="false">NORMSINV(G222)</f>
        <v>1.64485362695147</v>
      </c>
      <c r="I222" s="23" t="n">
        <v>5348.8</v>
      </c>
      <c r="J222" s="23" t="n">
        <f aca="false">IFERROR(INDEX(ABC_XYZ!$R$5:$R$494,MATCH(A222,ABC_XYZ!$A$5:$A$494,0)),I222*Parametros!$B$13)</f>
        <v>1604.64</v>
      </c>
      <c r="K222" s="27" t="n">
        <f aca="false">IFERROR(VLOOKUP(C222,Parametros!$A$36:$B$66,2,FALSE()),Parametros!$B$12)</f>
        <v>1</v>
      </c>
      <c r="L222" s="23" t="n">
        <f aca="false">H222*J222*SQRT(K222)</f>
        <v>2639.39792395141</v>
      </c>
      <c r="M222" s="29"/>
      <c r="N222" s="24"/>
      <c r="O222" s="3"/>
      <c r="P222" s="30" t="str">
        <f aca="false">IF(AND(ISNUMBER(M222),ISNUMBER(N222)),M222*N222/7,"")</f>
        <v/>
      </c>
      <c r="Q222" s="23" t="str">
        <f aca="false">IF(ISNUMBER(P222),I222*P222,"")</f>
        <v/>
      </c>
      <c r="R222" s="23" t="n">
        <f aca="false">IF(ISNUMBER(Q222),MAX(0,MIN(L222,Q222-I222*K222)),L222)</f>
        <v>2639.39792395141</v>
      </c>
      <c r="S222" s="23" t="n">
        <f aca="false">R222+I222*K222</f>
        <v>7988.19792395141</v>
      </c>
      <c r="T222" s="23" t="n">
        <v>10530</v>
      </c>
      <c r="U222" s="23" t="n">
        <v>0</v>
      </c>
      <c r="V222" s="23" t="n">
        <f aca="false">T222+U222</f>
        <v>10530</v>
      </c>
      <c r="W222" s="30" t="n">
        <f aca="false">IF(I222&gt;0,V222/I222,"")</f>
        <v>1.96866586897996</v>
      </c>
      <c r="X222" s="3" t="str">
        <f aca="false">IF(I222&lt;=0,"SIN FCST",IF(V222&lt;R222,"BAJO SS",IF(T222&lt;R222,"BAJO SS (XLIB CUBRE)",IF(V222&lt;S222,"BAJO P.REORDEN",IF(AND(ISNUMBER(Q222),V222&gt;Q222),"SOBRE MAX VENDIBLE","OK")))))</f>
        <v>OK</v>
      </c>
    </row>
    <row r="223" customFormat="false" ht="15" hidden="false" customHeight="false" outlineLevel="0" collapsed="false">
      <c r="A223" s="3" t="n">
        <v>30001410</v>
      </c>
      <c r="B223" s="3" t="s">
        <v>907</v>
      </c>
      <c r="C223" s="3" t="s">
        <v>138</v>
      </c>
      <c r="D223" s="3" t="s">
        <v>744</v>
      </c>
      <c r="E223" s="3" t="s">
        <v>745</v>
      </c>
      <c r="F223" s="3" t="str">
        <f aca="false">IFERROR(INDEX(ABC_XYZ!$L$5:$L$494,MATCH(A223,ABC_XYZ!$A$5:$A$494,0)),"SIN HIST")</f>
        <v>AX</v>
      </c>
      <c r="G223" s="24" t="n">
        <f aca="false">IF(LEFT(F223,1)="A",Parametros!$B$8,IF(LEFT(F223,1)="B",Parametros!$B$9,IF(LEFT(F223,1)="C",Parametros!$B$10,Parametros!$B$11)))</f>
        <v>0.98</v>
      </c>
      <c r="H223" s="27" t="n">
        <f aca="false">NORMSINV(G223)</f>
        <v>2.05374891063182</v>
      </c>
      <c r="I223" s="23" t="n">
        <v>5262.9</v>
      </c>
      <c r="J223" s="23" t="n">
        <f aca="false">IFERROR(INDEX(ABC_XYZ!$R$5:$R$494,MATCH(A223,ABC_XYZ!$A$5:$A$494,0)),I223*Parametros!$B$13)</f>
        <v>2450.59795981961</v>
      </c>
      <c r="K223" s="27" t="n">
        <f aca="false">IFERROR(VLOOKUP(C223,Parametros!$A$36:$B$66,2,FALSE()),Parametros!$B$12)</f>
        <v>1</v>
      </c>
      <c r="L223" s="23" t="n">
        <f aca="false">H223*J223*SQRT(K223)</f>
        <v>5032.91289037609</v>
      </c>
      <c r="M223" s="29" t="n">
        <v>365</v>
      </c>
      <c r="N223" s="24" t="n">
        <v>0.194520547945206</v>
      </c>
      <c r="O223" s="3" t="s">
        <v>746</v>
      </c>
      <c r="P223" s="30" t="n">
        <f aca="false">IF(AND(ISNUMBER(M223),ISNUMBER(N223)),M223*N223/7,"")</f>
        <v>10.1428571428571</v>
      </c>
      <c r="Q223" s="23" t="n">
        <f aca="false">IF(ISNUMBER(P223),I223*P223,"")</f>
        <v>53380.8428571429</v>
      </c>
      <c r="R223" s="23" t="n">
        <f aca="false">IF(ISNUMBER(Q223),MAX(0,MIN(L223,Q223-I223*K223)),L223)</f>
        <v>5032.91289037609</v>
      </c>
      <c r="S223" s="23" t="n">
        <f aca="false">R223+I223*K223</f>
        <v>10295.8128903761</v>
      </c>
      <c r="T223" s="23" t="n">
        <v>26853.1</v>
      </c>
      <c r="U223" s="23" t="n">
        <v>5909.8</v>
      </c>
      <c r="V223" s="23" t="n">
        <f aca="false">T223+U223</f>
        <v>32762.9</v>
      </c>
      <c r="W223" s="30" t="n">
        <f aca="false">IF(I223&gt;0,V223/I223,"")</f>
        <v>6.22525603754584</v>
      </c>
      <c r="X223" s="3" t="str">
        <f aca="false">IF(I223&lt;=0,"SIN FCST",IF(V223&lt;R223,"BAJO SS",IF(T223&lt;R223,"BAJO SS (XLIB CUBRE)",IF(V223&lt;S223,"BAJO P.REORDEN",IF(AND(ISNUMBER(Q223),V223&gt;Q223),"SOBRE MAX VENDIBLE","OK")))))</f>
        <v>OK</v>
      </c>
    </row>
    <row r="224" customFormat="false" ht="15" hidden="false" customHeight="false" outlineLevel="0" collapsed="false">
      <c r="A224" s="3" t="n">
        <v>30000709</v>
      </c>
      <c r="B224" s="3" t="s">
        <v>908</v>
      </c>
      <c r="C224" s="3" t="s">
        <v>133</v>
      </c>
      <c r="D224" s="3" t="s">
        <v>758</v>
      </c>
      <c r="E224" s="3"/>
      <c r="F224" s="3" t="str">
        <f aca="false">IFERROR(INDEX(ABC_XYZ!$L$5:$L$494,MATCH(A224,ABC_XYZ!$A$5:$A$494,0)),"SIN HIST")</f>
        <v>SIN HIST</v>
      </c>
      <c r="G224" s="24" t="n">
        <f aca="false">IF(LEFT(F224,1)="A",Parametros!$B$8,IF(LEFT(F224,1)="B",Parametros!$B$9,IF(LEFT(F224,1)="C",Parametros!$B$10,Parametros!$B$11)))</f>
        <v>0.95</v>
      </c>
      <c r="H224" s="27" t="n">
        <f aca="false">NORMSINV(G224)</f>
        <v>1.64485362695147</v>
      </c>
      <c r="I224" s="23" t="n">
        <v>5214.3</v>
      </c>
      <c r="J224" s="23" t="n">
        <f aca="false">IFERROR(INDEX(ABC_XYZ!$R$5:$R$494,MATCH(A224,ABC_XYZ!$A$5:$A$494,0)),I224*Parametros!$B$13)</f>
        <v>1564.29</v>
      </c>
      <c r="K224" s="27" t="n">
        <f aca="false">IFERROR(VLOOKUP(C224,Parametros!$A$36:$B$66,2,FALSE()),Parametros!$B$12)</f>
        <v>1</v>
      </c>
      <c r="L224" s="23" t="n">
        <f aca="false">H224*J224*SQRT(K224)</f>
        <v>2573.02808010392</v>
      </c>
      <c r="M224" s="29"/>
      <c r="N224" s="24"/>
      <c r="O224" s="3"/>
      <c r="P224" s="30" t="str">
        <f aca="false">IF(AND(ISNUMBER(M224),ISNUMBER(N224)),M224*N224/7,"")</f>
        <v/>
      </c>
      <c r="Q224" s="23" t="str">
        <f aca="false">IF(ISNUMBER(P224),I224*P224,"")</f>
        <v/>
      </c>
      <c r="R224" s="23" t="n">
        <f aca="false">IF(ISNUMBER(Q224),MAX(0,MIN(L224,Q224-I224*K224)),L224)</f>
        <v>2573.02808010392</v>
      </c>
      <c r="S224" s="23" t="n">
        <f aca="false">R224+I224*K224</f>
        <v>7787.32808010392</v>
      </c>
      <c r="T224" s="23" t="n">
        <v>8788.5</v>
      </c>
      <c r="U224" s="23" t="n">
        <v>0</v>
      </c>
      <c r="V224" s="23" t="n">
        <f aca="false">T224+U224</f>
        <v>8788.5</v>
      </c>
      <c r="W224" s="30" t="n">
        <f aca="false">IF(I224&gt;0,V224/I224,"")</f>
        <v>1.68546113572292</v>
      </c>
      <c r="X224" s="3" t="str">
        <f aca="false">IF(I224&lt;=0,"SIN FCST",IF(V224&lt;R224,"BAJO SS",IF(T224&lt;R224,"BAJO SS (XLIB CUBRE)",IF(V224&lt;S224,"BAJO P.REORDEN",IF(AND(ISNUMBER(Q224),V224&gt;Q224),"SOBRE MAX VENDIBLE","OK")))))</f>
        <v>OK</v>
      </c>
    </row>
    <row r="225" customFormat="false" ht="15" hidden="false" customHeight="false" outlineLevel="0" collapsed="false">
      <c r="A225" s="3" t="n">
        <v>30000559</v>
      </c>
      <c r="B225" s="3" t="s">
        <v>399</v>
      </c>
      <c r="C225" s="3" t="s">
        <v>149</v>
      </c>
      <c r="D225" s="3" t="s">
        <v>744</v>
      </c>
      <c r="E225" s="3" t="s">
        <v>762</v>
      </c>
      <c r="F225" s="3" t="str">
        <f aca="false">IFERROR(INDEX(ABC_XYZ!$L$5:$L$494,MATCH(A225,ABC_XYZ!$A$5:$A$494,0)),"SIN HIST")</f>
        <v>BX</v>
      </c>
      <c r="G225" s="24" t="n">
        <f aca="false">IF(LEFT(F225,1)="A",Parametros!$B$8,IF(LEFT(F225,1)="B",Parametros!$B$9,IF(LEFT(F225,1)="C",Parametros!$B$10,Parametros!$B$11)))</f>
        <v>0.95</v>
      </c>
      <c r="H225" s="27" t="n">
        <f aca="false">NORMSINV(G225)</f>
        <v>1.64485362695147</v>
      </c>
      <c r="I225" s="23" t="n">
        <v>5200</v>
      </c>
      <c r="J225" s="23" t="n">
        <f aca="false">IFERROR(INDEX(ABC_XYZ!$R$5:$R$494,MATCH(A225,ABC_XYZ!$A$5:$A$494,0)),I225*Parametros!$B$13)</f>
        <v>1060.97747559559</v>
      </c>
      <c r="K225" s="27" t="n">
        <f aca="false">IFERROR(VLOOKUP(C225,Parametros!$A$36:$B$66,2,FALSE()),Parametros!$B$12)</f>
        <v>1</v>
      </c>
      <c r="L225" s="23" t="n">
        <f aca="false">H225*J225*SQRT(K225)</f>
        <v>1745.15264884721</v>
      </c>
      <c r="M225" s="29" t="n">
        <v>184</v>
      </c>
      <c r="N225" s="24" t="n">
        <v>0.315217391304348</v>
      </c>
      <c r="O225" s="3" t="s">
        <v>780</v>
      </c>
      <c r="P225" s="30" t="n">
        <f aca="false">IF(AND(ISNUMBER(M225),ISNUMBER(N225)),M225*N225/7,"")</f>
        <v>8.28571428571429</v>
      </c>
      <c r="Q225" s="23" t="n">
        <f aca="false">IF(ISNUMBER(P225),I225*P225,"")</f>
        <v>43085.7142857143</v>
      </c>
      <c r="R225" s="23" t="n">
        <f aca="false">IF(ISNUMBER(Q225),MAX(0,MIN(L225,Q225-I225*K225)),L225)</f>
        <v>1745.15264884721</v>
      </c>
      <c r="S225" s="23" t="n">
        <f aca="false">R225+I225*K225</f>
        <v>6945.15264884722</v>
      </c>
      <c r="T225" s="23" t="n">
        <v>12258.4</v>
      </c>
      <c r="U225" s="23" t="n">
        <v>0</v>
      </c>
      <c r="V225" s="23" t="n">
        <f aca="false">T225+U225</f>
        <v>12258.4</v>
      </c>
      <c r="W225" s="30" t="n">
        <f aca="false">IF(I225&gt;0,V225/I225,"")</f>
        <v>2.35738461538462</v>
      </c>
      <c r="X225" s="3" t="str">
        <f aca="false">IF(I225&lt;=0,"SIN FCST",IF(V225&lt;R225,"BAJO SS",IF(T225&lt;R225,"BAJO SS (XLIB CUBRE)",IF(V225&lt;S225,"BAJO P.REORDEN",IF(AND(ISNUMBER(Q225),V225&gt;Q225),"SOBRE MAX VENDIBLE","OK")))))</f>
        <v>OK</v>
      </c>
    </row>
    <row r="226" customFormat="false" ht="15" hidden="false" customHeight="false" outlineLevel="0" collapsed="false">
      <c r="A226" s="3" t="n">
        <v>30002200</v>
      </c>
      <c r="B226" s="3" t="s">
        <v>357</v>
      </c>
      <c r="C226" s="3" t="s">
        <v>155</v>
      </c>
      <c r="D226" s="3" t="s">
        <v>761</v>
      </c>
      <c r="E226" s="3"/>
      <c r="F226" s="3" t="str">
        <f aca="false">IFERROR(INDEX(ABC_XYZ!$L$5:$L$494,MATCH(A226,ABC_XYZ!$A$5:$A$494,0)),"SIN HIST")</f>
        <v>BX</v>
      </c>
      <c r="G226" s="24" t="n">
        <f aca="false">IF(LEFT(F226,1)="A",Parametros!$B$8,IF(LEFT(F226,1)="B",Parametros!$B$9,IF(LEFT(F226,1)="C",Parametros!$B$10,Parametros!$B$11)))</f>
        <v>0.95</v>
      </c>
      <c r="H226" s="27" t="n">
        <f aca="false">NORMSINV(G226)</f>
        <v>1.64485362695147</v>
      </c>
      <c r="I226" s="23" t="n">
        <v>5200</v>
      </c>
      <c r="J226" s="23" t="n">
        <f aca="false">IFERROR(INDEX(ABC_XYZ!$R$5:$R$494,MATCH(A226,ABC_XYZ!$A$5:$A$494,0)),I226*Parametros!$B$13)</f>
        <v>2454.14212242912</v>
      </c>
      <c r="K226" s="27" t="n">
        <f aca="false">IFERROR(VLOOKUP(C226,Parametros!$A$36:$B$66,2,FALSE()),Parametros!$B$12)</f>
        <v>1</v>
      </c>
      <c r="L226" s="23" t="n">
        <f aca="false">H226*J226*SQRT(K226)</f>
        <v>4036.70457113191</v>
      </c>
      <c r="M226" s="29"/>
      <c r="N226" s="24"/>
      <c r="O226" s="3"/>
      <c r="P226" s="30" t="str">
        <f aca="false">IF(AND(ISNUMBER(M226),ISNUMBER(N226)),M226*N226/7,"")</f>
        <v/>
      </c>
      <c r="Q226" s="23" t="str">
        <f aca="false">IF(ISNUMBER(P226),I226*P226,"")</f>
        <v/>
      </c>
      <c r="R226" s="23" t="n">
        <f aca="false">IF(ISNUMBER(Q226),MAX(0,MIN(L226,Q226-I226*K226)),L226)</f>
        <v>4036.70457113191</v>
      </c>
      <c r="S226" s="23" t="n">
        <f aca="false">R226+I226*K226</f>
        <v>9236.70457113191</v>
      </c>
      <c r="T226" s="23" t="n">
        <v>100.8</v>
      </c>
      <c r="U226" s="23" t="n">
        <v>0</v>
      </c>
      <c r="V226" s="23" t="n">
        <f aca="false">T226+U226</f>
        <v>100.8</v>
      </c>
      <c r="W226" s="30" t="n">
        <f aca="false">IF(I226&gt;0,V226/I226,"")</f>
        <v>0.0193846153846154</v>
      </c>
      <c r="X226" s="3" t="str">
        <f aca="false">IF(I226&lt;=0,"SIN FCST",IF(V226&lt;R226,"BAJO SS",IF(T226&lt;R226,"BAJO SS (XLIB CUBRE)",IF(V226&lt;S226,"BAJO P.REORDEN",IF(AND(ISNUMBER(Q226),V226&gt;Q226),"SOBRE MAX VENDIBLE","OK")))))</f>
        <v>BAJO SS</v>
      </c>
    </row>
    <row r="227" customFormat="false" ht="15" hidden="false" customHeight="false" outlineLevel="0" collapsed="false">
      <c r="A227" s="3" t="n">
        <v>30002125</v>
      </c>
      <c r="B227" s="3" t="s">
        <v>909</v>
      </c>
      <c r="C227" s="3" t="s">
        <v>138</v>
      </c>
      <c r="D227" s="3" t="s">
        <v>744</v>
      </c>
      <c r="E227" s="3" t="s">
        <v>745</v>
      </c>
      <c r="F227" s="3" t="str">
        <f aca="false">IFERROR(INDEX(ABC_XYZ!$L$5:$L$494,MATCH(A227,ABC_XYZ!$A$5:$A$494,0)),"SIN HIST")</f>
        <v>BY</v>
      </c>
      <c r="G227" s="24" t="n">
        <f aca="false">IF(LEFT(F227,1)="A",Parametros!$B$8,IF(LEFT(F227,1)="B",Parametros!$B$9,IF(LEFT(F227,1)="C",Parametros!$B$10,Parametros!$B$11)))</f>
        <v>0.95</v>
      </c>
      <c r="H227" s="27" t="n">
        <f aca="false">NORMSINV(G227)</f>
        <v>1.64485362695147</v>
      </c>
      <c r="I227" s="23" t="n">
        <v>5190.9</v>
      </c>
      <c r="J227" s="23" t="n">
        <f aca="false">IFERROR(INDEX(ABC_XYZ!$R$5:$R$494,MATCH(A227,ABC_XYZ!$A$5:$A$494,0)),I227*Parametros!$B$13)</f>
        <v>544.925611984479</v>
      </c>
      <c r="K227" s="27" t="n">
        <f aca="false">IFERROR(VLOOKUP(C227,Parametros!$A$36:$B$66,2,FALSE()),Parametros!$B$12)</f>
        <v>1</v>
      </c>
      <c r="L227" s="23" t="n">
        <f aca="false">H227*J227*SQRT(K227)</f>
        <v>896.322869291421</v>
      </c>
      <c r="M227" s="29" t="n">
        <v>365</v>
      </c>
      <c r="N227" s="24" t="n">
        <v>0.32054794520548</v>
      </c>
      <c r="O227" s="3" t="s">
        <v>754</v>
      </c>
      <c r="P227" s="30" t="n">
        <f aca="false">IF(AND(ISNUMBER(M227),ISNUMBER(N227)),M227*N227/7,"")</f>
        <v>16.7142857142857</v>
      </c>
      <c r="Q227" s="23" t="n">
        <f aca="false">IF(ISNUMBER(P227),I227*P227,"")</f>
        <v>86762.1857142857</v>
      </c>
      <c r="R227" s="23" t="n">
        <f aca="false">IF(ISNUMBER(Q227),MAX(0,MIN(L227,Q227-I227*K227)),L227)</f>
        <v>896.322869291421</v>
      </c>
      <c r="S227" s="23" t="n">
        <f aca="false">R227+I227*K227</f>
        <v>6087.22286929142</v>
      </c>
      <c r="T227" s="23" t="n">
        <v>15792.8</v>
      </c>
      <c r="U227" s="23" t="n">
        <v>0</v>
      </c>
      <c r="V227" s="23" t="n">
        <f aca="false">T227+U227</f>
        <v>15792.8</v>
      </c>
      <c r="W227" s="30" t="n">
        <f aca="false">IF(I227&gt;0,V227/I227,"")</f>
        <v>3.04240112504575</v>
      </c>
      <c r="X227" s="3" t="str">
        <f aca="false">IF(I227&lt;=0,"SIN FCST",IF(V227&lt;R227,"BAJO SS",IF(T227&lt;R227,"BAJO SS (XLIB CUBRE)",IF(V227&lt;S227,"BAJO P.REORDEN",IF(AND(ISNUMBER(Q227),V227&gt;Q227),"SOBRE MAX VENDIBLE","OK")))))</f>
        <v>OK</v>
      </c>
    </row>
    <row r="228" customFormat="false" ht="15" hidden="false" customHeight="false" outlineLevel="0" collapsed="false">
      <c r="A228" s="3" t="n">
        <v>30001018</v>
      </c>
      <c r="B228" s="3" t="s">
        <v>910</v>
      </c>
      <c r="C228" s="3" t="s">
        <v>155</v>
      </c>
      <c r="D228" s="3" t="s">
        <v>761</v>
      </c>
      <c r="E228" s="3" t="s">
        <v>762</v>
      </c>
      <c r="F228" s="3" t="str">
        <f aca="false">IFERROR(INDEX(ABC_XYZ!$L$5:$L$494,MATCH(A228,ABC_XYZ!$A$5:$A$494,0)),"SIN HIST")</f>
        <v>BX</v>
      </c>
      <c r="G228" s="24" t="n">
        <f aca="false">IF(LEFT(F228,1)="A",Parametros!$B$8,IF(LEFT(F228,1)="B",Parametros!$B$9,IF(LEFT(F228,1)="C",Parametros!$B$10,Parametros!$B$11)))</f>
        <v>0.95</v>
      </c>
      <c r="H228" s="27" t="n">
        <f aca="false">NORMSINV(G228)</f>
        <v>1.64485362695147</v>
      </c>
      <c r="I228" s="23" t="n">
        <v>5178.5</v>
      </c>
      <c r="J228" s="23" t="n">
        <f aca="false">IFERROR(INDEX(ABC_XYZ!$R$5:$R$494,MATCH(A228,ABC_XYZ!$A$5:$A$494,0)),I228*Parametros!$B$13)</f>
        <v>858.050988850581</v>
      </c>
      <c r="K228" s="27" t="n">
        <f aca="false">IFERROR(VLOOKUP(C228,Parametros!$A$36:$B$66,2,FALSE()),Parametros!$B$12)</f>
        <v>1</v>
      </c>
      <c r="L228" s="23" t="n">
        <f aca="false">H228*J228*SQRT(K228)</f>
        <v>1411.36828112018</v>
      </c>
      <c r="M228" s="29" t="n">
        <v>65</v>
      </c>
      <c r="N228" s="24" t="n">
        <v>0.323076923076923</v>
      </c>
      <c r="O228" s="3" t="s">
        <v>774</v>
      </c>
      <c r="P228" s="30" t="n">
        <f aca="false">IF(AND(ISNUMBER(M228),ISNUMBER(N228)),M228*N228/7,"")</f>
        <v>3</v>
      </c>
      <c r="Q228" s="23" t="n">
        <f aca="false">IF(ISNUMBER(P228),I228*P228,"")</f>
        <v>15535.5</v>
      </c>
      <c r="R228" s="23" t="n">
        <f aca="false">IF(ISNUMBER(Q228),MAX(0,MIN(L228,Q228-I228*K228)),L228)</f>
        <v>1411.36828112018</v>
      </c>
      <c r="S228" s="23" t="n">
        <f aca="false">R228+I228*K228</f>
        <v>6589.86828112018</v>
      </c>
      <c r="T228" s="23" t="n">
        <v>9041.8</v>
      </c>
      <c r="U228" s="23" t="n">
        <v>0</v>
      </c>
      <c r="V228" s="23" t="n">
        <f aca="false">T228+U228</f>
        <v>9041.8</v>
      </c>
      <c r="W228" s="30" t="n">
        <f aca="false">IF(I228&gt;0,V228/I228,"")</f>
        <v>1.74602684174954</v>
      </c>
      <c r="X228" s="3" t="str">
        <f aca="false">IF(I228&lt;=0,"SIN FCST",IF(V228&lt;R228,"BAJO SS",IF(T228&lt;R228,"BAJO SS (XLIB CUBRE)",IF(V228&lt;S228,"BAJO P.REORDEN",IF(AND(ISNUMBER(Q228),V228&gt;Q228),"SOBRE MAX VENDIBLE","OK")))))</f>
        <v>OK</v>
      </c>
    </row>
    <row r="229" customFormat="false" ht="15" hidden="false" customHeight="false" outlineLevel="0" collapsed="false">
      <c r="A229" s="3" t="n">
        <v>30000244</v>
      </c>
      <c r="B229" s="3" t="s">
        <v>911</v>
      </c>
      <c r="C229" s="3" t="s">
        <v>135</v>
      </c>
      <c r="D229" s="3" t="s">
        <v>753</v>
      </c>
      <c r="E229" s="3" t="s">
        <v>745</v>
      </c>
      <c r="F229" s="3" t="str">
        <f aca="false">IFERROR(INDEX(ABC_XYZ!$L$5:$L$494,MATCH(A229,ABC_XYZ!$A$5:$A$494,0)),"SIN HIST")</f>
        <v>BX</v>
      </c>
      <c r="G229" s="24" t="n">
        <f aca="false">IF(LEFT(F229,1)="A",Parametros!$B$8,IF(LEFT(F229,1)="B",Parametros!$B$9,IF(LEFT(F229,1)="C",Parametros!$B$10,Parametros!$B$11)))</f>
        <v>0.95</v>
      </c>
      <c r="H229" s="27" t="n">
        <f aca="false">NORMSINV(G229)</f>
        <v>1.64485362695147</v>
      </c>
      <c r="I229" s="23" t="n">
        <v>5163.6</v>
      </c>
      <c r="J229" s="23" t="n">
        <f aca="false">IFERROR(INDEX(ABC_XYZ!$R$5:$R$494,MATCH(A229,ABC_XYZ!$A$5:$A$494,0)),I229*Parametros!$B$13)</f>
        <v>1791.43958761353</v>
      </c>
      <c r="K229" s="27" t="n">
        <f aca="false">IFERROR(VLOOKUP(C229,Parametros!$A$36:$B$66,2,FALSE()),Parametros!$B$12)</f>
        <v>1</v>
      </c>
      <c r="L229" s="23" t="n">
        <f aca="false">H229*J229*SQRT(K229)</f>
        <v>2946.65590315056</v>
      </c>
      <c r="M229" s="29" t="n">
        <v>365</v>
      </c>
      <c r="N229" s="24" t="n">
        <v>0.194520547945206</v>
      </c>
      <c r="O229" s="3" t="s">
        <v>746</v>
      </c>
      <c r="P229" s="30" t="n">
        <f aca="false">IF(AND(ISNUMBER(M229),ISNUMBER(N229)),M229*N229/7,"")</f>
        <v>10.1428571428571</v>
      </c>
      <c r="Q229" s="23" t="n">
        <f aca="false">IF(ISNUMBER(P229),I229*P229,"")</f>
        <v>52373.6571428572</v>
      </c>
      <c r="R229" s="23" t="n">
        <f aca="false">IF(ISNUMBER(Q229),MAX(0,MIN(L229,Q229-I229*K229)),L229)</f>
        <v>2946.65590315056</v>
      </c>
      <c r="S229" s="23" t="n">
        <f aca="false">R229+I229*K229</f>
        <v>8110.25590315056</v>
      </c>
      <c r="T229" s="23" t="n">
        <v>32148</v>
      </c>
      <c r="U229" s="23" t="n">
        <v>0</v>
      </c>
      <c r="V229" s="23" t="n">
        <f aca="false">T229+U229</f>
        <v>32148</v>
      </c>
      <c r="W229" s="30" t="n">
        <f aca="false">IF(I229&gt;0,V229/I229,"")</f>
        <v>6.22588891471067</v>
      </c>
      <c r="X229" s="3" t="str">
        <f aca="false">IF(I229&lt;=0,"SIN FCST",IF(V229&lt;R229,"BAJO SS",IF(T229&lt;R229,"BAJO SS (XLIB CUBRE)",IF(V229&lt;S229,"BAJO P.REORDEN",IF(AND(ISNUMBER(Q229),V229&gt;Q229),"SOBRE MAX VENDIBLE","OK")))))</f>
        <v>OK</v>
      </c>
    </row>
    <row r="230" customFormat="false" ht="15" hidden="false" customHeight="false" outlineLevel="0" collapsed="false">
      <c r="A230" s="3" t="n">
        <v>30000543</v>
      </c>
      <c r="B230" s="3" t="s">
        <v>912</v>
      </c>
      <c r="C230" s="3" t="s">
        <v>139</v>
      </c>
      <c r="D230" s="3" t="s">
        <v>769</v>
      </c>
      <c r="E230" s="3" t="s">
        <v>745</v>
      </c>
      <c r="F230" s="3" t="str">
        <f aca="false">IFERROR(INDEX(ABC_XYZ!$L$5:$L$494,MATCH(A230,ABC_XYZ!$A$5:$A$494,0)),"SIN HIST")</f>
        <v>BX</v>
      </c>
      <c r="G230" s="24" t="n">
        <f aca="false">IF(LEFT(F230,1)="A",Parametros!$B$8,IF(LEFT(F230,1)="B",Parametros!$B$9,IF(LEFT(F230,1)="C",Parametros!$B$10,Parametros!$B$11)))</f>
        <v>0.95</v>
      </c>
      <c r="H230" s="27" t="n">
        <f aca="false">NORMSINV(G230)</f>
        <v>1.64485362695147</v>
      </c>
      <c r="I230" s="23" t="n">
        <v>5113.7</v>
      </c>
      <c r="J230" s="23" t="n">
        <f aca="false">IFERROR(INDEX(ABC_XYZ!$R$5:$R$494,MATCH(A230,ABC_XYZ!$A$5:$A$494,0)),I230*Parametros!$B$13)</f>
        <v>2059.45409713188</v>
      </c>
      <c r="K230" s="27" t="n">
        <f aca="false">IFERROR(VLOOKUP(C230,Parametros!$A$36:$B$66,2,FALSE()),Parametros!$B$12)</f>
        <v>1</v>
      </c>
      <c r="L230" s="23" t="n">
        <f aca="false">H230*J230*SQRT(K230)</f>
        <v>3387.50054120744</v>
      </c>
      <c r="M230" s="29" t="n">
        <v>365</v>
      </c>
      <c r="N230" s="24" t="n">
        <v>0.479452054794521</v>
      </c>
      <c r="O230" s="3" t="s">
        <v>763</v>
      </c>
      <c r="P230" s="30" t="n">
        <f aca="false">IF(AND(ISNUMBER(M230),ISNUMBER(N230)),M230*N230/7,"")</f>
        <v>25</v>
      </c>
      <c r="Q230" s="23" t="n">
        <f aca="false">IF(ISNUMBER(P230),I230*P230,"")</f>
        <v>127842.5</v>
      </c>
      <c r="R230" s="23" t="n">
        <f aca="false">IF(ISNUMBER(Q230),MAX(0,MIN(L230,Q230-I230*K230)),L230)</f>
        <v>3387.50054120744</v>
      </c>
      <c r="S230" s="23" t="n">
        <f aca="false">R230+I230*K230</f>
        <v>8501.20054120744</v>
      </c>
      <c r="T230" s="23" t="n">
        <v>4572</v>
      </c>
      <c r="U230" s="23" t="n">
        <v>0</v>
      </c>
      <c r="V230" s="23" t="n">
        <f aca="false">T230+U230</f>
        <v>4572</v>
      </c>
      <c r="W230" s="30" t="n">
        <f aca="false">IF(I230&gt;0,V230/I230,"")</f>
        <v>0.894068873809571</v>
      </c>
      <c r="X230" s="3" t="str">
        <f aca="false">IF(I230&lt;=0,"SIN FCST",IF(V230&lt;R230,"BAJO SS",IF(T230&lt;R230,"BAJO SS (XLIB CUBRE)",IF(V230&lt;S230,"BAJO P.REORDEN",IF(AND(ISNUMBER(Q230),V230&gt;Q230),"SOBRE MAX VENDIBLE","OK")))))</f>
        <v>BAJO P.REORDEN</v>
      </c>
    </row>
    <row r="231" customFormat="false" ht="15" hidden="false" customHeight="false" outlineLevel="0" collapsed="false">
      <c r="A231" s="3" t="n">
        <v>30000758</v>
      </c>
      <c r="B231" s="3" t="s">
        <v>913</v>
      </c>
      <c r="C231" s="3" t="s">
        <v>133</v>
      </c>
      <c r="D231" s="3" t="s">
        <v>758</v>
      </c>
      <c r="E231" s="3"/>
      <c r="F231" s="3" t="str">
        <f aca="false">IFERROR(INDEX(ABC_XYZ!$L$5:$L$494,MATCH(A231,ABC_XYZ!$A$5:$A$494,0)),"SIN HIST")</f>
        <v>SIN HIST</v>
      </c>
      <c r="G231" s="24" t="n">
        <f aca="false">IF(LEFT(F231,1)="A",Parametros!$B$8,IF(LEFT(F231,1)="B",Parametros!$B$9,IF(LEFT(F231,1)="C",Parametros!$B$10,Parametros!$B$11)))</f>
        <v>0.95</v>
      </c>
      <c r="H231" s="27" t="n">
        <f aca="false">NORMSINV(G231)</f>
        <v>1.64485362695147</v>
      </c>
      <c r="I231" s="23" t="n">
        <v>5100.1</v>
      </c>
      <c r="J231" s="23" t="n">
        <f aca="false">IFERROR(INDEX(ABC_XYZ!$R$5:$R$494,MATCH(A231,ABC_XYZ!$A$5:$A$494,0)),I231*Parametros!$B$13)</f>
        <v>1530.03</v>
      </c>
      <c r="K231" s="27" t="n">
        <f aca="false">IFERROR(VLOOKUP(C231,Parametros!$A$36:$B$66,2,FALSE()),Parametros!$B$12)</f>
        <v>1</v>
      </c>
      <c r="L231" s="23" t="n">
        <f aca="false">H231*J231*SQRT(K231)</f>
        <v>2516.67539484456</v>
      </c>
      <c r="M231" s="29"/>
      <c r="N231" s="24"/>
      <c r="O231" s="3"/>
      <c r="P231" s="30" t="str">
        <f aca="false">IF(AND(ISNUMBER(M231),ISNUMBER(N231)),M231*N231/7,"")</f>
        <v/>
      </c>
      <c r="Q231" s="23" t="str">
        <f aca="false">IF(ISNUMBER(P231),I231*P231,"")</f>
        <v/>
      </c>
      <c r="R231" s="23" t="n">
        <f aca="false">IF(ISNUMBER(Q231),MAX(0,MIN(L231,Q231-I231*K231)),L231)</f>
        <v>2516.67539484456</v>
      </c>
      <c r="S231" s="23" t="n">
        <f aca="false">R231+I231*K231</f>
        <v>7616.77539484456</v>
      </c>
      <c r="T231" s="23" t="n">
        <v>34800</v>
      </c>
      <c r="U231" s="23" t="n">
        <v>0</v>
      </c>
      <c r="V231" s="23" t="n">
        <f aca="false">T231+U231</f>
        <v>34800</v>
      </c>
      <c r="W231" s="30" t="n">
        <f aca="false">IF(I231&gt;0,V231/I231,"")</f>
        <v>6.82339561969373</v>
      </c>
      <c r="X231" s="3" t="str">
        <f aca="false">IF(I231&lt;=0,"SIN FCST",IF(V231&lt;R231,"BAJO SS",IF(T231&lt;R231,"BAJO SS (XLIB CUBRE)",IF(V231&lt;S231,"BAJO P.REORDEN",IF(AND(ISNUMBER(Q231),V231&gt;Q231),"SOBRE MAX VENDIBLE","OK")))))</f>
        <v>OK</v>
      </c>
    </row>
    <row r="232" customFormat="false" ht="15" hidden="false" customHeight="false" outlineLevel="0" collapsed="false">
      <c r="A232" s="3" t="n">
        <v>30000075</v>
      </c>
      <c r="B232" s="3" t="s">
        <v>914</v>
      </c>
      <c r="C232" s="3" t="s">
        <v>143</v>
      </c>
      <c r="D232" s="3" t="s">
        <v>750</v>
      </c>
      <c r="E232" s="3" t="s">
        <v>762</v>
      </c>
      <c r="F232" s="3" t="str">
        <f aca="false">IFERROR(INDEX(ABC_XYZ!$L$5:$L$494,MATCH(A232,ABC_XYZ!$A$5:$A$494,0)),"SIN HIST")</f>
        <v>BY</v>
      </c>
      <c r="G232" s="24" t="n">
        <f aca="false">IF(LEFT(F232,1)="A",Parametros!$B$8,IF(LEFT(F232,1)="B",Parametros!$B$9,IF(LEFT(F232,1)="C",Parametros!$B$10,Parametros!$B$11)))</f>
        <v>0.95</v>
      </c>
      <c r="H232" s="27" t="n">
        <f aca="false">NORMSINV(G232)</f>
        <v>1.64485362695147</v>
      </c>
      <c r="I232" s="23" t="n">
        <v>5000</v>
      </c>
      <c r="J232" s="23" t="n">
        <f aca="false">IFERROR(INDEX(ABC_XYZ!$R$5:$R$494,MATCH(A232,ABC_XYZ!$A$5:$A$494,0)),I232*Parametros!$B$13)</f>
        <v>3408.93028140134</v>
      </c>
      <c r="K232" s="27" t="n">
        <f aca="false">IFERROR(VLOOKUP(C232,Parametros!$A$36:$B$66,2,FALSE()),Parametros!$B$12)</f>
        <v>1</v>
      </c>
      <c r="L232" s="23" t="n">
        <f aca="false">H232*J232*SQRT(K232)</f>
        <v>5607.1913373877</v>
      </c>
      <c r="M232" s="29" t="n">
        <v>184</v>
      </c>
      <c r="N232" s="24" t="n">
        <v>0.217391304347826</v>
      </c>
      <c r="O232" s="3" t="s">
        <v>754</v>
      </c>
      <c r="P232" s="30" t="n">
        <f aca="false">IF(AND(ISNUMBER(M232),ISNUMBER(N232)),M232*N232/7,"")</f>
        <v>5.71428571428572</v>
      </c>
      <c r="Q232" s="23" t="n">
        <f aca="false">IF(ISNUMBER(P232),I232*P232,"")</f>
        <v>28571.4285714286</v>
      </c>
      <c r="R232" s="23" t="n">
        <f aca="false">IF(ISNUMBER(Q232),MAX(0,MIN(L232,Q232-I232*K232)),L232)</f>
        <v>5607.1913373877</v>
      </c>
      <c r="S232" s="23" t="n">
        <f aca="false">R232+I232*K232</f>
        <v>10607.1913373877</v>
      </c>
      <c r="T232" s="23" t="n">
        <v>22230</v>
      </c>
      <c r="U232" s="23" t="n">
        <v>4770</v>
      </c>
      <c r="V232" s="23" t="n">
        <f aca="false">T232+U232</f>
        <v>27000</v>
      </c>
      <c r="W232" s="30" t="n">
        <f aca="false">IF(I232&gt;0,V232/I232,"")</f>
        <v>5.4</v>
      </c>
      <c r="X232" s="3" t="str">
        <f aca="false">IF(I232&lt;=0,"SIN FCST",IF(V232&lt;R232,"BAJO SS",IF(T232&lt;R232,"BAJO SS (XLIB CUBRE)",IF(V232&lt;S232,"BAJO P.REORDEN",IF(AND(ISNUMBER(Q232),V232&gt;Q232),"SOBRE MAX VENDIBLE","OK")))))</f>
        <v>OK</v>
      </c>
    </row>
    <row r="233" customFormat="false" ht="15" hidden="false" customHeight="false" outlineLevel="0" collapsed="false">
      <c r="A233" s="3" t="n">
        <v>30002277</v>
      </c>
      <c r="B233" s="3" t="s">
        <v>915</v>
      </c>
      <c r="C233" s="3" t="s">
        <v>149</v>
      </c>
      <c r="D233" s="3" t="s">
        <v>744</v>
      </c>
      <c r="E233" s="3"/>
      <c r="F233" s="3" t="str">
        <f aca="false">IFERROR(INDEX(ABC_XYZ!$L$5:$L$494,MATCH(A233,ABC_XYZ!$A$5:$A$494,0)),"SIN HIST")</f>
        <v>BY</v>
      </c>
      <c r="G233" s="24" t="n">
        <f aca="false">IF(LEFT(F233,1)="A",Parametros!$B$8,IF(LEFT(F233,1)="B",Parametros!$B$9,IF(LEFT(F233,1)="C",Parametros!$B$10,Parametros!$B$11)))</f>
        <v>0.95</v>
      </c>
      <c r="H233" s="27" t="n">
        <f aca="false">NORMSINV(G233)</f>
        <v>1.64485362695147</v>
      </c>
      <c r="I233" s="23" t="n">
        <v>5000</v>
      </c>
      <c r="J233" s="23" t="n">
        <f aca="false">IFERROR(INDEX(ABC_XYZ!$R$5:$R$494,MATCH(A233,ABC_XYZ!$A$5:$A$494,0)),I233*Parametros!$B$13)</f>
        <v>2552.32067897015</v>
      </c>
      <c r="K233" s="27" t="n">
        <f aca="false">IFERROR(VLOOKUP(C233,Parametros!$A$36:$B$66,2,FALSE()),Parametros!$B$12)</f>
        <v>1</v>
      </c>
      <c r="L233" s="23" t="n">
        <f aca="false">H233*J233*SQRT(K233)</f>
        <v>4198.1939259473</v>
      </c>
      <c r="M233" s="29"/>
      <c r="N233" s="24"/>
      <c r="O233" s="3"/>
      <c r="P233" s="30" t="str">
        <f aca="false">IF(AND(ISNUMBER(M233),ISNUMBER(N233)),M233*N233/7,"")</f>
        <v/>
      </c>
      <c r="Q233" s="23" t="str">
        <f aca="false">IF(ISNUMBER(P233),I233*P233,"")</f>
        <v/>
      </c>
      <c r="R233" s="23" t="n">
        <f aca="false">IF(ISNUMBER(Q233),MAX(0,MIN(L233,Q233-I233*K233)),L233)</f>
        <v>4198.1939259473</v>
      </c>
      <c r="S233" s="23" t="n">
        <f aca="false">R233+I233*K233</f>
        <v>9198.1939259473</v>
      </c>
      <c r="T233" s="23" t="n">
        <v>6895.4</v>
      </c>
      <c r="U233" s="23" t="n">
        <v>0</v>
      </c>
      <c r="V233" s="23" t="n">
        <f aca="false">T233+U233</f>
        <v>6895.4</v>
      </c>
      <c r="W233" s="30" t="n">
        <f aca="false">IF(I233&gt;0,V233/I233,"")</f>
        <v>1.37908</v>
      </c>
      <c r="X233" s="3" t="str">
        <f aca="false">IF(I233&lt;=0,"SIN FCST",IF(V233&lt;R233,"BAJO SS",IF(T233&lt;R233,"BAJO SS (XLIB CUBRE)",IF(V233&lt;S233,"BAJO P.REORDEN",IF(AND(ISNUMBER(Q233),V233&gt;Q233),"SOBRE MAX VENDIBLE","OK")))))</f>
        <v>BAJO P.REORDEN</v>
      </c>
    </row>
    <row r="234" customFormat="false" ht="15" hidden="false" customHeight="false" outlineLevel="0" collapsed="false">
      <c r="A234" s="3" t="n">
        <v>30001764</v>
      </c>
      <c r="B234" s="3" t="s">
        <v>916</v>
      </c>
      <c r="C234" s="3" t="s">
        <v>144</v>
      </c>
      <c r="D234" s="3" t="s">
        <v>753</v>
      </c>
      <c r="E234" s="3" t="s">
        <v>745</v>
      </c>
      <c r="F234" s="3" t="str">
        <f aca="false">IFERROR(INDEX(ABC_XYZ!$L$5:$L$494,MATCH(A234,ABC_XYZ!$A$5:$A$494,0)),"SIN HIST")</f>
        <v>BX</v>
      </c>
      <c r="G234" s="24" t="n">
        <f aca="false">IF(LEFT(F234,1)="A",Parametros!$B$8,IF(LEFT(F234,1)="B",Parametros!$B$9,IF(LEFT(F234,1)="C",Parametros!$B$10,Parametros!$B$11)))</f>
        <v>0.95</v>
      </c>
      <c r="H234" s="27" t="n">
        <f aca="false">NORMSINV(G234)</f>
        <v>1.64485362695147</v>
      </c>
      <c r="I234" s="23" t="n">
        <v>4996.7</v>
      </c>
      <c r="J234" s="23" t="n">
        <f aca="false">IFERROR(INDEX(ABC_XYZ!$R$5:$R$494,MATCH(A234,ABC_XYZ!$A$5:$A$494,0)),I234*Parametros!$B$13)</f>
        <v>1005.95256018032</v>
      </c>
      <c r="K234" s="27" t="n">
        <f aca="false">IFERROR(VLOOKUP(C234,Parametros!$A$36:$B$66,2,FALSE()),Parametros!$B$12)</f>
        <v>1</v>
      </c>
      <c r="L234" s="23" t="n">
        <f aca="false">H234*J234*SQRT(K234)</f>
        <v>1654.64471715371</v>
      </c>
      <c r="M234" s="29" t="n">
        <v>365</v>
      </c>
      <c r="N234" s="24" t="n">
        <v>0.273972602739726</v>
      </c>
      <c r="O234" s="3" t="s">
        <v>746</v>
      </c>
      <c r="P234" s="30" t="n">
        <f aca="false">IF(AND(ISNUMBER(M234),ISNUMBER(N234)),M234*N234/7,"")</f>
        <v>14.2857142857143</v>
      </c>
      <c r="Q234" s="23" t="n">
        <f aca="false">IF(ISNUMBER(P234),I234*P234,"")</f>
        <v>71381.4285714286</v>
      </c>
      <c r="R234" s="23" t="n">
        <f aca="false">IF(ISNUMBER(Q234),MAX(0,MIN(L234,Q234-I234*K234)),L234)</f>
        <v>1654.64471715371</v>
      </c>
      <c r="S234" s="23" t="n">
        <f aca="false">R234+I234*K234</f>
        <v>6651.34471715371</v>
      </c>
      <c r="T234" s="23" t="n">
        <v>19477.8</v>
      </c>
      <c r="U234" s="23" t="n">
        <v>0</v>
      </c>
      <c r="V234" s="23" t="n">
        <f aca="false">T234+U234</f>
        <v>19477.8</v>
      </c>
      <c r="W234" s="30" t="n">
        <f aca="false">IF(I234&gt;0,V234/I234,"")</f>
        <v>3.89813276762663</v>
      </c>
      <c r="X234" s="3" t="str">
        <f aca="false">IF(I234&lt;=0,"SIN FCST",IF(V234&lt;R234,"BAJO SS",IF(T234&lt;R234,"BAJO SS (XLIB CUBRE)",IF(V234&lt;S234,"BAJO P.REORDEN",IF(AND(ISNUMBER(Q234),V234&gt;Q234),"SOBRE MAX VENDIBLE","OK")))))</f>
        <v>OK</v>
      </c>
    </row>
    <row r="235" customFormat="false" ht="15" hidden="false" customHeight="false" outlineLevel="0" collapsed="false">
      <c r="A235" s="3" t="n">
        <v>30002077</v>
      </c>
      <c r="B235" s="3" t="s">
        <v>917</v>
      </c>
      <c r="C235" s="3" t="s">
        <v>139</v>
      </c>
      <c r="D235" s="3" t="s">
        <v>753</v>
      </c>
      <c r="E235" s="3" t="s">
        <v>745</v>
      </c>
      <c r="F235" s="3" t="str">
        <f aca="false">IFERROR(INDEX(ABC_XYZ!$L$5:$L$494,MATCH(A235,ABC_XYZ!$A$5:$A$494,0)),"SIN HIST")</f>
        <v>BY</v>
      </c>
      <c r="G235" s="24" t="n">
        <f aca="false">IF(LEFT(F235,1)="A",Parametros!$B$8,IF(LEFT(F235,1)="B",Parametros!$B$9,IF(LEFT(F235,1)="C",Parametros!$B$10,Parametros!$B$11)))</f>
        <v>0.95</v>
      </c>
      <c r="H235" s="27" t="n">
        <f aca="false">NORMSINV(G235)</f>
        <v>1.64485362695147</v>
      </c>
      <c r="I235" s="23" t="n">
        <v>4896</v>
      </c>
      <c r="J235" s="23" t="n">
        <f aca="false">IFERROR(INDEX(ABC_XYZ!$R$5:$R$494,MATCH(A235,ABC_XYZ!$A$5:$A$494,0)),I235*Parametros!$B$13)</f>
        <v>4189.65607029954</v>
      </c>
      <c r="K235" s="27" t="n">
        <f aca="false">IFERROR(VLOOKUP(C235,Parametros!$A$36:$B$66,2,FALSE()),Parametros!$B$12)</f>
        <v>1</v>
      </c>
      <c r="L235" s="23" t="n">
        <f aca="false">H235*J235*SQRT(K235)</f>
        <v>6891.37098291145</v>
      </c>
      <c r="M235" s="29" t="n">
        <v>214</v>
      </c>
      <c r="N235" s="24" t="n">
        <v>0.219626168224299</v>
      </c>
      <c r="O235" s="3" t="s">
        <v>746</v>
      </c>
      <c r="P235" s="30" t="n">
        <f aca="false">IF(AND(ISNUMBER(M235),ISNUMBER(N235)),M235*N235/7,"")</f>
        <v>6.71428571428571</v>
      </c>
      <c r="Q235" s="23" t="n">
        <f aca="false">IF(ISNUMBER(P235),I235*P235,"")</f>
        <v>32873.1428571429</v>
      </c>
      <c r="R235" s="23" t="n">
        <f aca="false">IF(ISNUMBER(Q235),MAX(0,MIN(L235,Q235-I235*K235)),L235)</f>
        <v>6891.37098291145</v>
      </c>
      <c r="S235" s="23" t="n">
        <f aca="false">R235+I235*K235</f>
        <v>11787.3709829114</v>
      </c>
      <c r="T235" s="23" t="n">
        <v>7332</v>
      </c>
      <c r="U235" s="23" t="n">
        <v>6048</v>
      </c>
      <c r="V235" s="23" t="n">
        <f aca="false">T235+U235</f>
        <v>13380</v>
      </c>
      <c r="W235" s="30" t="n">
        <f aca="false">IF(I235&gt;0,V235/I235,"")</f>
        <v>2.7328431372549</v>
      </c>
      <c r="X235" s="3" t="str">
        <f aca="false">IF(I235&lt;=0,"SIN FCST",IF(V235&lt;R235,"BAJO SS",IF(T235&lt;R235,"BAJO SS (XLIB CUBRE)",IF(V235&lt;S235,"BAJO P.REORDEN",IF(AND(ISNUMBER(Q235),V235&gt;Q235),"SOBRE MAX VENDIBLE","OK")))))</f>
        <v>OK</v>
      </c>
    </row>
    <row r="236" customFormat="false" ht="15" hidden="false" customHeight="false" outlineLevel="0" collapsed="false">
      <c r="A236" s="3" t="n">
        <v>30000763</v>
      </c>
      <c r="B236" s="3" t="s">
        <v>918</v>
      </c>
      <c r="C236" s="3" t="s">
        <v>133</v>
      </c>
      <c r="D236" s="3" t="s">
        <v>758</v>
      </c>
      <c r="E236" s="3"/>
      <c r="F236" s="3" t="str">
        <f aca="false">IFERROR(INDEX(ABC_XYZ!$L$5:$L$494,MATCH(A236,ABC_XYZ!$A$5:$A$494,0)),"SIN HIST")</f>
        <v>SIN HIST</v>
      </c>
      <c r="G236" s="24" t="n">
        <f aca="false">IF(LEFT(F236,1)="A",Parametros!$B$8,IF(LEFT(F236,1)="B",Parametros!$B$9,IF(LEFT(F236,1)="C",Parametros!$B$10,Parametros!$B$11)))</f>
        <v>0.95</v>
      </c>
      <c r="H236" s="27" t="n">
        <f aca="false">NORMSINV(G236)</f>
        <v>1.64485362695147</v>
      </c>
      <c r="I236" s="23" t="n">
        <v>4883.7</v>
      </c>
      <c r="J236" s="23" t="n">
        <f aca="false">IFERROR(INDEX(ABC_XYZ!$R$5:$R$494,MATCH(A236,ABC_XYZ!$A$5:$A$494,0)),I236*Parametros!$B$13)</f>
        <v>1465.11</v>
      </c>
      <c r="K236" s="27" t="n">
        <f aca="false">IFERROR(VLOOKUP(C236,Parametros!$A$36:$B$66,2,FALSE()),Parametros!$B$12)</f>
        <v>1</v>
      </c>
      <c r="L236" s="23" t="n">
        <f aca="false">H236*J236*SQRT(K236)</f>
        <v>2409.89149738287</v>
      </c>
      <c r="M236" s="29"/>
      <c r="N236" s="24"/>
      <c r="O236" s="3"/>
      <c r="P236" s="30" t="str">
        <f aca="false">IF(AND(ISNUMBER(M236),ISNUMBER(N236)),M236*N236/7,"")</f>
        <v/>
      </c>
      <c r="Q236" s="23" t="str">
        <f aca="false">IF(ISNUMBER(P236),I236*P236,"")</f>
        <v/>
      </c>
      <c r="R236" s="23" t="n">
        <f aca="false">IF(ISNUMBER(Q236),MAX(0,MIN(L236,Q236-I236*K236)),L236)</f>
        <v>2409.89149738287</v>
      </c>
      <c r="S236" s="23" t="n">
        <f aca="false">R236+I236*K236</f>
        <v>7293.59149738287</v>
      </c>
      <c r="T236" s="23" t="n">
        <v>54912</v>
      </c>
      <c r="U236" s="23" t="n">
        <v>0</v>
      </c>
      <c r="V236" s="23" t="n">
        <f aca="false">T236+U236</f>
        <v>54912</v>
      </c>
      <c r="W236" s="30" t="n">
        <f aca="false">IF(I236&gt;0,V236/I236,"")</f>
        <v>11.2439339025739</v>
      </c>
      <c r="X236" s="3" t="str">
        <f aca="false">IF(I236&lt;=0,"SIN FCST",IF(V236&lt;R236,"BAJO SS",IF(T236&lt;R236,"BAJO SS (XLIB CUBRE)",IF(V236&lt;S236,"BAJO P.REORDEN",IF(AND(ISNUMBER(Q236),V236&gt;Q236),"SOBRE MAX VENDIBLE","OK")))))</f>
        <v>OK</v>
      </c>
    </row>
    <row r="237" customFormat="false" ht="15" hidden="false" customHeight="false" outlineLevel="0" collapsed="false">
      <c r="A237" s="3" t="n">
        <v>30000741</v>
      </c>
      <c r="B237" s="3" t="s">
        <v>919</v>
      </c>
      <c r="C237" s="3" t="s">
        <v>133</v>
      </c>
      <c r="D237" s="3" t="s">
        <v>758</v>
      </c>
      <c r="E237" s="3"/>
      <c r="F237" s="3" t="str">
        <f aca="false">IFERROR(INDEX(ABC_XYZ!$L$5:$L$494,MATCH(A237,ABC_XYZ!$A$5:$A$494,0)),"SIN HIST")</f>
        <v>SIN HIST</v>
      </c>
      <c r="G237" s="24" t="n">
        <f aca="false">IF(LEFT(F237,1)="A",Parametros!$B$8,IF(LEFT(F237,1)="B",Parametros!$B$9,IF(LEFT(F237,1)="C",Parametros!$B$10,Parametros!$B$11)))</f>
        <v>0.95</v>
      </c>
      <c r="H237" s="27" t="n">
        <f aca="false">NORMSINV(G237)</f>
        <v>1.64485362695147</v>
      </c>
      <c r="I237" s="23" t="n">
        <v>4882.8</v>
      </c>
      <c r="J237" s="23" t="n">
        <f aca="false">IFERROR(INDEX(ABC_XYZ!$R$5:$R$494,MATCH(A237,ABC_XYZ!$A$5:$A$494,0)),I237*Parametros!$B$13)</f>
        <v>1464.84</v>
      </c>
      <c r="K237" s="27" t="n">
        <f aca="false">IFERROR(VLOOKUP(C237,Parametros!$A$36:$B$66,2,FALSE()),Parametros!$B$12)</f>
        <v>1</v>
      </c>
      <c r="L237" s="23" t="n">
        <f aca="false">H237*J237*SQRT(K237)</f>
        <v>2409.44738690359</v>
      </c>
      <c r="M237" s="29"/>
      <c r="N237" s="24"/>
      <c r="O237" s="3"/>
      <c r="P237" s="30" t="str">
        <f aca="false">IF(AND(ISNUMBER(M237),ISNUMBER(N237)),M237*N237/7,"")</f>
        <v/>
      </c>
      <c r="Q237" s="23" t="str">
        <f aca="false">IF(ISNUMBER(P237),I237*P237,"")</f>
        <v/>
      </c>
      <c r="R237" s="23" t="n">
        <f aca="false">IF(ISNUMBER(Q237),MAX(0,MIN(L237,Q237-I237*K237)),L237)</f>
        <v>2409.44738690359</v>
      </c>
      <c r="S237" s="23" t="n">
        <f aca="false">R237+I237*K237</f>
        <v>7292.24738690359</v>
      </c>
      <c r="T237" s="23" t="n">
        <v>81825</v>
      </c>
      <c r="U237" s="23" t="n">
        <v>0</v>
      </c>
      <c r="V237" s="23" t="n">
        <f aca="false">T237+U237</f>
        <v>81825</v>
      </c>
      <c r="W237" s="30" t="n">
        <f aca="false">IF(I237&gt;0,V237/I237,"")</f>
        <v>16.7578028999754</v>
      </c>
      <c r="X237" s="3" t="str">
        <f aca="false">IF(I237&lt;=0,"SIN FCST",IF(V237&lt;R237,"BAJO SS",IF(T237&lt;R237,"BAJO SS (XLIB CUBRE)",IF(V237&lt;S237,"BAJO P.REORDEN",IF(AND(ISNUMBER(Q237),V237&gt;Q237),"SOBRE MAX VENDIBLE","OK")))))</f>
        <v>OK</v>
      </c>
    </row>
    <row r="238" customFormat="false" ht="15" hidden="false" customHeight="false" outlineLevel="0" collapsed="false">
      <c r="A238" s="3" t="n">
        <v>30001506</v>
      </c>
      <c r="B238" s="3" t="s">
        <v>352</v>
      </c>
      <c r="C238" s="3" t="s">
        <v>155</v>
      </c>
      <c r="D238" s="3" t="s">
        <v>753</v>
      </c>
      <c r="E238" s="3" t="s">
        <v>762</v>
      </c>
      <c r="F238" s="3" t="str">
        <f aca="false">IFERROR(INDEX(ABC_XYZ!$L$5:$L$494,MATCH(A238,ABC_XYZ!$A$5:$A$494,0)),"SIN HIST")</f>
        <v>BX</v>
      </c>
      <c r="G238" s="24" t="n">
        <f aca="false">IF(LEFT(F238,1)="A",Parametros!$B$8,IF(LEFT(F238,1)="B",Parametros!$B$9,IF(LEFT(F238,1)="C",Parametros!$B$10,Parametros!$B$11)))</f>
        <v>0.95</v>
      </c>
      <c r="H238" s="27" t="n">
        <f aca="false">NORMSINV(G238)</f>
        <v>1.64485362695147</v>
      </c>
      <c r="I238" s="23" t="n">
        <v>4867.4</v>
      </c>
      <c r="J238" s="23" t="n">
        <f aca="false">IFERROR(INDEX(ABC_XYZ!$R$5:$R$494,MATCH(A238,ABC_XYZ!$A$5:$A$494,0)),I238*Parametros!$B$13)</f>
        <v>1248.05958881833</v>
      </c>
      <c r="K238" s="27" t="n">
        <f aca="false">IFERROR(VLOOKUP(C238,Parametros!$A$36:$B$66,2,FALSE()),Parametros!$B$12)</f>
        <v>1</v>
      </c>
      <c r="L238" s="23" t="n">
        <f aca="false">H238*J238*SQRT(K238)</f>
        <v>2052.87534131939</v>
      </c>
      <c r="M238" s="29" t="n">
        <v>73</v>
      </c>
      <c r="N238" s="24" t="n">
        <v>0.26027397260274</v>
      </c>
      <c r="O238" s="3" t="s">
        <v>772</v>
      </c>
      <c r="P238" s="30" t="n">
        <f aca="false">IF(AND(ISNUMBER(M238),ISNUMBER(N238)),M238*N238/7,"")</f>
        <v>2.71428571428572</v>
      </c>
      <c r="Q238" s="23" t="n">
        <f aca="false">IF(ISNUMBER(P238),I238*P238,"")</f>
        <v>13211.5142857143</v>
      </c>
      <c r="R238" s="23" t="n">
        <f aca="false">IF(ISNUMBER(Q238),MAX(0,MIN(L238,Q238-I238*K238)),L238)</f>
        <v>2052.87534131939</v>
      </c>
      <c r="S238" s="23" t="n">
        <f aca="false">R238+I238*K238</f>
        <v>6920.27534131938</v>
      </c>
      <c r="T238" s="23" t="n">
        <v>4767.9</v>
      </c>
      <c r="U238" s="23" t="n">
        <v>4647.1</v>
      </c>
      <c r="V238" s="23" t="n">
        <f aca="false">T238+U238</f>
        <v>9415</v>
      </c>
      <c r="W238" s="30" t="n">
        <f aca="false">IF(I238&gt;0,V238/I238,"")</f>
        <v>1.9342975715988</v>
      </c>
      <c r="X238" s="3" t="str">
        <f aca="false">IF(I238&lt;=0,"SIN FCST",IF(V238&lt;R238,"BAJO SS",IF(T238&lt;R238,"BAJO SS (XLIB CUBRE)",IF(V238&lt;S238,"BAJO P.REORDEN",IF(AND(ISNUMBER(Q238),V238&gt;Q238),"SOBRE MAX VENDIBLE","OK")))))</f>
        <v>OK</v>
      </c>
    </row>
    <row r="239" customFormat="false" ht="15" hidden="false" customHeight="false" outlineLevel="0" collapsed="false">
      <c r="A239" s="3" t="n">
        <v>30000307</v>
      </c>
      <c r="B239" s="3" t="s">
        <v>410</v>
      </c>
      <c r="C239" s="3" t="s">
        <v>139</v>
      </c>
      <c r="D239" s="3" t="s">
        <v>753</v>
      </c>
      <c r="E239" s="3" t="s">
        <v>745</v>
      </c>
      <c r="F239" s="3" t="str">
        <f aca="false">IFERROR(INDEX(ABC_XYZ!$L$5:$L$494,MATCH(A239,ABC_XYZ!$A$5:$A$494,0)),"SIN HIST")</f>
        <v>BX</v>
      </c>
      <c r="G239" s="24" t="n">
        <f aca="false">IF(LEFT(F239,1)="A",Parametros!$B$8,IF(LEFT(F239,1)="B",Parametros!$B$9,IF(LEFT(F239,1)="C",Parametros!$B$10,Parametros!$B$11)))</f>
        <v>0.95</v>
      </c>
      <c r="H239" s="27" t="n">
        <f aca="false">NORMSINV(G239)</f>
        <v>1.64485362695147</v>
      </c>
      <c r="I239" s="23" t="n">
        <v>4866.8</v>
      </c>
      <c r="J239" s="23" t="n">
        <f aca="false">IFERROR(INDEX(ABC_XYZ!$R$5:$R$494,MATCH(A239,ABC_XYZ!$A$5:$A$494,0)),I239*Parametros!$B$13)</f>
        <v>1165.11883278349</v>
      </c>
      <c r="K239" s="27" t="n">
        <f aca="false">IFERROR(VLOOKUP(C239,Parametros!$A$36:$B$66,2,FALSE()),Parametros!$B$12)</f>
        <v>1</v>
      </c>
      <c r="L239" s="23" t="n">
        <f aca="false">H239*J239*SQRT(K239)</f>
        <v>1916.44993793339</v>
      </c>
      <c r="M239" s="29" t="n">
        <v>245</v>
      </c>
      <c r="N239" s="24" t="n">
        <v>0.220408163265306</v>
      </c>
      <c r="O239" s="3" t="s">
        <v>746</v>
      </c>
      <c r="P239" s="30" t="n">
        <f aca="false">IF(AND(ISNUMBER(M239),ISNUMBER(N239)),M239*N239/7,"")</f>
        <v>7.71428571428571</v>
      </c>
      <c r="Q239" s="23" t="n">
        <f aca="false">IF(ISNUMBER(P239),I239*P239,"")</f>
        <v>37543.8857142857</v>
      </c>
      <c r="R239" s="23" t="n">
        <f aca="false">IF(ISNUMBER(Q239),MAX(0,MIN(L239,Q239-I239*K239)),L239)</f>
        <v>1916.44993793339</v>
      </c>
      <c r="S239" s="23" t="n">
        <f aca="false">R239+I239*K239</f>
        <v>6783.24993793339</v>
      </c>
      <c r="T239" s="23" t="n">
        <v>15828</v>
      </c>
      <c r="U239" s="23" t="n">
        <v>0</v>
      </c>
      <c r="V239" s="23" t="n">
        <f aca="false">T239+U239</f>
        <v>15828</v>
      </c>
      <c r="W239" s="30" t="n">
        <f aca="false">IF(I239&gt;0,V239/I239,"")</f>
        <v>3.25223966466672</v>
      </c>
      <c r="X239" s="3" t="str">
        <f aca="false">IF(I239&lt;=0,"SIN FCST",IF(V239&lt;R239,"BAJO SS",IF(T239&lt;R239,"BAJO SS (XLIB CUBRE)",IF(V239&lt;S239,"BAJO P.REORDEN",IF(AND(ISNUMBER(Q239),V239&gt;Q239),"SOBRE MAX VENDIBLE","OK")))))</f>
        <v>OK</v>
      </c>
    </row>
    <row r="240" customFormat="false" ht="15" hidden="false" customHeight="false" outlineLevel="0" collapsed="false">
      <c r="A240" s="3" t="n">
        <v>30001045</v>
      </c>
      <c r="B240" s="3" t="s">
        <v>920</v>
      </c>
      <c r="C240" s="3" t="s">
        <v>139</v>
      </c>
      <c r="D240" s="3" t="s">
        <v>753</v>
      </c>
      <c r="E240" s="3" t="s">
        <v>762</v>
      </c>
      <c r="F240" s="3" t="str">
        <f aca="false">IFERROR(INDEX(ABC_XYZ!$L$5:$L$494,MATCH(A240,ABC_XYZ!$A$5:$A$494,0)),"SIN HIST")</f>
        <v>BX</v>
      </c>
      <c r="G240" s="24" t="n">
        <f aca="false">IF(LEFT(F240,1)="A",Parametros!$B$8,IF(LEFT(F240,1)="B",Parametros!$B$9,IF(LEFT(F240,1)="C",Parametros!$B$10,Parametros!$B$11)))</f>
        <v>0.95</v>
      </c>
      <c r="H240" s="27" t="n">
        <f aca="false">NORMSINV(G240)</f>
        <v>1.64485362695147</v>
      </c>
      <c r="I240" s="23" t="n">
        <v>4835.7</v>
      </c>
      <c r="J240" s="23" t="n">
        <f aca="false">IFERROR(INDEX(ABC_XYZ!$R$5:$R$494,MATCH(A240,ABC_XYZ!$A$5:$A$494,0)),I240*Parametros!$B$13)</f>
        <v>1879.61001690473</v>
      </c>
      <c r="K240" s="27" t="n">
        <f aca="false">IFERROR(VLOOKUP(C240,Parametros!$A$36:$B$66,2,FALSE()),Parametros!$B$12)</f>
        <v>1</v>
      </c>
      <c r="L240" s="23" t="n">
        <f aca="false">H240*J240*SQRT(K240)</f>
        <v>3091.68335356007</v>
      </c>
      <c r="M240" s="29" t="n">
        <v>73</v>
      </c>
      <c r="N240" s="24" t="n">
        <v>0.232876712328767</v>
      </c>
      <c r="O240" s="3" t="s">
        <v>772</v>
      </c>
      <c r="P240" s="30" t="n">
        <f aca="false">IF(AND(ISNUMBER(M240),ISNUMBER(N240)),M240*N240/7,"")</f>
        <v>2.42857142857143</v>
      </c>
      <c r="Q240" s="23" t="n">
        <f aca="false">IF(ISNUMBER(P240),I240*P240,"")</f>
        <v>11743.8428571429</v>
      </c>
      <c r="R240" s="23" t="n">
        <f aca="false">IF(ISNUMBER(Q240),MAX(0,MIN(L240,Q240-I240*K240)),L240)</f>
        <v>3091.68335356007</v>
      </c>
      <c r="S240" s="23" t="n">
        <f aca="false">R240+I240*K240</f>
        <v>7927.38335356007</v>
      </c>
      <c r="T240" s="23" t="n">
        <v>1581.1</v>
      </c>
      <c r="U240" s="23" t="n">
        <v>4752</v>
      </c>
      <c r="V240" s="23" t="n">
        <f aca="false">T240+U240</f>
        <v>6333.1</v>
      </c>
      <c r="W240" s="30" t="n">
        <f aca="false">IF(I240&gt;0,V240/I240,"")</f>
        <v>1.309655272246</v>
      </c>
      <c r="X240" s="3" t="str">
        <f aca="false">IF(I240&lt;=0,"SIN FCST",IF(V240&lt;R240,"BAJO SS",IF(T240&lt;R240,"BAJO SS (XLIB CUBRE)",IF(V240&lt;S240,"BAJO P.REORDEN",IF(AND(ISNUMBER(Q240),V240&gt;Q240),"SOBRE MAX VENDIBLE","OK")))))</f>
        <v>BAJO SS (XLIB CUBRE)</v>
      </c>
    </row>
    <row r="241" customFormat="false" ht="15" hidden="false" customHeight="false" outlineLevel="0" collapsed="false">
      <c r="A241" s="3" t="n">
        <v>30001876</v>
      </c>
      <c r="B241" s="3" t="s">
        <v>373</v>
      </c>
      <c r="C241" s="3" t="s">
        <v>149</v>
      </c>
      <c r="D241" s="3" t="s">
        <v>744</v>
      </c>
      <c r="E241" s="3" t="s">
        <v>762</v>
      </c>
      <c r="F241" s="3" t="str">
        <f aca="false">IFERROR(INDEX(ABC_XYZ!$L$5:$L$494,MATCH(A241,ABC_XYZ!$A$5:$A$494,0)),"SIN HIST")</f>
        <v>BX</v>
      </c>
      <c r="G241" s="24" t="n">
        <f aca="false">IF(LEFT(F241,1)="A",Parametros!$B$8,IF(LEFT(F241,1)="B",Parametros!$B$9,IF(LEFT(F241,1)="C",Parametros!$B$10,Parametros!$B$11)))</f>
        <v>0.95</v>
      </c>
      <c r="H241" s="27" t="n">
        <f aca="false">NORMSINV(G241)</f>
        <v>1.64485362695147</v>
      </c>
      <c r="I241" s="23" t="n">
        <v>4700</v>
      </c>
      <c r="J241" s="23" t="n">
        <f aca="false">IFERROR(INDEX(ABC_XYZ!$R$5:$R$494,MATCH(A241,ABC_XYZ!$A$5:$A$494,0)),I241*Parametros!$B$13)</f>
        <v>1980.57153390578</v>
      </c>
      <c r="K241" s="27" t="n">
        <f aca="false">IFERROR(VLOOKUP(C241,Parametros!$A$36:$B$66,2,FALSE()),Parametros!$B$12)</f>
        <v>1</v>
      </c>
      <c r="L241" s="23" t="n">
        <f aca="false">H241*J241*SQRT(K241)</f>
        <v>3257.75027098176</v>
      </c>
      <c r="M241" s="29" t="n">
        <v>184</v>
      </c>
      <c r="N241" s="24" t="n">
        <v>0.315217391304348</v>
      </c>
      <c r="O241" s="3" t="s">
        <v>780</v>
      </c>
      <c r="P241" s="30" t="n">
        <f aca="false">IF(AND(ISNUMBER(M241),ISNUMBER(N241)),M241*N241/7,"")</f>
        <v>8.28571428571429</v>
      </c>
      <c r="Q241" s="23" t="n">
        <f aca="false">IF(ISNUMBER(P241),I241*P241,"")</f>
        <v>38942.8571428571</v>
      </c>
      <c r="R241" s="23" t="n">
        <f aca="false">IF(ISNUMBER(Q241),MAX(0,MIN(L241,Q241-I241*K241)),L241)</f>
        <v>3257.75027098176</v>
      </c>
      <c r="S241" s="23" t="n">
        <f aca="false">R241+I241*K241</f>
        <v>7957.75027098176</v>
      </c>
      <c r="T241" s="23" t="n">
        <v>31395.6</v>
      </c>
      <c r="U241" s="23" t="n">
        <v>0</v>
      </c>
      <c r="V241" s="23" t="n">
        <f aca="false">T241+U241</f>
        <v>31395.6</v>
      </c>
      <c r="W241" s="30" t="n">
        <f aca="false">IF(I241&gt;0,V241/I241,"")</f>
        <v>6.67991489361702</v>
      </c>
      <c r="X241" s="3" t="str">
        <f aca="false">IF(I241&lt;=0,"SIN FCST",IF(V241&lt;R241,"BAJO SS",IF(T241&lt;R241,"BAJO SS (XLIB CUBRE)",IF(V241&lt;S241,"BAJO P.REORDEN",IF(AND(ISNUMBER(Q241),V241&gt;Q241),"SOBRE MAX VENDIBLE","OK")))))</f>
        <v>OK</v>
      </c>
    </row>
    <row r="242" customFormat="false" ht="15" hidden="false" customHeight="false" outlineLevel="0" collapsed="false">
      <c r="A242" s="3" t="n">
        <v>30002180</v>
      </c>
      <c r="B242" s="3" t="s">
        <v>426</v>
      </c>
      <c r="C242" s="3" t="s">
        <v>139</v>
      </c>
      <c r="D242" s="3" t="s">
        <v>753</v>
      </c>
      <c r="E242" s="3"/>
      <c r="F242" s="3" t="str">
        <f aca="false">IFERROR(INDEX(ABC_XYZ!$L$5:$L$494,MATCH(A242,ABC_XYZ!$A$5:$A$494,0)),"SIN HIST")</f>
        <v>BX</v>
      </c>
      <c r="G242" s="24" t="n">
        <f aca="false">IF(LEFT(F242,1)="A",Parametros!$B$8,IF(LEFT(F242,1)="B",Parametros!$B$9,IF(LEFT(F242,1)="C",Parametros!$B$10,Parametros!$B$11)))</f>
        <v>0.95</v>
      </c>
      <c r="H242" s="27" t="n">
        <f aca="false">NORMSINV(G242)</f>
        <v>1.64485362695147</v>
      </c>
      <c r="I242" s="23" t="n">
        <v>4687.7</v>
      </c>
      <c r="J242" s="23" t="n">
        <f aca="false">IFERROR(INDEX(ABC_XYZ!$R$5:$R$494,MATCH(A242,ABC_XYZ!$A$5:$A$494,0)),I242*Parametros!$B$13)</f>
        <v>1470.1980475724</v>
      </c>
      <c r="K242" s="27" t="n">
        <f aca="false">IFERROR(VLOOKUP(C242,Parametros!$A$36:$B$66,2,FALSE()),Parametros!$B$12)</f>
        <v>1</v>
      </c>
      <c r="L242" s="23" t="n">
        <f aca="false">H242*J242*SQRT(K242)</f>
        <v>2418.26059088643</v>
      </c>
      <c r="M242" s="29" t="n">
        <v>245</v>
      </c>
      <c r="N242" s="24" t="n">
        <v>0.19</v>
      </c>
      <c r="O242" s="3" t="s">
        <v>746</v>
      </c>
      <c r="P242" s="30" t="n">
        <f aca="false">IF(AND(ISNUMBER(M242),ISNUMBER(N242)),M242*N242/7,"")</f>
        <v>6.65</v>
      </c>
      <c r="Q242" s="23" t="n">
        <f aca="false">IF(ISNUMBER(P242),I242*P242,"")</f>
        <v>31173.205</v>
      </c>
      <c r="R242" s="23" t="n">
        <f aca="false">IF(ISNUMBER(Q242),MAX(0,MIN(L242,Q242-I242*K242)),L242)</f>
        <v>2418.26059088643</v>
      </c>
      <c r="S242" s="23" t="n">
        <f aca="false">R242+I242*K242</f>
        <v>7105.96059088643</v>
      </c>
      <c r="T242" s="23" t="n">
        <v>14540.7</v>
      </c>
      <c r="U242" s="23" t="n">
        <v>5608.8</v>
      </c>
      <c r="V242" s="23" t="n">
        <f aca="false">T242+U242</f>
        <v>20149.5</v>
      </c>
      <c r="W242" s="30" t="n">
        <f aca="false">IF(I242&gt;0,V242/I242,"")</f>
        <v>4.29837660259829</v>
      </c>
      <c r="X242" s="3" t="str">
        <f aca="false">IF(I242&lt;=0,"SIN FCST",IF(V242&lt;R242,"BAJO SS",IF(T242&lt;R242,"BAJO SS (XLIB CUBRE)",IF(V242&lt;S242,"BAJO P.REORDEN",IF(AND(ISNUMBER(Q242),V242&gt;Q242),"SOBRE MAX VENDIBLE","OK")))))</f>
        <v>OK</v>
      </c>
    </row>
    <row r="243" customFormat="false" ht="15" hidden="false" customHeight="false" outlineLevel="0" collapsed="false">
      <c r="A243" s="3" t="n">
        <v>30000740</v>
      </c>
      <c r="B243" s="3" t="s">
        <v>921</v>
      </c>
      <c r="C243" s="3" t="s">
        <v>133</v>
      </c>
      <c r="D243" s="3" t="s">
        <v>758</v>
      </c>
      <c r="E243" s="3"/>
      <c r="F243" s="3" t="str">
        <f aca="false">IFERROR(INDEX(ABC_XYZ!$L$5:$L$494,MATCH(A243,ABC_XYZ!$A$5:$A$494,0)),"SIN HIST")</f>
        <v>SIN HIST</v>
      </c>
      <c r="G243" s="24" t="n">
        <f aca="false">IF(LEFT(F243,1)="A",Parametros!$B$8,IF(LEFT(F243,1)="B",Parametros!$B$9,IF(LEFT(F243,1)="C",Parametros!$B$10,Parametros!$B$11)))</f>
        <v>0.95</v>
      </c>
      <c r="H243" s="27" t="n">
        <f aca="false">NORMSINV(G243)</f>
        <v>1.64485362695147</v>
      </c>
      <c r="I243" s="23" t="n">
        <v>4675.7</v>
      </c>
      <c r="J243" s="23" t="n">
        <f aca="false">IFERROR(INDEX(ABC_XYZ!$R$5:$R$494,MATCH(A243,ABC_XYZ!$A$5:$A$494,0)),I243*Parametros!$B$13)</f>
        <v>1402.71</v>
      </c>
      <c r="K243" s="27" t="n">
        <f aca="false">IFERROR(VLOOKUP(C243,Parametros!$A$36:$B$66,2,FALSE()),Parametros!$B$12)</f>
        <v>1</v>
      </c>
      <c r="L243" s="23" t="n">
        <f aca="false">H243*J243*SQRT(K243)</f>
        <v>2307.2526310611</v>
      </c>
      <c r="M243" s="29"/>
      <c r="N243" s="24"/>
      <c r="O243" s="3"/>
      <c r="P243" s="30" t="str">
        <f aca="false">IF(AND(ISNUMBER(M243),ISNUMBER(N243)),M243*N243/7,"")</f>
        <v/>
      </c>
      <c r="Q243" s="23" t="str">
        <f aca="false">IF(ISNUMBER(P243),I243*P243,"")</f>
        <v/>
      </c>
      <c r="R243" s="23" t="n">
        <f aca="false">IF(ISNUMBER(Q243),MAX(0,MIN(L243,Q243-I243*K243)),L243)</f>
        <v>2307.2526310611</v>
      </c>
      <c r="S243" s="23" t="n">
        <f aca="false">R243+I243*K243</f>
        <v>6982.9526310611</v>
      </c>
      <c r="T243" s="23" t="n">
        <v>8824.8</v>
      </c>
      <c r="U243" s="23" t="n">
        <v>0</v>
      </c>
      <c r="V243" s="23" t="n">
        <f aca="false">T243+U243</f>
        <v>8824.8</v>
      </c>
      <c r="W243" s="30" t="n">
        <f aca="false">IF(I243&gt;0,V243/I243,"")</f>
        <v>1.8873751523836</v>
      </c>
      <c r="X243" s="3" t="str">
        <f aca="false">IF(I243&lt;=0,"SIN FCST",IF(V243&lt;R243,"BAJO SS",IF(T243&lt;R243,"BAJO SS (XLIB CUBRE)",IF(V243&lt;S243,"BAJO P.REORDEN",IF(AND(ISNUMBER(Q243),V243&gt;Q243),"SOBRE MAX VENDIBLE","OK")))))</f>
        <v>OK</v>
      </c>
    </row>
    <row r="244" customFormat="false" ht="15" hidden="false" customHeight="false" outlineLevel="0" collapsed="false">
      <c r="A244" s="3" t="n">
        <v>30001479</v>
      </c>
      <c r="B244" s="3" t="s">
        <v>589</v>
      </c>
      <c r="C244" s="3" t="s">
        <v>127</v>
      </c>
      <c r="D244" s="3" t="s">
        <v>753</v>
      </c>
      <c r="E244" s="3" t="s">
        <v>745</v>
      </c>
      <c r="F244" s="3" t="str">
        <f aca="false">IFERROR(INDEX(ABC_XYZ!$L$5:$L$494,MATCH(A244,ABC_XYZ!$A$5:$A$494,0)),"SIN HIST")</f>
        <v>CZ</v>
      </c>
      <c r="G244" s="24" t="n">
        <f aca="false">IF(LEFT(F244,1)="A",Parametros!$B$8,IF(LEFT(F244,1)="B",Parametros!$B$9,IF(LEFT(F244,1)="C",Parametros!$B$10,Parametros!$B$11)))</f>
        <v>0.9</v>
      </c>
      <c r="H244" s="27" t="n">
        <f aca="false">NORMSINV(G244)</f>
        <v>1.2815515655446</v>
      </c>
      <c r="I244" s="23" t="n">
        <v>4659.9</v>
      </c>
      <c r="J244" s="23" t="n">
        <f aca="false">IFERROR(INDEX(ABC_XYZ!$R$5:$R$494,MATCH(A244,ABC_XYZ!$A$5:$A$494,0)),I244*Parametros!$B$13)</f>
        <v>1045.67619258226</v>
      </c>
      <c r="K244" s="27" t="n">
        <f aca="false">IFERROR(VLOOKUP(C244,Parametros!$A$36:$B$66,2,FALSE()),Parametros!$B$12)</f>
        <v>1</v>
      </c>
      <c r="L244" s="23" t="n">
        <f aca="false">H244*J244*SQRT(K244)</f>
        <v>1340.08796165651</v>
      </c>
      <c r="M244" s="29" t="n">
        <v>365</v>
      </c>
      <c r="N244" s="24" t="n">
        <v>0.194520547945206</v>
      </c>
      <c r="O244" s="3" t="s">
        <v>746</v>
      </c>
      <c r="P244" s="30" t="n">
        <f aca="false">IF(AND(ISNUMBER(M244),ISNUMBER(N244)),M244*N244/7,"")</f>
        <v>10.1428571428571</v>
      </c>
      <c r="Q244" s="23" t="n">
        <f aca="false">IF(ISNUMBER(P244),I244*P244,"")</f>
        <v>47264.7</v>
      </c>
      <c r="R244" s="23" t="n">
        <f aca="false">IF(ISNUMBER(Q244),MAX(0,MIN(L244,Q244-I244*K244)),L244)</f>
        <v>1340.08796165651</v>
      </c>
      <c r="S244" s="23" t="n">
        <f aca="false">R244+I244*K244</f>
        <v>5999.98796165651</v>
      </c>
      <c r="T244" s="23" t="n">
        <v>10565.6</v>
      </c>
      <c r="U244" s="23" t="n">
        <v>385.6</v>
      </c>
      <c r="V244" s="23" t="n">
        <f aca="false">T244+U244</f>
        <v>10951.2</v>
      </c>
      <c r="W244" s="30" t="n">
        <f aca="false">IF(I244&gt;0,V244/I244,"")</f>
        <v>2.3500933496427</v>
      </c>
      <c r="X244" s="3" t="str">
        <f aca="false">IF(I244&lt;=0,"SIN FCST",IF(V244&lt;R244,"BAJO SS",IF(T244&lt;R244,"BAJO SS (XLIB CUBRE)",IF(V244&lt;S244,"BAJO P.REORDEN",IF(AND(ISNUMBER(Q244),V244&gt;Q244),"SOBRE MAX VENDIBLE","OK")))))</f>
        <v>OK</v>
      </c>
    </row>
    <row r="245" customFormat="false" ht="15" hidden="false" customHeight="false" outlineLevel="0" collapsed="false">
      <c r="A245" s="3" t="n">
        <v>30000719</v>
      </c>
      <c r="B245" s="3" t="s">
        <v>922</v>
      </c>
      <c r="C245" s="3" t="s">
        <v>133</v>
      </c>
      <c r="D245" s="3" t="s">
        <v>758</v>
      </c>
      <c r="E245" s="3"/>
      <c r="F245" s="3" t="str">
        <f aca="false">IFERROR(INDEX(ABC_XYZ!$L$5:$L$494,MATCH(A245,ABC_XYZ!$A$5:$A$494,0)),"SIN HIST")</f>
        <v>SIN HIST</v>
      </c>
      <c r="G245" s="24" t="n">
        <f aca="false">IF(LEFT(F245,1)="A",Parametros!$B$8,IF(LEFT(F245,1)="B",Parametros!$B$9,IF(LEFT(F245,1)="C",Parametros!$B$10,Parametros!$B$11)))</f>
        <v>0.95</v>
      </c>
      <c r="H245" s="27" t="n">
        <f aca="false">NORMSINV(G245)</f>
        <v>1.64485362695147</v>
      </c>
      <c r="I245" s="23" t="n">
        <v>4651.2</v>
      </c>
      <c r="J245" s="23" t="n">
        <f aca="false">IFERROR(INDEX(ABC_XYZ!$R$5:$R$494,MATCH(A245,ABC_XYZ!$A$5:$A$494,0)),I245*Parametros!$B$13)</f>
        <v>1395.36</v>
      </c>
      <c r="K245" s="27" t="n">
        <f aca="false">IFERROR(VLOOKUP(C245,Parametros!$A$36:$B$66,2,FALSE()),Parametros!$B$12)</f>
        <v>1</v>
      </c>
      <c r="L245" s="23" t="n">
        <f aca="false">H245*J245*SQRT(K245)</f>
        <v>2295.16295690301</v>
      </c>
      <c r="M245" s="29"/>
      <c r="N245" s="24"/>
      <c r="O245" s="3"/>
      <c r="P245" s="30" t="str">
        <f aca="false">IF(AND(ISNUMBER(M245),ISNUMBER(N245)),M245*N245/7,"")</f>
        <v/>
      </c>
      <c r="Q245" s="23" t="str">
        <f aca="false">IF(ISNUMBER(P245),I245*P245,"")</f>
        <v/>
      </c>
      <c r="R245" s="23" t="n">
        <f aca="false">IF(ISNUMBER(Q245),MAX(0,MIN(L245,Q245-I245*K245)),L245)</f>
        <v>2295.16295690301</v>
      </c>
      <c r="S245" s="23" t="n">
        <f aca="false">R245+I245*K245</f>
        <v>6946.36295690301</v>
      </c>
      <c r="T245" s="23" t="n">
        <v>10207.2</v>
      </c>
      <c r="U245" s="23" t="n">
        <v>0</v>
      </c>
      <c r="V245" s="23" t="n">
        <f aca="false">T245+U245</f>
        <v>10207.2</v>
      </c>
      <c r="W245" s="30" t="n">
        <f aca="false">IF(I245&gt;0,V245/I245,"")</f>
        <v>2.19453044375645</v>
      </c>
      <c r="X245" s="3" t="str">
        <f aca="false">IF(I245&lt;=0,"SIN FCST",IF(V245&lt;R245,"BAJO SS",IF(T245&lt;R245,"BAJO SS (XLIB CUBRE)",IF(V245&lt;S245,"BAJO P.REORDEN",IF(AND(ISNUMBER(Q245),V245&gt;Q245),"SOBRE MAX VENDIBLE","OK")))))</f>
        <v>OK</v>
      </c>
    </row>
    <row r="246" customFormat="false" ht="15" hidden="false" customHeight="false" outlineLevel="0" collapsed="false">
      <c r="A246" s="3" t="n">
        <v>30000783</v>
      </c>
      <c r="B246" s="3" t="s">
        <v>923</v>
      </c>
      <c r="C246" s="3" t="s">
        <v>133</v>
      </c>
      <c r="D246" s="3" t="s">
        <v>758</v>
      </c>
      <c r="E246" s="3"/>
      <c r="F246" s="3" t="str">
        <f aca="false">IFERROR(INDEX(ABC_XYZ!$L$5:$L$494,MATCH(A246,ABC_XYZ!$A$5:$A$494,0)),"SIN HIST")</f>
        <v>SIN HIST</v>
      </c>
      <c r="G246" s="24" t="n">
        <f aca="false">IF(LEFT(F246,1)="A",Parametros!$B$8,IF(LEFT(F246,1)="B",Parametros!$B$9,IF(LEFT(F246,1)="C",Parametros!$B$10,Parametros!$B$11)))</f>
        <v>0.95</v>
      </c>
      <c r="H246" s="27" t="n">
        <f aca="false">NORMSINV(G246)</f>
        <v>1.64485362695147</v>
      </c>
      <c r="I246" s="23" t="n">
        <v>4651.2</v>
      </c>
      <c r="J246" s="23" t="n">
        <f aca="false">IFERROR(INDEX(ABC_XYZ!$R$5:$R$494,MATCH(A246,ABC_XYZ!$A$5:$A$494,0)),I246*Parametros!$B$13)</f>
        <v>1395.36</v>
      </c>
      <c r="K246" s="27" t="n">
        <f aca="false">IFERROR(VLOOKUP(C246,Parametros!$A$36:$B$66,2,FALSE()),Parametros!$B$12)</f>
        <v>1</v>
      </c>
      <c r="L246" s="23" t="n">
        <f aca="false">H246*J246*SQRT(K246)</f>
        <v>2295.16295690301</v>
      </c>
      <c r="M246" s="29"/>
      <c r="N246" s="24"/>
      <c r="O246" s="3"/>
      <c r="P246" s="30" t="str">
        <f aca="false">IF(AND(ISNUMBER(M246),ISNUMBER(N246)),M246*N246/7,"")</f>
        <v/>
      </c>
      <c r="Q246" s="23" t="str">
        <f aca="false">IF(ISNUMBER(P246),I246*P246,"")</f>
        <v/>
      </c>
      <c r="R246" s="23" t="n">
        <f aca="false">IF(ISNUMBER(Q246),MAX(0,MIN(L246,Q246-I246*K246)),L246)</f>
        <v>2295.16295690301</v>
      </c>
      <c r="S246" s="23" t="n">
        <f aca="false">R246+I246*K246</f>
        <v>6946.36295690301</v>
      </c>
      <c r="T246" s="23" t="n">
        <v>22848</v>
      </c>
      <c r="U246" s="23" t="n">
        <v>9604</v>
      </c>
      <c r="V246" s="23" t="n">
        <f aca="false">T246+U246</f>
        <v>32452</v>
      </c>
      <c r="W246" s="30" t="n">
        <f aca="false">IF(I246&gt;0,V246/I246,"")</f>
        <v>6.97712418300654</v>
      </c>
      <c r="X246" s="3" t="str">
        <f aca="false">IF(I246&lt;=0,"SIN FCST",IF(V246&lt;R246,"BAJO SS",IF(T246&lt;R246,"BAJO SS (XLIB CUBRE)",IF(V246&lt;S246,"BAJO P.REORDEN",IF(AND(ISNUMBER(Q246),V246&gt;Q246),"SOBRE MAX VENDIBLE","OK")))))</f>
        <v>OK</v>
      </c>
    </row>
    <row r="247" customFormat="false" ht="15" hidden="false" customHeight="false" outlineLevel="0" collapsed="false">
      <c r="A247" s="3" t="n">
        <v>30000102</v>
      </c>
      <c r="B247" s="3" t="s">
        <v>924</v>
      </c>
      <c r="C247" s="3" t="s">
        <v>143</v>
      </c>
      <c r="D247" s="3" t="s">
        <v>750</v>
      </c>
      <c r="E247" s="3" t="s">
        <v>745</v>
      </c>
      <c r="F247" s="3" t="str">
        <f aca="false">IFERROR(INDEX(ABC_XYZ!$L$5:$L$494,MATCH(A247,ABC_XYZ!$A$5:$A$494,0)),"SIN HIST")</f>
        <v>SIN HIST</v>
      </c>
      <c r="G247" s="24" t="n">
        <f aca="false">IF(LEFT(F247,1)="A",Parametros!$B$8,IF(LEFT(F247,1)="B",Parametros!$B$9,IF(LEFT(F247,1)="C",Parametros!$B$10,Parametros!$B$11)))</f>
        <v>0.95</v>
      </c>
      <c r="H247" s="27" t="n">
        <f aca="false">NORMSINV(G247)</f>
        <v>1.64485362695147</v>
      </c>
      <c r="I247" s="23" t="n">
        <v>4651.2</v>
      </c>
      <c r="J247" s="23" t="n">
        <f aca="false">IFERROR(INDEX(ABC_XYZ!$R$5:$R$494,MATCH(A247,ABC_XYZ!$A$5:$A$494,0)),I247*Parametros!$B$13)</f>
        <v>1395.36</v>
      </c>
      <c r="K247" s="27" t="n">
        <f aca="false">IFERROR(VLOOKUP(C247,Parametros!$A$36:$B$66,2,FALSE()),Parametros!$B$12)</f>
        <v>1</v>
      </c>
      <c r="L247" s="23" t="n">
        <f aca="false">H247*J247*SQRT(K247)</f>
        <v>2295.16295690301</v>
      </c>
      <c r="M247" s="29" t="n">
        <v>305</v>
      </c>
      <c r="N247" s="24" t="n">
        <v>0.272131147540984</v>
      </c>
      <c r="O247" s="3" t="s">
        <v>746</v>
      </c>
      <c r="P247" s="30" t="n">
        <f aca="false">IF(AND(ISNUMBER(M247),ISNUMBER(N247)),M247*N247/7,"")</f>
        <v>11.8571428571429</v>
      </c>
      <c r="Q247" s="23" t="n">
        <f aca="false">IF(ISNUMBER(P247),I247*P247,"")</f>
        <v>55149.9428571429</v>
      </c>
      <c r="R247" s="23" t="n">
        <f aca="false">IF(ISNUMBER(Q247),MAX(0,MIN(L247,Q247-I247*K247)),L247)</f>
        <v>2295.16295690301</v>
      </c>
      <c r="S247" s="23" t="n">
        <f aca="false">R247+I247*K247</f>
        <v>6946.36295690301</v>
      </c>
      <c r="T247" s="23" t="n">
        <v>2960</v>
      </c>
      <c r="U247" s="23" t="n">
        <v>2760</v>
      </c>
      <c r="V247" s="23" t="n">
        <f aca="false">T247+U247</f>
        <v>5720</v>
      </c>
      <c r="W247" s="30" t="n">
        <f aca="false">IF(I247&gt;0,V247/I247,"")</f>
        <v>1.22979016167871</v>
      </c>
      <c r="X247" s="3" t="str">
        <f aca="false">IF(I247&lt;=0,"SIN FCST",IF(V247&lt;R247,"BAJO SS",IF(T247&lt;R247,"BAJO SS (XLIB CUBRE)",IF(V247&lt;S247,"BAJO P.REORDEN",IF(AND(ISNUMBER(Q247),V247&gt;Q247),"SOBRE MAX VENDIBLE","OK")))))</f>
        <v>BAJO P.REORDEN</v>
      </c>
    </row>
    <row r="248" customFormat="false" ht="15" hidden="false" customHeight="false" outlineLevel="0" collapsed="false">
      <c r="A248" s="3" t="n">
        <v>30000784</v>
      </c>
      <c r="B248" s="3" t="s">
        <v>925</v>
      </c>
      <c r="C248" s="3" t="s">
        <v>133</v>
      </c>
      <c r="D248" s="3" t="s">
        <v>758</v>
      </c>
      <c r="E248" s="3"/>
      <c r="F248" s="3" t="str">
        <f aca="false">IFERROR(INDEX(ABC_XYZ!$L$5:$L$494,MATCH(A248,ABC_XYZ!$A$5:$A$494,0)),"SIN HIST")</f>
        <v>SIN HIST</v>
      </c>
      <c r="G248" s="24" t="n">
        <f aca="false">IF(LEFT(F248,1)="A",Parametros!$B$8,IF(LEFT(F248,1)="B",Parametros!$B$9,IF(LEFT(F248,1)="C",Parametros!$B$10,Parametros!$B$11)))</f>
        <v>0.95</v>
      </c>
      <c r="H248" s="27" t="n">
        <f aca="false">NORMSINV(G248)</f>
        <v>1.64485362695147</v>
      </c>
      <c r="I248" s="23" t="n">
        <v>4651.2</v>
      </c>
      <c r="J248" s="23" t="n">
        <f aca="false">IFERROR(INDEX(ABC_XYZ!$R$5:$R$494,MATCH(A248,ABC_XYZ!$A$5:$A$494,0)),I248*Parametros!$B$13)</f>
        <v>1395.36</v>
      </c>
      <c r="K248" s="27" t="n">
        <f aca="false">IFERROR(VLOOKUP(C248,Parametros!$A$36:$B$66,2,FALSE()),Parametros!$B$12)</f>
        <v>1</v>
      </c>
      <c r="L248" s="23" t="n">
        <f aca="false">H248*J248*SQRT(K248)</f>
        <v>2295.16295690301</v>
      </c>
      <c r="M248" s="29"/>
      <c r="N248" s="24"/>
      <c r="O248" s="3"/>
      <c r="P248" s="30" t="str">
        <f aca="false">IF(AND(ISNUMBER(M248),ISNUMBER(N248)),M248*N248/7,"")</f>
        <v/>
      </c>
      <c r="Q248" s="23" t="str">
        <f aca="false">IF(ISNUMBER(P248),I248*P248,"")</f>
        <v/>
      </c>
      <c r="R248" s="23" t="n">
        <f aca="false">IF(ISNUMBER(Q248),MAX(0,MIN(L248,Q248-I248*K248)),L248)</f>
        <v>2295.16295690301</v>
      </c>
      <c r="S248" s="23" t="n">
        <f aca="false">R248+I248*K248</f>
        <v>6946.36295690301</v>
      </c>
      <c r="T248" s="23" t="n">
        <v>0</v>
      </c>
      <c r="U248" s="23" t="n">
        <v>0</v>
      </c>
      <c r="V248" s="23" t="n">
        <f aca="false">T248+U248</f>
        <v>0</v>
      </c>
      <c r="W248" s="30" t="n">
        <f aca="false">IF(I248&gt;0,V248/I248,"")</f>
        <v>0</v>
      </c>
      <c r="X248" s="3" t="str">
        <f aca="false">IF(I248&lt;=0,"SIN FCST",IF(V248&lt;R248,"BAJO SS",IF(T248&lt;R248,"BAJO SS (XLIB CUBRE)",IF(V248&lt;S248,"BAJO P.REORDEN",IF(AND(ISNUMBER(Q248),V248&gt;Q248),"SOBRE MAX VENDIBLE","OK")))))</f>
        <v>BAJO SS</v>
      </c>
    </row>
    <row r="249" customFormat="false" ht="15" hidden="false" customHeight="false" outlineLevel="0" collapsed="false">
      <c r="A249" s="3" t="n">
        <v>30000389</v>
      </c>
      <c r="B249" s="3" t="s">
        <v>926</v>
      </c>
      <c r="C249" s="3" t="s">
        <v>149</v>
      </c>
      <c r="D249" s="3" t="s">
        <v>744</v>
      </c>
      <c r="E249" s="3" t="s">
        <v>762</v>
      </c>
      <c r="F249" s="3" t="str">
        <f aca="false">IFERROR(INDEX(ABC_XYZ!$L$5:$L$494,MATCH(A249,ABC_XYZ!$A$5:$A$494,0)),"SIN HIST")</f>
        <v>SIN HIST</v>
      </c>
      <c r="G249" s="24" t="n">
        <f aca="false">IF(LEFT(F249,1)="A",Parametros!$B$8,IF(LEFT(F249,1)="B",Parametros!$B$9,IF(LEFT(F249,1)="C",Parametros!$B$10,Parametros!$B$11)))</f>
        <v>0.95</v>
      </c>
      <c r="H249" s="27" t="n">
        <f aca="false">NORMSINV(G249)</f>
        <v>1.64485362695147</v>
      </c>
      <c r="I249" s="23" t="n">
        <v>4651.2</v>
      </c>
      <c r="J249" s="23" t="n">
        <f aca="false">IFERROR(INDEX(ABC_XYZ!$R$5:$R$494,MATCH(A249,ABC_XYZ!$A$5:$A$494,0)),I249*Parametros!$B$13)</f>
        <v>1395.36</v>
      </c>
      <c r="K249" s="27" t="n">
        <f aca="false">IFERROR(VLOOKUP(C249,Parametros!$A$36:$B$66,2,FALSE()),Parametros!$B$12)</f>
        <v>1</v>
      </c>
      <c r="L249" s="23" t="n">
        <f aca="false">H249*J249*SQRT(K249)</f>
        <v>2295.16295690301</v>
      </c>
      <c r="M249" s="29" t="n">
        <v>184</v>
      </c>
      <c r="N249" s="24" t="n">
        <v>0.217391304347826</v>
      </c>
      <c r="O249" s="3" t="s">
        <v>754</v>
      </c>
      <c r="P249" s="30" t="n">
        <f aca="false">IF(AND(ISNUMBER(M249),ISNUMBER(N249)),M249*N249/7,"")</f>
        <v>5.71428571428572</v>
      </c>
      <c r="Q249" s="23" t="n">
        <f aca="false">IF(ISNUMBER(P249),I249*P249,"")</f>
        <v>26578.2857142857</v>
      </c>
      <c r="R249" s="23" t="n">
        <f aca="false">IF(ISNUMBER(Q249),MAX(0,MIN(L249,Q249-I249*K249)),L249)</f>
        <v>2295.16295690301</v>
      </c>
      <c r="S249" s="23" t="n">
        <f aca="false">R249+I249*K249</f>
        <v>6946.36295690301</v>
      </c>
      <c r="T249" s="23" t="n">
        <v>17178</v>
      </c>
      <c r="U249" s="23" t="n">
        <v>0</v>
      </c>
      <c r="V249" s="23" t="n">
        <f aca="false">T249+U249</f>
        <v>17178</v>
      </c>
      <c r="W249" s="30" t="n">
        <f aca="false">IF(I249&gt;0,V249/I249,"")</f>
        <v>3.69324045407637</v>
      </c>
      <c r="X249" s="3" t="str">
        <f aca="false">IF(I249&lt;=0,"SIN FCST",IF(V249&lt;R249,"BAJO SS",IF(T249&lt;R249,"BAJO SS (XLIB CUBRE)",IF(V249&lt;S249,"BAJO P.REORDEN",IF(AND(ISNUMBER(Q249),V249&gt;Q249),"SOBRE MAX VENDIBLE","OK")))))</f>
        <v>OK</v>
      </c>
    </row>
    <row r="250" customFormat="false" ht="15" hidden="false" customHeight="false" outlineLevel="0" collapsed="false">
      <c r="A250" s="3" t="n">
        <v>30000610</v>
      </c>
      <c r="B250" s="3" t="s">
        <v>387</v>
      </c>
      <c r="C250" s="3" t="s">
        <v>129</v>
      </c>
      <c r="D250" s="3" t="s">
        <v>769</v>
      </c>
      <c r="E250" s="3" t="s">
        <v>745</v>
      </c>
      <c r="F250" s="3" t="str">
        <f aca="false">IFERROR(INDEX(ABC_XYZ!$L$5:$L$494,MATCH(A250,ABC_XYZ!$A$5:$A$494,0)),"SIN HIST")</f>
        <v>BY</v>
      </c>
      <c r="G250" s="24" t="n">
        <f aca="false">IF(LEFT(F250,1)="A",Parametros!$B$8,IF(LEFT(F250,1)="B",Parametros!$B$9,IF(LEFT(F250,1)="C",Parametros!$B$10,Parametros!$B$11)))</f>
        <v>0.95</v>
      </c>
      <c r="H250" s="27" t="n">
        <f aca="false">NORMSINV(G250)</f>
        <v>1.64485362695147</v>
      </c>
      <c r="I250" s="23" t="n">
        <v>4638.6</v>
      </c>
      <c r="J250" s="23" t="n">
        <f aca="false">IFERROR(INDEX(ABC_XYZ!$R$5:$R$494,MATCH(A250,ABC_XYZ!$A$5:$A$494,0)),I250*Parametros!$B$13)</f>
        <v>2177.7445872278</v>
      </c>
      <c r="K250" s="27" t="n">
        <f aca="false">IFERROR(VLOOKUP(C250,Parametros!$A$36:$B$66,2,FALSE()),Parametros!$B$12)</f>
        <v>1</v>
      </c>
      <c r="L250" s="23" t="n">
        <f aca="false">H250*J250*SQRT(K250)</f>
        <v>3582.07108287559</v>
      </c>
      <c r="M250" s="29" t="n">
        <v>1095</v>
      </c>
      <c r="N250" s="24" t="n">
        <v>0.480365296803653</v>
      </c>
      <c r="O250" s="3" t="s">
        <v>763</v>
      </c>
      <c r="P250" s="30" t="n">
        <f aca="false">IF(AND(ISNUMBER(M250),ISNUMBER(N250)),M250*N250/7,"")</f>
        <v>75.1428571428571</v>
      </c>
      <c r="Q250" s="23" t="n">
        <f aca="false">IF(ISNUMBER(P250),I250*P250,"")</f>
        <v>348557.657142857</v>
      </c>
      <c r="R250" s="23" t="n">
        <f aca="false">IF(ISNUMBER(Q250),MAX(0,MIN(L250,Q250-I250*K250)),L250)</f>
        <v>3582.07108287559</v>
      </c>
      <c r="S250" s="23" t="n">
        <f aca="false">R250+I250*K250</f>
        <v>8220.67108287559</v>
      </c>
      <c r="T250" s="23" t="n">
        <v>120516.5</v>
      </c>
      <c r="U250" s="23" t="n">
        <v>0</v>
      </c>
      <c r="V250" s="23" t="n">
        <f aca="false">T250+U250</f>
        <v>120516.5</v>
      </c>
      <c r="W250" s="30" t="n">
        <f aca="false">IF(I250&gt;0,V250/I250,"")</f>
        <v>25.9812227827362</v>
      </c>
      <c r="X250" s="3" t="str">
        <f aca="false">IF(I250&lt;=0,"SIN FCST",IF(V250&lt;R250,"BAJO SS",IF(T250&lt;R250,"BAJO SS (XLIB CUBRE)",IF(V250&lt;S250,"BAJO P.REORDEN",IF(AND(ISNUMBER(Q250),V250&gt;Q250),"SOBRE MAX VENDIBLE","OK")))))</f>
        <v>OK</v>
      </c>
    </row>
    <row r="251" customFormat="false" ht="15" hidden="false" customHeight="false" outlineLevel="0" collapsed="false">
      <c r="A251" s="3" t="n">
        <v>30001942</v>
      </c>
      <c r="B251" s="3" t="s">
        <v>342</v>
      </c>
      <c r="C251" s="3" t="s">
        <v>135</v>
      </c>
      <c r="D251" s="3" t="s">
        <v>753</v>
      </c>
      <c r="E251" s="3" t="s">
        <v>762</v>
      </c>
      <c r="F251" s="3" t="str">
        <f aca="false">IFERROR(INDEX(ABC_XYZ!$L$5:$L$494,MATCH(A251,ABC_XYZ!$A$5:$A$494,0)),"SIN HIST")</f>
        <v>BX</v>
      </c>
      <c r="G251" s="24" t="n">
        <f aca="false">IF(LEFT(F251,1)="A",Parametros!$B$8,IF(LEFT(F251,1)="B",Parametros!$B$9,IF(LEFT(F251,1)="C",Parametros!$B$10,Parametros!$B$11)))</f>
        <v>0.95</v>
      </c>
      <c r="H251" s="27" t="n">
        <f aca="false">NORMSINV(G251)</f>
        <v>1.64485362695147</v>
      </c>
      <c r="I251" s="23" t="n">
        <v>4598.8</v>
      </c>
      <c r="J251" s="23" t="n">
        <f aca="false">IFERROR(INDEX(ABC_XYZ!$R$5:$R$494,MATCH(A251,ABC_XYZ!$A$5:$A$494,0)),I251*Parametros!$B$13)</f>
        <v>2957.17726503182</v>
      </c>
      <c r="K251" s="27" t="n">
        <f aca="false">IFERROR(VLOOKUP(C251,Parametros!$A$36:$B$66,2,FALSE()),Parametros!$B$12)</f>
        <v>1</v>
      </c>
      <c r="L251" s="23" t="n">
        <f aca="false">H251*J251*SQRT(K251)</f>
        <v>4864.12374992603</v>
      </c>
      <c r="M251" s="29" t="n">
        <v>90</v>
      </c>
      <c r="N251" s="24" t="n">
        <v>0.222222222222222</v>
      </c>
      <c r="O251" s="3" t="s">
        <v>754</v>
      </c>
      <c r="P251" s="30" t="n">
        <f aca="false">IF(AND(ISNUMBER(M251),ISNUMBER(N251)),M251*N251/7,"")</f>
        <v>2.85714285714286</v>
      </c>
      <c r="Q251" s="23" t="n">
        <f aca="false">IF(ISNUMBER(P251),I251*P251,"")</f>
        <v>13139.4285714286</v>
      </c>
      <c r="R251" s="23" t="n">
        <f aca="false">IF(ISNUMBER(Q251),MAX(0,MIN(L251,Q251-I251*K251)),L251)</f>
        <v>4864.12374992603</v>
      </c>
      <c r="S251" s="23" t="n">
        <f aca="false">R251+I251*K251</f>
        <v>9462.92374992603</v>
      </c>
      <c r="T251" s="23" t="n">
        <v>11088</v>
      </c>
      <c r="U251" s="23" t="n">
        <v>0</v>
      </c>
      <c r="V251" s="23" t="n">
        <f aca="false">T251+U251</f>
        <v>11088</v>
      </c>
      <c r="W251" s="30" t="n">
        <f aca="false">IF(I251&gt;0,V251/I251,"")</f>
        <v>2.41106375576237</v>
      </c>
      <c r="X251" s="3" t="str">
        <f aca="false">IF(I251&lt;=0,"SIN FCST",IF(V251&lt;R251,"BAJO SS",IF(T251&lt;R251,"BAJO SS (XLIB CUBRE)",IF(V251&lt;S251,"BAJO P.REORDEN",IF(AND(ISNUMBER(Q251),V251&gt;Q251),"SOBRE MAX VENDIBLE","OK")))))</f>
        <v>OK</v>
      </c>
    </row>
    <row r="252" customFormat="false" ht="15" hidden="false" customHeight="false" outlineLevel="0" collapsed="false">
      <c r="A252" s="3" t="n">
        <v>30001402</v>
      </c>
      <c r="B252" s="3" t="s">
        <v>460</v>
      </c>
      <c r="C252" s="3" t="s">
        <v>143</v>
      </c>
      <c r="D252" s="3" t="s">
        <v>750</v>
      </c>
      <c r="E252" s="3" t="s">
        <v>762</v>
      </c>
      <c r="F252" s="3" t="str">
        <f aca="false">IFERROR(INDEX(ABC_XYZ!$L$5:$L$494,MATCH(A252,ABC_XYZ!$A$5:$A$494,0)),"SIN HIST")</f>
        <v>BX</v>
      </c>
      <c r="G252" s="24" t="n">
        <f aca="false">IF(LEFT(F252,1)="A",Parametros!$B$8,IF(LEFT(F252,1)="B",Parametros!$B$9,IF(LEFT(F252,1)="C",Parametros!$B$10,Parametros!$B$11)))</f>
        <v>0.95</v>
      </c>
      <c r="H252" s="27" t="n">
        <f aca="false">NORMSINV(G252)</f>
        <v>1.64485362695147</v>
      </c>
      <c r="I252" s="23" t="n">
        <v>4561</v>
      </c>
      <c r="J252" s="23" t="n">
        <f aca="false">IFERROR(INDEX(ABC_XYZ!$R$5:$R$494,MATCH(A252,ABC_XYZ!$A$5:$A$494,0)),I252*Parametros!$B$13)</f>
        <v>1675.91073055961</v>
      </c>
      <c r="K252" s="27" t="n">
        <f aca="false">IFERROR(VLOOKUP(C252,Parametros!$A$36:$B$66,2,FALSE()),Parametros!$B$12)</f>
        <v>1</v>
      </c>
      <c r="L252" s="23" t="n">
        <f aca="false">H252*J252*SQRT(K252)</f>
        <v>2756.62784360786</v>
      </c>
      <c r="M252" s="29" t="n">
        <v>184</v>
      </c>
      <c r="N252" s="24" t="n">
        <v>0.244565217391304</v>
      </c>
      <c r="O252" s="3" t="s">
        <v>772</v>
      </c>
      <c r="P252" s="30" t="n">
        <f aca="false">IF(AND(ISNUMBER(M252),ISNUMBER(N252)),M252*N252/7,"")</f>
        <v>6.42857142857143</v>
      </c>
      <c r="Q252" s="23" t="n">
        <f aca="false">IF(ISNUMBER(P252),I252*P252,"")</f>
        <v>29320.7142857143</v>
      </c>
      <c r="R252" s="23" t="n">
        <f aca="false">IF(ISNUMBER(Q252),MAX(0,MIN(L252,Q252-I252*K252)),L252)</f>
        <v>2756.62784360786</v>
      </c>
      <c r="S252" s="23" t="n">
        <f aca="false">R252+I252*K252</f>
        <v>7317.62784360786</v>
      </c>
      <c r="T252" s="23" t="n">
        <v>12328.2</v>
      </c>
      <c r="U252" s="23" t="n">
        <v>0</v>
      </c>
      <c r="V252" s="23" t="n">
        <f aca="false">T252+U252</f>
        <v>12328.2</v>
      </c>
      <c r="W252" s="30" t="n">
        <f aca="false">IF(I252&gt;0,V252/I252,"")</f>
        <v>2.70295987721991</v>
      </c>
      <c r="X252" s="3" t="str">
        <f aca="false">IF(I252&lt;=0,"SIN FCST",IF(V252&lt;R252,"BAJO SS",IF(T252&lt;R252,"BAJO SS (XLIB CUBRE)",IF(V252&lt;S252,"BAJO P.REORDEN",IF(AND(ISNUMBER(Q252),V252&gt;Q252),"SOBRE MAX VENDIBLE","OK")))))</f>
        <v>OK</v>
      </c>
    </row>
    <row r="253" customFormat="false" ht="15" hidden="false" customHeight="false" outlineLevel="0" collapsed="false">
      <c r="A253" s="3" t="n">
        <v>30000039</v>
      </c>
      <c r="B253" s="3" t="s">
        <v>406</v>
      </c>
      <c r="C253" s="3" t="s">
        <v>124</v>
      </c>
      <c r="D253" s="3" t="s">
        <v>750</v>
      </c>
      <c r="E253" s="3" t="s">
        <v>745</v>
      </c>
      <c r="F253" s="3" t="str">
        <f aca="false">IFERROR(INDEX(ABC_XYZ!$L$5:$L$494,MATCH(A253,ABC_XYZ!$A$5:$A$494,0)),"SIN HIST")</f>
        <v>BX</v>
      </c>
      <c r="G253" s="24" t="n">
        <f aca="false">IF(LEFT(F253,1)="A",Parametros!$B$8,IF(LEFT(F253,1)="B",Parametros!$B$9,IF(LEFT(F253,1)="C",Parametros!$B$10,Parametros!$B$11)))</f>
        <v>0.95</v>
      </c>
      <c r="H253" s="27" t="n">
        <f aca="false">NORMSINV(G253)</f>
        <v>1.64485362695147</v>
      </c>
      <c r="I253" s="23" t="n">
        <v>4556.9</v>
      </c>
      <c r="J253" s="23" t="n">
        <f aca="false">IFERROR(INDEX(ABC_XYZ!$R$5:$R$494,MATCH(A253,ABC_XYZ!$A$5:$A$494,0)),I253*Parametros!$B$13)</f>
        <v>1129.01482865963</v>
      </c>
      <c r="K253" s="27" t="n">
        <f aca="false">IFERROR(VLOOKUP(C253,Parametros!$A$36:$B$66,2,FALSE()),Parametros!$B$12)</f>
        <v>1</v>
      </c>
      <c r="L253" s="23" t="n">
        <f aca="false">H253*J253*SQRT(K253)</f>
        <v>1857.06413580279</v>
      </c>
      <c r="M253" s="29" t="n">
        <v>548</v>
      </c>
      <c r="N253" s="24" t="n">
        <v>0.275547445255475</v>
      </c>
      <c r="O253" s="3" t="s">
        <v>746</v>
      </c>
      <c r="P253" s="30" t="n">
        <f aca="false">IF(AND(ISNUMBER(M253),ISNUMBER(N253)),M253*N253/7,"")</f>
        <v>21.5714285714286</v>
      </c>
      <c r="Q253" s="23" t="n">
        <f aca="false">IF(ISNUMBER(P253),I253*P253,"")</f>
        <v>98298.8428571429</v>
      </c>
      <c r="R253" s="23" t="n">
        <f aca="false">IF(ISNUMBER(Q253),MAX(0,MIN(L253,Q253-I253*K253)),L253)</f>
        <v>1857.06413580279</v>
      </c>
      <c r="S253" s="23" t="n">
        <f aca="false">R253+I253*K253</f>
        <v>6413.96413580279</v>
      </c>
      <c r="T253" s="23" t="n">
        <v>50351.6</v>
      </c>
      <c r="U253" s="23" t="n">
        <v>20.7</v>
      </c>
      <c r="V253" s="23" t="n">
        <f aca="false">T253+U253</f>
        <v>50372.3</v>
      </c>
      <c r="W253" s="30" t="n">
        <f aca="false">IF(I253&gt;0,V253/I253,"")</f>
        <v>11.054071847089</v>
      </c>
      <c r="X253" s="3" t="str">
        <f aca="false">IF(I253&lt;=0,"SIN FCST",IF(V253&lt;R253,"BAJO SS",IF(T253&lt;R253,"BAJO SS (XLIB CUBRE)",IF(V253&lt;S253,"BAJO P.REORDEN",IF(AND(ISNUMBER(Q253),V253&gt;Q253),"SOBRE MAX VENDIBLE","OK")))))</f>
        <v>OK</v>
      </c>
    </row>
    <row r="254" customFormat="false" ht="15" hidden="false" customHeight="false" outlineLevel="0" collapsed="false">
      <c r="A254" s="3" t="n">
        <v>30001897</v>
      </c>
      <c r="B254" s="3" t="s">
        <v>409</v>
      </c>
      <c r="C254" s="3" t="s">
        <v>147</v>
      </c>
      <c r="D254" s="3" t="s">
        <v>753</v>
      </c>
      <c r="E254" s="3" t="s">
        <v>762</v>
      </c>
      <c r="F254" s="3" t="str">
        <f aca="false">IFERROR(INDEX(ABC_XYZ!$L$5:$L$494,MATCH(A254,ABC_XYZ!$A$5:$A$494,0)),"SIN HIST")</f>
        <v>BX</v>
      </c>
      <c r="G254" s="24" t="n">
        <f aca="false">IF(LEFT(F254,1)="A",Parametros!$B$8,IF(LEFT(F254,1)="B",Parametros!$B$9,IF(LEFT(F254,1)="C",Parametros!$B$10,Parametros!$B$11)))</f>
        <v>0.95</v>
      </c>
      <c r="H254" s="27" t="n">
        <f aca="false">NORMSINV(G254)</f>
        <v>1.64485362695147</v>
      </c>
      <c r="I254" s="23" t="n">
        <v>4528.9</v>
      </c>
      <c r="J254" s="23" t="n">
        <f aca="false">IFERROR(INDEX(ABC_XYZ!$R$5:$R$494,MATCH(A254,ABC_XYZ!$A$5:$A$494,0)),I254*Parametros!$B$13)</f>
        <v>511.333560075567</v>
      </c>
      <c r="K254" s="27" t="n">
        <f aca="false">IFERROR(VLOOKUP(C254,Parametros!$A$36:$B$66,2,FALSE()),Parametros!$B$12)</f>
        <v>1</v>
      </c>
      <c r="L254" s="23" t="n">
        <f aca="false">H254*J254*SQRT(K254)</f>
        <v>841.068860872304</v>
      </c>
      <c r="M254" s="29" t="n">
        <v>110</v>
      </c>
      <c r="N254" s="24" t="n">
        <v>0.227272727272727</v>
      </c>
      <c r="O254" s="3" t="s">
        <v>754</v>
      </c>
      <c r="P254" s="30" t="n">
        <f aca="false">IF(AND(ISNUMBER(M254),ISNUMBER(N254)),M254*N254/7,"")</f>
        <v>3.57142857142857</v>
      </c>
      <c r="Q254" s="23" t="n">
        <f aca="false">IF(ISNUMBER(P254),I254*P254,"")</f>
        <v>16174.6428571429</v>
      </c>
      <c r="R254" s="23" t="n">
        <f aca="false">IF(ISNUMBER(Q254),MAX(0,MIN(L254,Q254-I254*K254)),L254)</f>
        <v>841.068860872304</v>
      </c>
      <c r="S254" s="23" t="n">
        <f aca="false">R254+I254*K254</f>
        <v>5369.9688608723</v>
      </c>
      <c r="T254" s="23" t="n">
        <v>6561.6</v>
      </c>
      <c r="U254" s="23" t="n">
        <v>2956.8</v>
      </c>
      <c r="V254" s="23" t="n">
        <f aca="false">T254+U254</f>
        <v>9518.4</v>
      </c>
      <c r="W254" s="30" t="n">
        <f aca="false">IF(I254&gt;0,V254/I254,"")</f>
        <v>2.10170240014132</v>
      </c>
      <c r="X254" s="3" t="str">
        <f aca="false">IF(I254&lt;=0,"SIN FCST",IF(V254&lt;R254,"BAJO SS",IF(T254&lt;R254,"BAJO SS (XLIB CUBRE)",IF(V254&lt;S254,"BAJO P.REORDEN",IF(AND(ISNUMBER(Q254),V254&gt;Q254),"SOBRE MAX VENDIBLE","OK")))))</f>
        <v>OK</v>
      </c>
    </row>
    <row r="255" customFormat="false" ht="15" hidden="false" customHeight="false" outlineLevel="0" collapsed="false">
      <c r="A255" s="3" t="n">
        <v>30000560</v>
      </c>
      <c r="B255" s="3" t="s">
        <v>384</v>
      </c>
      <c r="C255" s="3" t="s">
        <v>149</v>
      </c>
      <c r="D255" s="3" t="s">
        <v>744</v>
      </c>
      <c r="E255" s="3" t="s">
        <v>762</v>
      </c>
      <c r="F255" s="3" t="str">
        <f aca="false">IFERROR(INDEX(ABC_XYZ!$L$5:$L$494,MATCH(A255,ABC_XYZ!$A$5:$A$494,0)),"SIN HIST")</f>
        <v>BX</v>
      </c>
      <c r="G255" s="24" t="n">
        <f aca="false">IF(LEFT(F255,1)="A",Parametros!$B$8,IF(LEFT(F255,1)="B",Parametros!$B$9,IF(LEFT(F255,1)="C",Parametros!$B$10,Parametros!$B$11)))</f>
        <v>0.95</v>
      </c>
      <c r="H255" s="27" t="n">
        <f aca="false">NORMSINV(G255)</f>
        <v>1.64485362695147</v>
      </c>
      <c r="I255" s="23" t="n">
        <v>4500</v>
      </c>
      <c r="J255" s="23" t="n">
        <f aca="false">IFERROR(INDEX(ABC_XYZ!$R$5:$R$494,MATCH(A255,ABC_XYZ!$A$5:$A$494,0)),I255*Parametros!$B$13)</f>
        <v>839.975241127473</v>
      </c>
      <c r="K255" s="27" t="n">
        <f aca="false">IFERROR(VLOOKUP(C255,Parametros!$A$36:$B$66,2,FALSE()),Parametros!$B$12)</f>
        <v>1</v>
      </c>
      <c r="L255" s="23" t="n">
        <f aca="false">H255*J255*SQRT(K255)</f>
        <v>1381.63632191796</v>
      </c>
      <c r="M255" s="29" t="n">
        <v>184</v>
      </c>
      <c r="N255" s="24" t="n">
        <v>0.315217391304348</v>
      </c>
      <c r="O255" s="3" t="s">
        <v>780</v>
      </c>
      <c r="P255" s="30" t="n">
        <f aca="false">IF(AND(ISNUMBER(M255),ISNUMBER(N255)),M255*N255/7,"")</f>
        <v>8.28571428571429</v>
      </c>
      <c r="Q255" s="23" t="n">
        <f aca="false">IF(ISNUMBER(P255),I255*P255,"")</f>
        <v>37285.7142857143</v>
      </c>
      <c r="R255" s="23" t="n">
        <f aca="false">IF(ISNUMBER(Q255),MAX(0,MIN(L255,Q255-I255*K255)),L255)</f>
        <v>1381.63632191796</v>
      </c>
      <c r="S255" s="23" t="n">
        <f aca="false">R255+I255*K255</f>
        <v>5881.63632191796</v>
      </c>
      <c r="T255" s="23" t="n">
        <v>14380.8</v>
      </c>
      <c r="U255" s="23" t="n">
        <v>0</v>
      </c>
      <c r="V255" s="23" t="n">
        <f aca="false">T255+U255</f>
        <v>14380.8</v>
      </c>
      <c r="W255" s="30" t="n">
        <f aca="false">IF(I255&gt;0,V255/I255,"")</f>
        <v>3.19573333333333</v>
      </c>
      <c r="X255" s="3" t="str">
        <f aca="false">IF(I255&lt;=0,"SIN FCST",IF(V255&lt;R255,"BAJO SS",IF(T255&lt;R255,"BAJO SS (XLIB CUBRE)",IF(V255&lt;S255,"BAJO P.REORDEN",IF(AND(ISNUMBER(Q255),V255&gt;Q255),"SOBRE MAX VENDIBLE","OK")))))</f>
        <v>OK</v>
      </c>
    </row>
    <row r="256" customFormat="false" ht="15" hidden="false" customHeight="false" outlineLevel="0" collapsed="false">
      <c r="A256" s="3" t="n">
        <v>30001376</v>
      </c>
      <c r="B256" s="3" t="s">
        <v>927</v>
      </c>
      <c r="C256" s="3" t="s">
        <v>139</v>
      </c>
      <c r="D256" s="3" t="s">
        <v>753</v>
      </c>
      <c r="E256" s="3" t="s">
        <v>745</v>
      </c>
      <c r="F256" s="3" t="str">
        <f aca="false">IFERROR(INDEX(ABC_XYZ!$L$5:$L$494,MATCH(A256,ABC_XYZ!$A$5:$A$494,0)),"SIN HIST")</f>
        <v>BX</v>
      </c>
      <c r="G256" s="24" t="n">
        <f aca="false">IF(LEFT(F256,1)="A",Parametros!$B$8,IF(LEFT(F256,1)="B",Parametros!$B$9,IF(LEFT(F256,1)="C",Parametros!$B$10,Parametros!$B$11)))</f>
        <v>0.95</v>
      </c>
      <c r="H256" s="27" t="n">
        <f aca="false">NORMSINV(G256)</f>
        <v>1.64485362695147</v>
      </c>
      <c r="I256" s="23" t="n">
        <v>4487.3</v>
      </c>
      <c r="J256" s="23" t="n">
        <f aca="false">IFERROR(INDEX(ABC_XYZ!$R$5:$R$494,MATCH(A256,ABC_XYZ!$A$5:$A$494,0)),I256*Parametros!$B$13)</f>
        <v>796.81424173175</v>
      </c>
      <c r="K256" s="27" t="n">
        <f aca="false">IFERROR(VLOOKUP(C256,Parametros!$A$36:$B$66,2,FALSE()),Parametros!$B$12)</f>
        <v>1</v>
      </c>
      <c r="L256" s="23" t="n">
        <f aca="false">H256*J256*SQRT(K256)</f>
        <v>1310.64279551906</v>
      </c>
      <c r="M256" s="29" t="n">
        <v>189</v>
      </c>
      <c r="N256" s="24" t="n">
        <v>0.211640211640212</v>
      </c>
      <c r="O256" s="3" t="s">
        <v>746</v>
      </c>
      <c r="P256" s="30" t="n">
        <f aca="false">IF(AND(ISNUMBER(M256),ISNUMBER(N256)),M256*N256/7,"")</f>
        <v>5.71428571428571</v>
      </c>
      <c r="Q256" s="23" t="n">
        <f aca="false">IF(ISNUMBER(P256),I256*P256,"")</f>
        <v>25641.7142857143</v>
      </c>
      <c r="R256" s="23" t="n">
        <f aca="false">IF(ISNUMBER(Q256),MAX(0,MIN(L256,Q256-I256*K256)),L256)</f>
        <v>1310.64279551906</v>
      </c>
      <c r="S256" s="23" t="n">
        <f aca="false">R256+I256*K256</f>
        <v>5797.94279551906</v>
      </c>
      <c r="T256" s="23" t="n">
        <v>11101.5</v>
      </c>
      <c r="U256" s="23" t="n">
        <v>0</v>
      </c>
      <c r="V256" s="23" t="n">
        <f aca="false">T256+U256</f>
        <v>11101.5</v>
      </c>
      <c r="W256" s="30" t="n">
        <f aca="false">IF(I256&gt;0,V256/I256,"")</f>
        <v>2.47398212733715</v>
      </c>
      <c r="X256" s="3" t="str">
        <f aca="false">IF(I256&lt;=0,"SIN FCST",IF(V256&lt;R256,"BAJO SS",IF(T256&lt;R256,"BAJO SS (XLIB CUBRE)",IF(V256&lt;S256,"BAJO P.REORDEN",IF(AND(ISNUMBER(Q256),V256&gt;Q256),"SOBRE MAX VENDIBLE","OK")))))</f>
        <v>OK</v>
      </c>
    </row>
    <row r="257" customFormat="false" ht="15" hidden="false" customHeight="false" outlineLevel="0" collapsed="false">
      <c r="A257" s="3" t="n">
        <v>30000115</v>
      </c>
      <c r="B257" s="3" t="s">
        <v>283</v>
      </c>
      <c r="C257" s="3" t="s">
        <v>141</v>
      </c>
      <c r="D257" s="3" t="s">
        <v>750</v>
      </c>
      <c r="E257" s="3" t="s">
        <v>762</v>
      </c>
      <c r="F257" s="3" t="str">
        <f aca="false">IFERROR(INDEX(ABC_XYZ!$L$5:$L$494,MATCH(A257,ABC_XYZ!$A$5:$A$494,0)),"SIN HIST")</f>
        <v>AY</v>
      </c>
      <c r="G257" s="24" t="n">
        <f aca="false">IF(LEFT(F257,1)="A",Parametros!$B$8,IF(LEFT(F257,1)="B",Parametros!$B$9,IF(LEFT(F257,1)="C",Parametros!$B$10,Parametros!$B$11)))</f>
        <v>0.98</v>
      </c>
      <c r="H257" s="27" t="n">
        <f aca="false">NORMSINV(G257)</f>
        <v>2.05374891063182</v>
      </c>
      <c r="I257" s="23" t="n">
        <v>4467.4</v>
      </c>
      <c r="J257" s="23" t="n">
        <f aca="false">IFERROR(INDEX(ABC_XYZ!$R$5:$R$494,MATCH(A257,ABC_XYZ!$A$5:$A$494,0)),I257*Parametros!$B$13)</f>
        <v>5636.24251947329</v>
      </c>
      <c r="K257" s="27" t="n">
        <f aca="false">IFERROR(VLOOKUP(C257,Parametros!$A$36:$B$66,2,FALSE()),Parametros!$B$12)</f>
        <v>1</v>
      </c>
      <c r="L257" s="23" t="n">
        <f aca="false">H257*J257*SQRT(K257)</f>
        <v>11575.426934425</v>
      </c>
      <c r="M257" s="29" t="n">
        <v>184</v>
      </c>
      <c r="N257" s="24" t="n">
        <v>0.239130434782609</v>
      </c>
      <c r="O257" s="3" t="s">
        <v>746</v>
      </c>
      <c r="P257" s="30" t="n">
        <f aca="false">IF(AND(ISNUMBER(M257),ISNUMBER(N257)),M257*N257/7,"")</f>
        <v>6.28571428571428</v>
      </c>
      <c r="Q257" s="23" t="n">
        <f aca="false">IF(ISNUMBER(P257),I257*P257,"")</f>
        <v>28080.8</v>
      </c>
      <c r="R257" s="23" t="n">
        <f aca="false">IF(ISNUMBER(Q257),MAX(0,MIN(L257,Q257-I257*K257)),L257)</f>
        <v>11575.426934425</v>
      </c>
      <c r="S257" s="23" t="n">
        <f aca="false">R257+I257*K257</f>
        <v>16042.826934425</v>
      </c>
      <c r="T257" s="23" t="n">
        <v>21816</v>
      </c>
      <c r="U257" s="23" t="n">
        <v>0</v>
      </c>
      <c r="V257" s="23" t="n">
        <f aca="false">T257+U257</f>
        <v>21816</v>
      </c>
      <c r="W257" s="30" t="n">
        <f aca="false">IF(I257&gt;0,V257/I257,"")</f>
        <v>4.88337735595649</v>
      </c>
      <c r="X257" s="3" t="str">
        <f aca="false">IF(I257&lt;=0,"SIN FCST",IF(V257&lt;R257,"BAJO SS",IF(T257&lt;R257,"BAJO SS (XLIB CUBRE)",IF(V257&lt;S257,"BAJO P.REORDEN",IF(AND(ISNUMBER(Q257),V257&gt;Q257),"SOBRE MAX VENDIBLE","OK")))))</f>
        <v>OK</v>
      </c>
    </row>
    <row r="258" customFormat="false" ht="15" hidden="false" customHeight="false" outlineLevel="0" collapsed="false">
      <c r="A258" s="3" t="n">
        <v>30001996</v>
      </c>
      <c r="B258" s="3" t="s">
        <v>394</v>
      </c>
      <c r="C258" s="3" t="s">
        <v>135</v>
      </c>
      <c r="D258" s="3" t="s">
        <v>769</v>
      </c>
      <c r="E258" s="3" t="s">
        <v>762</v>
      </c>
      <c r="F258" s="3" t="str">
        <f aca="false">IFERROR(INDEX(ABC_XYZ!$L$5:$L$494,MATCH(A258,ABC_XYZ!$A$5:$A$494,0)),"SIN HIST")</f>
        <v>BX</v>
      </c>
      <c r="G258" s="24" t="n">
        <f aca="false">IF(LEFT(F258,1)="A",Parametros!$B$8,IF(LEFT(F258,1)="B",Parametros!$B$9,IF(LEFT(F258,1)="C",Parametros!$B$10,Parametros!$B$11)))</f>
        <v>0.95</v>
      </c>
      <c r="H258" s="27" t="n">
        <f aca="false">NORMSINV(G258)</f>
        <v>1.64485362695147</v>
      </c>
      <c r="I258" s="23" t="n">
        <v>4418.1</v>
      </c>
      <c r="J258" s="23" t="n">
        <f aca="false">IFERROR(INDEX(ABC_XYZ!$R$5:$R$494,MATCH(A258,ABC_XYZ!$A$5:$A$494,0)),I258*Parametros!$B$13)</f>
        <v>1593.00720645733</v>
      </c>
      <c r="K258" s="27" t="n">
        <f aca="false">IFERROR(VLOOKUP(C258,Parametros!$A$36:$B$66,2,FALSE()),Parametros!$B$12)</f>
        <v>1</v>
      </c>
      <c r="L258" s="23" t="n">
        <f aca="false">H258*J258*SQRT(K258)</f>
        <v>2620.26368130117</v>
      </c>
      <c r="M258" s="29" t="n">
        <v>245</v>
      </c>
      <c r="N258" s="24" t="n">
        <v>0.489795918367347</v>
      </c>
      <c r="O258" s="3" t="s">
        <v>754</v>
      </c>
      <c r="P258" s="30" t="n">
        <f aca="false">IF(AND(ISNUMBER(M258),ISNUMBER(N258)),M258*N258/7,"")</f>
        <v>17.1428571428571</v>
      </c>
      <c r="Q258" s="23" t="n">
        <f aca="false">IF(ISNUMBER(P258),I258*P258,"")</f>
        <v>75738.8571428571</v>
      </c>
      <c r="R258" s="23" t="n">
        <f aca="false">IF(ISNUMBER(Q258),MAX(0,MIN(L258,Q258-I258*K258)),L258)</f>
        <v>2620.26368130117</v>
      </c>
      <c r="S258" s="23" t="n">
        <f aca="false">R258+I258*K258</f>
        <v>7038.36368130117</v>
      </c>
      <c r="T258" s="23" t="n">
        <v>13527</v>
      </c>
      <c r="U258" s="23" t="n">
        <v>0</v>
      </c>
      <c r="V258" s="23" t="n">
        <f aca="false">T258+U258</f>
        <v>13527</v>
      </c>
      <c r="W258" s="30" t="n">
        <f aca="false">IF(I258&gt;0,V258/I258,"")</f>
        <v>3.0617233652475</v>
      </c>
      <c r="X258" s="3" t="str">
        <f aca="false">IF(I258&lt;=0,"SIN FCST",IF(V258&lt;R258,"BAJO SS",IF(T258&lt;R258,"BAJO SS (XLIB CUBRE)",IF(V258&lt;S258,"BAJO P.REORDEN",IF(AND(ISNUMBER(Q258),V258&gt;Q258),"SOBRE MAX VENDIBLE","OK")))))</f>
        <v>OK</v>
      </c>
    </row>
    <row r="259" customFormat="false" ht="15" hidden="false" customHeight="false" outlineLevel="0" collapsed="false">
      <c r="A259" s="3" t="n">
        <v>30000616</v>
      </c>
      <c r="B259" s="3" t="s">
        <v>372</v>
      </c>
      <c r="C259" s="3" t="s">
        <v>129</v>
      </c>
      <c r="D259" s="3" t="s">
        <v>769</v>
      </c>
      <c r="E259" s="3" t="s">
        <v>745</v>
      </c>
      <c r="F259" s="3" t="str">
        <f aca="false">IFERROR(INDEX(ABC_XYZ!$L$5:$L$494,MATCH(A259,ABC_XYZ!$A$5:$A$494,0)),"SIN HIST")</f>
        <v>BX</v>
      </c>
      <c r="G259" s="24" t="n">
        <f aca="false">IF(LEFT(F259,1)="A",Parametros!$B$8,IF(LEFT(F259,1)="B",Parametros!$B$9,IF(LEFT(F259,1)="C",Parametros!$B$10,Parametros!$B$11)))</f>
        <v>0.95</v>
      </c>
      <c r="H259" s="27" t="n">
        <f aca="false">NORMSINV(G259)</f>
        <v>1.64485362695147</v>
      </c>
      <c r="I259" s="23" t="n">
        <v>4410</v>
      </c>
      <c r="J259" s="23" t="n">
        <f aca="false">IFERROR(INDEX(ABC_XYZ!$R$5:$R$494,MATCH(A259,ABC_XYZ!$A$5:$A$494,0)),I259*Parametros!$B$13)</f>
        <v>1657.06094838623</v>
      </c>
      <c r="K259" s="27" t="n">
        <f aca="false">IFERROR(VLOOKUP(C259,Parametros!$A$36:$B$66,2,FALSE()),Parametros!$B$12)</f>
        <v>1</v>
      </c>
      <c r="L259" s="23" t="n">
        <f aca="false">H259*J259*SQRT(K259)</f>
        <v>2725.62271103273</v>
      </c>
      <c r="M259" s="29" t="n">
        <v>1460</v>
      </c>
      <c r="N259" s="24" t="n">
        <v>0.462328767123288</v>
      </c>
      <c r="O259" s="3" t="s">
        <v>763</v>
      </c>
      <c r="P259" s="30" t="n">
        <f aca="false">IF(AND(ISNUMBER(M259),ISNUMBER(N259)),M259*N259/7,"")</f>
        <v>96.4285714285714</v>
      </c>
      <c r="Q259" s="23" t="n">
        <f aca="false">IF(ISNUMBER(P259),I259*P259,"")</f>
        <v>425250</v>
      </c>
      <c r="R259" s="23" t="n">
        <f aca="false">IF(ISNUMBER(Q259),MAX(0,MIN(L259,Q259-I259*K259)),L259)</f>
        <v>2725.62271103273</v>
      </c>
      <c r="S259" s="23" t="n">
        <f aca="false">R259+I259*K259</f>
        <v>7135.62271103273</v>
      </c>
      <c r="T259" s="23" t="n">
        <v>68371.2</v>
      </c>
      <c r="U259" s="23" t="n">
        <v>0</v>
      </c>
      <c r="V259" s="23" t="n">
        <f aca="false">T259+U259</f>
        <v>68371.2</v>
      </c>
      <c r="W259" s="30" t="n">
        <f aca="false">IF(I259&gt;0,V259/I259,"")</f>
        <v>15.5036734693878</v>
      </c>
      <c r="X259" s="3" t="str">
        <f aca="false">IF(I259&lt;=0,"SIN FCST",IF(V259&lt;R259,"BAJO SS",IF(T259&lt;R259,"BAJO SS (XLIB CUBRE)",IF(V259&lt;S259,"BAJO P.REORDEN",IF(AND(ISNUMBER(Q259),V259&gt;Q259),"SOBRE MAX VENDIBLE","OK")))))</f>
        <v>OK</v>
      </c>
    </row>
    <row r="260" customFormat="false" ht="15" hidden="false" customHeight="false" outlineLevel="0" collapsed="false">
      <c r="A260" s="3" t="n">
        <v>30000599</v>
      </c>
      <c r="B260" s="3" t="s">
        <v>928</v>
      </c>
      <c r="C260" s="3" t="s">
        <v>129</v>
      </c>
      <c r="D260" s="3" t="s">
        <v>769</v>
      </c>
      <c r="E260" s="3" t="s">
        <v>745</v>
      </c>
      <c r="F260" s="3" t="str">
        <f aca="false">IFERROR(INDEX(ABC_XYZ!$L$5:$L$494,MATCH(A260,ABC_XYZ!$A$5:$A$494,0)),"SIN HIST")</f>
        <v>AY</v>
      </c>
      <c r="G260" s="24" t="n">
        <f aca="false">IF(LEFT(F260,1)="A",Parametros!$B$8,IF(LEFT(F260,1)="B",Parametros!$B$9,IF(LEFT(F260,1)="C",Parametros!$B$10,Parametros!$B$11)))</f>
        <v>0.98</v>
      </c>
      <c r="H260" s="27" t="n">
        <f aca="false">NORMSINV(G260)</f>
        <v>2.05374891063182</v>
      </c>
      <c r="I260" s="23" t="n">
        <v>4371.5</v>
      </c>
      <c r="J260" s="23" t="n">
        <f aca="false">IFERROR(INDEX(ABC_XYZ!$R$5:$R$494,MATCH(A260,ABC_XYZ!$A$5:$A$494,0)),I260*Parametros!$B$13)</f>
        <v>3431.08380840029</v>
      </c>
      <c r="K260" s="27" t="n">
        <f aca="false">IFERROR(VLOOKUP(C260,Parametros!$A$36:$B$66,2,FALSE()),Parametros!$B$12)</f>
        <v>1</v>
      </c>
      <c r="L260" s="23" t="n">
        <f aca="false">H260*J260*SQRT(K260)</f>
        <v>7046.58463378859</v>
      </c>
      <c r="M260" s="29" t="n">
        <v>1460</v>
      </c>
      <c r="N260" s="24" t="n">
        <v>0.478767123287671</v>
      </c>
      <c r="O260" s="3" t="s">
        <v>763</v>
      </c>
      <c r="P260" s="30" t="n">
        <f aca="false">IF(AND(ISNUMBER(M260),ISNUMBER(N260)),M260*N260/7,"")</f>
        <v>99.8571428571429</v>
      </c>
      <c r="Q260" s="23" t="n">
        <f aca="false">IF(ISNUMBER(P260),I260*P260,"")</f>
        <v>436525.5</v>
      </c>
      <c r="R260" s="23" t="n">
        <f aca="false">IF(ISNUMBER(Q260),MAX(0,MIN(L260,Q260-I260*K260)),L260)</f>
        <v>7046.58463378859</v>
      </c>
      <c r="S260" s="23" t="n">
        <f aca="false">R260+I260*K260</f>
        <v>11418.0846337886</v>
      </c>
      <c r="T260" s="23" t="n">
        <v>88089.4</v>
      </c>
      <c r="U260" s="23" t="n">
        <v>0</v>
      </c>
      <c r="V260" s="23" t="n">
        <f aca="false">T260+U260</f>
        <v>88089.4</v>
      </c>
      <c r="W260" s="30" t="n">
        <f aca="false">IF(I260&gt;0,V260/I260,"")</f>
        <v>20.150840672538</v>
      </c>
      <c r="X260" s="3" t="str">
        <f aca="false">IF(I260&lt;=0,"SIN FCST",IF(V260&lt;R260,"BAJO SS",IF(T260&lt;R260,"BAJO SS (XLIB CUBRE)",IF(V260&lt;S260,"BAJO P.REORDEN",IF(AND(ISNUMBER(Q260),V260&gt;Q260),"SOBRE MAX VENDIBLE","OK")))))</f>
        <v>OK</v>
      </c>
    </row>
    <row r="261" customFormat="false" ht="15" hidden="false" customHeight="false" outlineLevel="0" collapsed="false">
      <c r="A261" s="3" t="n">
        <v>30001405</v>
      </c>
      <c r="B261" s="3" t="s">
        <v>929</v>
      </c>
      <c r="C261" s="3" t="s">
        <v>139</v>
      </c>
      <c r="D261" s="3" t="s">
        <v>753</v>
      </c>
      <c r="E261" s="3" t="s">
        <v>745</v>
      </c>
      <c r="F261" s="3" t="str">
        <f aca="false">IFERROR(INDEX(ABC_XYZ!$L$5:$L$494,MATCH(A261,ABC_XYZ!$A$5:$A$494,0)),"SIN HIST")</f>
        <v>BX</v>
      </c>
      <c r="G261" s="24" t="n">
        <f aca="false">IF(LEFT(F261,1)="A",Parametros!$B$8,IF(LEFT(F261,1)="B",Parametros!$B$9,IF(LEFT(F261,1)="C",Parametros!$B$10,Parametros!$B$11)))</f>
        <v>0.95</v>
      </c>
      <c r="H261" s="27" t="n">
        <f aca="false">NORMSINV(G261)</f>
        <v>1.64485362695147</v>
      </c>
      <c r="I261" s="23" t="n">
        <v>4357</v>
      </c>
      <c r="J261" s="23" t="n">
        <f aca="false">IFERROR(INDEX(ABC_XYZ!$R$5:$R$494,MATCH(A261,ABC_XYZ!$A$5:$A$494,0)),I261*Parametros!$B$13)</f>
        <v>1131.57348703454</v>
      </c>
      <c r="K261" s="27" t="n">
        <f aca="false">IFERROR(VLOOKUP(C261,Parametros!$A$36:$B$66,2,FALSE()),Parametros!$B$12)</f>
        <v>1</v>
      </c>
      <c r="L261" s="23" t="n">
        <f aca="false">H261*J261*SQRT(K261)</f>
        <v>1861.27275431089</v>
      </c>
      <c r="M261" s="29" t="n">
        <v>250</v>
      </c>
      <c r="N261" s="24" t="n">
        <v>0.208</v>
      </c>
      <c r="O261" s="3" t="s">
        <v>746</v>
      </c>
      <c r="P261" s="30" t="n">
        <f aca="false">IF(AND(ISNUMBER(M261),ISNUMBER(N261)),M261*N261/7,"")</f>
        <v>7.42857142857143</v>
      </c>
      <c r="Q261" s="23" t="n">
        <f aca="false">IF(ISNUMBER(P261),I261*P261,"")</f>
        <v>32366.2857142857</v>
      </c>
      <c r="R261" s="23" t="n">
        <f aca="false">IF(ISNUMBER(Q261),MAX(0,MIN(L261,Q261-I261*K261)),L261)</f>
        <v>1861.27275431089</v>
      </c>
      <c r="S261" s="23" t="n">
        <f aca="false">R261+I261*K261</f>
        <v>6218.27275431089</v>
      </c>
      <c r="T261" s="23" t="n">
        <v>1800</v>
      </c>
      <c r="U261" s="23" t="n">
        <v>14328</v>
      </c>
      <c r="V261" s="23" t="n">
        <f aca="false">T261+U261</f>
        <v>16128</v>
      </c>
      <c r="W261" s="30" t="n">
        <f aca="false">IF(I261&gt;0,V261/I261,"")</f>
        <v>3.70162956162497</v>
      </c>
      <c r="X261" s="3" t="str">
        <f aca="false">IF(I261&lt;=0,"SIN FCST",IF(V261&lt;R261,"BAJO SS",IF(T261&lt;R261,"BAJO SS (XLIB CUBRE)",IF(V261&lt;S261,"BAJO P.REORDEN",IF(AND(ISNUMBER(Q261),V261&gt;Q261),"SOBRE MAX VENDIBLE","OK")))))</f>
        <v>BAJO SS (XLIB CUBRE)</v>
      </c>
    </row>
    <row r="262" customFormat="false" ht="15" hidden="false" customHeight="false" outlineLevel="0" collapsed="false">
      <c r="A262" s="3" t="n">
        <v>30000600</v>
      </c>
      <c r="B262" s="3" t="s">
        <v>930</v>
      </c>
      <c r="C262" s="3" t="s">
        <v>129</v>
      </c>
      <c r="D262" s="3" t="s">
        <v>769</v>
      </c>
      <c r="E262" s="3" t="s">
        <v>745</v>
      </c>
      <c r="F262" s="3" t="str">
        <f aca="false">IFERROR(INDEX(ABC_XYZ!$L$5:$L$494,MATCH(A262,ABC_XYZ!$A$5:$A$494,0)),"SIN HIST")</f>
        <v>BY</v>
      </c>
      <c r="G262" s="24" t="n">
        <f aca="false">IF(LEFT(F262,1)="A",Parametros!$B$8,IF(LEFT(F262,1)="B",Parametros!$B$9,IF(LEFT(F262,1)="C",Parametros!$B$10,Parametros!$B$11)))</f>
        <v>0.95</v>
      </c>
      <c r="H262" s="27" t="n">
        <f aca="false">NORMSINV(G262)</f>
        <v>1.64485362695147</v>
      </c>
      <c r="I262" s="23" t="n">
        <v>4307.2</v>
      </c>
      <c r="J262" s="23" t="n">
        <f aca="false">IFERROR(INDEX(ABC_XYZ!$R$5:$R$494,MATCH(A262,ABC_XYZ!$A$5:$A$494,0)),I262*Parametros!$B$13)</f>
        <v>2192.66161256132</v>
      </c>
      <c r="K262" s="27" t="n">
        <f aca="false">IFERROR(VLOOKUP(C262,Parametros!$A$36:$B$66,2,FALSE()),Parametros!$B$12)</f>
        <v>1</v>
      </c>
      <c r="L262" s="23" t="n">
        <f aca="false">H262*J262*SQRT(K262)</f>
        <v>3606.60740609875</v>
      </c>
      <c r="M262" s="29" t="n">
        <v>1460</v>
      </c>
      <c r="N262" s="24" t="n">
        <v>0.49041095890411</v>
      </c>
      <c r="O262" s="3" t="s">
        <v>763</v>
      </c>
      <c r="P262" s="30" t="n">
        <f aca="false">IF(AND(ISNUMBER(M262),ISNUMBER(N262)),M262*N262/7,"")</f>
        <v>102.285714285714</v>
      </c>
      <c r="Q262" s="23" t="n">
        <f aca="false">IF(ISNUMBER(P262),I262*P262,"")</f>
        <v>440565.028571429</v>
      </c>
      <c r="R262" s="23" t="n">
        <f aca="false">IF(ISNUMBER(Q262),MAX(0,MIN(L262,Q262-I262*K262)),L262)</f>
        <v>3606.60740609875</v>
      </c>
      <c r="S262" s="23" t="n">
        <f aca="false">R262+I262*K262</f>
        <v>7913.80740609875</v>
      </c>
      <c r="T262" s="23" t="n">
        <v>130385.3</v>
      </c>
      <c r="U262" s="23" t="n">
        <v>778.8</v>
      </c>
      <c r="V262" s="23" t="n">
        <f aca="false">T262+U262</f>
        <v>131164.1</v>
      </c>
      <c r="W262" s="30" t="n">
        <f aca="false">IF(I262&gt;0,V262/I262,"")</f>
        <v>30.4522891901932</v>
      </c>
      <c r="X262" s="3" t="str">
        <f aca="false">IF(I262&lt;=0,"SIN FCST",IF(V262&lt;R262,"BAJO SS",IF(T262&lt;R262,"BAJO SS (XLIB CUBRE)",IF(V262&lt;S262,"BAJO P.REORDEN",IF(AND(ISNUMBER(Q262),V262&gt;Q262),"SOBRE MAX VENDIBLE","OK")))))</f>
        <v>OK</v>
      </c>
    </row>
    <row r="263" customFormat="false" ht="15" hidden="false" customHeight="false" outlineLevel="0" collapsed="false">
      <c r="A263" s="3" t="n">
        <v>30000351</v>
      </c>
      <c r="B263" s="3" t="s">
        <v>393</v>
      </c>
      <c r="C263" s="3" t="s">
        <v>139</v>
      </c>
      <c r="D263" s="3" t="s">
        <v>753</v>
      </c>
      <c r="E263" s="3" t="s">
        <v>745</v>
      </c>
      <c r="F263" s="3" t="str">
        <f aca="false">IFERROR(INDEX(ABC_XYZ!$L$5:$L$494,MATCH(A263,ABC_XYZ!$A$5:$A$494,0)),"SIN HIST")</f>
        <v>BX</v>
      </c>
      <c r="G263" s="24" t="n">
        <f aca="false">IF(LEFT(F263,1)="A",Parametros!$B$8,IF(LEFT(F263,1)="B",Parametros!$B$9,IF(LEFT(F263,1)="C",Parametros!$B$10,Parametros!$B$11)))</f>
        <v>0.95</v>
      </c>
      <c r="H263" s="27" t="n">
        <f aca="false">NORMSINV(G263)</f>
        <v>1.64485362695147</v>
      </c>
      <c r="I263" s="23" t="n">
        <v>4291.8</v>
      </c>
      <c r="J263" s="23" t="n">
        <f aca="false">IFERROR(INDEX(ABC_XYZ!$R$5:$R$494,MATCH(A263,ABC_XYZ!$A$5:$A$494,0)),I263*Parametros!$B$13)</f>
        <v>896.553569968013</v>
      </c>
      <c r="K263" s="27" t="n">
        <f aca="false">IFERROR(VLOOKUP(C263,Parametros!$A$36:$B$66,2,FALSE()),Parametros!$B$12)</f>
        <v>1</v>
      </c>
      <c r="L263" s="23" t="n">
        <f aca="false">H263*J263*SQRT(K263)</f>
        <v>1474.69939131818</v>
      </c>
      <c r="M263" s="29" t="n">
        <v>214</v>
      </c>
      <c r="N263" s="24" t="n">
        <v>0.238317757009346</v>
      </c>
      <c r="O263" s="3" t="s">
        <v>746</v>
      </c>
      <c r="P263" s="30" t="n">
        <f aca="false">IF(AND(ISNUMBER(M263),ISNUMBER(N263)),M263*N263/7,"")</f>
        <v>7.28571428571429</v>
      </c>
      <c r="Q263" s="23" t="n">
        <f aca="false">IF(ISNUMBER(P263),I263*P263,"")</f>
        <v>31268.8285714286</v>
      </c>
      <c r="R263" s="23" t="n">
        <f aca="false">IF(ISNUMBER(Q263),MAX(0,MIN(L263,Q263-I263*K263)),L263)</f>
        <v>1474.69939131818</v>
      </c>
      <c r="S263" s="23" t="n">
        <f aca="false">R263+I263*K263</f>
        <v>5766.49939131818</v>
      </c>
      <c r="T263" s="23" t="n">
        <v>16116</v>
      </c>
      <c r="U263" s="23" t="n">
        <v>21534</v>
      </c>
      <c r="V263" s="23" t="n">
        <f aca="false">T263+U263</f>
        <v>37650</v>
      </c>
      <c r="W263" s="30" t="n">
        <f aca="false">IF(I263&gt;0,V263/I263,"")</f>
        <v>8.77254298895568</v>
      </c>
      <c r="X263" s="3" t="str">
        <f aca="false">IF(I263&lt;=0,"SIN FCST",IF(V263&lt;R263,"BAJO SS",IF(T263&lt;R263,"BAJO SS (XLIB CUBRE)",IF(V263&lt;S263,"BAJO P.REORDEN",IF(AND(ISNUMBER(Q263),V263&gt;Q263),"SOBRE MAX VENDIBLE","OK")))))</f>
        <v>SOBRE MAX VENDIBLE</v>
      </c>
    </row>
    <row r="264" customFormat="false" ht="15" hidden="false" customHeight="false" outlineLevel="0" collapsed="false">
      <c r="A264" s="3" t="n">
        <v>30000660</v>
      </c>
      <c r="B264" s="3" t="s">
        <v>931</v>
      </c>
      <c r="C264" s="3" t="s">
        <v>147</v>
      </c>
      <c r="D264" s="3" t="s">
        <v>753</v>
      </c>
      <c r="E264" s="3" t="s">
        <v>762</v>
      </c>
      <c r="F264" s="3" t="str">
        <f aca="false">IFERROR(INDEX(ABC_XYZ!$L$5:$L$494,MATCH(A264,ABC_XYZ!$A$5:$A$494,0)),"SIN HIST")</f>
        <v>BX</v>
      </c>
      <c r="G264" s="24" t="n">
        <f aca="false">IF(LEFT(F264,1)="A",Parametros!$B$8,IF(LEFT(F264,1)="B",Parametros!$B$9,IF(LEFT(F264,1)="C",Parametros!$B$10,Parametros!$B$11)))</f>
        <v>0.95</v>
      </c>
      <c r="H264" s="27" t="n">
        <f aca="false">NORMSINV(G264)</f>
        <v>1.64485362695147</v>
      </c>
      <c r="I264" s="23" t="n">
        <v>4286.7</v>
      </c>
      <c r="J264" s="23" t="n">
        <f aca="false">IFERROR(INDEX(ABC_XYZ!$R$5:$R$494,MATCH(A264,ABC_XYZ!$A$5:$A$494,0)),I264*Parametros!$B$13)</f>
        <v>1821.34766344068</v>
      </c>
      <c r="K264" s="27" t="n">
        <f aca="false">IFERROR(VLOOKUP(C264,Parametros!$A$36:$B$66,2,FALSE()),Parametros!$B$12)</f>
        <v>1</v>
      </c>
      <c r="L264" s="23" t="n">
        <f aca="false">H264*J264*SQRT(K264)</f>
        <v>2995.85031014999</v>
      </c>
      <c r="M264" s="29" t="n">
        <v>110</v>
      </c>
      <c r="N264" s="24" t="n">
        <v>0.318181818181818</v>
      </c>
      <c r="O264" s="3" t="s">
        <v>780</v>
      </c>
      <c r="P264" s="30" t="n">
        <f aca="false">IF(AND(ISNUMBER(M264),ISNUMBER(N264)),M264*N264/7,"")</f>
        <v>5</v>
      </c>
      <c r="Q264" s="23" t="n">
        <f aca="false">IF(ISNUMBER(P264),I264*P264,"")</f>
        <v>21433.5</v>
      </c>
      <c r="R264" s="23" t="n">
        <f aca="false">IF(ISNUMBER(Q264),MAX(0,MIN(L264,Q264-I264*K264)),L264)</f>
        <v>2995.85031014999</v>
      </c>
      <c r="S264" s="23" t="n">
        <f aca="false">R264+I264*K264</f>
        <v>7282.55031014999</v>
      </c>
      <c r="T264" s="23" t="n">
        <v>6196.8</v>
      </c>
      <c r="U264" s="23" t="n">
        <v>4555.2</v>
      </c>
      <c r="V264" s="23" t="n">
        <f aca="false">T264+U264</f>
        <v>10752</v>
      </c>
      <c r="W264" s="30" t="n">
        <f aca="false">IF(I264&gt;0,V264/I264,"")</f>
        <v>2.508223108685</v>
      </c>
      <c r="X264" s="3" t="str">
        <f aca="false">IF(I264&lt;=0,"SIN FCST",IF(V264&lt;R264,"BAJO SS",IF(T264&lt;R264,"BAJO SS (XLIB CUBRE)",IF(V264&lt;S264,"BAJO P.REORDEN",IF(AND(ISNUMBER(Q264),V264&gt;Q264),"SOBRE MAX VENDIBLE","OK")))))</f>
        <v>OK</v>
      </c>
    </row>
    <row r="265" customFormat="false" ht="15" hidden="false" customHeight="false" outlineLevel="0" collapsed="false">
      <c r="A265" s="3" t="n">
        <v>30001657</v>
      </c>
      <c r="B265" s="3" t="s">
        <v>395</v>
      </c>
      <c r="C265" s="3" t="s">
        <v>144</v>
      </c>
      <c r="D265" s="3" t="s">
        <v>753</v>
      </c>
      <c r="E265" s="3" t="s">
        <v>745</v>
      </c>
      <c r="F265" s="3" t="str">
        <f aca="false">IFERROR(INDEX(ABC_XYZ!$L$5:$L$494,MATCH(A265,ABC_XYZ!$A$5:$A$494,0)),"SIN HIST")</f>
        <v>BX</v>
      </c>
      <c r="G265" s="24" t="n">
        <f aca="false">IF(LEFT(F265,1)="A",Parametros!$B$8,IF(LEFT(F265,1)="B",Parametros!$B$9,IF(LEFT(F265,1)="C",Parametros!$B$10,Parametros!$B$11)))</f>
        <v>0.95</v>
      </c>
      <c r="H265" s="27" t="n">
        <f aca="false">NORMSINV(G265)</f>
        <v>1.64485362695147</v>
      </c>
      <c r="I265" s="23" t="n">
        <v>4264.6</v>
      </c>
      <c r="J265" s="23" t="n">
        <f aca="false">IFERROR(INDEX(ABC_XYZ!$R$5:$R$494,MATCH(A265,ABC_XYZ!$A$5:$A$494,0)),I265*Parametros!$B$13)</f>
        <v>521.090718653352</v>
      </c>
      <c r="K265" s="27" t="n">
        <f aca="false">IFERROR(VLOOKUP(C265,Parametros!$A$36:$B$66,2,FALSE()),Parametros!$B$12)</f>
        <v>1</v>
      </c>
      <c r="L265" s="23" t="n">
        <f aca="false">H265*J265*SQRT(K265)</f>
        <v>857.117958547715</v>
      </c>
      <c r="M265" s="29" t="n">
        <v>365</v>
      </c>
      <c r="N265" s="24" t="n">
        <v>0.273972602739726</v>
      </c>
      <c r="O265" s="3" t="s">
        <v>746</v>
      </c>
      <c r="P265" s="30" t="n">
        <f aca="false">IF(AND(ISNUMBER(M265),ISNUMBER(N265)),M265*N265/7,"")</f>
        <v>14.2857142857143</v>
      </c>
      <c r="Q265" s="23" t="n">
        <f aca="false">IF(ISNUMBER(P265),I265*P265,"")</f>
        <v>60922.8571428572</v>
      </c>
      <c r="R265" s="23" t="n">
        <f aca="false">IF(ISNUMBER(Q265),MAX(0,MIN(L265,Q265-I265*K265)),L265)</f>
        <v>857.117958547715</v>
      </c>
      <c r="S265" s="23" t="n">
        <f aca="false">R265+I265*K265</f>
        <v>5121.71795854772</v>
      </c>
      <c r="T265" s="23" t="n">
        <v>6043.7</v>
      </c>
      <c r="U265" s="23" t="n">
        <v>3996</v>
      </c>
      <c r="V265" s="23" t="n">
        <f aca="false">T265+U265</f>
        <v>10039.7</v>
      </c>
      <c r="W265" s="30" t="n">
        <f aca="false">IF(I265&gt;0,V265/I265,"")</f>
        <v>2.35419500070347</v>
      </c>
      <c r="X265" s="3" t="str">
        <f aca="false">IF(I265&lt;=0,"SIN FCST",IF(V265&lt;R265,"BAJO SS",IF(T265&lt;R265,"BAJO SS (XLIB CUBRE)",IF(V265&lt;S265,"BAJO P.REORDEN",IF(AND(ISNUMBER(Q265),V265&gt;Q265),"SOBRE MAX VENDIBLE","OK")))))</f>
        <v>OK</v>
      </c>
    </row>
    <row r="266" customFormat="false" ht="15" hidden="false" customHeight="false" outlineLevel="0" collapsed="false">
      <c r="A266" s="3" t="n">
        <v>30001020</v>
      </c>
      <c r="B266" s="3" t="s">
        <v>932</v>
      </c>
      <c r="C266" s="3" t="s">
        <v>155</v>
      </c>
      <c r="D266" s="3" t="s">
        <v>761</v>
      </c>
      <c r="E266" s="3" t="s">
        <v>762</v>
      </c>
      <c r="F266" s="3" t="str">
        <f aca="false">IFERROR(INDEX(ABC_XYZ!$L$5:$L$494,MATCH(A266,ABC_XYZ!$A$5:$A$494,0)),"SIN HIST")</f>
        <v>BX</v>
      </c>
      <c r="G266" s="24" t="n">
        <f aca="false">IF(LEFT(F266,1)="A",Parametros!$B$8,IF(LEFT(F266,1)="B",Parametros!$B$9,IF(LEFT(F266,1)="C",Parametros!$B$10,Parametros!$B$11)))</f>
        <v>0.95</v>
      </c>
      <c r="H266" s="27" t="n">
        <f aca="false">NORMSINV(G266)</f>
        <v>1.64485362695147</v>
      </c>
      <c r="I266" s="23" t="n">
        <v>4259.4</v>
      </c>
      <c r="J266" s="23" t="n">
        <f aca="false">IFERROR(INDEX(ABC_XYZ!$R$5:$R$494,MATCH(A266,ABC_XYZ!$A$5:$A$494,0)),I266*Parametros!$B$13)</f>
        <v>1308.10410741149</v>
      </c>
      <c r="K266" s="27" t="n">
        <f aca="false">IFERROR(VLOOKUP(C266,Parametros!$A$36:$B$66,2,FALSE()),Parametros!$B$12)</f>
        <v>1</v>
      </c>
      <c r="L266" s="23" t="n">
        <f aca="false">H266*J266*SQRT(K266)</f>
        <v>2151.63978550591</v>
      </c>
      <c r="M266" s="29" t="n">
        <v>65</v>
      </c>
      <c r="N266" s="24" t="n">
        <v>0.323076923076923</v>
      </c>
      <c r="O266" s="3" t="s">
        <v>774</v>
      </c>
      <c r="P266" s="30" t="n">
        <f aca="false">IF(AND(ISNUMBER(M266),ISNUMBER(N266)),M266*N266/7,"")</f>
        <v>3</v>
      </c>
      <c r="Q266" s="23" t="n">
        <f aca="false">IF(ISNUMBER(P266),I266*P266,"")</f>
        <v>12778.2</v>
      </c>
      <c r="R266" s="23" t="n">
        <f aca="false">IF(ISNUMBER(Q266),MAX(0,MIN(L266,Q266-I266*K266)),L266)</f>
        <v>2151.63978550591</v>
      </c>
      <c r="S266" s="23" t="n">
        <f aca="false">R266+I266*K266</f>
        <v>6411.03978550591</v>
      </c>
      <c r="T266" s="23" t="n">
        <v>2765.5</v>
      </c>
      <c r="U266" s="23" t="n">
        <v>3312</v>
      </c>
      <c r="V266" s="23" t="n">
        <f aca="false">T266+U266</f>
        <v>6077.5</v>
      </c>
      <c r="W266" s="30" t="n">
        <f aca="false">IF(I266&gt;0,V266/I266,"")</f>
        <v>1.42684415645396</v>
      </c>
      <c r="X266" s="3" t="str">
        <f aca="false">IF(I266&lt;=0,"SIN FCST",IF(V266&lt;R266,"BAJO SS",IF(T266&lt;R266,"BAJO SS (XLIB CUBRE)",IF(V266&lt;S266,"BAJO P.REORDEN",IF(AND(ISNUMBER(Q266),V266&gt;Q266),"SOBRE MAX VENDIBLE","OK")))))</f>
        <v>BAJO P.REORDEN</v>
      </c>
    </row>
    <row r="267" customFormat="false" ht="15" hidden="false" customHeight="false" outlineLevel="0" collapsed="false">
      <c r="A267" s="3" t="n">
        <v>30001766</v>
      </c>
      <c r="B267" s="3" t="s">
        <v>933</v>
      </c>
      <c r="C267" s="3" t="s">
        <v>144</v>
      </c>
      <c r="D267" s="3" t="s">
        <v>753</v>
      </c>
      <c r="E267" s="3" t="s">
        <v>745</v>
      </c>
      <c r="F267" s="3" t="str">
        <f aca="false">IFERROR(INDEX(ABC_XYZ!$L$5:$L$494,MATCH(A267,ABC_XYZ!$A$5:$A$494,0)),"SIN HIST")</f>
        <v>BX</v>
      </c>
      <c r="G267" s="24" t="n">
        <f aca="false">IF(LEFT(F267,1)="A",Parametros!$B$8,IF(LEFT(F267,1)="B",Parametros!$B$9,IF(LEFT(F267,1)="C",Parametros!$B$10,Parametros!$B$11)))</f>
        <v>0.95</v>
      </c>
      <c r="H267" s="27" t="n">
        <f aca="false">NORMSINV(G267)</f>
        <v>1.64485362695147</v>
      </c>
      <c r="I267" s="23" t="n">
        <v>4241.8</v>
      </c>
      <c r="J267" s="23" t="n">
        <f aca="false">IFERROR(INDEX(ABC_XYZ!$R$5:$R$494,MATCH(A267,ABC_XYZ!$A$5:$A$494,0)),I267*Parametros!$B$13)</f>
        <v>622.328396695293</v>
      </c>
      <c r="K267" s="27" t="n">
        <f aca="false">IFERROR(VLOOKUP(C267,Parametros!$A$36:$B$66,2,FALSE()),Parametros!$B$12)</f>
        <v>1</v>
      </c>
      <c r="L267" s="23" t="n">
        <f aca="false">H267*J267*SQRT(K267)</f>
        <v>1023.63912045915</v>
      </c>
      <c r="M267" s="29" t="n">
        <v>365</v>
      </c>
      <c r="N267" s="24" t="n">
        <v>0.273972602739726</v>
      </c>
      <c r="O267" s="3" t="s">
        <v>746</v>
      </c>
      <c r="P267" s="30" t="n">
        <f aca="false">IF(AND(ISNUMBER(M267),ISNUMBER(N267)),M267*N267/7,"")</f>
        <v>14.2857142857143</v>
      </c>
      <c r="Q267" s="23" t="n">
        <f aca="false">IF(ISNUMBER(P267),I267*P267,"")</f>
        <v>60597.1428571429</v>
      </c>
      <c r="R267" s="23" t="n">
        <f aca="false">IF(ISNUMBER(Q267),MAX(0,MIN(L267,Q267-I267*K267)),L267)</f>
        <v>1023.63912045915</v>
      </c>
      <c r="S267" s="23" t="n">
        <f aca="false">R267+I267*K267</f>
        <v>5265.43912045915</v>
      </c>
      <c r="T267" s="23" t="n">
        <v>7063.2</v>
      </c>
      <c r="U267" s="23" t="n">
        <v>10098</v>
      </c>
      <c r="V267" s="23" t="n">
        <f aca="false">T267+U267</f>
        <v>17161.2</v>
      </c>
      <c r="W267" s="30" t="n">
        <f aca="false">IF(I267&gt;0,V267/I267,"")</f>
        <v>4.04573530105144</v>
      </c>
      <c r="X267" s="3" t="str">
        <f aca="false">IF(I267&lt;=0,"SIN FCST",IF(V267&lt;R267,"BAJO SS",IF(T267&lt;R267,"BAJO SS (XLIB CUBRE)",IF(V267&lt;S267,"BAJO P.REORDEN",IF(AND(ISNUMBER(Q267),V267&gt;Q267),"SOBRE MAX VENDIBLE","OK")))))</f>
        <v>OK</v>
      </c>
    </row>
    <row r="268" customFormat="false" ht="15" hidden="false" customHeight="false" outlineLevel="0" collapsed="false">
      <c r="A268" s="3" t="n">
        <v>30001778</v>
      </c>
      <c r="B268" s="3" t="s">
        <v>934</v>
      </c>
      <c r="C268" s="3" t="s">
        <v>140</v>
      </c>
      <c r="D268" s="3" t="s">
        <v>744</v>
      </c>
      <c r="E268" s="3" t="s">
        <v>745</v>
      </c>
      <c r="F268" s="3" t="str">
        <f aca="false">IFERROR(INDEX(ABC_XYZ!$L$5:$L$494,MATCH(A268,ABC_XYZ!$A$5:$A$494,0)),"SIN HIST")</f>
        <v>SIN HIST</v>
      </c>
      <c r="G268" s="24" t="n">
        <f aca="false">IF(LEFT(F268,1)="A",Parametros!$B$8,IF(LEFT(F268,1)="B",Parametros!$B$9,IF(LEFT(F268,1)="C",Parametros!$B$10,Parametros!$B$11)))</f>
        <v>0.95</v>
      </c>
      <c r="H268" s="27" t="n">
        <f aca="false">NORMSINV(G268)</f>
        <v>1.64485362695147</v>
      </c>
      <c r="I268" s="23" t="n">
        <v>4186</v>
      </c>
      <c r="J268" s="23" t="n">
        <f aca="false">IFERROR(INDEX(ABC_XYZ!$R$5:$R$494,MATCH(A268,ABC_XYZ!$A$5:$A$494,0)),I268*Parametros!$B$13)</f>
        <v>1255.8</v>
      </c>
      <c r="K268" s="27" t="n">
        <f aca="false">IFERROR(VLOOKUP(C268,Parametros!$A$36:$B$66,2,FALSE()),Parametros!$B$12)</f>
        <v>1</v>
      </c>
      <c r="L268" s="23" t="n">
        <f aca="false">H268*J268*SQRT(K268)</f>
        <v>2065.60718472566</v>
      </c>
      <c r="M268" s="29" t="n">
        <v>184</v>
      </c>
      <c r="N268" s="24" t="n">
        <v>0.271739130434783</v>
      </c>
      <c r="O268" s="3" t="s">
        <v>746</v>
      </c>
      <c r="P268" s="30" t="n">
        <f aca="false">IF(AND(ISNUMBER(M268),ISNUMBER(N268)),M268*N268/7,"")</f>
        <v>7.14285714285714</v>
      </c>
      <c r="Q268" s="23" t="n">
        <f aca="false">IF(ISNUMBER(P268),I268*P268,"")</f>
        <v>29900</v>
      </c>
      <c r="R268" s="23" t="n">
        <f aca="false">IF(ISNUMBER(Q268),MAX(0,MIN(L268,Q268-I268*K268)),L268)</f>
        <v>2065.60718472566</v>
      </c>
      <c r="S268" s="23" t="n">
        <f aca="false">R268+I268*K268</f>
        <v>6251.60718472566</v>
      </c>
      <c r="T268" s="23" t="n">
        <v>7848</v>
      </c>
      <c r="U268" s="23" t="n">
        <v>11844</v>
      </c>
      <c r="V268" s="23" t="n">
        <f aca="false">T268+U268</f>
        <v>19692</v>
      </c>
      <c r="W268" s="30" t="n">
        <f aca="false">IF(I268&gt;0,V268/I268,"")</f>
        <v>4.70425226946966</v>
      </c>
      <c r="X268" s="3" t="str">
        <f aca="false">IF(I268&lt;=0,"SIN FCST",IF(V268&lt;R268,"BAJO SS",IF(T268&lt;R268,"BAJO SS (XLIB CUBRE)",IF(V268&lt;S268,"BAJO P.REORDEN",IF(AND(ISNUMBER(Q268),V268&gt;Q268),"SOBRE MAX VENDIBLE","OK")))))</f>
        <v>OK</v>
      </c>
    </row>
    <row r="269" customFormat="false" ht="15" hidden="false" customHeight="false" outlineLevel="0" collapsed="false">
      <c r="A269" s="3" t="n">
        <v>30000360</v>
      </c>
      <c r="B269" s="3" t="s">
        <v>382</v>
      </c>
      <c r="C269" s="3" t="s">
        <v>139</v>
      </c>
      <c r="D269" s="3" t="s">
        <v>753</v>
      </c>
      <c r="E269" s="3" t="s">
        <v>745</v>
      </c>
      <c r="F269" s="3" t="str">
        <f aca="false">IFERROR(INDEX(ABC_XYZ!$L$5:$L$494,MATCH(A269,ABC_XYZ!$A$5:$A$494,0)),"SIN HIST")</f>
        <v>BY</v>
      </c>
      <c r="G269" s="24" t="n">
        <f aca="false">IF(LEFT(F269,1)="A",Parametros!$B$8,IF(LEFT(F269,1)="B",Parametros!$B$9,IF(LEFT(F269,1)="C",Parametros!$B$10,Parametros!$B$11)))</f>
        <v>0.95</v>
      </c>
      <c r="H269" s="27" t="n">
        <f aca="false">NORMSINV(G269)</f>
        <v>1.64485362695147</v>
      </c>
      <c r="I269" s="23" t="n">
        <v>4183.9</v>
      </c>
      <c r="J269" s="23" t="n">
        <f aca="false">IFERROR(INDEX(ABC_XYZ!$R$5:$R$494,MATCH(A269,ABC_XYZ!$A$5:$A$494,0)),I269*Parametros!$B$13)</f>
        <v>2673.74620796747</v>
      </c>
      <c r="K269" s="27" t="n">
        <f aca="false">IFERROR(VLOOKUP(C269,Parametros!$A$36:$B$66,2,FALSE()),Parametros!$B$12)</f>
        <v>1</v>
      </c>
      <c r="L269" s="23" t="n">
        <f aca="false">H269*J269*SQRT(K269)</f>
        <v>4397.92114772304</v>
      </c>
      <c r="M269" s="29" t="n">
        <v>189</v>
      </c>
      <c r="N269" s="24" t="n">
        <v>0.259259259259259</v>
      </c>
      <c r="O269" s="3" t="s">
        <v>746</v>
      </c>
      <c r="P269" s="30" t="n">
        <f aca="false">IF(AND(ISNUMBER(M269),ISNUMBER(N269)),M269*N269/7,"")</f>
        <v>7</v>
      </c>
      <c r="Q269" s="23" t="n">
        <f aca="false">IF(ISNUMBER(P269),I269*P269,"")</f>
        <v>29287.3</v>
      </c>
      <c r="R269" s="23" t="n">
        <f aca="false">IF(ISNUMBER(Q269),MAX(0,MIN(L269,Q269-I269*K269)),L269)</f>
        <v>4397.92114772304</v>
      </c>
      <c r="S269" s="23" t="n">
        <f aca="false">R269+I269*K269</f>
        <v>8581.82114772304</v>
      </c>
      <c r="T269" s="23" t="n">
        <v>13308</v>
      </c>
      <c r="U269" s="23" t="n">
        <v>13032</v>
      </c>
      <c r="V269" s="23" t="n">
        <f aca="false">T269+U269</f>
        <v>26340</v>
      </c>
      <c r="W269" s="30" t="n">
        <f aca="false">IF(I269&gt;0,V269/I269,"")</f>
        <v>6.2955615573986</v>
      </c>
      <c r="X269" s="3" t="str">
        <f aca="false">IF(I269&lt;=0,"SIN FCST",IF(V269&lt;R269,"BAJO SS",IF(T269&lt;R269,"BAJO SS (XLIB CUBRE)",IF(V269&lt;S269,"BAJO P.REORDEN",IF(AND(ISNUMBER(Q269),V269&gt;Q269),"SOBRE MAX VENDIBLE","OK")))))</f>
        <v>OK</v>
      </c>
    </row>
    <row r="270" customFormat="false" ht="15" hidden="false" customHeight="false" outlineLevel="0" collapsed="false">
      <c r="A270" s="3" t="n">
        <v>30001946</v>
      </c>
      <c r="B270" s="3" t="s">
        <v>400</v>
      </c>
      <c r="C270" s="3" t="s">
        <v>135</v>
      </c>
      <c r="D270" s="3" t="s">
        <v>753</v>
      </c>
      <c r="E270" s="3" t="s">
        <v>762</v>
      </c>
      <c r="F270" s="3" t="str">
        <f aca="false">IFERROR(INDEX(ABC_XYZ!$L$5:$L$494,MATCH(A270,ABC_XYZ!$A$5:$A$494,0)),"SIN HIST")</f>
        <v>BX</v>
      </c>
      <c r="G270" s="24" t="n">
        <f aca="false">IF(LEFT(F270,1)="A",Parametros!$B$8,IF(LEFT(F270,1)="B",Parametros!$B$9,IF(LEFT(F270,1)="C",Parametros!$B$10,Parametros!$B$11)))</f>
        <v>0.95</v>
      </c>
      <c r="H270" s="27" t="n">
        <f aca="false">NORMSINV(G270)</f>
        <v>1.64485362695147</v>
      </c>
      <c r="I270" s="23" t="n">
        <v>4135.9</v>
      </c>
      <c r="J270" s="23" t="n">
        <f aca="false">IFERROR(INDEX(ABC_XYZ!$R$5:$R$494,MATCH(A270,ABC_XYZ!$A$5:$A$494,0)),I270*Parametros!$B$13)</f>
        <v>1058.19255059771</v>
      </c>
      <c r="K270" s="27" t="n">
        <f aca="false">IFERROR(VLOOKUP(C270,Parametros!$A$36:$B$66,2,FALSE()),Parametros!$B$12)</f>
        <v>1</v>
      </c>
      <c r="L270" s="23" t="n">
        <f aca="false">H270*J270*SQRT(K270)</f>
        <v>1740.57185486367</v>
      </c>
      <c r="M270" s="29" t="n">
        <v>90</v>
      </c>
      <c r="N270" s="24" t="n">
        <v>0.222222222222222</v>
      </c>
      <c r="O270" s="3" t="s">
        <v>754</v>
      </c>
      <c r="P270" s="30" t="n">
        <f aca="false">IF(AND(ISNUMBER(M270),ISNUMBER(N270)),M270*N270/7,"")</f>
        <v>2.85714285714286</v>
      </c>
      <c r="Q270" s="23" t="n">
        <f aca="false">IF(ISNUMBER(P270),I270*P270,"")</f>
        <v>11816.8571428571</v>
      </c>
      <c r="R270" s="23" t="n">
        <f aca="false">IF(ISNUMBER(Q270),MAX(0,MIN(L270,Q270-I270*K270)),L270)</f>
        <v>1740.57185486367</v>
      </c>
      <c r="S270" s="23" t="n">
        <f aca="false">R270+I270*K270</f>
        <v>5876.47185486367</v>
      </c>
      <c r="T270" s="23" t="n">
        <v>1046.4</v>
      </c>
      <c r="U270" s="23" t="n">
        <v>3043.2</v>
      </c>
      <c r="V270" s="23" t="n">
        <f aca="false">T270+U270</f>
        <v>4089.6</v>
      </c>
      <c r="W270" s="30" t="n">
        <f aca="false">IF(I270&gt;0,V270/I270,"")</f>
        <v>0.988805338620373</v>
      </c>
      <c r="X270" s="3" t="str">
        <f aca="false">IF(I270&lt;=0,"SIN FCST",IF(V270&lt;R270,"BAJO SS",IF(T270&lt;R270,"BAJO SS (XLIB CUBRE)",IF(V270&lt;S270,"BAJO P.REORDEN",IF(AND(ISNUMBER(Q270),V270&gt;Q270),"SOBRE MAX VENDIBLE","OK")))))</f>
        <v>BAJO SS (XLIB CUBRE)</v>
      </c>
    </row>
    <row r="271" customFormat="false" ht="15" hidden="false" customHeight="false" outlineLevel="0" collapsed="false">
      <c r="A271" s="3" t="n">
        <v>30001980</v>
      </c>
      <c r="B271" s="3" t="s">
        <v>935</v>
      </c>
      <c r="C271" s="3" t="s">
        <v>139</v>
      </c>
      <c r="D271" s="3" t="s">
        <v>753</v>
      </c>
      <c r="E271" s="3" t="s">
        <v>745</v>
      </c>
      <c r="F271" s="3" t="str">
        <f aca="false">IFERROR(INDEX(ABC_XYZ!$L$5:$L$494,MATCH(A271,ABC_XYZ!$A$5:$A$494,0)),"SIN HIST")</f>
        <v>BX</v>
      </c>
      <c r="G271" s="24" t="n">
        <f aca="false">IF(LEFT(F271,1)="A",Parametros!$B$8,IF(LEFT(F271,1)="B",Parametros!$B$9,IF(LEFT(F271,1)="C",Parametros!$B$10,Parametros!$B$11)))</f>
        <v>0.95</v>
      </c>
      <c r="H271" s="27" t="n">
        <f aca="false">NORMSINV(G271)</f>
        <v>1.64485362695147</v>
      </c>
      <c r="I271" s="23" t="n">
        <v>4127.2</v>
      </c>
      <c r="J271" s="23" t="n">
        <f aca="false">IFERROR(INDEX(ABC_XYZ!$R$5:$R$494,MATCH(A271,ABC_XYZ!$A$5:$A$494,0)),I271*Parametros!$B$13)</f>
        <v>1007.98434935443</v>
      </c>
      <c r="K271" s="27" t="n">
        <f aca="false">IFERROR(VLOOKUP(C271,Parametros!$A$36:$B$66,2,FALSE()),Parametros!$B$12)</f>
        <v>1</v>
      </c>
      <c r="L271" s="23" t="n">
        <f aca="false">H271*J271*SQRT(K271)</f>
        <v>1657.98671294595</v>
      </c>
      <c r="M271" s="29" t="n">
        <v>189</v>
      </c>
      <c r="N271" s="24" t="n">
        <v>0.306878306878307</v>
      </c>
      <c r="O271" s="3" t="s">
        <v>754</v>
      </c>
      <c r="P271" s="30" t="n">
        <f aca="false">IF(AND(ISNUMBER(M271),ISNUMBER(N271)),M271*N271/7,"")</f>
        <v>8.28571428571429</v>
      </c>
      <c r="Q271" s="23" t="n">
        <f aca="false">IF(ISNUMBER(P271),I271*P271,"")</f>
        <v>34196.8</v>
      </c>
      <c r="R271" s="23" t="n">
        <f aca="false">IF(ISNUMBER(Q271),MAX(0,MIN(L271,Q271-I271*K271)),L271)</f>
        <v>1657.98671294595</v>
      </c>
      <c r="S271" s="23" t="n">
        <f aca="false">R271+I271*K271</f>
        <v>5785.18671294595</v>
      </c>
      <c r="T271" s="23" t="n">
        <v>22572</v>
      </c>
      <c r="U271" s="23" t="n">
        <v>0</v>
      </c>
      <c r="V271" s="23" t="n">
        <f aca="false">T271+U271</f>
        <v>22572</v>
      </c>
      <c r="W271" s="30" t="n">
        <f aca="false">IF(I271&gt;0,V271/I271,"")</f>
        <v>5.46908315565032</v>
      </c>
      <c r="X271" s="3" t="str">
        <f aca="false">IF(I271&lt;=0,"SIN FCST",IF(V271&lt;R271,"BAJO SS",IF(T271&lt;R271,"BAJO SS (XLIB CUBRE)",IF(V271&lt;S271,"BAJO P.REORDEN",IF(AND(ISNUMBER(Q271),V271&gt;Q271),"SOBRE MAX VENDIBLE","OK")))))</f>
        <v>OK</v>
      </c>
    </row>
    <row r="272" customFormat="false" ht="15" hidden="false" customHeight="false" outlineLevel="0" collapsed="false">
      <c r="A272" s="3" t="n">
        <v>30002184</v>
      </c>
      <c r="B272" s="3" t="s">
        <v>936</v>
      </c>
      <c r="C272" s="3" t="s">
        <v>135</v>
      </c>
      <c r="D272" s="3" t="s">
        <v>753</v>
      </c>
      <c r="E272" s="3"/>
      <c r="F272" s="3" t="str">
        <f aca="false">IFERROR(INDEX(ABC_XYZ!$L$5:$L$494,MATCH(A272,ABC_XYZ!$A$5:$A$494,0)),"SIN HIST")</f>
        <v>BX</v>
      </c>
      <c r="G272" s="24" t="n">
        <f aca="false">IF(LEFT(F272,1)="A",Parametros!$B$8,IF(LEFT(F272,1)="B",Parametros!$B$9,IF(LEFT(F272,1)="C",Parametros!$B$10,Parametros!$B$11)))</f>
        <v>0.95</v>
      </c>
      <c r="H272" s="27" t="n">
        <f aca="false">NORMSINV(G272)</f>
        <v>1.64485362695147</v>
      </c>
      <c r="I272" s="23" t="n">
        <v>4051</v>
      </c>
      <c r="J272" s="23" t="n">
        <f aca="false">IFERROR(INDEX(ABC_XYZ!$R$5:$R$494,MATCH(A272,ABC_XYZ!$A$5:$A$494,0)),I272*Parametros!$B$13)</f>
        <v>2484.13947550967</v>
      </c>
      <c r="K272" s="27" t="n">
        <f aca="false">IFERROR(VLOOKUP(C272,Parametros!$A$36:$B$66,2,FALSE()),Parametros!$B$12)</f>
        <v>1</v>
      </c>
      <c r="L272" s="23" t="n">
        <f aca="false">H272*J272*SQRT(K272)</f>
        <v>4086.04582614541</v>
      </c>
      <c r="M272" s="29" t="n">
        <v>123</v>
      </c>
      <c r="N272" s="24" t="n">
        <v>0.24</v>
      </c>
      <c r="O272" s="3" t="s">
        <v>754</v>
      </c>
      <c r="P272" s="30" t="n">
        <f aca="false">IF(AND(ISNUMBER(M272),ISNUMBER(N272)),M272*N272/7,"")</f>
        <v>4.21714285714286</v>
      </c>
      <c r="Q272" s="23" t="n">
        <f aca="false">IF(ISNUMBER(P272),I272*P272,"")</f>
        <v>17083.6457142857</v>
      </c>
      <c r="R272" s="23" t="n">
        <f aca="false">IF(ISNUMBER(Q272),MAX(0,MIN(L272,Q272-I272*K272)),L272)</f>
        <v>4086.04582614541</v>
      </c>
      <c r="S272" s="23" t="n">
        <f aca="false">R272+I272*K272</f>
        <v>8137.04582614541</v>
      </c>
      <c r="T272" s="23" t="n">
        <v>2688</v>
      </c>
      <c r="U272" s="23" t="n">
        <v>3916.8</v>
      </c>
      <c r="V272" s="23" t="n">
        <f aca="false">T272+U272</f>
        <v>6604.8</v>
      </c>
      <c r="W272" s="30" t="n">
        <f aca="false">IF(I272&gt;0,V272/I272,"")</f>
        <v>1.6304122438904</v>
      </c>
      <c r="X272" s="3" t="str">
        <f aca="false">IF(I272&lt;=0,"SIN FCST",IF(V272&lt;R272,"BAJO SS",IF(T272&lt;R272,"BAJO SS (XLIB CUBRE)",IF(V272&lt;S272,"BAJO P.REORDEN",IF(AND(ISNUMBER(Q272),V272&gt;Q272),"SOBRE MAX VENDIBLE","OK")))))</f>
        <v>BAJO SS (XLIB CUBRE)</v>
      </c>
    </row>
    <row r="273" customFormat="false" ht="15" hidden="false" customHeight="false" outlineLevel="0" collapsed="false">
      <c r="A273" s="3" t="n">
        <v>30000753</v>
      </c>
      <c r="B273" s="3" t="s">
        <v>937</v>
      </c>
      <c r="C273" s="3" t="s">
        <v>133</v>
      </c>
      <c r="D273" s="3" t="s">
        <v>769</v>
      </c>
      <c r="E273" s="3"/>
      <c r="F273" s="3" t="str">
        <f aca="false">IFERROR(INDEX(ABC_XYZ!$L$5:$L$494,MATCH(A273,ABC_XYZ!$A$5:$A$494,0)),"SIN HIST")</f>
        <v>SIN HIST</v>
      </c>
      <c r="G273" s="24" t="n">
        <f aca="false">IF(LEFT(F273,1)="A",Parametros!$B$8,IF(LEFT(F273,1)="B",Parametros!$B$9,IF(LEFT(F273,1)="C",Parametros!$B$10,Parametros!$B$11)))</f>
        <v>0.95</v>
      </c>
      <c r="H273" s="27" t="n">
        <f aca="false">NORMSINV(G273)</f>
        <v>1.64485362695147</v>
      </c>
      <c r="I273" s="23" t="n">
        <v>4046.5</v>
      </c>
      <c r="J273" s="23" t="n">
        <f aca="false">IFERROR(INDEX(ABC_XYZ!$R$5:$R$494,MATCH(A273,ABC_XYZ!$A$5:$A$494,0)),I273*Parametros!$B$13)</f>
        <v>1213.95</v>
      </c>
      <c r="K273" s="27" t="n">
        <f aca="false">IFERROR(VLOOKUP(C273,Parametros!$A$36:$B$66,2,FALSE()),Parametros!$B$12)</f>
        <v>1</v>
      </c>
      <c r="L273" s="23" t="n">
        <f aca="false">H273*J273*SQRT(K273)</f>
        <v>1996.77006043774</v>
      </c>
      <c r="M273" s="29"/>
      <c r="N273" s="24"/>
      <c r="O273" s="3"/>
      <c r="P273" s="30" t="str">
        <f aca="false">IF(AND(ISNUMBER(M273),ISNUMBER(N273)),M273*N273/7,"")</f>
        <v/>
      </c>
      <c r="Q273" s="23" t="str">
        <f aca="false">IF(ISNUMBER(P273),I273*P273,"")</f>
        <v/>
      </c>
      <c r="R273" s="23" t="n">
        <f aca="false">IF(ISNUMBER(Q273),MAX(0,MIN(L273,Q273-I273*K273)),L273)</f>
        <v>1996.77006043774</v>
      </c>
      <c r="S273" s="23" t="n">
        <f aca="false">R273+I273*K273</f>
        <v>6043.27006043774</v>
      </c>
      <c r="T273" s="23" t="n">
        <v>63340</v>
      </c>
      <c r="U273" s="23" t="n">
        <v>3000</v>
      </c>
      <c r="V273" s="23" t="n">
        <f aca="false">T273+U273</f>
        <v>66340</v>
      </c>
      <c r="W273" s="30" t="n">
        <f aca="false">IF(I273&gt;0,V273/I273,"")</f>
        <v>16.3944149264797</v>
      </c>
      <c r="X273" s="3" t="str">
        <f aca="false">IF(I273&lt;=0,"SIN FCST",IF(V273&lt;R273,"BAJO SS",IF(T273&lt;R273,"BAJO SS (XLIB CUBRE)",IF(V273&lt;S273,"BAJO P.REORDEN",IF(AND(ISNUMBER(Q273),V273&gt;Q273),"SOBRE MAX VENDIBLE","OK")))))</f>
        <v>OK</v>
      </c>
    </row>
    <row r="274" customFormat="false" ht="15" hidden="false" customHeight="false" outlineLevel="0" collapsed="false">
      <c r="A274" s="3" t="n">
        <v>30000787</v>
      </c>
      <c r="B274" s="3" t="s">
        <v>938</v>
      </c>
      <c r="C274" s="3" t="s">
        <v>133</v>
      </c>
      <c r="D274" s="3" t="s">
        <v>758</v>
      </c>
      <c r="E274" s="3"/>
      <c r="F274" s="3" t="str">
        <f aca="false">IFERROR(INDEX(ABC_XYZ!$L$5:$L$494,MATCH(A274,ABC_XYZ!$A$5:$A$494,0)),"SIN HIST")</f>
        <v>SIN HIST</v>
      </c>
      <c r="G274" s="24" t="n">
        <f aca="false">IF(LEFT(F274,1)="A",Parametros!$B$8,IF(LEFT(F274,1)="B",Parametros!$B$9,IF(LEFT(F274,1)="C",Parametros!$B$10,Parametros!$B$11)))</f>
        <v>0.95</v>
      </c>
      <c r="H274" s="27" t="n">
        <f aca="false">NORMSINV(G274)</f>
        <v>1.64485362695147</v>
      </c>
      <c r="I274" s="23" t="n">
        <v>4018.9</v>
      </c>
      <c r="J274" s="23" t="n">
        <f aca="false">IFERROR(INDEX(ABC_XYZ!$R$5:$R$494,MATCH(A274,ABC_XYZ!$A$5:$A$494,0)),I274*Parametros!$B$13)</f>
        <v>1205.67</v>
      </c>
      <c r="K274" s="27" t="n">
        <f aca="false">IFERROR(VLOOKUP(C274,Parametros!$A$36:$B$66,2,FALSE()),Parametros!$B$12)</f>
        <v>1</v>
      </c>
      <c r="L274" s="23" t="n">
        <f aca="false">H274*J274*SQRT(K274)</f>
        <v>1983.15067240658</v>
      </c>
      <c r="M274" s="29"/>
      <c r="N274" s="24"/>
      <c r="O274" s="3"/>
      <c r="P274" s="30" t="str">
        <f aca="false">IF(AND(ISNUMBER(M274),ISNUMBER(N274)),M274*N274/7,"")</f>
        <v/>
      </c>
      <c r="Q274" s="23" t="str">
        <f aca="false">IF(ISNUMBER(P274),I274*P274,"")</f>
        <v/>
      </c>
      <c r="R274" s="23" t="n">
        <f aca="false">IF(ISNUMBER(Q274),MAX(0,MIN(L274,Q274-I274*K274)),L274)</f>
        <v>1983.15067240658</v>
      </c>
      <c r="S274" s="23" t="n">
        <f aca="false">R274+I274*K274</f>
        <v>6002.05067240658</v>
      </c>
      <c r="T274" s="23" t="n">
        <v>25425</v>
      </c>
      <c r="U274" s="23" t="n">
        <v>0</v>
      </c>
      <c r="V274" s="23" t="n">
        <f aca="false">T274+U274</f>
        <v>25425</v>
      </c>
      <c r="W274" s="30" t="n">
        <f aca="false">IF(I274&gt;0,V274/I274,"")</f>
        <v>6.3263579586454</v>
      </c>
      <c r="X274" s="3" t="str">
        <f aca="false">IF(I274&lt;=0,"SIN FCST",IF(V274&lt;R274,"BAJO SS",IF(T274&lt;R274,"BAJO SS (XLIB CUBRE)",IF(V274&lt;S274,"BAJO P.REORDEN",IF(AND(ISNUMBER(Q274),V274&gt;Q274),"SOBRE MAX VENDIBLE","OK")))))</f>
        <v>OK</v>
      </c>
    </row>
    <row r="275" customFormat="false" ht="15" hidden="false" customHeight="false" outlineLevel="0" collapsed="false">
      <c r="A275" s="3" t="n">
        <v>30002278</v>
      </c>
      <c r="B275" s="3" t="s">
        <v>939</v>
      </c>
      <c r="C275" s="3" t="s">
        <v>149</v>
      </c>
      <c r="D275" s="3" t="s">
        <v>744</v>
      </c>
      <c r="E275" s="3"/>
      <c r="F275" s="3" t="str">
        <f aca="false">IFERROR(INDEX(ABC_XYZ!$L$5:$L$494,MATCH(A275,ABC_XYZ!$A$5:$A$494,0)),"SIN HIST")</f>
        <v>BY</v>
      </c>
      <c r="G275" s="24" t="n">
        <f aca="false">IF(LEFT(F275,1)="A",Parametros!$B$8,IF(LEFT(F275,1)="B",Parametros!$B$9,IF(LEFT(F275,1)="C",Parametros!$B$10,Parametros!$B$11)))</f>
        <v>0.95</v>
      </c>
      <c r="H275" s="27" t="n">
        <f aca="false">NORMSINV(G275)</f>
        <v>1.64485362695147</v>
      </c>
      <c r="I275" s="23" t="n">
        <v>4000</v>
      </c>
      <c r="J275" s="23" t="n">
        <f aca="false">IFERROR(INDEX(ABC_XYZ!$R$5:$R$494,MATCH(A275,ABC_XYZ!$A$5:$A$494,0)),I275*Parametros!$B$13)</f>
        <v>1266.87149780473</v>
      </c>
      <c r="K275" s="27" t="n">
        <f aca="false">IFERROR(VLOOKUP(C275,Parametros!$A$36:$B$66,2,FALSE()),Parametros!$B$12)</f>
        <v>1</v>
      </c>
      <c r="L275" s="23" t="n">
        <f aca="false">H275*J275*SQRT(K275)</f>
        <v>2083.81817804555</v>
      </c>
      <c r="M275" s="29"/>
      <c r="N275" s="24"/>
      <c r="O275" s="3"/>
      <c r="P275" s="30" t="str">
        <f aca="false">IF(AND(ISNUMBER(M275),ISNUMBER(N275)),M275*N275/7,"")</f>
        <v/>
      </c>
      <c r="Q275" s="23" t="str">
        <f aca="false">IF(ISNUMBER(P275),I275*P275,"")</f>
        <v/>
      </c>
      <c r="R275" s="23" t="n">
        <f aca="false">IF(ISNUMBER(Q275),MAX(0,MIN(L275,Q275-I275*K275)),L275)</f>
        <v>2083.81817804555</v>
      </c>
      <c r="S275" s="23" t="n">
        <f aca="false">R275+I275*K275</f>
        <v>6083.81817804555</v>
      </c>
      <c r="T275" s="23" t="n">
        <v>13924.9</v>
      </c>
      <c r="U275" s="23" t="n">
        <v>1090.9</v>
      </c>
      <c r="V275" s="23" t="n">
        <f aca="false">T275+U275</f>
        <v>15015.8</v>
      </c>
      <c r="W275" s="30" t="n">
        <f aca="false">IF(I275&gt;0,V275/I275,"")</f>
        <v>3.75395</v>
      </c>
      <c r="X275" s="3" t="str">
        <f aca="false">IF(I275&lt;=0,"SIN FCST",IF(V275&lt;R275,"BAJO SS",IF(T275&lt;R275,"BAJO SS (XLIB CUBRE)",IF(V275&lt;S275,"BAJO P.REORDEN",IF(AND(ISNUMBER(Q275),V275&gt;Q275),"SOBRE MAX VENDIBLE","OK")))))</f>
        <v>OK</v>
      </c>
    </row>
    <row r="276" customFormat="false" ht="15" hidden="false" customHeight="false" outlineLevel="0" collapsed="false">
      <c r="A276" s="3" t="n">
        <v>30001083</v>
      </c>
      <c r="B276" s="3" t="s">
        <v>940</v>
      </c>
      <c r="C276" s="3" t="s">
        <v>155</v>
      </c>
      <c r="D276" s="3" t="s">
        <v>761</v>
      </c>
      <c r="E276" s="3" t="s">
        <v>762</v>
      </c>
      <c r="F276" s="3" t="str">
        <f aca="false">IFERROR(INDEX(ABC_XYZ!$L$5:$L$494,MATCH(A276,ABC_XYZ!$A$5:$A$494,0)),"SIN HIST")</f>
        <v>BX</v>
      </c>
      <c r="G276" s="24" t="n">
        <f aca="false">IF(LEFT(F276,1)="A",Parametros!$B$8,IF(LEFT(F276,1)="B",Parametros!$B$9,IF(LEFT(F276,1)="C",Parametros!$B$10,Parametros!$B$11)))</f>
        <v>0.95</v>
      </c>
      <c r="H276" s="27" t="n">
        <f aca="false">NORMSINV(G276)</f>
        <v>1.64485362695147</v>
      </c>
      <c r="I276" s="23" t="n">
        <v>3982.5</v>
      </c>
      <c r="J276" s="23" t="n">
        <f aca="false">IFERROR(INDEX(ABC_XYZ!$R$5:$R$494,MATCH(A276,ABC_XYZ!$A$5:$A$494,0)),I276*Parametros!$B$13)</f>
        <v>1879.84807913791</v>
      </c>
      <c r="K276" s="27" t="n">
        <f aca="false">IFERROR(VLOOKUP(C276,Parametros!$A$36:$B$66,2,FALSE()),Parametros!$B$12)</f>
        <v>1</v>
      </c>
      <c r="L276" s="23" t="n">
        <f aca="false">H276*J276*SQRT(K276)</f>
        <v>3092.07493108775</v>
      </c>
      <c r="M276" s="29" t="n">
        <v>57</v>
      </c>
      <c r="N276" s="24" t="n">
        <v>0.298245614035088</v>
      </c>
      <c r="O276" s="3" t="s">
        <v>763</v>
      </c>
      <c r="P276" s="30" t="n">
        <f aca="false">IF(AND(ISNUMBER(M276),ISNUMBER(N276)),M276*N276/7,"")</f>
        <v>2.42857142857143</v>
      </c>
      <c r="Q276" s="23" t="n">
        <f aca="false">IF(ISNUMBER(P276),I276*P276,"")</f>
        <v>9671.78571428572</v>
      </c>
      <c r="R276" s="23" t="n">
        <f aca="false">IF(ISNUMBER(Q276),MAX(0,MIN(L276,Q276-I276*K276)),L276)</f>
        <v>3092.07493108775</v>
      </c>
      <c r="S276" s="23" t="n">
        <f aca="false">R276+I276*K276</f>
        <v>7074.57493108775</v>
      </c>
      <c r="T276" s="23" t="n">
        <v>6325.4</v>
      </c>
      <c r="U276" s="23" t="n">
        <v>0</v>
      </c>
      <c r="V276" s="23" t="n">
        <f aca="false">T276+U276</f>
        <v>6325.4</v>
      </c>
      <c r="W276" s="30" t="n">
        <f aca="false">IF(I276&gt;0,V276/I276,"")</f>
        <v>1.58829880728186</v>
      </c>
      <c r="X276" s="3" t="str">
        <f aca="false">IF(I276&lt;=0,"SIN FCST",IF(V276&lt;R276,"BAJO SS",IF(T276&lt;R276,"BAJO SS (XLIB CUBRE)",IF(V276&lt;S276,"BAJO P.REORDEN",IF(AND(ISNUMBER(Q276),V276&gt;Q276),"SOBRE MAX VENDIBLE","OK")))))</f>
        <v>BAJO P.REORDEN</v>
      </c>
    </row>
    <row r="277" customFormat="false" ht="15" hidden="false" customHeight="false" outlineLevel="0" collapsed="false">
      <c r="A277" s="3" t="n">
        <v>30000339</v>
      </c>
      <c r="B277" s="3" t="s">
        <v>941</v>
      </c>
      <c r="C277" s="3" t="s">
        <v>148</v>
      </c>
      <c r="D277" s="3" t="s">
        <v>753</v>
      </c>
      <c r="E277" s="3" t="s">
        <v>745</v>
      </c>
      <c r="F277" s="3" t="str">
        <f aca="false">IFERROR(INDEX(ABC_XYZ!$L$5:$L$494,MATCH(A277,ABC_XYZ!$A$5:$A$494,0)),"SIN HIST")</f>
        <v>SIN HIST</v>
      </c>
      <c r="G277" s="24" t="n">
        <f aca="false">IF(LEFT(F277,1)="A",Parametros!$B$8,IF(LEFT(F277,1)="B",Parametros!$B$9,IF(LEFT(F277,1)="C",Parametros!$B$10,Parametros!$B$11)))</f>
        <v>0.95</v>
      </c>
      <c r="H277" s="27" t="n">
        <f aca="false">NORMSINV(G277)</f>
        <v>1.64485362695147</v>
      </c>
      <c r="I277" s="23" t="n">
        <v>3953.5</v>
      </c>
      <c r="J277" s="23" t="n">
        <f aca="false">IFERROR(INDEX(ABC_XYZ!$R$5:$R$494,MATCH(A277,ABC_XYZ!$A$5:$A$494,0)),I277*Parametros!$B$13)</f>
        <v>1186.05</v>
      </c>
      <c r="K277" s="27" t="n">
        <f aca="false">IFERROR(VLOOKUP(C277,Parametros!$A$36:$B$66,2,FALSE()),Parametros!$B$12)</f>
        <v>1</v>
      </c>
      <c r="L277" s="23" t="n">
        <f aca="false">H277*J277*SQRT(K277)</f>
        <v>1950.87864424579</v>
      </c>
      <c r="M277" s="29" t="n">
        <v>245</v>
      </c>
      <c r="N277" s="24" t="n">
        <v>0.253061224489796</v>
      </c>
      <c r="O277" s="3" t="s">
        <v>754</v>
      </c>
      <c r="P277" s="30" t="n">
        <f aca="false">IF(AND(ISNUMBER(M277),ISNUMBER(N277)),M277*N277/7,"")</f>
        <v>8.85714285714286</v>
      </c>
      <c r="Q277" s="23" t="n">
        <f aca="false">IF(ISNUMBER(P277),I277*P277,"")</f>
        <v>35016.7142857143</v>
      </c>
      <c r="R277" s="23" t="n">
        <f aca="false">IF(ISNUMBER(Q277),MAX(0,MIN(L277,Q277-I277*K277)),L277)</f>
        <v>1950.87864424579</v>
      </c>
      <c r="S277" s="23" t="n">
        <f aca="false">R277+I277*K277</f>
        <v>5904.37864424579</v>
      </c>
      <c r="T277" s="23" t="n">
        <v>21360</v>
      </c>
      <c r="U277" s="23" t="n">
        <v>0</v>
      </c>
      <c r="V277" s="23" t="n">
        <f aca="false">T277+U277</f>
        <v>21360</v>
      </c>
      <c r="W277" s="30" t="n">
        <f aca="false">IF(I277&gt;0,V277/I277,"")</f>
        <v>5.40280763880106</v>
      </c>
      <c r="X277" s="3" t="str">
        <f aca="false">IF(I277&lt;=0,"SIN FCST",IF(V277&lt;R277,"BAJO SS",IF(T277&lt;R277,"BAJO SS (XLIB CUBRE)",IF(V277&lt;S277,"BAJO P.REORDEN",IF(AND(ISNUMBER(Q277),V277&gt;Q277),"SOBRE MAX VENDIBLE","OK")))))</f>
        <v>OK</v>
      </c>
    </row>
    <row r="278" customFormat="false" ht="15" hidden="false" customHeight="false" outlineLevel="0" collapsed="false">
      <c r="A278" s="3" t="n">
        <v>30001992</v>
      </c>
      <c r="B278" s="3" t="s">
        <v>942</v>
      </c>
      <c r="C278" s="3" t="s">
        <v>139</v>
      </c>
      <c r="D278" s="3" t="s">
        <v>753</v>
      </c>
      <c r="E278" s="3" t="s">
        <v>745</v>
      </c>
      <c r="F278" s="3" t="str">
        <f aca="false">IFERROR(INDEX(ABC_XYZ!$L$5:$L$494,MATCH(A278,ABC_XYZ!$A$5:$A$494,0)),"SIN HIST")</f>
        <v>CX</v>
      </c>
      <c r="G278" s="24" t="n">
        <f aca="false">IF(LEFT(F278,1)="A",Parametros!$B$8,IF(LEFT(F278,1)="B",Parametros!$B$9,IF(LEFT(F278,1)="C",Parametros!$B$10,Parametros!$B$11)))</f>
        <v>0.9</v>
      </c>
      <c r="H278" s="27" t="n">
        <f aca="false">NORMSINV(G278)</f>
        <v>1.2815515655446</v>
      </c>
      <c r="I278" s="23" t="n">
        <v>3894</v>
      </c>
      <c r="J278" s="23" t="n">
        <f aca="false">IFERROR(INDEX(ABC_XYZ!$R$5:$R$494,MATCH(A278,ABC_XYZ!$A$5:$A$494,0)),I278*Parametros!$B$13)</f>
        <v>1115.85609768611</v>
      </c>
      <c r="K278" s="27" t="n">
        <f aca="false">IFERROR(VLOOKUP(C278,Parametros!$A$36:$B$66,2,FALSE()),Parametros!$B$12)</f>
        <v>1</v>
      </c>
      <c r="L278" s="23" t="n">
        <f aca="false">H278*J278*SQRT(K278)</f>
        <v>1430.02712891212</v>
      </c>
      <c r="M278" s="29" t="n">
        <v>250</v>
      </c>
      <c r="N278" s="24" t="n">
        <v>0.268</v>
      </c>
      <c r="O278" s="3" t="s">
        <v>754</v>
      </c>
      <c r="P278" s="30" t="n">
        <f aca="false">IF(AND(ISNUMBER(M278),ISNUMBER(N278)),M278*N278/7,"")</f>
        <v>9.57142857142857</v>
      </c>
      <c r="Q278" s="23" t="n">
        <f aca="false">IF(ISNUMBER(P278),I278*P278,"")</f>
        <v>37271.1428571429</v>
      </c>
      <c r="R278" s="23" t="n">
        <f aca="false">IF(ISNUMBER(Q278),MAX(0,MIN(L278,Q278-I278*K278)),L278)</f>
        <v>1430.02712891212</v>
      </c>
      <c r="S278" s="23" t="n">
        <f aca="false">R278+I278*K278</f>
        <v>5324.02712891212</v>
      </c>
      <c r="T278" s="23" t="n">
        <v>9468</v>
      </c>
      <c r="U278" s="23" t="n">
        <v>14340</v>
      </c>
      <c r="V278" s="23" t="n">
        <f aca="false">T278+U278</f>
        <v>23808</v>
      </c>
      <c r="W278" s="30" t="n">
        <f aca="false">IF(I278&gt;0,V278/I278,"")</f>
        <v>6.11402157164869</v>
      </c>
      <c r="X278" s="3" t="str">
        <f aca="false">IF(I278&lt;=0,"SIN FCST",IF(V278&lt;R278,"BAJO SS",IF(T278&lt;R278,"BAJO SS (XLIB CUBRE)",IF(V278&lt;S278,"BAJO P.REORDEN",IF(AND(ISNUMBER(Q278),V278&gt;Q278),"SOBRE MAX VENDIBLE","OK")))))</f>
        <v>OK</v>
      </c>
    </row>
    <row r="279" customFormat="false" ht="15" hidden="false" customHeight="false" outlineLevel="0" collapsed="false">
      <c r="A279" s="3" t="n">
        <v>30000252</v>
      </c>
      <c r="B279" s="3" t="s">
        <v>943</v>
      </c>
      <c r="C279" s="3" t="s">
        <v>135</v>
      </c>
      <c r="D279" s="3" t="s">
        <v>753</v>
      </c>
      <c r="E279" s="3" t="s">
        <v>762</v>
      </c>
      <c r="F279" s="3" t="str">
        <f aca="false">IFERROR(INDEX(ABC_XYZ!$L$5:$L$494,MATCH(A279,ABC_XYZ!$A$5:$A$494,0)),"SIN HIST")</f>
        <v>BX</v>
      </c>
      <c r="G279" s="24" t="n">
        <f aca="false">IF(LEFT(F279,1)="A",Parametros!$B$8,IF(LEFT(F279,1)="B",Parametros!$B$9,IF(LEFT(F279,1)="C",Parametros!$B$10,Parametros!$B$11)))</f>
        <v>0.95</v>
      </c>
      <c r="H279" s="27" t="n">
        <f aca="false">NORMSINV(G279)</f>
        <v>1.64485362695147</v>
      </c>
      <c r="I279" s="23" t="n">
        <v>3861.6</v>
      </c>
      <c r="J279" s="23" t="n">
        <f aca="false">IFERROR(INDEX(ABC_XYZ!$R$5:$R$494,MATCH(A279,ABC_XYZ!$A$5:$A$494,0)),I279*Parametros!$B$13)</f>
        <v>1439.64585931004</v>
      </c>
      <c r="K279" s="27" t="n">
        <f aca="false">IFERROR(VLOOKUP(C279,Parametros!$A$36:$B$66,2,FALSE()),Parametros!$B$12)</f>
        <v>1</v>
      </c>
      <c r="L279" s="23" t="n">
        <f aca="false">H279*J279*SQRT(K279)</f>
        <v>2368.00671321178</v>
      </c>
      <c r="M279" s="29" t="n">
        <v>90</v>
      </c>
      <c r="N279" s="24" t="n">
        <v>0.222222222222222</v>
      </c>
      <c r="O279" s="3" t="s">
        <v>754</v>
      </c>
      <c r="P279" s="30" t="n">
        <f aca="false">IF(AND(ISNUMBER(M279),ISNUMBER(N279)),M279*N279/7,"")</f>
        <v>2.85714285714286</v>
      </c>
      <c r="Q279" s="23" t="n">
        <f aca="false">IF(ISNUMBER(P279),I279*P279,"")</f>
        <v>11033.1428571429</v>
      </c>
      <c r="R279" s="23" t="n">
        <f aca="false">IF(ISNUMBER(Q279),MAX(0,MIN(L279,Q279-I279*K279)),L279)</f>
        <v>2368.00671321178</v>
      </c>
      <c r="S279" s="23" t="n">
        <f aca="false">R279+I279*K279</f>
        <v>6229.60671321178</v>
      </c>
      <c r="T279" s="23" t="n">
        <v>1050</v>
      </c>
      <c r="U279" s="23" t="n">
        <v>0</v>
      </c>
      <c r="V279" s="23" t="n">
        <f aca="false">T279+U279</f>
        <v>1050</v>
      </c>
      <c r="W279" s="30" t="n">
        <f aca="false">IF(I279&gt;0,V279/I279,"")</f>
        <v>0.271908017402113</v>
      </c>
      <c r="X279" s="3" t="str">
        <f aca="false">IF(I279&lt;=0,"SIN FCST",IF(V279&lt;R279,"BAJO SS",IF(T279&lt;R279,"BAJO SS (XLIB CUBRE)",IF(V279&lt;S279,"BAJO P.REORDEN",IF(AND(ISNUMBER(Q279),V279&gt;Q279),"SOBRE MAX VENDIBLE","OK")))))</f>
        <v>BAJO SS</v>
      </c>
    </row>
    <row r="280" customFormat="false" ht="15" hidden="false" customHeight="false" outlineLevel="0" collapsed="false">
      <c r="A280" s="3" t="n">
        <v>30000121</v>
      </c>
      <c r="B280" s="3" t="s">
        <v>944</v>
      </c>
      <c r="C280" s="3" t="s">
        <v>143</v>
      </c>
      <c r="D280" s="3" t="s">
        <v>750</v>
      </c>
      <c r="E280" s="3" t="s">
        <v>745</v>
      </c>
      <c r="F280" s="3" t="str">
        <f aca="false">IFERROR(INDEX(ABC_XYZ!$L$5:$L$494,MATCH(A280,ABC_XYZ!$A$5:$A$494,0)),"SIN HIST")</f>
        <v>SIN HIST</v>
      </c>
      <c r="G280" s="24" t="n">
        <f aca="false">IF(LEFT(F280,1)="A",Parametros!$B$8,IF(LEFT(F280,1)="B",Parametros!$B$9,IF(LEFT(F280,1)="C",Parametros!$B$10,Parametros!$B$11)))</f>
        <v>0.95</v>
      </c>
      <c r="H280" s="27" t="n">
        <f aca="false">NORMSINV(G280)</f>
        <v>1.64485362695147</v>
      </c>
      <c r="I280" s="23" t="n">
        <v>3843.3</v>
      </c>
      <c r="J280" s="23" t="n">
        <f aca="false">IFERROR(INDEX(ABC_XYZ!$R$5:$R$494,MATCH(A280,ABC_XYZ!$A$5:$A$494,0)),I280*Parametros!$B$13)</f>
        <v>1152.99</v>
      </c>
      <c r="K280" s="27" t="n">
        <f aca="false">IFERROR(VLOOKUP(C280,Parametros!$A$36:$B$66,2,FALSE()),Parametros!$B$12)</f>
        <v>1</v>
      </c>
      <c r="L280" s="23" t="n">
        <f aca="false">H280*J280*SQRT(K280)</f>
        <v>1896.49978333878</v>
      </c>
      <c r="M280" s="29" t="n">
        <v>305</v>
      </c>
      <c r="N280" s="24" t="n">
        <v>0.272131147540984</v>
      </c>
      <c r="O280" s="3" t="s">
        <v>746</v>
      </c>
      <c r="P280" s="30" t="n">
        <f aca="false">IF(AND(ISNUMBER(M280),ISNUMBER(N280)),M280*N280/7,"")</f>
        <v>11.8571428571429</v>
      </c>
      <c r="Q280" s="23" t="n">
        <f aca="false">IF(ISNUMBER(P280),I280*P280,"")</f>
        <v>45570.5571428572</v>
      </c>
      <c r="R280" s="23" t="n">
        <f aca="false">IF(ISNUMBER(Q280),MAX(0,MIN(L280,Q280-I280*K280)),L280)</f>
        <v>1896.49978333878</v>
      </c>
      <c r="S280" s="23" t="n">
        <f aca="false">R280+I280*K280</f>
        <v>5739.79978333878</v>
      </c>
      <c r="T280" s="23" t="n">
        <v>340</v>
      </c>
      <c r="U280" s="23" t="n">
        <v>0</v>
      </c>
      <c r="V280" s="23" t="n">
        <f aca="false">T280+U280</f>
        <v>340</v>
      </c>
      <c r="W280" s="30" t="n">
        <f aca="false">IF(I280&gt;0,V280/I280,"")</f>
        <v>0.0884656415059975</v>
      </c>
      <c r="X280" s="3" t="str">
        <f aca="false">IF(I280&lt;=0,"SIN FCST",IF(V280&lt;R280,"BAJO SS",IF(T280&lt;R280,"BAJO SS (XLIB CUBRE)",IF(V280&lt;S280,"BAJO P.REORDEN",IF(AND(ISNUMBER(Q280),V280&gt;Q280),"SOBRE MAX VENDIBLE","OK")))))</f>
        <v>BAJO SS</v>
      </c>
    </row>
    <row r="281" customFormat="false" ht="15" hidden="false" customHeight="false" outlineLevel="0" collapsed="false">
      <c r="A281" s="3" t="n">
        <v>30000246</v>
      </c>
      <c r="B281" s="3" t="s">
        <v>945</v>
      </c>
      <c r="C281" s="3" t="s">
        <v>135</v>
      </c>
      <c r="D281" s="3" t="s">
        <v>753</v>
      </c>
      <c r="E281" s="3" t="s">
        <v>745</v>
      </c>
      <c r="F281" s="3" t="str">
        <f aca="false">IFERROR(INDEX(ABC_XYZ!$L$5:$L$494,MATCH(A281,ABC_XYZ!$A$5:$A$494,0)),"SIN HIST")</f>
        <v>BX</v>
      </c>
      <c r="G281" s="24" t="n">
        <f aca="false">IF(LEFT(F281,1)="A",Parametros!$B$8,IF(LEFT(F281,1)="B",Parametros!$B$9,IF(LEFT(F281,1)="C",Parametros!$B$10,Parametros!$B$11)))</f>
        <v>0.95</v>
      </c>
      <c r="H281" s="27" t="n">
        <f aca="false">NORMSINV(G281)</f>
        <v>1.64485362695147</v>
      </c>
      <c r="I281" s="23" t="n">
        <v>3825</v>
      </c>
      <c r="J281" s="23" t="n">
        <f aca="false">IFERROR(INDEX(ABC_XYZ!$R$5:$R$494,MATCH(A281,ABC_XYZ!$A$5:$A$494,0)),I281*Parametros!$B$13)</f>
        <v>1011.68609560337</v>
      </c>
      <c r="K281" s="27" t="n">
        <f aca="false">IFERROR(VLOOKUP(C281,Parametros!$A$36:$B$66,2,FALSE()),Parametros!$B$12)</f>
        <v>1</v>
      </c>
      <c r="L281" s="23" t="n">
        <f aca="false">H281*J281*SQRT(K281)</f>
        <v>1664.07554368958</v>
      </c>
      <c r="M281" s="29" t="n">
        <v>365</v>
      </c>
      <c r="N281" s="24" t="n">
        <v>0.194520547945206</v>
      </c>
      <c r="O281" s="3" t="s">
        <v>746</v>
      </c>
      <c r="P281" s="30" t="n">
        <f aca="false">IF(AND(ISNUMBER(M281),ISNUMBER(N281)),M281*N281/7,"")</f>
        <v>10.1428571428571</v>
      </c>
      <c r="Q281" s="23" t="n">
        <f aca="false">IF(ISNUMBER(P281),I281*P281,"")</f>
        <v>38796.4285714286</v>
      </c>
      <c r="R281" s="23" t="n">
        <f aca="false">IF(ISNUMBER(Q281),MAX(0,MIN(L281,Q281-I281*K281)),L281)</f>
        <v>1664.07554368958</v>
      </c>
      <c r="S281" s="23" t="n">
        <f aca="false">R281+I281*K281</f>
        <v>5489.07554368958</v>
      </c>
      <c r="T281" s="23" t="n">
        <v>14448</v>
      </c>
      <c r="U281" s="23" t="n">
        <v>0</v>
      </c>
      <c r="V281" s="23" t="n">
        <f aca="false">T281+U281</f>
        <v>14448</v>
      </c>
      <c r="W281" s="30" t="n">
        <f aca="false">IF(I281&gt;0,V281/I281,"")</f>
        <v>3.77725490196078</v>
      </c>
      <c r="X281" s="3" t="str">
        <f aca="false">IF(I281&lt;=0,"SIN FCST",IF(V281&lt;R281,"BAJO SS",IF(T281&lt;R281,"BAJO SS (XLIB CUBRE)",IF(V281&lt;S281,"BAJO P.REORDEN",IF(AND(ISNUMBER(Q281),V281&gt;Q281),"SOBRE MAX VENDIBLE","OK")))))</f>
        <v>OK</v>
      </c>
    </row>
    <row r="282" customFormat="false" ht="15" hidden="false" customHeight="false" outlineLevel="0" collapsed="false">
      <c r="A282" s="3" t="n">
        <v>30000177</v>
      </c>
      <c r="B282" s="3" t="s">
        <v>946</v>
      </c>
      <c r="C282" s="3" t="s">
        <v>144</v>
      </c>
      <c r="D282" s="3" t="s">
        <v>753</v>
      </c>
      <c r="E282" s="3" t="s">
        <v>745</v>
      </c>
      <c r="F282" s="3" t="str">
        <f aca="false">IFERROR(INDEX(ABC_XYZ!$L$5:$L$494,MATCH(A282,ABC_XYZ!$A$5:$A$494,0)),"SIN HIST")</f>
        <v>BX</v>
      </c>
      <c r="G282" s="24" t="n">
        <f aca="false">IF(LEFT(F282,1)="A",Parametros!$B$8,IF(LEFT(F282,1)="B",Parametros!$B$9,IF(LEFT(F282,1)="C",Parametros!$B$10,Parametros!$B$11)))</f>
        <v>0.95</v>
      </c>
      <c r="H282" s="27" t="n">
        <f aca="false">NORMSINV(G282)</f>
        <v>1.64485362695147</v>
      </c>
      <c r="I282" s="23" t="n">
        <v>3817.6</v>
      </c>
      <c r="J282" s="23" t="n">
        <f aca="false">IFERROR(INDEX(ABC_XYZ!$R$5:$R$494,MATCH(A282,ABC_XYZ!$A$5:$A$494,0)),I282*Parametros!$B$13)</f>
        <v>1033.06207650293</v>
      </c>
      <c r="K282" s="27" t="n">
        <f aca="false">IFERROR(VLOOKUP(C282,Parametros!$A$36:$B$66,2,FALSE()),Parametros!$B$12)</f>
        <v>1</v>
      </c>
      <c r="L282" s="23" t="n">
        <f aca="false">H282*J282*SQRT(K282)</f>
        <v>1699.23590340186</v>
      </c>
      <c r="M282" s="29" t="n">
        <v>184</v>
      </c>
      <c r="N282" s="24" t="n">
        <v>0.28804347826087</v>
      </c>
      <c r="O282" s="3" t="s">
        <v>746</v>
      </c>
      <c r="P282" s="30" t="n">
        <f aca="false">IF(AND(ISNUMBER(M282),ISNUMBER(N282)),M282*N282/7,"")</f>
        <v>7.57142857142857</v>
      </c>
      <c r="Q282" s="23" t="n">
        <f aca="false">IF(ISNUMBER(P282),I282*P282,"")</f>
        <v>28904.6857142857</v>
      </c>
      <c r="R282" s="23" t="n">
        <f aca="false">IF(ISNUMBER(Q282),MAX(0,MIN(L282,Q282-I282*K282)),L282)</f>
        <v>1699.23590340186</v>
      </c>
      <c r="S282" s="23" t="n">
        <f aca="false">R282+I282*K282</f>
        <v>5516.83590340186</v>
      </c>
      <c r="T282" s="23" t="n">
        <v>17616</v>
      </c>
      <c r="U282" s="23" t="n">
        <v>0</v>
      </c>
      <c r="V282" s="23" t="n">
        <f aca="false">T282+U282</f>
        <v>17616</v>
      </c>
      <c r="W282" s="30" t="n">
        <f aca="false">IF(I282&gt;0,V282/I282,"")</f>
        <v>4.61441743503772</v>
      </c>
      <c r="X282" s="3" t="str">
        <f aca="false">IF(I282&lt;=0,"SIN FCST",IF(V282&lt;R282,"BAJO SS",IF(T282&lt;R282,"BAJO SS (XLIB CUBRE)",IF(V282&lt;S282,"BAJO P.REORDEN",IF(AND(ISNUMBER(Q282),V282&gt;Q282),"SOBRE MAX VENDIBLE","OK")))))</f>
        <v>OK</v>
      </c>
    </row>
    <row r="283" customFormat="false" ht="15" hidden="false" customHeight="false" outlineLevel="0" collapsed="false">
      <c r="A283" s="3" t="n">
        <v>30000822</v>
      </c>
      <c r="B283" s="3" t="s">
        <v>947</v>
      </c>
      <c r="C283" s="3" t="s">
        <v>133</v>
      </c>
      <c r="D283" s="3" t="s">
        <v>769</v>
      </c>
      <c r="E283" s="3"/>
      <c r="F283" s="3" t="str">
        <f aca="false">IFERROR(INDEX(ABC_XYZ!$L$5:$L$494,MATCH(A283,ABC_XYZ!$A$5:$A$494,0)),"SIN HIST")</f>
        <v>SIN HIST</v>
      </c>
      <c r="G283" s="24" t="n">
        <f aca="false">IF(LEFT(F283,1)="A",Parametros!$B$8,IF(LEFT(F283,1)="B",Parametros!$B$9,IF(LEFT(F283,1)="C",Parametros!$B$10,Parametros!$B$11)))</f>
        <v>0.95</v>
      </c>
      <c r="H283" s="27" t="n">
        <f aca="false">NORMSINV(G283)</f>
        <v>1.64485362695147</v>
      </c>
      <c r="I283" s="23" t="n">
        <v>3812.1</v>
      </c>
      <c r="J283" s="23" t="n">
        <f aca="false">IFERROR(INDEX(ABC_XYZ!$R$5:$R$494,MATCH(A283,ABC_XYZ!$A$5:$A$494,0)),I283*Parametros!$B$13)</f>
        <v>1143.63</v>
      </c>
      <c r="K283" s="27" t="n">
        <f aca="false">IFERROR(VLOOKUP(C283,Parametros!$A$36:$B$66,2,FALSE()),Parametros!$B$12)</f>
        <v>1</v>
      </c>
      <c r="L283" s="23" t="n">
        <f aca="false">H283*J283*SQRT(K283)</f>
        <v>1881.10395339051</v>
      </c>
      <c r="M283" s="29"/>
      <c r="N283" s="24"/>
      <c r="O283" s="3"/>
      <c r="P283" s="30" t="str">
        <f aca="false">IF(AND(ISNUMBER(M283),ISNUMBER(N283)),M283*N283/7,"")</f>
        <v/>
      </c>
      <c r="Q283" s="23" t="str">
        <f aca="false">IF(ISNUMBER(P283),I283*P283,"")</f>
        <v/>
      </c>
      <c r="R283" s="23" t="n">
        <f aca="false">IF(ISNUMBER(Q283),MAX(0,MIN(L283,Q283-I283*K283)),L283)</f>
        <v>1881.10395339051</v>
      </c>
      <c r="S283" s="23" t="n">
        <f aca="false">R283+I283*K283</f>
        <v>5693.20395339051</v>
      </c>
      <c r="T283" s="23" t="n">
        <v>42924</v>
      </c>
      <c r="U283" s="23" t="n">
        <v>0</v>
      </c>
      <c r="V283" s="23" t="n">
        <f aca="false">T283+U283</f>
        <v>42924</v>
      </c>
      <c r="W283" s="30" t="n">
        <f aca="false">IF(I283&gt;0,V283/I283,"")</f>
        <v>11.2599354686393</v>
      </c>
      <c r="X283" s="3" t="str">
        <f aca="false">IF(I283&lt;=0,"SIN FCST",IF(V283&lt;R283,"BAJO SS",IF(T283&lt;R283,"BAJO SS (XLIB CUBRE)",IF(V283&lt;S283,"BAJO P.REORDEN",IF(AND(ISNUMBER(Q283),V283&gt;Q283),"SOBRE MAX VENDIBLE","OK")))))</f>
        <v>OK</v>
      </c>
    </row>
    <row r="284" customFormat="false" ht="15" hidden="false" customHeight="false" outlineLevel="0" collapsed="false">
      <c r="A284" s="3" t="n">
        <v>30001883</v>
      </c>
      <c r="B284" s="3" t="s">
        <v>476</v>
      </c>
      <c r="C284" s="3" t="s">
        <v>144</v>
      </c>
      <c r="D284" s="3" t="s">
        <v>753</v>
      </c>
      <c r="E284" s="3" t="s">
        <v>745</v>
      </c>
      <c r="F284" s="3" t="str">
        <f aca="false">IFERROR(INDEX(ABC_XYZ!$L$5:$L$494,MATCH(A284,ABC_XYZ!$A$5:$A$494,0)),"SIN HIST")</f>
        <v>BX</v>
      </c>
      <c r="G284" s="24" t="n">
        <f aca="false">IF(LEFT(F284,1)="A",Parametros!$B$8,IF(LEFT(F284,1)="B",Parametros!$B$9,IF(LEFT(F284,1)="C",Parametros!$B$10,Parametros!$B$11)))</f>
        <v>0.95</v>
      </c>
      <c r="H284" s="27" t="n">
        <f aca="false">NORMSINV(G284)</f>
        <v>1.64485362695147</v>
      </c>
      <c r="I284" s="23" t="n">
        <v>3808.7</v>
      </c>
      <c r="J284" s="23" t="n">
        <f aca="false">IFERROR(INDEX(ABC_XYZ!$R$5:$R$494,MATCH(A284,ABC_XYZ!$A$5:$A$494,0)),I284*Parametros!$B$13)</f>
        <v>1385.30240794071</v>
      </c>
      <c r="K284" s="27" t="n">
        <f aca="false">IFERROR(VLOOKUP(C284,Parametros!$A$36:$B$66,2,FALSE()),Parametros!$B$12)</f>
        <v>1</v>
      </c>
      <c r="L284" s="23" t="n">
        <f aca="false">H284*J284*SQRT(K284)</f>
        <v>2278.61969012588</v>
      </c>
      <c r="M284" s="29" t="n">
        <v>365</v>
      </c>
      <c r="N284" s="24" t="n">
        <v>0.194520547945206</v>
      </c>
      <c r="O284" s="3" t="s">
        <v>746</v>
      </c>
      <c r="P284" s="30" t="n">
        <f aca="false">IF(AND(ISNUMBER(M284),ISNUMBER(N284)),M284*N284/7,"")</f>
        <v>10.1428571428571</v>
      </c>
      <c r="Q284" s="23" t="n">
        <f aca="false">IF(ISNUMBER(P284),I284*P284,"")</f>
        <v>38631.1</v>
      </c>
      <c r="R284" s="23" t="n">
        <f aca="false">IF(ISNUMBER(Q284),MAX(0,MIN(L284,Q284-I284*K284)),L284)</f>
        <v>2278.61969012588</v>
      </c>
      <c r="S284" s="23" t="n">
        <f aca="false">R284+I284*K284</f>
        <v>6087.31969012588</v>
      </c>
      <c r="T284" s="23" t="n">
        <v>10254.6</v>
      </c>
      <c r="U284" s="23" t="n">
        <v>0</v>
      </c>
      <c r="V284" s="23" t="n">
        <f aca="false">T284+U284</f>
        <v>10254.6</v>
      </c>
      <c r="W284" s="30" t="n">
        <f aca="false">IF(I284&gt;0,V284/I284,"")</f>
        <v>2.69241473468638</v>
      </c>
      <c r="X284" s="3" t="str">
        <f aca="false">IF(I284&lt;=0,"SIN FCST",IF(V284&lt;R284,"BAJO SS",IF(T284&lt;R284,"BAJO SS (XLIB CUBRE)",IF(V284&lt;S284,"BAJO P.REORDEN",IF(AND(ISNUMBER(Q284),V284&gt;Q284),"SOBRE MAX VENDIBLE","OK")))))</f>
        <v>OK</v>
      </c>
    </row>
    <row r="285" customFormat="false" ht="15" hidden="false" customHeight="false" outlineLevel="0" collapsed="false">
      <c r="A285" s="3" t="n">
        <v>30002090</v>
      </c>
      <c r="B285" s="3" t="s">
        <v>317</v>
      </c>
      <c r="C285" s="3" t="s">
        <v>155</v>
      </c>
      <c r="D285" s="3" t="s">
        <v>761</v>
      </c>
      <c r="E285" s="3" t="s">
        <v>762</v>
      </c>
      <c r="F285" s="3" t="str">
        <f aca="false">IFERROR(INDEX(ABC_XYZ!$L$5:$L$494,MATCH(A285,ABC_XYZ!$A$5:$A$494,0)),"SIN HIST")</f>
        <v>AX</v>
      </c>
      <c r="G285" s="24" t="n">
        <f aca="false">IF(LEFT(F285,1)="A",Parametros!$B$8,IF(LEFT(F285,1)="B",Parametros!$B$9,IF(LEFT(F285,1)="C",Parametros!$B$10,Parametros!$B$11)))</f>
        <v>0.98</v>
      </c>
      <c r="H285" s="27" t="n">
        <f aca="false">NORMSINV(G285)</f>
        <v>2.05374891063182</v>
      </c>
      <c r="I285" s="23" t="n">
        <v>3808.6</v>
      </c>
      <c r="J285" s="23" t="n">
        <f aca="false">IFERROR(INDEX(ABC_XYZ!$R$5:$R$494,MATCH(A285,ABC_XYZ!$A$5:$A$494,0)),I285*Parametros!$B$13)</f>
        <v>4698.46876418356</v>
      </c>
      <c r="K285" s="27" t="n">
        <f aca="false">IFERROR(VLOOKUP(C285,Parametros!$A$36:$B$66,2,FALSE()),Parametros!$B$12)</f>
        <v>1</v>
      </c>
      <c r="L285" s="23" t="n">
        <f aca="false">H285*J285*SQRT(K285)</f>
        <v>9649.47510607962</v>
      </c>
      <c r="M285" s="29" t="n">
        <v>60</v>
      </c>
      <c r="N285" s="24" t="n">
        <v>0.183333333333333</v>
      </c>
      <c r="O285" s="3" t="s">
        <v>754</v>
      </c>
      <c r="P285" s="30" t="n">
        <f aca="false">IF(AND(ISNUMBER(M285),ISNUMBER(N285)),M285*N285/7,"")</f>
        <v>1.57142857142857</v>
      </c>
      <c r="Q285" s="23" t="n">
        <f aca="false">IF(ISNUMBER(P285),I285*P285,"")</f>
        <v>5984.94285714286</v>
      </c>
      <c r="R285" s="23" t="n">
        <f aca="false">IF(ISNUMBER(Q285),MAX(0,MIN(L285,Q285-I285*K285)),L285)</f>
        <v>2176.34285714286</v>
      </c>
      <c r="S285" s="23" t="n">
        <f aca="false">R285+I285*K285</f>
        <v>5984.94285714286</v>
      </c>
      <c r="T285" s="23" t="n">
        <v>4203</v>
      </c>
      <c r="U285" s="23" t="n">
        <v>0</v>
      </c>
      <c r="V285" s="23" t="n">
        <f aca="false">T285+U285</f>
        <v>4203</v>
      </c>
      <c r="W285" s="30" t="n">
        <f aca="false">IF(I285&gt;0,V285/I285,"")</f>
        <v>1.10355511211469</v>
      </c>
      <c r="X285" s="3" t="str">
        <f aca="false">IF(I285&lt;=0,"SIN FCST",IF(V285&lt;R285,"BAJO SS",IF(T285&lt;R285,"BAJO SS (XLIB CUBRE)",IF(V285&lt;S285,"BAJO P.REORDEN",IF(AND(ISNUMBER(Q285),V285&gt;Q285),"SOBRE MAX VENDIBLE","OK")))))</f>
        <v>BAJO P.REORDEN</v>
      </c>
    </row>
    <row r="286" customFormat="false" ht="15" hidden="false" customHeight="false" outlineLevel="0" collapsed="false">
      <c r="A286" s="3" t="n">
        <v>30000812</v>
      </c>
      <c r="B286" s="3" t="s">
        <v>948</v>
      </c>
      <c r="C286" s="3" t="s">
        <v>133</v>
      </c>
      <c r="D286" s="3" t="s">
        <v>758</v>
      </c>
      <c r="E286" s="3"/>
      <c r="F286" s="3" t="str">
        <f aca="false">IFERROR(INDEX(ABC_XYZ!$L$5:$L$494,MATCH(A286,ABC_XYZ!$A$5:$A$494,0)),"SIN HIST")</f>
        <v>SIN HIST</v>
      </c>
      <c r="G286" s="24" t="n">
        <f aca="false">IF(LEFT(F286,1)="A",Parametros!$B$8,IF(LEFT(F286,1)="B",Parametros!$B$9,IF(LEFT(F286,1)="C",Parametros!$B$10,Parametros!$B$11)))</f>
        <v>0.95</v>
      </c>
      <c r="H286" s="27" t="n">
        <f aca="false">NORMSINV(G286)</f>
        <v>1.64485362695147</v>
      </c>
      <c r="I286" s="23" t="n">
        <v>3781.4</v>
      </c>
      <c r="J286" s="23" t="n">
        <f aca="false">IFERROR(INDEX(ABC_XYZ!$R$5:$R$494,MATCH(A286,ABC_XYZ!$A$5:$A$494,0)),I286*Parametros!$B$13)</f>
        <v>1134.42</v>
      </c>
      <c r="K286" s="27" t="n">
        <f aca="false">IFERROR(VLOOKUP(C286,Parametros!$A$36:$B$66,2,FALSE()),Parametros!$B$12)</f>
        <v>1</v>
      </c>
      <c r="L286" s="23" t="n">
        <f aca="false">H286*J286*SQRT(K286)</f>
        <v>1865.95485148629</v>
      </c>
      <c r="M286" s="29"/>
      <c r="N286" s="24"/>
      <c r="O286" s="3"/>
      <c r="P286" s="30" t="str">
        <f aca="false">IF(AND(ISNUMBER(M286),ISNUMBER(N286)),M286*N286/7,"")</f>
        <v/>
      </c>
      <c r="Q286" s="23" t="str">
        <f aca="false">IF(ISNUMBER(P286),I286*P286,"")</f>
        <v/>
      </c>
      <c r="R286" s="23" t="n">
        <f aca="false">IF(ISNUMBER(Q286),MAX(0,MIN(L286,Q286-I286*K286)),L286)</f>
        <v>1865.95485148629</v>
      </c>
      <c r="S286" s="23" t="n">
        <f aca="false">R286+I286*K286</f>
        <v>5647.35485148629</v>
      </c>
      <c r="T286" s="23" t="n">
        <v>11724</v>
      </c>
      <c r="U286" s="23" t="n">
        <v>0</v>
      </c>
      <c r="V286" s="23" t="n">
        <f aca="false">T286+U286</f>
        <v>11724</v>
      </c>
      <c r="W286" s="30" t="n">
        <f aca="false">IF(I286&gt;0,V286/I286,"")</f>
        <v>3.10043899084995</v>
      </c>
      <c r="X286" s="3" t="str">
        <f aca="false">IF(I286&lt;=0,"SIN FCST",IF(V286&lt;R286,"BAJO SS",IF(T286&lt;R286,"BAJO SS (XLIB CUBRE)",IF(V286&lt;S286,"BAJO P.REORDEN",IF(AND(ISNUMBER(Q286),V286&gt;Q286),"SOBRE MAX VENDIBLE","OK")))))</f>
        <v>OK</v>
      </c>
    </row>
    <row r="287" customFormat="false" ht="15" hidden="false" customHeight="false" outlineLevel="0" collapsed="false">
      <c r="A287" s="3" t="n">
        <v>30002268</v>
      </c>
      <c r="B287" s="3" t="s">
        <v>949</v>
      </c>
      <c r="C287" s="3" t="s">
        <v>129</v>
      </c>
      <c r="D287" s="3" t="s">
        <v>769</v>
      </c>
      <c r="E287" s="3"/>
      <c r="F287" s="3" t="str">
        <f aca="false">IFERROR(INDEX(ABC_XYZ!$L$5:$L$494,MATCH(A287,ABC_XYZ!$A$5:$A$494,0)),"SIN HIST")</f>
        <v>BX</v>
      </c>
      <c r="G287" s="24" t="n">
        <f aca="false">IF(LEFT(F287,1)="A",Parametros!$B$8,IF(LEFT(F287,1)="B",Parametros!$B$9,IF(LEFT(F287,1)="C",Parametros!$B$10,Parametros!$B$11)))</f>
        <v>0.95</v>
      </c>
      <c r="H287" s="27" t="n">
        <f aca="false">NORMSINV(G287)</f>
        <v>1.64485362695147</v>
      </c>
      <c r="I287" s="23" t="n">
        <v>3748.2</v>
      </c>
      <c r="J287" s="23" t="n">
        <f aca="false">IFERROR(INDEX(ABC_XYZ!$R$5:$R$494,MATCH(A287,ABC_XYZ!$A$5:$A$494,0)),I287*Parametros!$B$13)</f>
        <v>1852.49083898769</v>
      </c>
      <c r="K287" s="27" t="n">
        <f aca="false">IFERROR(VLOOKUP(C287,Parametros!$A$36:$B$66,2,FALSE()),Parametros!$B$12)</f>
        <v>1</v>
      </c>
      <c r="L287" s="23" t="n">
        <f aca="false">H287*J287*SQRT(K287)</f>
        <v>3047.07627540328</v>
      </c>
      <c r="M287" s="29" t="n">
        <v>1095</v>
      </c>
      <c r="N287" s="24" t="n">
        <v>0.5</v>
      </c>
      <c r="O287" s="3" t="s">
        <v>774</v>
      </c>
      <c r="P287" s="30" t="n">
        <f aca="false">IF(AND(ISNUMBER(M287),ISNUMBER(N287)),M287*N287/7,"")</f>
        <v>78.2142857142857</v>
      </c>
      <c r="Q287" s="23" t="n">
        <f aca="false">IF(ISNUMBER(P287),I287*P287,"")</f>
        <v>293162.785714286</v>
      </c>
      <c r="R287" s="23" t="n">
        <f aca="false">IF(ISNUMBER(Q287),MAX(0,MIN(L287,Q287-I287*K287)),L287)</f>
        <v>3047.07627540328</v>
      </c>
      <c r="S287" s="23" t="n">
        <f aca="false">R287+I287*K287</f>
        <v>6795.27627540328</v>
      </c>
      <c r="T287" s="23" t="n">
        <v>111625.9</v>
      </c>
      <c r="U287" s="23" t="n">
        <v>0</v>
      </c>
      <c r="V287" s="23" t="n">
        <f aca="false">T287+U287</f>
        <v>111625.9</v>
      </c>
      <c r="W287" s="30" t="n">
        <f aca="false">IF(I287&gt;0,V287/I287,"")</f>
        <v>29.7812016434555</v>
      </c>
      <c r="X287" s="3" t="str">
        <f aca="false">IF(I287&lt;=0,"SIN FCST",IF(V287&lt;R287,"BAJO SS",IF(T287&lt;R287,"BAJO SS (XLIB CUBRE)",IF(V287&lt;S287,"BAJO P.REORDEN",IF(AND(ISNUMBER(Q287),V287&gt;Q287),"SOBRE MAX VENDIBLE","OK")))))</f>
        <v>OK</v>
      </c>
    </row>
    <row r="288" customFormat="false" ht="15" hidden="false" customHeight="false" outlineLevel="0" collapsed="false">
      <c r="A288" s="3" t="n">
        <v>30001661</v>
      </c>
      <c r="B288" s="3" t="s">
        <v>431</v>
      </c>
      <c r="C288" s="3" t="s">
        <v>144</v>
      </c>
      <c r="D288" s="3" t="s">
        <v>753</v>
      </c>
      <c r="E288" s="3" t="s">
        <v>745</v>
      </c>
      <c r="F288" s="3" t="str">
        <f aca="false">IFERROR(INDEX(ABC_XYZ!$L$5:$L$494,MATCH(A288,ABC_XYZ!$A$5:$A$494,0)),"SIN HIST")</f>
        <v>BX</v>
      </c>
      <c r="G288" s="24" t="n">
        <f aca="false">IF(LEFT(F288,1)="A",Parametros!$B$8,IF(LEFT(F288,1)="B",Parametros!$B$9,IF(LEFT(F288,1)="C",Parametros!$B$10,Parametros!$B$11)))</f>
        <v>0.95</v>
      </c>
      <c r="H288" s="27" t="n">
        <f aca="false">NORMSINV(G288)</f>
        <v>1.64485362695147</v>
      </c>
      <c r="I288" s="23" t="n">
        <v>3720.2</v>
      </c>
      <c r="J288" s="23" t="n">
        <f aca="false">IFERROR(INDEX(ABC_XYZ!$R$5:$R$494,MATCH(A288,ABC_XYZ!$A$5:$A$494,0)),I288*Parametros!$B$13)</f>
        <v>647.187039013194</v>
      </c>
      <c r="K288" s="27" t="n">
        <f aca="false">IFERROR(VLOOKUP(C288,Parametros!$A$36:$B$66,2,FALSE()),Parametros!$B$12)</f>
        <v>1</v>
      </c>
      <c r="L288" s="23" t="n">
        <f aca="false">H288*J288*SQRT(K288)</f>
        <v>1064.52794843684</v>
      </c>
      <c r="M288" s="29" t="n">
        <v>365</v>
      </c>
      <c r="N288" s="24" t="n">
        <v>0.273972602739726</v>
      </c>
      <c r="O288" s="3" t="s">
        <v>746</v>
      </c>
      <c r="P288" s="30" t="n">
        <f aca="false">IF(AND(ISNUMBER(M288),ISNUMBER(N288)),M288*N288/7,"")</f>
        <v>14.2857142857143</v>
      </c>
      <c r="Q288" s="23" t="n">
        <f aca="false">IF(ISNUMBER(P288),I288*P288,"")</f>
        <v>53145.7142857143</v>
      </c>
      <c r="R288" s="23" t="n">
        <f aca="false">IF(ISNUMBER(Q288),MAX(0,MIN(L288,Q288-I288*K288)),L288)</f>
        <v>1064.52794843684</v>
      </c>
      <c r="S288" s="23" t="n">
        <f aca="false">R288+I288*K288</f>
        <v>4784.72794843684</v>
      </c>
      <c r="T288" s="23" t="n">
        <v>2371.7</v>
      </c>
      <c r="U288" s="23" t="n">
        <v>0</v>
      </c>
      <c r="V288" s="23" t="n">
        <f aca="false">T288+U288</f>
        <v>2371.7</v>
      </c>
      <c r="W288" s="30" t="n">
        <f aca="false">IF(I288&gt;0,V288/I288,"")</f>
        <v>0.637519488199559</v>
      </c>
      <c r="X288" s="3" t="str">
        <f aca="false">IF(I288&lt;=0,"SIN FCST",IF(V288&lt;R288,"BAJO SS",IF(T288&lt;R288,"BAJO SS (XLIB CUBRE)",IF(V288&lt;S288,"BAJO P.REORDEN",IF(AND(ISNUMBER(Q288),V288&gt;Q288),"SOBRE MAX VENDIBLE","OK")))))</f>
        <v>BAJO P.REORDEN</v>
      </c>
    </row>
    <row r="289" customFormat="false" ht="15" hidden="false" customHeight="false" outlineLevel="0" collapsed="false">
      <c r="A289" s="3" t="n">
        <v>30000860</v>
      </c>
      <c r="B289" s="3" t="s">
        <v>950</v>
      </c>
      <c r="C289" s="3" t="s">
        <v>133</v>
      </c>
      <c r="D289" s="3" t="s">
        <v>769</v>
      </c>
      <c r="E289" s="3"/>
      <c r="F289" s="3" t="str">
        <f aca="false">IFERROR(INDEX(ABC_XYZ!$L$5:$L$494,MATCH(A289,ABC_XYZ!$A$5:$A$494,0)),"SIN HIST")</f>
        <v>SIN HIST</v>
      </c>
      <c r="G289" s="24" t="n">
        <f aca="false">IF(LEFT(F289,1)="A",Parametros!$B$8,IF(LEFT(F289,1)="B",Parametros!$B$9,IF(LEFT(F289,1)="C",Parametros!$B$10,Parametros!$B$11)))</f>
        <v>0.95</v>
      </c>
      <c r="H289" s="27" t="n">
        <f aca="false">NORMSINV(G289)</f>
        <v>1.64485362695147</v>
      </c>
      <c r="I289" s="23" t="n">
        <v>3705.7</v>
      </c>
      <c r="J289" s="23" t="n">
        <f aca="false">IFERROR(INDEX(ABC_XYZ!$R$5:$R$494,MATCH(A289,ABC_XYZ!$A$5:$A$494,0)),I289*Parametros!$B$13)</f>
        <v>1111.71</v>
      </c>
      <c r="K289" s="27" t="n">
        <f aca="false">IFERROR(VLOOKUP(C289,Parametros!$A$36:$B$66,2,FALSE()),Parametros!$B$12)</f>
        <v>1</v>
      </c>
      <c r="L289" s="23" t="n">
        <f aca="false">H289*J289*SQRT(K289)</f>
        <v>1828.60022561822</v>
      </c>
      <c r="M289" s="29"/>
      <c r="N289" s="24"/>
      <c r="O289" s="3"/>
      <c r="P289" s="30" t="str">
        <f aca="false">IF(AND(ISNUMBER(M289),ISNUMBER(N289)),M289*N289/7,"")</f>
        <v/>
      </c>
      <c r="Q289" s="23" t="str">
        <f aca="false">IF(ISNUMBER(P289),I289*P289,"")</f>
        <v/>
      </c>
      <c r="R289" s="23" t="n">
        <f aca="false">IF(ISNUMBER(Q289),MAX(0,MIN(L289,Q289-I289*K289)),L289)</f>
        <v>1828.60022561822</v>
      </c>
      <c r="S289" s="23" t="n">
        <f aca="false">R289+I289*K289</f>
        <v>5534.30022561822</v>
      </c>
      <c r="T289" s="23" t="n">
        <v>62265</v>
      </c>
      <c r="U289" s="23" t="n">
        <v>1575</v>
      </c>
      <c r="V289" s="23" t="n">
        <f aca="false">T289+U289</f>
        <v>63840</v>
      </c>
      <c r="W289" s="30" t="n">
        <f aca="false">IF(I289&gt;0,V289/I289,"")</f>
        <v>17.2275143697547</v>
      </c>
      <c r="X289" s="3" t="str">
        <f aca="false">IF(I289&lt;=0,"SIN FCST",IF(V289&lt;R289,"BAJO SS",IF(T289&lt;R289,"BAJO SS (XLIB CUBRE)",IF(V289&lt;S289,"BAJO P.REORDEN",IF(AND(ISNUMBER(Q289),V289&gt;Q289),"SOBRE MAX VENDIBLE","OK")))))</f>
        <v>OK</v>
      </c>
    </row>
    <row r="290" customFormat="false" ht="15" hidden="false" customHeight="false" outlineLevel="0" collapsed="false">
      <c r="A290" s="3" t="n">
        <v>30000489</v>
      </c>
      <c r="B290" s="3" t="s">
        <v>951</v>
      </c>
      <c r="C290" s="3" t="s">
        <v>155</v>
      </c>
      <c r="D290" s="3" t="s">
        <v>761</v>
      </c>
      <c r="E290" s="3" t="s">
        <v>762</v>
      </c>
      <c r="F290" s="3" t="str">
        <f aca="false">IFERROR(INDEX(ABC_XYZ!$L$5:$L$494,MATCH(A290,ABC_XYZ!$A$5:$A$494,0)),"SIN HIST")</f>
        <v>BX</v>
      </c>
      <c r="G290" s="24" t="n">
        <f aca="false">IF(LEFT(F290,1)="A",Parametros!$B$8,IF(LEFT(F290,1)="B",Parametros!$B$9,IF(LEFT(F290,1)="C",Parametros!$B$10,Parametros!$B$11)))</f>
        <v>0.95</v>
      </c>
      <c r="H290" s="27" t="n">
        <f aca="false">NORMSINV(G290)</f>
        <v>1.64485362695147</v>
      </c>
      <c r="I290" s="23" t="n">
        <v>3700.9</v>
      </c>
      <c r="J290" s="23" t="n">
        <f aca="false">IFERROR(INDEX(ABC_XYZ!$R$5:$R$494,MATCH(A290,ABC_XYZ!$A$5:$A$494,0)),I290*Parametros!$B$13)</f>
        <v>1117.07796702379</v>
      </c>
      <c r="K290" s="27" t="n">
        <f aca="false">IFERROR(VLOOKUP(C290,Parametros!$A$36:$B$66,2,FALSE()),Parametros!$B$12)</f>
        <v>1</v>
      </c>
      <c r="L290" s="23" t="n">
        <f aca="false">H290*J290*SQRT(K290)</f>
        <v>1837.42974564666</v>
      </c>
      <c r="M290" s="29" t="n">
        <v>71</v>
      </c>
      <c r="N290" s="24" t="n">
        <v>0.295774647887324</v>
      </c>
      <c r="O290" s="3" t="s">
        <v>774</v>
      </c>
      <c r="P290" s="30" t="n">
        <f aca="false">IF(AND(ISNUMBER(M290),ISNUMBER(N290)),M290*N290/7,"")</f>
        <v>3</v>
      </c>
      <c r="Q290" s="23" t="n">
        <f aca="false">IF(ISNUMBER(P290),I290*P290,"")</f>
        <v>11102.7</v>
      </c>
      <c r="R290" s="23" t="n">
        <f aca="false">IF(ISNUMBER(Q290),MAX(0,MIN(L290,Q290-I290*K290)),L290)</f>
        <v>1837.42974564666</v>
      </c>
      <c r="S290" s="23" t="n">
        <f aca="false">R290+I290*K290</f>
        <v>5538.32974564666</v>
      </c>
      <c r="T290" s="23" t="n">
        <v>4622.4</v>
      </c>
      <c r="U290" s="23" t="n">
        <v>3855.6</v>
      </c>
      <c r="V290" s="23" t="n">
        <f aca="false">T290+U290</f>
        <v>8478</v>
      </c>
      <c r="W290" s="30" t="n">
        <f aca="false">IF(I290&gt;0,V290/I290,"")</f>
        <v>2.29079413115729</v>
      </c>
      <c r="X290" s="3" t="str">
        <f aca="false">IF(I290&lt;=0,"SIN FCST",IF(V290&lt;R290,"BAJO SS",IF(T290&lt;R290,"BAJO SS (XLIB CUBRE)",IF(V290&lt;S290,"BAJO P.REORDEN",IF(AND(ISNUMBER(Q290),V290&gt;Q290),"SOBRE MAX VENDIBLE","OK")))))</f>
        <v>OK</v>
      </c>
    </row>
    <row r="291" customFormat="false" ht="15" hidden="false" customHeight="false" outlineLevel="0" collapsed="false">
      <c r="A291" s="3" t="n">
        <v>30001857</v>
      </c>
      <c r="B291" s="3" t="s">
        <v>952</v>
      </c>
      <c r="C291" s="3" t="s">
        <v>155</v>
      </c>
      <c r="D291" s="3" t="s">
        <v>761</v>
      </c>
      <c r="E291" s="3" t="s">
        <v>762</v>
      </c>
      <c r="F291" s="3" t="str">
        <f aca="false">IFERROR(INDEX(ABC_XYZ!$L$5:$L$494,MATCH(A291,ABC_XYZ!$A$5:$A$494,0)),"SIN HIST")</f>
        <v>AX</v>
      </c>
      <c r="G291" s="24" t="n">
        <f aca="false">IF(LEFT(F291,1)="A",Parametros!$B$8,IF(LEFT(F291,1)="B",Parametros!$B$9,IF(LEFT(F291,1)="C",Parametros!$B$10,Parametros!$B$11)))</f>
        <v>0.98</v>
      </c>
      <c r="H291" s="27" t="n">
        <f aca="false">NORMSINV(G291)</f>
        <v>2.05374891063182</v>
      </c>
      <c r="I291" s="23" t="n">
        <v>3668.2</v>
      </c>
      <c r="J291" s="23" t="n">
        <f aca="false">IFERROR(INDEX(ABC_XYZ!$R$5:$R$494,MATCH(A291,ABC_XYZ!$A$5:$A$494,0)),I291*Parametros!$B$13)</f>
        <v>2226.24780476806</v>
      </c>
      <c r="K291" s="27" t="n">
        <f aca="false">IFERROR(VLOOKUP(C291,Parametros!$A$36:$B$66,2,FALSE()),Parametros!$B$12)</f>
        <v>1</v>
      </c>
      <c r="L291" s="23" t="n">
        <f aca="false">H291*J291*SQRT(K291)</f>
        <v>4572.1540038389</v>
      </c>
      <c r="M291" s="29" t="n">
        <v>57</v>
      </c>
      <c r="N291" s="24" t="n">
        <v>0.245614035087719</v>
      </c>
      <c r="O291" s="3" t="s">
        <v>774</v>
      </c>
      <c r="P291" s="30" t="n">
        <f aca="false">IF(AND(ISNUMBER(M291),ISNUMBER(N291)),M291*N291/7,"")</f>
        <v>2</v>
      </c>
      <c r="Q291" s="23" t="n">
        <f aca="false">IF(ISNUMBER(P291),I291*P291,"")</f>
        <v>7336.4</v>
      </c>
      <c r="R291" s="23" t="n">
        <f aca="false">IF(ISNUMBER(Q291),MAX(0,MIN(L291,Q291-I291*K291)),L291)</f>
        <v>3668.2</v>
      </c>
      <c r="S291" s="23" t="n">
        <f aca="false">R291+I291*K291</f>
        <v>7336.4</v>
      </c>
      <c r="T291" s="23" t="n">
        <v>3729.6</v>
      </c>
      <c r="U291" s="23" t="n">
        <v>3024</v>
      </c>
      <c r="V291" s="23" t="n">
        <f aca="false">T291+U291</f>
        <v>6753.6</v>
      </c>
      <c r="W291" s="30" t="n">
        <f aca="false">IF(I291&gt;0,V291/I291,"")</f>
        <v>1.84112098576959</v>
      </c>
      <c r="X291" s="3" t="str">
        <f aca="false">IF(I291&lt;=0,"SIN FCST",IF(V291&lt;R291,"BAJO SS",IF(T291&lt;R291,"BAJO SS (XLIB CUBRE)",IF(V291&lt;S291,"BAJO P.REORDEN",IF(AND(ISNUMBER(Q291),V291&gt;Q291),"SOBRE MAX VENDIBLE","OK")))))</f>
        <v>BAJO P.REORDEN</v>
      </c>
    </row>
    <row r="292" customFormat="false" ht="15" hidden="false" customHeight="false" outlineLevel="0" collapsed="false">
      <c r="A292" s="3" t="n">
        <v>30001901</v>
      </c>
      <c r="B292" s="3" t="s">
        <v>425</v>
      </c>
      <c r="C292" s="3" t="s">
        <v>155</v>
      </c>
      <c r="D292" s="3" t="s">
        <v>761</v>
      </c>
      <c r="E292" s="3" t="s">
        <v>762</v>
      </c>
      <c r="F292" s="3" t="str">
        <f aca="false">IFERROR(INDEX(ABC_XYZ!$L$5:$L$494,MATCH(A292,ABC_XYZ!$A$5:$A$494,0)),"SIN HIST")</f>
        <v>BX</v>
      </c>
      <c r="G292" s="24" t="n">
        <f aca="false">IF(LEFT(F292,1)="A",Parametros!$B$8,IF(LEFT(F292,1)="B",Parametros!$B$9,IF(LEFT(F292,1)="C",Parametros!$B$10,Parametros!$B$11)))</f>
        <v>0.95</v>
      </c>
      <c r="H292" s="27" t="n">
        <f aca="false">NORMSINV(G292)</f>
        <v>1.64485362695147</v>
      </c>
      <c r="I292" s="23" t="n">
        <v>3664.8</v>
      </c>
      <c r="J292" s="23" t="n">
        <f aca="false">IFERROR(INDEX(ABC_XYZ!$R$5:$R$494,MATCH(A292,ABC_XYZ!$A$5:$A$494,0)),I292*Parametros!$B$13)</f>
        <v>780.163620773964</v>
      </c>
      <c r="K292" s="27" t="n">
        <f aca="false">IFERROR(VLOOKUP(C292,Parametros!$A$36:$B$66,2,FALSE()),Parametros!$B$12)</f>
        <v>1</v>
      </c>
      <c r="L292" s="23" t="n">
        <f aca="false">H292*J292*SQRT(K292)</f>
        <v>1283.25496124565</v>
      </c>
      <c r="M292" s="29" t="n">
        <v>71</v>
      </c>
      <c r="N292" s="24" t="n">
        <v>0.23943661971831</v>
      </c>
      <c r="O292" s="3" t="s">
        <v>772</v>
      </c>
      <c r="P292" s="30" t="n">
        <f aca="false">IF(AND(ISNUMBER(M292),ISNUMBER(N292)),M292*N292/7,"")</f>
        <v>2.42857142857143</v>
      </c>
      <c r="Q292" s="23" t="n">
        <f aca="false">IF(ISNUMBER(P292),I292*P292,"")</f>
        <v>8900.22857142857</v>
      </c>
      <c r="R292" s="23" t="n">
        <f aca="false">IF(ISNUMBER(Q292),MAX(0,MIN(L292,Q292-I292*K292)),L292)</f>
        <v>1283.25496124565</v>
      </c>
      <c r="S292" s="23" t="n">
        <f aca="false">R292+I292*K292</f>
        <v>4948.05496124565</v>
      </c>
      <c r="T292" s="23" t="n">
        <v>3828.6</v>
      </c>
      <c r="U292" s="23" t="n">
        <v>0</v>
      </c>
      <c r="V292" s="23" t="n">
        <f aca="false">T292+U292</f>
        <v>3828.6</v>
      </c>
      <c r="W292" s="30" t="n">
        <f aca="false">IF(I292&gt;0,V292/I292,"")</f>
        <v>1.04469548133595</v>
      </c>
      <c r="X292" s="3" t="str">
        <f aca="false">IF(I292&lt;=0,"SIN FCST",IF(V292&lt;R292,"BAJO SS",IF(T292&lt;R292,"BAJO SS (XLIB CUBRE)",IF(V292&lt;S292,"BAJO P.REORDEN",IF(AND(ISNUMBER(Q292),V292&gt;Q292),"SOBRE MAX VENDIBLE","OK")))))</f>
        <v>BAJO P.REORDEN</v>
      </c>
    </row>
    <row r="293" customFormat="false" ht="15" hidden="false" customHeight="false" outlineLevel="0" collapsed="false">
      <c r="A293" s="3" t="n">
        <v>30000469</v>
      </c>
      <c r="B293" s="3" t="s">
        <v>428</v>
      </c>
      <c r="C293" s="3" t="s">
        <v>142</v>
      </c>
      <c r="D293" s="3" t="s">
        <v>750</v>
      </c>
      <c r="E293" s="3" t="s">
        <v>762</v>
      </c>
      <c r="F293" s="3" t="str">
        <f aca="false">IFERROR(INDEX(ABC_XYZ!$L$5:$L$494,MATCH(A293,ABC_XYZ!$A$5:$A$494,0)),"SIN HIST")</f>
        <v>BX</v>
      </c>
      <c r="G293" s="24" t="n">
        <f aca="false">IF(LEFT(F293,1)="A",Parametros!$B$8,IF(LEFT(F293,1)="B",Parametros!$B$9,IF(LEFT(F293,1)="C",Parametros!$B$10,Parametros!$B$11)))</f>
        <v>0.95</v>
      </c>
      <c r="H293" s="27" t="n">
        <f aca="false">NORMSINV(G293)</f>
        <v>1.64485362695147</v>
      </c>
      <c r="I293" s="23" t="n">
        <v>3650</v>
      </c>
      <c r="J293" s="23" t="n">
        <f aca="false">IFERROR(INDEX(ABC_XYZ!$R$5:$R$494,MATCH(A293,ABC_XYZ!$A$5:$A$494,0)),I293*Parametros!$B$13)</f>
        <v>1295.57857592927</v>
      </c>
      <c r="K293" s="27" t="n">
        <f aca="false">IFERROR(VLOOKUP(C293,Parametros!$A$36:$B$66,2,FALSE()),Parametros!$B$12)</f>
        <v>1</v>
      </c>
      <c r="L293" s="23" t="n">
        <f aca="false">H293*J293*SQRT(K293)</f>
        <v>2131.03711961788</v>
      </c>
      <c r="M293" s="29" t="n">
        <v>184</v>
      </c>
      <c r="N293" s="24" t="n">
        <v>0.315217391304348</v>
      </c>
      <c r="O293" s="3" t="s">
        <v>780</v>
      </c>
      <c r="P293" s="30" t="n">
        <f aca="false">IF(AND(ISNUMBER(M293),ISNUMBER(N293)),M293*N293/7,"")</f>
        <v>8.28571428571429</v>
      </c>
      <c r="Q293" s="23" t="n">
        <f aca="false">IF(ISNUMBER(P293),I293*P293,"")</f>
        <v>30242.8571428571</v>
      </c>
      <c r="R293" s="23" t="n">
        <f aca="false">IF(ISNUMBER(Q293),MAX(0,MIN(L293,Q293-I293*K293)),L293)</f>
        <v>2131.03711961788</v>
      </c>
      <c r="S293" s="23" t="n">
        <f aca="false">R293+I293*K293</f>
        <v>5781.03711961788</v>
      </c>
      <c r="T293" s="23" t="n">
        <v>9550.8</v>
      </c>
      <c r="U293" s="23" t="n">
        <v>0</v>
      </c>
      <c r="V293" s="23" t="n">
        <f aca="false">T293+U293</f>
        <v>9550.8</v>
      </c>
      <c r="W293" s="30" t="n">
        <f aca="false">IF(I293&gt;0,V293/I293,"")</f>
        <v>2.61665753424658</v>
      </c>
      <c r="X293" s="3" t="str">
        <f aca="false">IF(I293&lt;=0,"SIN FCST",IF(V293&lt;R293,"BAJO SS",IF(T293&lt;R293,"BAJO SS (XLIB CUBRE)",IF(V293&lt;S293,"BAJO P.REORDEN",IF(AND(ISNUMBER(Q293),V293&gt;Q293),"SOBRE MAX VENDIBLE","OK")))))</f>
        <v>OK</v>
      </c>
    </row>
    <row r="294" customFormat="false" ht="15" hidden="false" customHeight="false" outlineLevel="0" collapsed="false">
      <c r="A294" s="3" t="n">
        <v>30002365</v>
      </c>
      <c r="B294" s="3" t="s">
        <v>953</v>
      </c>
      <c r="C294" s="3" t="s">
        <v>133</v>
      </c>
      <c r="D294" s="3" t="s">
        <v>758</v>
      </c>
      <c r="E294" s="3"/>
      <c r="F294" s="3" t="str">
        <f aca="false">IFERROR(INDEX(ABC_XYZ!$L$5:$L$494,MATCH(A294,ABC_XYZ!$A$5:$A$494,0)),"SIN HIST")</f>
        <v>SIN HIST</v>
      </c>
      <c r="G294" s="24" t="n">
        <f aca="false">IF(LEFT(F294,1)="A",Parametros!$B$8,IF(LEFT(F294,1)="B",Parametros!$B$9,IF(LEFT(F294,1)="C",Parametros!$B$10,Parametros!$B$11)))</f>
        <v>0.95</v>
      </c>
      <c r="H294" s="27" t="n">
        <f aca="false">NORMSINV(G294)</f>
        <v>1.64485362695147</v>
      </c>
      <c r="I294" s="23" t="n">
        <v>3616.3</v>
      </c>
      <c r="J294" s="23" t="n">
        <f aca="false">IFERROR(INDEX(ABC_XYZ!$R$5:$R$494,MATCH(A294,ABC_XYZ!$A$5:$A$494,0)),I294*Parametros!$B$13)</f>
        <v>1084.89</v>
      </c>
      <c r="K294" s="27" t="n">
        <f aca="false">IFERROR(VLOOKUP(C294,Parametros!$A$36:$B$66,2,FALSE()),Parametros!$B$12)</f>
        <v>1</v>
      </c>
      <c r="L294" s="23" t="n">
        <f aca="false">H294*J294*SQRT(K294)</f>
        <v>1784.48525134338</v>
      </c>
      <c r="M294" s="29"/>
      <c r="N294" s="24"/>
      <c r="O294" s="3"/>
      <c r="P294" s="30" t="str">
        <f aca="false">IF(AND(ISNUMBER(M294),ISNUMBER(N294)),M294*N294/7,"")</f>
        <v/>
      </c>
      <c r="Q294" s="23" t="str">
        <f aca="false">IF(ISNUMBER(P294),I294*P294,"")</f>
        <v/>
      </c>
      <c r="R294" s="23" t="n">
        <f aca="false">IF(ISNUMBER(Q294),MAX(0,MIN(L294,Q294-I294*K294)),L294)</f>
        <v>1784.48525134338</v>
      </c>
      <c r="S294" s="23" t="n">
        <f aca="false">R294+I294*K294</f>
        <v>5400.78525134338</v>
      </c>
      <c r="T294" s="23" t="n">
        <v>3240</v>
      </c>
      <c r="U294" s="23" t="n">
        <v>0</v>
      </c>
      <c r="V294" s="23" t="n">
        <f aca="false">T294+U294</f>
        <v>3240</v>
      </c>
      <c r="W294" s="30" t="n">
        <f aca="false">IF(I294&gt;0,V294/I294,"")</f>
        <v>0.895943367530349</v>
      </c>
      <c r="X294" s="3" t="str">
        <f aca="false">IF(I294&lt;=0,"SIN FCST",IF(V294&lt;R294,"BAJO SS",IF(T294&lt;R294,"BAJO SS (XLIB CUBRE)",IF(V294&lt;S294,"BAJO P.REORDEN",IF(AND(ISNUMBER(Q294),V294&gt;Q294),"SOBRE MAX VENDIBLE","OK")))))</f>
        <v>BAJO P.REORDEN</v>
      </c>
    </row>
    <row r="295" customFormat="false" ht="15" hidden="false" customHeight="false" outlineLevel="0" collapsed="false">
      <c r="A295" s="3" t="n">
        <v>30001935</v>
      </c>
      <c r="B295" s="3" t="s">
        <v>954</v>
      </c>
      <c r="C295" s="3" t="s">
        <v>155</v>
      </c>
      <c r="D295" s="3" t="s">
        <v>761</v>
      </c>
      <c r="E295" s="3" t="s">
        <v>762</v>
      </c>
      <c r="F295" s="3" t="str">
        <f aca="false">IFERROR(INDEX(ABC_XYZ!$L$5:$L$494,MATCH(A295,ABC_XYZ!$A$5:$A$494,0)),"SIN HIST")</f>
        <v>BX</v>
      </c>
      <c r="G295" s="24" t="n">
        <f aca="false">IF(LEFT(F295,1)="A",Parametros!$B$8,IF(LEFT(F295,1)="B",Parametros!$B$9,IF(LEFT(F295,1)="C",Parametros!$B$10,Parametros!$B$11)))</f>
        <v>0.95</v>
      </c>
      <c r="H295" s="27" t="n">
        <f aca="false">NORMSINV(G295)</f>
        <v>1.64485362695147</v>
      </c>
      <c r="I295" s="23" t="n">
        <v>3613.1</v>
      </c>
      <c r="J295" s="23" t="n">
        <f aca="false">IFERROR(INDEX(ABC_XYZ!$R$5:$R$494,MATCH(A295,ABC_XYZ!$A$5:$A$494,0)),I295*Parametros!$B$13)</f>
        <v>2123.68817730323</v>
      </c>
      <c r="K295" s="27" t="n">
        <f aca="false">IFERROR(VLOOKUP(C295,Parametros!$A$36:$B$66,2,FALSE()),Parametros!$B$12)</f>
        <v>1</v>
      </c>
      <c r="L295" s="23" t="n">
        <f aca="false">H295*J295*SQRT(K295)</f>
        <v>3493.15620095118</v>
      </c>
      <c r="M295" s="29" t="n">
        <v>60</v>
      </c>
      <c r="N295" s="24" t="n">
        <v>0.2</v>
      </c>
      <c r="O295" s="3" t="s">
        <v>754</v>
      </c>
      <c r="P295" s="30" t="n">
        <f aca="false">IF(AND(ISNUMBER(M295),ISNUMBER(N295)),M295*N295/7,"")</f>
        <v>1.71428571428571</v>
      </c>
      <c r="Q295" s="23" t="n">
        <f aca="false">IF(ISNUMBER(P295),I295*P295,"")</f>
        <v>6193.88571428571</v>
      </c>
      <c r="R295" s="23" t="n">
        <f aca="false">IF(ISNUMBER(Q295),MAX(0,MIN(L295,Q295-I295*K295)),L295)</f>
        <v>2580.78571428571</v>
      </c>
      <c r="S295" s="23" t="n">
        <f aca="false">R295+I295*K295</f>
        <v>6193.88571428571</v>
      </c>
      <c r="T295" s="23" t="n">
        <v>16.8</v>
      </c>
      <c r="U295" s="23" t="n">
        <v>0</v>
      </c>
      <c r="V295" s="23" t="n">
        <f aca="false">T295+U295</f>
        <v>16.8</v>
      </c>
      <c r="W295" s="30" t="n">
        <f aca="false">IF(I295&gt;0,V295/I295,"")</f>
        <v>0.00464974675486425</v>
      </c>
      <c r="X295" s="3" t="str">
        <f aca="false">IF(I295&lt;=0,"SIN FCST",IF(V295&lt;R295,"BAJO SS",IF(T295&lt;R295,"BAJO SS (XLIB CUBRE)",IF(V295&lt;S295,"BAJO P.REORDEN",IF(AND(ISNUMBER(Q295),V295&gt;Q295),"SOBRE MAX VENDIBLE","OK")))))</f>
        <v>BAJO SS</v>
      </c>
    </row>
    <row r="296" customFormat="false" ht="15" hidden="false" customHeight="false" outlineLevel="0" collapsed="false">
      <c r="A296" s="3" t="n">
        <v>30002091</v>
      </c>
      <c r="B296" s="3" t="s">
        <v>325</v>
      </c>
      <c r="C296" s="3" t="s">
        <v>155</v>
      </c>
      <c r="D296" s="3" t="s">
        <v>761</v>
      </c>
      <c r="E296" s="3" t="s">
        <v>762</v>
      </c>
      <c r="F296" s="3" t="str">
        <f aca="false">IFERROR(INDEX(ABC_XYZ!$L$5:$L$494,MATCH(A296,ABC_XYZ!$A$5:$A$494,0)),"SIN HIST")</f>
        <v>AX</v>
      </c>
      <c r="G296" s="24" t="n">
        <f aca="false">IF(LEFT(F296,1)="A",Parametros!$B$8,IF(LEFT(F296,1)="B",Parametros!$B$9,IF(LEFT(F296,1)="C",Parametros!$B$10,Parametros!$B$11)))</f>
        <v>0.98</v>
      </c>
      <c r="H296" s="27" t="n">
        <f aca="false">NORMSINV(G296)</f>
        <v>2.05374891063182</v>
      </c>
      <c r="I296" s="23" t="n">
        <v>3608.6</v>
      </c>
      <c r="J296" s="23" t="n">
        <f aca="false">IFERROR(INDEX(ABC_XYZ!$R$5:$R$494,MATCH(A296,ABC_XYZ!$A$5:$A$494,0)),I296*Parametros!$B$13)</f>
        <v>4043.87417018769</v>
      </c>
      <c r="K296" s="27" t="n">
        <f aca="false">IFERROR(VLOOKUP(C296,Parametros!$A$36:$B$66,2,FALSE()),Parametros!$B$12)</f>
        <v>1</v>
      </c>
      <c r="L296" s="23" t="n">
        <f aca="false">H296*J296*SQRT(K296)</f>
        <v>8305.10217175512</v>
      </c>
      <c r="M296" s="29" t="n">
        <v>60</v>
      </c>
      <c r="N296" s="24" t="n">
        <v>0.183333333333333</v>
      </c>
      <c r="O296" s="3" t="s">
        <v>754</v>
      </c>
      <c r="P296" s="30" t="n">
        <f aca="false">IF(AND(ISNUMBER(M296),ISNUMBER(N296)),M296*N296/7,"")</f>
        <v>1.57142857142857</v>
      </c>
      <c r="Q296" s="23" t="n">
        <f aca="false">IF(ISNUMBER(P296),I296*P296,"")</f>
        <v>5670.65714285714</v>
      </c>
      <c r="R296" s="23" t="n">
        <f aca="false">IF(ISNUMBER(Q296),MAX(0,MIN(L296,Q296-I296*K296)),L296)</f>
        <v>2062.05714285714</v>
      </c>
      <c r="S296" s="23" t="n">
        <f aca="false">R296+I296*K296</f>
        <v>5670.65714285714</v>
      </c>
      <c r="T296" s="23" t="n">
        <v>9</v>
      </c>
      <c r="U296" s="23" t="n">
        <v>3893.4</v>
      </c>
      <c r="V296" s="23" t="n">
        <f aca="false">T296+U296</f>
        <v>3902.4</v>
      </c>
      <c r="W296" s="30" t="n">
        <f aca="false">IF(I296&gt;0,V296/I296,"")</f>
        <v>1.08141661586211</v>
      </c>
      <c r="X296" s="3" t="str">
        <f aca="false">IF(I296&lt;=0,"SIN FCST",IF(V296&lt;R296,"BAJO SS",IF(T296&lt;R296,"BAJO SS (XLIB CUBRE)",IF(V296&lt;S296,"BAJO P.REORDEN",IF(AND(ISNUMBER(Q296),V296&gt;Q296),"SOBRE MAX VENDIBLE","OK")))))</f>
        <v>BAJO SS (XLIB CUBRE)</v>
      </c>
    </row>
    <row r="297" customFormat="false" ht="15" hidden="false" customHeight="false" outlineLevel="0" collapsed="false">
      <c r="A297" s="3" t="n">
        <v>30000735</v>
      </c>
      <c r="B297" s="3" t="s">
        <v>955</v>
      </c>
      <c r="C297" s="3" t="s">
        <v>133</v>
      </c>
      <c r="D297" s="3" t="s">
        <v>758</v>
      </c>
      <c r="E297" s="3"/>
      <c r="F297" s="3" t="str">
        <f aca="false">IFERROR(INDEX(ABC_XYZ!$L$5:$L$494,MATCH(A297,ABC_XYZ!$A$5:$A$494,0)),"SIN HIST")</f>
        <v>SIN HIST</v>
      </c>
      <c r="G297" s="24" t="n">
        <f aca="false">IF(LEFT(F297,1)="A",Parametros!$B$8,IF(LEFT(F297,1)="B",Parametros!$B$9,IF(LEFT(F297,1)="C",Parametros!$B$10,Parametros!$B$11)))</f>
        <v>0.95</v>
      </c>
      <c r="H297" s="27" t="n">
        <f aca="false">NORMSINV(G297)</f>
        <v>1.64485362695147</v>
      </c>
      <c r="I297" s="23" t="n">
        <v>3569.6</v>
      </c>
      <c r="J297" s="23" t="n">
        <f aca="false">IFERROR(INDEX(ABC_XYZ!$R$5:$R$494,MATCH(A297,ABC_XYZ!$A$5:$A$494,0)),I297*Parametros!$B$13)</f>
        <v>1070.88</v>
      </c>
      <c r="K297" s="27" t="n">
        <f aca="false">IFERROR(VLOOKUP(C297,Parametros!$A$36:$B$66,2,FALSE()),Parametros!$B$12)</f>
        <v>1</v>
      </c>
      <c r="L297" s="23" t="n">
        <f aca="false">H297*J297*SQRT(K297)</f>
        <v>1761.44085202979</v>
      </c>
      <c r="M297" s="29"/>
      <c r="N297" s="24"/>
      <c r="O297" s="3"/>
      <c r="P297" s="30" t="str">
        <f aca="false">IF(AND(ISNUMBER(M297),ISNUMBER(N297)),M297*N297/7,"")</f>
        <v/>
      </c>
      <c r="Q297" s="23" t="str">
        <f aca="false">IF(ISNUMBER(P297),I297*P297,"")</f>
        <v/>
      </c>
      <c r="R297" s="23" t="n">
        <f aca="false">IF(ISNUMBER(Q297),MAX(0,MIN(L297,Q297-I297*K297)),L297)</f>
        <v>1761.44085202979</v>
      </c>
      <c r="S297" s="23" t="n">
        <f aca="false">R297+I297*K297</f>
        <v>5331.04085202979</v>
      </c>
      <c r="T297" s="23" t="n">
        <v>10032</v>
      </c>
      <c r="U297" s="23" t="n">
        <v>0</v>
      </c>
      <c r="V297" s="23" t="n">
        <f aca="false">T297+U297</f>
        <v>10032</v>
      </c>
      <c r="W297" s="30" t="n">
        <f aca="false">IF(I297&gt;0,V297/I297,"")</f>
        <v>2.81039892424922</v>
      </c>
      <c r="X297" s="3" t="str">
        <f aca="false">IF(I297&lt;=0,"SIN FCST",IF(V297&lt;R297,"BAJO SS",IF(T297&lt;R297,"BAJO SS (XLIB CUBRE)",IF(V297&lt;S297,"BAJO P.REORDEN",IF(AND(ISNUMBER(Q297),V297&gt;Q297),"SOBRE MAX VENDIBLE","OK")))))</f>
        <v>OK</v>
      </c>
    </row>
    <row r="298" customFormat="false" ht="15" hidden="false" customHeight="false" outlineLevel="0" collapsed="false">
      <c r="A298" s="3" t="n">
        <v>30001739</v>
      </c>
      <c r="B298" s="3" t="s">
        <v>429</v>
      </c>
      <c r="C298" s="3" t="s">
        <v>149</v>
      </c>
      <c r="D298" s="3" t="s">
        <v>744</v>
      </c>
      <c r="E298" s="3" t="s">
        <v>762</v>
      </c>
      <c r="F298" s="3" t="str">
        <f aca="false">IFERROR(INDEX(ABC_XYZ!$L$5:$L$494,MATCH(A298,ABC_XYZ!$A$5:$A$494,0)),"SIN HIST")</f>
        <v>BX</v>
      </c>
      <c r="G298" s="24" t="n">
        <f aca="false">IF(LEFT(F298,1)="A",Parametros!$B$8,IF(LEFT(F298,1)="B",Parametros!$B$9,IF(LEFT(F298,1)="C",Parametros!$B$10,Parametros!$B$11)))</f>
        <v>0.95</v>
      </c>
      <c r="H298" s="27" t="n">
        <f aca="false">NORMSINV(G298)</f>
        <v>1.64485362695147</v>
      </c>
      <c r="I298" s="23" t="n">
        <v>3533.5</v>
      </c>
      <c r="J298" s="23" t="n">
        <f aca="false">IFERROR(INDEX(ABC_XYZ!$R$5:$R$494,MATCH(A298,ABC_XYZ!$A$5:$A$494,0)),I298*Parametros!$B$13)</f>
        <v>1405.6838837702</v>
      </c>
      <c r="K298" s="27" t="n">
        <f aca="false">IFERROR(VLOOKUP(C298,Parametros!$A$36:$B$66,2,FALSE()),Parametros!$B$12)</f>
        <v>1</v>
      </c>
      <c r="L298" s="23" t="n">
        <f aca="false">H298*J298*SQRT(K298)</f>
        <v>2312.14423456664</v>
      </c>
      <c r="M298" s="29" t="n">
        <v>184</v>
      </c>
      <c r="N298" s="24" t="n">
        <v>0.211956521739131</v>
      </c>
      <c r="O298" s="3" t="s">
        <v>754</v>
      </c>
      <c r="P298" s="30" t="n">
        <f aca="false">IF(AND(ISNUMBER(M298),ISNUMBER(N298)),M298*N298/7,"")</f>
        <v>5.57142857142857</v>
      </c>
      <c r="Q298" s="23" t="n">
        <f aca="false">IF(ISNUMBER(P298),I298*P298,"")</f>
        <v>19686.6428571429</v>
      </c>
      <c r="R298" s="23" t="n">
        <f aca="false">IF(ISNUMBER(Q298),MAX(0,MIN(L298,Q298-I298*K298)),L298)</f>
        <v>2312.14423456664</v>
      </c>
      <c r="S298" s="23" t="n">
        <f aca="false">R298+I298*K298</f>
        <v>5845.64423456664</v>
      </c>
      <c r="T298" s="23" t="n">
        <v>15880</v>
      </c>
      <c r="U298" s="23" t="n">
        <v>0</v>
      </c>
      <c r="V298" s="23" t="n">
        <f aca="false">T298+U298</f>
        <v>15880</v>
      </c>
      <c r="W298" s="30" t="n">
        <f aca="false">IF(I298&gt;0,V298/I298,"")</f>
        <v>4.49412763548889</v>
      </c>
      <c r="X298" s="3" t="str">
        <f aca="false">IF(I298&lt;=0,"SIN FCST",IF(V298&lt;R298,"BAJO SS",IF(T298&lt;R298,"BAJO SS (XLIB CUBRE)",IF(V298&lt;S298,"BAJO P.REORDEN",IF(AND(ISNUMBER(Q298),V298&gt;Q298),"SOBRE MAX VENDIBLE","OK")))))</f>
        <v>OK</v>
      </c>
    </row>
    <row r="299" customFormat="false" ht="15" hidden="false" customHeight="false" outlineLevel="0" collapsed="false">
      <c r="A299" s="3" t="n">
        <v>30000179</v>
      </c>
      <c r="B299" s="3" t="s">
        <v>956</v>
      </c>
      <c r="C299" s="3" t="s">
        <v>144</v>
      </c>
      <c r="D299" s="3" t="s">
        <v>753</v>
      </c>
      <c r="E299" s="3" t="s">
        <v>745</v>
      </c>
      <c r="F299" s="3" t="str">
        <f aca="false">IFERROR(INDEX(ABC_XYZ!$L$5:$L$494,MATCH(A299,ABC_XYZ!$A$5:$A$494,0)),"SIN HIST")</f>
        <v>BX</v>
      </c>
      <c r="G299" s="24" t="n">
        <f aca="false">IF(LEFT(F299,1)="A",Parametros!$B$8,IF(LEFT(F299,1)="B",Parametros!$B$9,IF(LEFT(F299,1)="C",Parametros!$B$10,Parametros!$B$11)))</f>
        <v>0.95</v>
      </c>
      <c r="H299" s="27" t="n">
        <f aca="false">NORMSINV(G299)</f>
        <v>1.64485362695147</v>
      </c>
      <c r="I299" s="23" t="n">
        <v>3513.6</v>
      </c>
      <c r="J299" s="23" t="n">
        <f aca="false">IFERROR(INDEX(ABC_XYZ!$R$5:$R$494,MATCH(A299,ABC_XYZ!$A$5:$A$494,0)),I299*Parametros!$B$13)</f>
        <v>593.788115780755</v>
      </c>
      <c r="K299" s="27" t="n">
        <f aca="false">IFERROR(VLOOKUP(C299,Parametros!$A$36:$B$66,2,FALSE()),Parametros!$B$12)</f>
        <v>1</v>
      </c>
      <c r="L299" s="23" t="n">
        <f aca="false">H299*J299*SQRT(K299)</f>
        <v>976.694535882655</v>
      </c>
      <c r="M299" s="29" t="n">
        <v>184</v>
      </c>
      <c r="N299" s="24" t="n">
        <v>0.28804347826087</v>
      </c>
      <c r="O299" s="3" t="s">
        <v>746</v>
      </c>
      <c r="P299" s="30" t="n">
        <f aca="false">IF(AND(ISNUMBER(M299),ISNUMBER(N299)),M299*N299/7,"")</f>
        <v>7.57142857142857</v>
      </c>
      <c r="Q299" s="23" t="n">
        <f aca="false">IF(ISNUMBER(P299),I299*P299,"")</f>
        <v>26602.9714285714</v>
      </c>
      <c r="R299" s="23" t="n">
        <f aca="false">IF(ISNUMBER(Q299),MAX(0,MIN(L299,Q299-I299*K299)),L299)</f>
        <v>976.694535882655</v>
      </c>
      <c r="S299" s="23" t="n">
        <f aca="false">R299+I299*K299</f>
        <v>4490.29453588266</v>
      </c>
      <c r="T299" s="23" t="n">
        <v>7776</v>
      </c>
      <c r="U299" s="23" t="n">
        <v>0</v>
      </c>
      <c r="V299" s="23" t="n">
        <f aca="false">T299+U299</f>
        <v>7776</v>
      </c>
      <c r="W299" s="30" t="n">
        <f aca="false">IF(I299&gt;0,V299/I299,"")</f>
        <v>2.21311475409836</v>
      </c>
      <c r="X299" s="3" t="str">
        <f aca="false">IF(I299&lt;=0,"SIN FCST",IF(V299&lt;R299,"BAJO SS",IF(T299&lt;R299,"BAJO SS (XLIB CUBRE)",IF(V299&lt;S299,"BAJO P.REORDEN",IF(AND(ISNUMBER(Q299),V299&gt;Q299),"SOBRE MAX VENDIBLE","OK")))))</f>
        <v>OK</v>
      </c>
    </row>
    <row r="300" customFormat="false" ht="15" hidden="false" customHeight="false" outlineLevel="0" collapsed="false">
      <c r="A300" s="3" t="n">
        <v>30000756</v>
      </c>
      <c r="B300" s="3" t="s">
        <v>957</v>
      </c>
      <c r="C300" s="3" t="s">
        <v>133</v>
      </c>
      <c r="D300" s="3" t="s">
        <v>758</v>
      </c>
      <c r="E300" s="3"/>
      <c r="F300" s="3" t="str">
        <f aca="false">IFERROR(INDEX(ABC_XYZ!$L$5:$L$494,MATCH(A300,ABC_XYZ!$A$5:$A$494,0)),"SIN HIST")</f>
        <v>SIN HIST</v>
      </c>
      <c r="G300" s="24" t="n">
        <f aca="false">IF(LEFT(F300,1)="A",Parametros!$B$8,IF(LEFT(F300,1)="B",Parametros!$B$9,IF(LEFT(F300,1)="C",Parametros!$B$10,Parametros!$B$11)))</f>
        <v>0.95</v>
      </c>
      <c r="H300" s="27" t="n">
        <f aca="false">NORMSINV(G300)</f>
        <v>1.64485362695147</v>
      </c>
      <c r="I300" s="23" t="n">
        <v>3512.6</v>
      </c>
      <c r="J300" s="23" t="n">
        <f aca="false">IFERROR(INDEX(ABC_XYZ!$R$5:$R$494,MATCH(A300,ABC_XYZ!$A$5:$A$494,0)),I300*Parametros!$B$13)</f>
        <v>1053.78</v>
      </c>
      <c r="K300" s="27" t="n">
        <f aca="false">IFERROR(VLOOKUP(C300,Parametros!$A$36:$B$66,2,FALSE()),Parametros!$B$12)</f>
        <v>1</v>
      </c>
      <c r="L300" s="23" t="n">
        <f aca="false">H300*J300*SQRT(K300)</f>
        <v>1733.31385500892</v>
      </c>
      <c r="M300" s="29"/>
      <c r="N300" s="24"/>
      <c r="O300" s="3"/>
      <c r="P300" s="30" t="str">
        <f aca="false">IF(AND(ISNUMBER(M300),ISNUMBER(N300)),M300*N300/7,"")</f>
        <v/>
      </c>
      <c r="Q300" s="23" t="str">
        <f aca="false">IF(ISNUMBER(P300),I300*P300,"")</f>
        <v/>
      </c>
      <c r="R300" s="23" t="n">
        <f aca="false">IF(ISNUMBER(Q300),MAX(0,MIN(L300,Q300-I300*K300)),L300)</f>
        <v>1733.31385500892</v>
      </c>
      <c r="S300" s="23" t="n">
        <f aca="false">R300+I300*K300</f>
        <v>5245.91385500892</v>
      </c>
      <c r="T300" s="23" t="n">
        <v>36960</v>
      </c>
      <c r="U300" s="23" t="n">
        <v>0</v>
      </c>
      <c r="V300" s="23" t="n">
        <f aca="false">T300+U300</f>
        <v>36960</v>
      </c>
      <c r="W300" s="30" t="n">
        <f aca="false">IF(I300&gt;0,V300/I300,"")</f>
        <v>10.52212036668</v>
      </c>
      <c r="X300" s="3" t="str">
        <f aca="false">IF(I300&lt;=0,"SIN FCST",IF(V300&lt;R300,"BAJO SS",IF(T300&lt;R300,"BAJO SS (XLIB CUBRE)",IF(V300&lt;S300,"BAJO P.REORDEN",IF(AND(ISNUMBER(Q300),V300&gt;Q300),"SOBRE MAX VENDIBLE","OK")))))</f>
        <v>OK</v>
      </c>
    </row>
    <row r="301" customFormat="false" ht="15" hidden="false" customHeight="false" outlineLevel="0" collapsed="false">
      <c r="A301" s="3" t="n">
        <v>30000447</v>
      </c>
      <c r="B301" s="3" t="s">
        <v>958</v>
      </c>
      <c r="C301" s="3" t="s">
        <v>149</v>
      </c>
      <c r="D301" s="3" t="s">
        <v>744</v>
      </c>
      <c r="E301" s="3" t="s">
        <v>762</v>
      </c>
      <c r="F301" s="3" t="str">
        <f aca="false">IFERROR(INDEX(ABC_XYZ!$L$5:$L$494,MATCH(A301,ABC_XYZ!$A$5:$A$494,0)),"SIN HIST")</f>
        <v>CZ</v>
      </c>
      <c r="G301" s="24" t="n">
        <f aca="false">IF(LEFT(F301,1)="A",Parametros!$B$8,IF(LEFT(F301,1)="B",Parametros!$B$9,IF(LEFT(F301,1)="C",Parametros!$B$10,Parametros!$B$11)))</f>
        <v>0.9</v>
      </c>
      <c r="H301" s="27" t="n">
        <f aca="false">NORMSINV(G301)</f>
        <v>1.2815515655446</v>
      </c>
      <c r="I301" s="23" t="n">
        <v>3500</v>
      </c>
      <c r="J301" s="23" t="n">
        <f aca="false">IFERROR(INDEX(ABC_XYZ!$R$5:$R$494,MATCH(A301,ABC_XYZ!$A$5:$A$494,0)),I301*Parametros!$B$13)</f>
        <v>3208.06275915336</v>
      </c>
      <c r="K301" s="27" t="n">
        <f aca="false">IFERROR(VLOOKUP(C301,Parametros!$A$36:$B$66,2,FALSE()),Parametros!$B$12)</f>
        <v>1</v>
      </c>
      <c r="L301" s="23" t="n">
        <f aca="false">H301*J301*SQRT(K301)</f>
        <v>4111.29785135832</v>
      </c>
      <c r="M301" s="29"/>
      <c r="N301" s="24"/>
      <c r="O301" s="3"/>
      <c r="P301" s="30" t="str">
        <f aca="false">IF(AND(ISNUMBER(M301),ISNUMBER(N301)),M301*N301/7,"")</f>
        <v/>
      </c>
      <c r="Q301" s="23" t="str">
        <f aca="false">IF(ISNUMBER(P301),I301*P301,"")</f>
        <v/>
      </c>
      <c r="R301" s="23" t="n">
        <f aca="false">IF(ISNUMBER(Q301),MAX(0,MIN(L301,Q301-I301*K301)),L301)</f>
        <v>4111.29785135832</v>
      </c>
      <c r="S301" s="23" t="n">
        <f aca="false">R301+I301*K301</f>
        <v>7611.29785135832</v>
      </c>
      <c r="T301" s="23" t="n">
        <v>4800</v>
      </c>
      <c r="U301" s="23" t="n">
        <v>0</v>
      </c>
      <c r="V301" s="23" t="n">
        <f aca="false">T301+U301</f>
        <v>4800</v>
      </c>
      <c r="W301" s="30" t="n">
        <f aca="false">IF(I301&gt;0,V301/I301,"")</f>
        <v>1.37142857142857</v>
      </c>
      <c r="X301" s="3" t="str">
        <f aca="false">IF(I301&lt;=0,"SIN FCST",IF(V301&lt;R301,"BAJO SS",IF(T301&lt;R301,"BAJO SS (XLIB CUBRE)",IF(V301&lt;S301,"BAJO P.REORDEN",IF(AND(ISNUMBER(Q301),V301&gt;Q301),"SOBRE MAX VENDIBLE","OK")))))</f>
        <v>BAJO P.REORDEN</v>
      </c>
    </row>
    <row r="302" customFormat="false" ht="15" hidden="false" customHeight="false" outlineLevel="0" collapsed="false">
      <c r="A302" s="3" t="n">
        <v>30000335</v>
      </c>
      <c r="B302" s="3" t="s">
        <v>959</v>
      </c>
      <c r="C302" s="3" t="s">
        <v>149</v>
      </c>
      <c r="D302" s="3" t="s">
        <v>744</v>
      </c>
      <c r="E302" s="3" t="s">
        <v>762</v>
      </c>
      <c r="F302" s="3" t="str">
        <f aca="false">IFERROR(INDEX(ABC_XYZ!$L$5:$L$494,MATCH(A302,ABC_XYZ!$A$5:$A$494,0)),"SIN HIST")</f>
        <v>SIN HIST</v>
      </c>
      <c r="G302" s="24" t="n">
        <f aca="false">IF(LEFT(F302,1)="A",Parametros!$B$8,IF(LEFT(F302,1)="B",Parametros!$B$9,IF(LEFT(F302,1)="C",Parametros!$B$10,Parametros!$B$11)))</f>
        <v>0.95</v>
      </c>
      <c r="H302" s="27" t="n">
        <f aca="false">NORMSINV(G302)</f>
        <v>1.64485362695147</v>
      </c>
      <c r="I302" s="23" t="n">
        <v>3488.4</v>
      </c>
      <c r="J302" s="23" t="n">
        <f aca="false">IFERROR(INDEX(ABC_XYZ!$R$5:$R$494,MATCH(A302,ABC_XYZ!$A$5:$A$494,0)),I302*Parametros!$B$13)</f>
        <v>1046.52</v>
      </c>
      <c r="K302" s="27" t="n">
        <f aca="false">IFERROR(VLOOKUP(C302,Parametros!$A$36:$B$66,2,FALSE()),Parametros!$B$12)</f>
        <v>1</v>
      </c>
      <c r="L302" s="23" t="n">
        <f aca="false">H302*J302*SQRT(K302)</f>
        <v>1721.37221767725</v>
      </c>
      <c r="M302" s="29" t="n">
        <v>123</v>
      </c>
      <c r="N302" s="24" t="n">
        <v>0.24390243902439</v>
      </c>
      <c r="O302" s="3" t="s">
        <v>772</v>
      </c>
      <c r="P302" s="30" t="n">
        <f aca="false">IF(AND(ISNUMBER(M302),ISNUMBER(N302)),M302*N302/7,"")</f>
        <v>4.28571428571429</v>
      </c>
      <c r="Q302" s="23" t="n">
        <f aca="false">IF(ISNUMBER(P302),I302*P302,"")</f>
        <v>14950.2857142857</v>
      </c>
      <c r="R302" s="23" t="n">
        <f aca="false">IF(ISNUMBER(Q302),MAX(0,MIN(L302,Q302-I302*K302)),L302)</f>
        <v>1721.37221767725</v>
      </c>
      <c r="S302" s="23" t="n">
        <f aca="false">R302+I302*K302</f>
        <v>5209.77221767725</v>
      </c>
      <c r="T302" s="23" t="n">
        <v>7966</v>
      </c>
      <c r="U302" s="23" t="n">
        <v>14</v>
      </c>
      <c r="V302" s="23" t="n">
        <f aca="false">T302+U302</f>
        <v>7980</v>
      </c>
      <c r="W302" s="30" t="n">
        <f aca="false">IF(I302&gt;0,V302/I302,"")</f>
        <v>2.28758169934641</v>
      </c>
      <c r="X302" s="3" t="str">
        <f aca="false">IF(I302&lt;=0,"SIN FCST",IF(V302&lt;R302,"BAJO SS",IF(T302&lt;R302,"BAJO SS (XLIB CUBRE)",IF(V302&lt;S302,"BAJO P.REORDEN",IF(AND(ISNUMBER(Q302),V302&gt;Q302),"SOBRE MAX VENDIBLE","OK")))))</f>
        <v>OK</v>
      </c>
    </row>
    <row r="303" customFormat="false" ht="15" hidden="false" customHeight="false" outlineLevel="0" collapsed="false">
      <c r="A303" s="3" t="n">
        <v>30000527</v>
      </c>
      <c r="B303" s="3" t="s">
        <v>960</v>
      </c>
      <c r="C303" s="3" t="s">
        <v>149</v>
      </c>
      <c r="D303" s="3" t="s">
        <v>769</v>
      </c>
      <c r="E303" s="3" t="s">
        <v>762</v>
      </c>
      <c r="F303" s="3" t="str">
        <f aca="false">IFERROR(INDEX(ABC_XYZ!$L$5:$L$494,MATCH(A303,ABC_XYZ!$A$5:$A$494,0)),"SIN HIST")</f>
        <v>SIN HIST</v>
      </c>
      <c r="G303" s="24" t="n">
        <f aca="false">IF(LEFT(F303,1)="A",Parametros!$B$8,IF(LEFT(F303,1)="B",Parametros!$B$9,IF(LEFT(F303,1)="C",Parametros!$B$10,Parametros!$B$11)))</f>
        <v>0.95</v>
      </c>
      <c r="H303" s="27" t="n">
        <f aca="false">NORMSINV(G303)</f>
        <v>1.64485362695147</v>
      </c>
      <c r="I303" s="23" t="n">
        <v>3488.4</v>
      </c>
      <c r="J303" s="23" t="n">
        <f aca="false">IFERROR(INDEX(ABC_XYZ!$R$5:$R$494,MATCH(A303,ABC_XYZ!$A$5:$A$494,0)),I303*Parametros!$B$13)</f>
        <v>1046.52</v>
      </c>
      <c r="K303" s="27" t="n">
        <f aca="false">IFERROR(VLOOKUP(C303,Parametros!$A$36:$B$66,2,FALSE()),Parametros!$B$12)</f>
        <v>1</v>
      </c>
      <c r="L303" s="23" t="n">
        <f aca="false">H303*J303*SQRT(K303)</f>
        <v>1721.37221767725</v>
      </c>
      <c r="M303" s="29" t="n">
        <v>184</v>
      </c>
      <c r="N303" s="24" t="n">
        <v>0.483695652173913</v>
      </c>
      <c r="O303" s="3" t="s">
        <v>754</v>
      </c>
      <c r="P303" s="30" t="n">
        <f aca="false">IF(AND(ISNUMBER(M303),ISNUMBER(N303)),M303*N303/7,"")</f>
        <v>12.7142857142857</v>
      </c>
      <c r="Q303" s="23" t="n">
        <f aca="false">IF(ISNUMBER(P303),I303*P303,"")</f>
        <v>44352.5142857143</v>
      </c>
      <c r="R303" s="23" t="n">
        <f aca="false">IF(ISNUMBER(Q303),MAX(0,MIN(L303,Q303-I303*K303)),L303)</f>
        <v>1721.37221767725</v>
      </c>
      <c r="S303" s="23" t="n">
        <f aca="false">R303+I303*K303</f>
        <v>5209.77221767725</v>
      </c>
      <c r="T303" s="23" t="n">
        <v>0</v>
      </c>
      <c r="U303" s="23" t="n">
        <v>0</v>
      </c>
      <c r="V303" s="23" t="n">
        <f aca="false">T303+U303</f>
        <v>0</v>
      </c>
      <c r="W303" s="30" t="n">
        <f aca="false">IF(I303&gt;0,V303/I303,"")</f>
        <v>0</v>
      </c>
      <c r="X303" s="3" t="str">
        <f aca="false">IF(I303&lt;=0,"SIN FCST",IF(V303&lt;R303,"BAJO SS",IF(T303&lt;R303,"BAJO SS (XLIB CUBRE)",IF(V303&lt;S303,"BAJO P.REORDEN",IF(AND(ISNUMBER(Q303),V303&gt;Q303),"SOBRE MAX VENDIBLE","OK")))))</f>
        <v>BAJO SS</v>
      </c>
    </row>
    <row r="304" customFormat="false" ht="15" hidden="false" customHeight="false" outlineLevel="0" collapsed="false">
      <c r="A304" s="3" t="n">
        <v>30001755</v>
      </c>
      <c r="B304" s="3" t="s">
        <v>961</v>
      </c>
      <c r="C304" s="3" t="s">
        <v>144</v>
      </c>
      <c r="D304" s="3" t="s">
        <v>753</v>
      </c>
      <c r="E304" s="3" t="s">
        <v>745</v>
      </c>
      <c r="F304" s="3" t="str">
        <f aca="false">IFERROR(INDEX(ABC_XYZ!$L$5:$L$494,MATCH(A304,ABC_XYZ!$A$5:$A$494,0)),"SIN HIST")</f>
        <v>BX</v>
      </c>
      <c r="G304" s="24" t="n">
        <f aca="false">IF(LEFT(F304,1)="A",Parametros!$B$8,IF(LEFT(F304,1)="B",Parametros!$B$9,IF(LEFT(F304,1)="C",Parametros!$B$10,Parametros!$B$11)))</f>
        <v>0.95</v>
      </c>
      <c r="H304" s="27" t="n">
        <f aca="false">NORMSINV(G304)</f>
        <v>1.64485362695147</v>
      </c>
      <c r="I304" s="23" t="n">
        <v>3425</v>
      </c>
      <c r="J304" s="23" t="n">
        <f aca="false">IFERROR(INDEX(ABC_XYZ!$R$5:$R$494,MATCH(A304,ABC_XYZ!$A$5:$A$494,0)),I304*Parametros!$B$13)</f>
        <v>1250.55438572925</v>
      </c>
      <c r="K304" s="27" t="n">
        <f aca="false">IFERROR(VLOOKUP(C304,Parametros!$A$36:$B$66,2,FALSE()),Parametros!$B$12)</f>
        <v>1</v>
      </c>
      <c r="L304" s="23" t="n">
        <f aca="false">H304*J304*SQRT(K304)</f>
        <v>2056.97891706683</v>
      </c>
      <c r="M304" s="29" t="n">
        <v>365</v>
      </c>
      <c r="N304" s="24" t="n">
        <v>0.273972602739726</v>
      </c>
      <c r="O304" s="3" t="s">
        <v>746</v>
      </c>
      <c r="P304" s="30" t="n">
        <f aca="false">IF(AND(ISNUMBER(M304),ISNUMBER(N304)),M304*N304/7,"")</f>
        <v>14.2857142857143</v>
      </c>
      <c r="Q304" s="23" t="n">
        <f aca="false">IF(ISNUMBER(P304),I304*P304,"")</f>
        <v>48928.5714285714</v>
      </c>
      <c r="R304" s="23" t="n">
        <f aca="false">IF(ISNUMBER(Q304),MAX(0,MIN(L304,Q304-I304*K304)),L304)</f>
        <v>2056.97891706683</v>
      </c>
      <c r="S304" s="23" t="n">
        <f aca="false">R304+I304*K304</f>
        <v>5481.97891706683</v>
      </c>
      <c r="T304" s="23" t="n">
        <v>13227.3</v>
      </c>
      <c r="U304" s="23" t="n">
        <v>0</v>
      </c>
      <c r="V304" s="23" t="n">
        <f aca="false">T304+U304</f>
        <v>13227.3</v>
      </c>
      <c r="W304" s="30" t="n">
        <f aca="false">IF(I304&gt;0,V304/I304,"")</f>
        <v>3.86198540145985</v>
      </c>
      <c r="X304" s="3" t="str">
        <f aca="false">IF(I304&lt;=0,"SIN FCST",IF(V304&lt;R304,"BAJO SS",IF(T304&lt;R304,"BAJO SS (XLIB CUBRE)",IF(V304&lt;S304,"BAJO P.REORDEN",IF(AND(ISNUMBER(Q304),V304&gt;Q304),"SOBRE MAX VENDIBLE","OK")))))</f>
        <v>OK</v>
      </c>
    </row>
    <row r="305" customFormat="false" ht="15" hidden="false" customHeight="false" outlineLevel="0" collapsed="false">
      <c r="A305" s="3" t="n">
        <v>30000188</v>
      </c>
      <c r="B305" s="3" t="s">
        <v>418</v>
      </c>
      <c r="C305" s="3" t="s">
        <v>131</v>
      </c>
      <c r="D305" s="3" t="s">
        <v>753</v>
      </c>
      <c r="E305" s="3" t="s">
        <v>745</v>
      </c>
      <c r="F305" s="3" t="str">
        <f aca="false">IFERROR(INDEX(ABC_XYZ!$L$5:$L$494,MATCH(A305,ABC_XYZ!$A$5:$A$494,0)),"SIN HIST")</f>
        <v>BX</v>
      </c>
      <c r="G305" s="24" t="n">
        <f aca="false">IF(LEFT(F305,1)="A",Parametros!$B$8,IF(LEFT(F305,1)="B",Parametros!$B$9,IF(LEFT(F305,1)="C",Parametros!$B$10,Parametros!$B$11)))</f>
        <v>0.95</v>
      </c>
      <c r="H305" s="27" t="n">
        <f aca="false">NORMSINV(G305)</f>
        <v>1.64485362695147</v>
      </c>
      <c r="I305" s="23" t="n">
        <v>3402.5</v>
      </c>
      <c r="J305" s="23" t="n">
        <f aca="false">IFERROR(INDEX(ABC_XYZ!$R$5:$R$494,MATCH(A305,ABC_XYZ!$A$5:$A$494,0)),I305*Parametros!$B$13)</f>
        <v>1699.60309092054</v>
      </c>
      <c r="K305" s="27" t="n">
        <f aca="false">IFERROR(VLOOKUP(C305,Parametros!$A$36:$B$66,2,FALSE()),Parametros!$B$12)</f>
        <v>1</v>
      </c>
      <c r="L305" s="23" t="n">
        <f aca="false">H305*J305*SQRT(K305)</f>
        <v>2795.59830847859</v>
      </c>
      <c r="M305" s="29" t="n">
        <v>365</v>
      </c>
      <c r="N305" s="24" t="n">
        <v>0.32054794520548</v>
      </c>
      <c r="O305" s="3" t="s">
        <v>754</v>
      </c>
      <c r="P305" s="30" t="n">
        <f aca="false">IF(AND(ISNUMBER(M305),ISNUMBER(N305)),M305*N305/7,"")</f>
        <v>16.7142857142857</v>
      </c>
      <c r="Q305" s="23" t="n">
        <f aca="false">IF(ISNUMBER(P305),I305*P305,"")</f>
        <v>56870.3571428572</v>
      </c>
      <c r="R305" s="23" t="n">
        <f aca="false">IF(ISNUMBER(Q305),MAX(0,MIN(L305,Q305-I305*K305)),L305)</f>
        <v>2795.59830847859</v>
      </c>
      <c r="S305" s="23" t="n">
        <f aca="false">R305+I305*K305</f>
        <v>6198.09830847859</v>
      </c>
      <c r="T305" s="23" t="n">
        <v>3390</v>
      </c>
      <c r="U305" s="23" t="n">
        <v>0</v>
      </c>
      <c r="V305" s="23" t="n">
        <f aca="false">T305+U305</f>
        <v>3390</v>
      </c>
      <c r="W305" s="30" t="n">
        <f aca="false">IF(I305&gt;0,V305/I305,"")</f>
        <v>0.996326230712711</v>
      </c>
      <c r="X305" s="3" t="str">
        <f aca="false">IF(I305&lt;=0,"SIN FCST",IF(V305&lt;R305,"BAJO SS",IF(T305&lt;R305,"BAJO SS (XLIB CUBRE)",IF(V305&lt;S305,"BAJO P.REORDEN",IF(AND(ISNUMBER(Q305),V305&gt;Q305),"SOBRE MAX VENDIBLE","OK")))))</f>
        <v>BAJO P.REORDEN</v>
      </c>
    </row>
    <row r="306" customFormat="false" ht="15" hidden="false" customHeight="false" outlineLevel="0" collapsed="false">
      <c r="A306" s="3" t="n">
        <v>30000334</v>
      </c>
      <c r="B306" s="3" t="s">
        <v>962</v>
      </c>
      <c r="C306" s="3" t="s">
        <v>130</v>
      </c>
      <c r="D306" s="3" t="s">
        <v>744</v>
      </c>
      <c r="E306" s="3" t="s">
        <v>745</v>
      </c>
      <c r="F306" s="3" t="str">
        <f aca="false">IFERROR(INDEX(ABC_XYZ!$L$5:$L$494,MATCH(A306,ABC_XYZ!$A$5:$A$494,0)),"SIN HIST")</f>
        <v>BX</v>
      </c>
      <c r="G306" s="24" t="n">
        <f aca="false">IF(LEFT(F306,1)="A",Parametros!$B$8,IF(LEFT(F306,1)="B",Parametros!$B$9,IF(LEFT(F306,1)="C",Parametros!$B$10,Parametros!$B$11)))</f>
        <v>0.95</v>
      </c>
      <c r="H306" s="27" t="n">
        <f aca="false">NORMSINV(G306)</f>
        <v>1.64485362695147</v>
      </c>
      <c r="I306" s="23" t="n">
        <v>3381.5</v>
      </c>
      <c r="J306" s="23" t="n">
        <f aca="false">IFERROR(INDEX(ABC_XYZ!$R$5:$R$494,MATCH(A306,ABC_XYZ!$A$5:$A$494,0)),I306*Parametros!$B$13)</f>
        <v>1621.60986645495</v>
      </c>
      <c r="K306" s="27" t="n">
        <f aca="false">IFERROR(VLOOKUP(C306,Parametros!$A$36:$B$66,2,FALSE()),Parametros!$B$12)</f>
        <v>1</v>
      </c>
      <c r="L306" s="23" t="n">
        <f aca="false">H306*J306*SQRT(K306)</f>
        <v>2667.31087033872</v>
      </c>
      <c r="M306" s="29" t="n">
        <v>184</v>
      </c>
      <c r="N306" s="24" t="n">
        <v>0.271739130434783</v>
      </c>
      <c r="O306" s="3" t="s">
        <v>746</v>
      </c>
      <c r="P306" s="30" t="n">
        <f aca="false">IF(AND(ISNUMBER(M306),ISNUMBER(N306)),M306*N306/7,"")</f>
        <v>7.14285714285714</v>
      </c>
      <c r="Q306" s="23" t="n">
        <f aca="false">IF(ISNUMBER(P306),I306*P306,"")</f>
        <v>24153.5714285714</v>
      </c>
      <c r="R306" s="23" t="n">
        <f aca="false">IF(ISNUMBER(Q306),MAX(0,MIN(L306,Q306-I306*K306)),L306)</f>
        <v>2667.31087033872</v>
      </c>
      <c r="S306" s="23" t="n">
        <f aca="false">R306+I306*K306</f>
        <v>6048.81087033872</v>
      </c>
      <c r="T306" s="23" t="n">
        <v>5808</v>
      </c>
      <c r="U306" s="23" t="n">
        <v>6576</v>
      </c>
      <c r="V306" s="23" t="n">
        <f aca="false">T306+U306</f>
        <v>12384</v>
      </c>
      <c r="W306" s="30" t="n">
        <f aca="false">IF(I306&gt;0,V306/I306,"")</f>
        <v>3.66228005323082</v>
      </c>
      <c r="X306" s="3" t="str">
        <f aca="false">IF(I306&lt;=0,"SIN FCST",IF(V306&lt;R306,"BAJO SS",IF(T306&lt;R306,"BAJO SS (XLIB CUBRE)",IF(V306&lt;S306,"BAJO P.REORDEN",IF(AND(ISNUMBER(Q306),V306&gt;Q306),"SOBRE MAX VENDIBLE","OK")))))</f>
        <v>OK</v>
      </c>
    </row>
    <row r="307" customFormat="false" ht="15" hidden="false" customHeight="false" outlineLevel="0" collapsed="false">
      <c r="A307" s="3" t="n">
        <v>30000832</v>
      </c>
      <c r="B307" s="3" t="s">
        <v>963</v>
      </c>
      <c r="C307" s="3" t="s">
        <v>133</v>
      </c>
      <c r="D307" s="3" t="s">
        <v>758</v>
      </c>
      <c r="E307" s="3"/>
      <c r="F307" s="3" t="str">
        <f aca="false">IFERROR(INDEX(ABC_XYZ!$L$5:$L$494,MATCH(A307,ABC_XYZ!$A$5:$A$494,0)),"SIN HIST")</f>
        <v>SIN HIST</v>
      </c>
      <c r="G307" s="24" t="n">
        <f aca="false">IF(LEFT(F307,1)="A",Parametros!$B$8,IF(LEFT(F307,1)="B",Parametros!$B$9,IF(LEFT(F307,1)="C",Parametros!$B$10,Parametros!$B$11)))</f>
        <v>0.95</v>
      </c>
      <c r="H307" s="27" t="n">
        <f aca="false">NORMSINV(G307)</f>
        <v>1.64485362695147</v>
      </c>
      <c r="I307" s="23" t="n">
        <v>3353.5</v>
      </c>
      <c r="J307" s="23" t="n">
        <f aca="false">IFERROR(INDEX(ABC_XYZ!$R$5:$R$494,MATCH(A307,ABC_XYZ!$A$5:$A$494,0)),I307*Parametros!$B$13)</f>
        <v>1006.05</v>
      </c>
      <c r="K307" s="27" t="n">
        <f aca="false">IFERROR(VLOOKUP(C307,Parametros!$A$36:$B$66,2,FALSE()),Parametros!$B$12)</f>
        <v>1</v>
      </c>
      <c r="L307" s="23" t="n">
        <f aca="false">H307*J307*SQRT(K307)</f>
        <v>1654.80499139453</v>
      </c>
      <c r="M307" s="29"/>
      <c r="N307" s="24"/>
      <c r="O307" s="3"/>
      <c r="P307" s="30" t="str">
        <f aca="false">IF(AND(ISNUMBER(M307),ISNUMBER(N307)),M307*N307/7,"")</f>
        <v/>
      </c>
      <c r="Q307" s="23" t="str">
        <f aca="false">IF(ISNUMBER(P307),I307*P307,"")</f>
        <v/>
      </c>
      <c r="R307" s="23" t="n">
        <f aca="false">IF(ISNUMBER(Q307),MAX(0,MIN(L307,Q307-I307*K307)),L307)</f>
        <v>1654.80499139453</v>
      </c>
      <c r="S307" s="23" t="n">
        <f aca="false">R307+I307*K307</f>
        <v>5008.30499139453</v>
      </c>
      <c r="T307" s="23" t="n">
        <v>24580</v>
      </c>
      <c r="U307" s="23" t="n">
        <v>0</v>
      </c>
      <c r="V307" s="23" t="n">
        <f aca="false">T307+U307</f>
        <v>24580</v>
      </c>
      <c r="W307" s="30" t="n">
        <f aca="false">IF(I307&gt;0,V307/I307,"")</f>
        <v>7.3296555837185</v>
      </c>
      <c r="X307" s="3" t="str">
        <f aca="false">IF(I307&lt;=0,"SIN FCST",IF(V307&lt;R307,"BAJO SS",IF(T307&lt;R307,"BAJO SS (XLIB CUBRE)",IF(V307&lt;S307,"BAJO P.REORDEN",IF(AND(ISNUMBER(Q307),V307&gt;Q307),"SOBRE MAX VENDIBLE","OK")))))</f>
        <v>OK</v>
      </c>
    </row>
    <row r="308" customFormat="false" ht="15" hidden="false" customHeight="false" outlineLevel="0" collapsed="false">
      <c r="A308" s="3" t="n">
        <v>30002183</v>
      </c>
      <c r="B308" s="3" t="s">
        <v>369</v>
      </c>
      <c r="C308" s="3" t="s">
        <v>135</v>
      </c>
      <c r="D308" s="3" t="s">
        <v>753</v>
      </c>
      <c r="E308" s="3"/>
      <c r="F308" s="3" t="str">
        <f aca="false">IFERROR(INDEX(ABC_XYZ!$L$5:$L$494,MATCH(A308,ABC_XYZ!$A$5:$A$494,0)),"SIN HIST")</f>
        <v>BX</v>
      </c>
      <c r="G308" s="24" t="n">
        <f aca="false">IF(LEFT(F308,1)="A",Parametros!$B$8,IF(LEFT(F308,1)="B",Parametros!$B$9,IF(LEFT(F308,1)="C",Parametros!$B$10,Parametros!$B$11)))</f>
        <v>0.95</v>
      </c>
      <c r="H308" s="27" t="n">
        <f aca="false">NORMSINV(G308)</f>
        <v>1.64485362695147</v>
      </c>
      <c r="I308" s="23" t="n">
        <v>3313.4</v>
      </c>
      <c r="J308" s="23" t="n">
        <f aca="false">IFERROR(INDEX(ABC_XYZ!$R$5:$R$494,MATCH(A308,ABC_XYZ!$A$5:$A$494,0)),I308*Parametros!$B$13)</f>
        <v>3086.61092038828</v>
      </c>
      <c r="K308" s="27" t="n">
        <f aca="false">IFERROR(VLOOKUP(C308,Parametros!$A$36:$B$66,2,FALSE()),Parametros!$B$12)</f>
        <v>1</v>
      </c>
      <c r="L308" s="23" t="n">
        <f aca="false">H308*J308*SQRT(K308)</f>
        <v>5077.02316738868</v>
      </c>
      <c r="M308" s="29" t="n">
        <v>123</v>
      </c>
      <c r="N308" s="24" t="n">
        <v>0.235772357723577</v>
      </c>
      <c r="O308" s="3" t="s">
        <v>754</v>
      </c>
      <c r="P308" s="30" t="n">
        <f aca="false">IF(AND(ISNUMBER(M308),ISNUMBER(N308)),M308*N308/7,"")</f>
        <v>4.14285714285714</v>
      </c>
      <c r="Q308" s="23" t="n">
        <f aca="false">IF(ISNUMBER(P308),I308*P308,"")</f>
        <v>13726.9428571429</v>
      </c>
      <c r="R308" s="23" t="n">
        <f aca="false">IF(ISNUMBER(Q308),MAX(0,MIN(L308,Q308-I308*K308)),L308)</f>
        <v>5077.02316738868</v>
      </c>
      <c r="S308" s="23" t="n">
        <f aca="false">R308+I308*K308</f>
        <v>8390.42316738868</v>
      </c>
      <c r="T308" s="23" t="n">
        <v>19.2</v>
      </c>
      <c r="U308" s="23" t="n">
        <v>0</v>
      </c>
      <c r="V308" s="23" t="n">
        <f aca="false">T308+U308</f>
        <v>19.2</v>
      </c>
      <c r="W308" s="30" t="n">
        <f aca="false">IF(I308&gt;0,V308/I308,"")</f>
        <v>0.00579465201907406</v>
      </c>
      <c r="X308" s="3" t="str">
        <f aca="false">IF(I308&lt;=0,"SIN FCST",IF(V308&lt;R308,"BAJO SS",IF(T308&lt;R308,"BAJO SS (XLIB CUBRE)",IF(V308&lt;S308,"BAJO P.REORDEN",IF(AND(ISNUMBER(Q308),V308&gt;Q308),"SOBRE MAX VENDIBLE","OK")))))</f>
        <v>BAJO SS</v>
      </c>
    </row>
    <row r="309" customFormat="false" ht="15" hidden="false" customHeight="false" outlineLevel="0" collapsed="false">
      <c r="A309" s="3" t="n">
        <v>30000238</v>
      </c>
      <c r="B309" s="3" t="s">
        <v>408</v>
      </c>
      <c r="C309" s="3" t="s">
        <v>135</v>
      </c>
      <c r="D309" s="3" t="s">
        <v>753</v>
      </c>
      <c r="E309" s="3" t="s">
        <v>762</v>
      </c>
      <c r="F309" s="3" t="str">
        <f aca="false">IFERROR(INDEX(ABC_XYZ!$L$5:$L$494,MATCH(A309,ABC_XYZ!$A$5:$A$494,0)),"SIN HIST")</f>
        <v>BX</v>
      </c>
      <c r="G309" s="24" t="n">
        <f aca="false">IF(LEFT(F309,1)="A",Parametros!$B$8,IF(LEFT(F309,1)="B",Parametros!$B$9,IF(LEFT(F309,1)="C",Parametros!$B$10,Parametros!$B$11)))</f>
        <v>0.95</v>
      </c>
      <c r="H309" s="27" t="n">
        <f aca="false">NORMSINV(G309)</f>
        <v>1.64485362695147</v>
      </c>
      <c r="I309" s="23" t="n">
        <v>3300</v>
      </c>
      <c r="J309" s="23" t="n">
        <f aca="false">IFERROR(INDEX(ABC_XYZ!$R$5:$R$494,MATCH(A309,ABC_XYZ!$A$5:$A$494,0)),I309*Parametros!$B$13)</f>
        <v>714.199402440568</v>
      </c>
      <c r="K309" s="27" t="n">
        <f aca="false">IFERROR(VLOOKUP(C309,Parametros!$A$36:$B$66,2,FALSE()),Parametros!$B$12)</f>
        <v>1</v>
      </c>
      <c r="L309" s="23" t="n">
        <f aca="false">H309*J309*SQRT(K309)</f>
        <v>1174.75347747094</v>
      </c>
      <c r="M309" s="29" t="n">
        <v>70</v>
      </c>
      <c r="N309" s="24" t="n">
        <v>0.328571428571429</v>
      </c>
      <c r="O309" s="3" t="s">
        <v>774</v>
      </c>
      <c r="P309" s="30" t="n">
        <f aca="false">IF(AND(ISNUMBER(M309),ISNUMBER(N309)),M309*N309/7,"")</f>
        <v>3.28571428571429</v>
      </c>
      <c r="Q309" s="23" t="n">
        <f aca="false">IF(ISNUMBER(P309),I309*P309,"")</f>
        <v>10842.8571428571</v>
      </c>
      <c r="R309" s="23" t="n">
        <f aca="false">IF(ISNUMBER(Q309),MAX(0,MIN(L309,Q309-I309*K309)),L309)</f>
        <v>1174.75347747094</v>
      </c>
      <c r="S309" s="23" t="n">
        <f aca="false">R309+I309*K309</f>
        <v>4474.75347747094</v>
      </c>
      <c r="T309" s="23" t="n">
        <v>5670</v>
      </c>
      <c r="U309" s="23" t="n">
        <v>0</v>
      </c>
      <c r="V309" s="23" t="n">
        <f aca="false">T309+U309</f>
        <v>5670</v>
      </c>
      <c r="W309" s="30" t="n">
        <f aca="false">IF(I309&gt;0,V309/I309,"")</f>
        <v>1.71818181818182</v>
      </c>
      <c r="X309" s="3" t="str">
        <f aca="false">IF(I309&lt;=0,"SIN FCST",IF(V309&lt;R309,"BAJO SS",IF(T309&lt;R309,"BAJO SS (XLIB CUBRE)",IF(V309&lt;S309,"BAJO P.REORDEN",IF(AND(ISNUMBER(Q309),V309&gt;Q309),"SOBRE MAX VENDIBLE","OK")))))</f>
        <v>OK</v>
      </c>
    </row>
    <row r="310" customFormat="false" ht="15" hidden="false" customHeight="false" outlineLevel="0" collapsed="false">
      <c r="A310" s="3" t="n">
        <v>30000069</v>
      </c>
      <c r="B310" s="3" t="s">
        <v>433</v>
      </c>
      <c r="C310" s="3" t="s">
        <v>143</v>
      </c>
      <c r="D310" s="3" t="s">
        <v>750</v>
      </c>
      <c r="E310" s="3" t="s">
        <v>762</v>
      </c>
      <c r="F310" s="3" t="str">
        <f aca="false">IFERROR(INDEX(ABC_XYZ!$L$5:$L$494,MATCH(A310,ABC_XYZ!$A$5:$A$494,0)),"SIN HIST")</f>
        <v>BX</v>
      </c>
      <c r="G310" s="24" t="n">
        <f aca="false">IF(LEFT(F310,1)="A",Parametros!$B$8,IF(LEFT(F310,1)="B",Parametros!$B$9,IF(LEFT(F310,1)="C",Parametros!$B$10,Parametros!$B$11)))</f>
        <v>0.95</v>
      </c>
      <c r="H310" s="27" t="n">
        <f aca="false">NORMSINV(G310)</f>
        <v>1.64485362695147</v>
      </c>
      <c r="I310" s="23" t="n">
        <v>3300</v>
      </c>
      <c r="J310" s="23" t="n">
        <f aca="false">IFERROR(INDEX(ABC_XYZ!$R$5:$R$494,MATCH(A310,ABC_XYZ!$A$5:$A$494,0)),I310*Parametros!$B$13)</f>
        <v>992.881722789883</v>
      </c>
      <c r="K310" s="27" t="n">
        <f aca="false">IFERROR(VLOOKUP(C310,Parametros!$A$36:$B$66,2,FALSE()),Parametros!$B$12)</f>
        <v>1</v>
      </c>
      <c r="L310" s="23" t="n">
        <f aca="false">H310*J310*SQRT(K310)</f>
        <v>1633.14510286477</v>
      </c>
      <c r="M310" s="29" t="n">
        <v>184</v>
      </c>
      <c r="N310" s="24" t="n">
        <v>0.217391304347826</v>
      </c>
      <c r="O310" s="3" t="s">
        <v>754</v>
      </c>
      <c r="P310" s="30" t="n">
        <f aca="false">IF(AND(ISNUMBER(M310),ISNUMBER(N310)),M310*N310/7,"")</f>
        <v>5.71428571428572</v>
      </c>
      <c r="Q310" s="23" t="n">
        <f aca="false">IF(ISNUMBER(P310),I310*P310,"")</f>
        <v>18857.1428571429</v>
      </c>
      <c r="R310" s="23" t="n">
        <f aca="false">IF(ISNUMBER(Q310),MAX(0,MIN(L310,Q310-I310*K310)),L310)</f>
        <v>1633.14510286477</v>
      </c>
      <c r="S310" s="23" t="n">
        <f aca="false">R310+I310*K310</f>
        <v>4933.14510286477</v>
      </c>
      <c r="T310" s="23" t="n">
        <v>5526</v>
      </c>
      <c r="U310" s="23" t="n">
        <v>0</v>
      </c>
      <c r="V310" s="23" t="n">
        <f aca="false">T310+U310</f>
        <v>5526</v>
      </c>
      <c r="W310" s="30" t="n">
        <f aca="false">IF(I310&gt;0,V310/I310,"")</f>
        <v>1.67454545454545</v>
      </c>
      <c r="X310" s="3" t="str">
        <f aca="false">IF(I310&lt;=0,"SIN FCST",IF(V310&lt;R310,"BAJO SS",IF(T310&lt;R310,"BAJO SS (XLIB CUBRE)",IF(V310&lt;S310,"BAJO P.REORDEN",IF(AND(ISNUMBER(Q310),V310&gt;Q310),"SOBRE MAX VENDIBLE","OK")))))</f>
        <v>OK</v>
      </c>
    </row>
    <row r="311" customFormat="false" ht="15" hidden="false" customHeight="false" outlineLevel="0" collapsed="false">
      <c r="A311" s="3" t="n">
        <v>30000634</v>
      </c>
      <c r="B311" s="3" t="s">
        <v>471</v>
      </c>
      <c r="C311" s="3" t="s">
        <v>144</v>
      </c>
      <c r="D311" s="3" t="s">
        <v>753</v>
      </c>
      <c r="E311" s="3" t="s">
        <v>745</v>
      </c>
      <c r="F311" s="3" t="str">
        <f aca="false">IFERROR(INDEX(ABC_XYZ!$L$5:$L$494,MATCH(A311,ABC_XYZ!$A$5:$A$494,0)),"SIN HIST")</f>
        <v>BX</v>
      </c>
      <c r="G311" s="24" t="n">
        <f aca="false">IF(LEFT(F311,1)="A",Parametros!$B$8,IF(LEFT(F311,1)="B",Parametros!$B$9,IF(LEFT(F311,1)="C",Parametros!$B$10,Parametros!$B$11)))</f>
        <v>0.95</v>
      </c>
      <c r="H311" s="27" t="n">
        <f aca="false">NORMSINV(G311)</f>
        <v>1.64485362695147</v>
      </c>
      <c r="I311" s="23" t="n">
        <v>3293.5</v>
      </c>
      <c r="J311" s="23" t="n">
        <f aca="false">IFERROR(INDEX(ABC_XYZ!$R$5:$R$494,MATCH(A311,ABC_XYZ!$A$5:$A$494,0)),I311*Parametros!$B$13)</f>
        <v>484.228265731497</v>
      </c>
      <c r="K311" s="27" t="n">
        <f aca="false">IFERROR(VLOOKUP(C311,Parametros!$A$36:$B$66,2,FALSE()),Parametros!$B$12)</f>
        <v>1</v>
      </c>
      <c r="L311" s="23" t="n">
        <f aca="false">H311*J311*SQRT(K311)</f>
        <v>796.484619160874</v>
      </c>
      <c r="M311" s="29" t="n">
        <v>365</v>
      </c>
      <c r="N311" s="24" t="n">
        <v>0.32054794520548</v>
      </c>
      <c r="O311" s="3" t="s">
        <v>754</v>
      </c>
      <c r="P311" s="30" t="n">
        <f aca="false">IF(AND(ISNUMBER(M311),ISNUMBER(N311)),M311*N311/7,"")</f>
        <v>16.7142857142857</v>
      </c>
      <c r="Q311" s="23" t="n">
        <f aca="false">IF(ISNUMBER(P311),I311*P311,"")</f>
        <v>55048.5</v>
      </c>
      <c r="R311" s="23" t="n">
        <f aca="false">IF(ISNUMBER(Q311),MAX(0,MIN(L311,Q311-I311*K311)),L311)</f>
        <v>796.484619160874</v>
      </c>
      <c r="S311" s="23" t="n">
        <f aca="false">R311+I311*K311</f>
        <v>4089.98461916087</v>
      </c>
      <c r="T311" s="23" t="n">
        <v>9662.4</v>
      </c>
      <c r="U311" s="23" t="n">
        <v>0</v>
      </c>
      <c r="V311" s="23" t="n">
        <f aca="false">T311+U311</f>
        <v>9662.4</v>
      </c>
      <c r="W311" s="30" t="n">
        <f aca="false">IF(I311&gt;0,V311/I311,"")</f>
        <v>2.93377865492637</v>
      </c>
      <c r="X311" s="3" t="str">
        <f aca="false">IF(I311&lt;=0,"SIN FCST",IF(V311&lt;R311,"BAJO SS",IF(T311&lt;R311,"BAJO SS (XLIB CUBRE)",IF(V311&lt;S311,"BAJO P.REORDEN",IF(AND(ISNUMBER(Q311),V311&gt;Q311),"SOBRE MAX VENDIBLE","OK")))))</f>
        <v>OK</v>
      </c>
    </row>
    <row r="312" customFormat="false" ht="15" hidden="false" customHeight="false" outlineLevel="0" collapsed="false">
      <c r="A312" s="3" t="n">
        <v>30002292</v>
      </c>
      <c r="B312" s="3" t="s">
        <v>443</v>
      </c>
      <c r="C312" s="3" t="s">
        <v>135</v>
      </c>
      <c r="D312" s="3" t="s">
        <v>753</v>
      </c>
      <c r="E312" s="3"/>
      <c r="F312" s="3" t="str">
        <f aca="false">IFERROR(INDEX(ABC_XYZ!$L$5:$L$494,MATCH(A312,ABC_XYZ!$A$5:$A$494,0)),"SIN HIST")</f>
        <v>BX</v>
      </c>
      <c r="G312" s="24" t="n">
        <f aca="false">IF(LEFT(F312,1)="A",Parametros!$B$8,IF(LEFT(F312,1)="B",Parametros!$B$9,IF(LEFT(F312,1)="C",Parametros!$B$10,Parametros!$B$11)))</f>
        <v>0.95</v>
      </c>
      <c r="H312" s="27" t="n">
        <f aca="false">NORMSINV(G312)</f>
        <v>1.64485362695147</v>
      </c>
      <c r="I312" s="23" t="n">
        <v>3272.6</v>
      </c>
      <c r="J312" s="23" t="n">
        <f aca="false">IFERROR(INDEX(ABC_XYZ!$R$5:$R$494,MATCH(A312,ABC_XYZ!$A$5:$A$494,0)),I312*Parametros!$B$13)</f>
        <v>1148.12706426143</v>
      </c>
      <c r="K312" s="27" t="n">
        <f aca="false">IFERROR(VLOOKUP(C312,Parametros!$A$36:$B$66,2,FALSE()),Parametros!$B$12)</f>
        <v>1</v>
      </c>
      <c r="L312" s="23" t="n">
        <f aca="false">H312*J312*SQRT(K312)</f>
        <v>1888.50096585156</v>
      </c>
      <c r="M312" s="29"/>
      <c r="N312" s="24"/>
      <c r="O312" s="3"/>
      <c r="P312" s="30" t="str">
        <f aca="false">IF(AND(ISNUMBER(M312),ISNUMBER(N312)),M312*N312/7,"")</f>
        <v/>
      </c>
      <c r="Q312" s="23" t="str">
        <f aca="false">IF(ISNUMBER(P312),I312*P312,"")</f>
        <v/>
      </c>
      <c r="R312" s="23" t="n">
        <f aca="false">IF(ISNUMBER(Q312),MAX(0,MIN(L312,Q312-I312*K312)),L312)</f>
        <v>1888.50096585156</v>
      </c>
      <c r="S312" s="23" t="n">
        <f aca="false">R312+I312*K312</f>
        <v>5161.10096585156</v>
      </c>
      <c r="T312" s="23" t="n">
        <v>7314</v>
      </c>
      <c r="U312" s="23" t="n">
        <v>0</v>
      </c>
      <c r="V312" s="23" t="n">
        <f aca="false">T312+U312</f>
        <v>7314</v>
      </c>
      <c r="W312" s="30" t="n">
        <f aca="false">IF(I312&gt;0,V312/I312,"")</f>
        <v>2.23492024689849</v>
      </c>
      <c r="X312" s="3" t="str">
        <f aca="false">IF(I312&lt;=0,"SIN FCST",IF(V312&lt;R312,"BAJO SS",IF(T312&lt;R312,"BAJO SS (XLIB CUBRE)",IF(V312&lt;S312,"BAJO P.REORDEN",IF(AND(ISNUMBER(Q312),V312&gt;Q312),"SOBRE MAX VENDIBLE","OK")))))</f>
        <v>OK</v>
      </c>
    </row>
    <row r="313" customFormat="false" ht="15" hidden="false" customHeight="false" outlineLevel="0" collapsed="false">
      <c r="A313" s="3" t="n">
        <v>30001765</v>
      </c>
      <c r="B313" s="3" t="s">
        <v>964</v>
      </c>
      <c r="C313" s="3" t="s">
        <v>144</v>
      </c>
      <c r="D313" s="3" t="s">
        <v>753</v>
      </c>
      <c r="E313" s="3" t="s">
        <v>745</v>
      </c>
      <c r="F313" s="3" t="str">
        <f aca="false">IFERROR(INDEX(ABC_XYZ!$L$5:$L$494,MATCH(A313,ABC_XYZ!$A$5:$A$494,0)),"SIN HIST")</f>
        <v>BX</v>
      </c>
      <c r="G313" s="24" t="n">
        <f aca="false">IF(LEFT(F313,1)="A",Parametros!$B$8,IF(LEFT(F313,1)="B",Parametros!$B$9,IF(LEFT(F313,1)="C",Parametros!$B$10,Parametros!$B$11)))</f>
        <v>0.95</v>
      </c>
      <c r="H313" s="27" t="n">
        <f aca="false">NORMSINV(G313)</f>
        <v>1.64485362695147</v>
      </c>
      <c r="I313" s="23" t="n">
        <v>3259.9</v>
      </c>
      <c r="J313" s="23" t="n">
        <f aca="false">IFERROR(INDEX(ABC_XYZ!$R$5:$R$494,MATCH(A313,ABC_XYZ!$A$5:$A$494,0)),I313*Parametros!$B$13)</f>
        <v>1034.10246429774</v>
      </c>
      <c r="K313" s="27" t="n">
        <f aca="false">IFERROR(VLOOKUP(C313,Parametros!$A$36:$B$66,2,FALSE()),Parametros!$B$12)</f>
        <v>1</v>
      </c>
      <c r="L313" s="23" t="n">
        <f aca="false">H313*J313*SQRT(K313)</f>
        <v>1700.9471890396</v>
      </c>
      <c r="M313" s="29" t="n">
        <v>365</v>
      </c>
      <c r="N313" s="24" t="n">
        <v>0.273972602739726</v>
      </c>
      <c r="O313" s="3" t="s">
        <v>746</v>
      </c>
      <c r="P313" s="30" t="n">
        <f aca="false">IF(AND(ISNUMBER(M313),ISNUMBER(N313)),M313*N313/7,"")</f>
        <v>14.2857142857143</v>
      </c>
      <c r="Q313" s="23" t="n">
        <f aca="false">IF(ISNUMBER(P313),I313*P313,"")</f>
        <v>46570</v>
      </c>
      <c r="R313" s="23" t="n">
        <f aca="false">IF(ISNUMBER(Q313),MAX(0,MIN(L313,Q313-I313*K313)),L313)</f>
        <v>1700.9471890396</v>
      </c>
      <c r="S313" s="23" t="n">
        <f aca="false">R313+I313*K313</f>
        <v>4960.8471890396</v>
      </c>
      <c r="T313" s="23" t="n">
        <v>10481.4</v>
      </c>
      <c r="U313" s="23" t="n">
        <v>0</v>
      </c>
      <c r="V313" s="23" t="n">
        <f aca="false">T313+U313</f>
        <v>10481.4</v>
      </c>
      <c r="W313" s="30" t="n">
        <f aca="false">IF(I313&gt;0,V313/I313,"")</f>
        <v>3.21525200159514</v>
      </c>
      <c r="X313" s="3" t="str">
        <f aca="false">IF(I313&lt;=0,"SIN FCST",IF(V313&lt;R313,"BAJO SS",IF(T313&lt;R313,"BAJO SS (XLIB CUBRE)",IF(V313&lt;S313,"BAJO P.REORDEN",IF(AND(ISNUMBER(Q313),V313&gt;Q313),"SOBRE MAX VENDIBLE","OK")))))</f>
        <v>OK</v>
      </c>
    </row>
    <row r="314" customFormat="false" ht="15" hidden="false" customHeight="false" outlineLevel="0" collapsed="false">
      <c r="A314" s="3" t="n">
        <v>30001522</v>
      </c>
      <c r="B314" s="3" t="s">
        <v>453</v>
      </c>
      <c r="C314" s="3" t="s">
        <v>129</v>
      </c>
      <c r="D314" s="3" t="s">
        <v>753</v>
      </c>
      <c r="E314" s="3" t="s">
        <v>745</v>
      </c>
      <c r="F314" s="3" t="str">
        <f aca="false">IFERROR(INDEX(ABC_XYZ!$L$5:$L$494,MATCH(A314,ABC_XYZ!$A$5:$A$494,0)),"SIN HIST")</f>
        <v>BX</v>
      </c>
      <c r="G314" s="24" t="n">
        <f aca="false">IF(LEFT(F314,1)="A",Parametros!$B$8,IF(LEFT(F314,1)="B",Parametros!$B$9,IF(LEFT(F314,1)="C",Parametros!$B$10,Parametros!$B$11)))</f>
        <v>0.95</v>
      </c>
      <c r="H314" s="27" t="n">
        <f aca="false">NORMSINV(G314)</f>
        <v>1.64485362695147</v>
      </c>
      <c r="I314" s="23" t="n">
        <v>3251.3</v>
      </c>
      <c r="J314" s="23" t="n">
        <f aca="false">IFERROR(INDEX(ABC_XYZ!$R$5:$R$494,MATCH(A314,ABC_XYZ!$A$5:$A$494,0)),I314*Parametros!$B$13)</f>
        <v>1433.51336717404</v>
      </c>
      <c r="K314" s="27" t="n">
        <f aca="false">IFERROR(VLOOKUP(C314,Parametros!$A$36:$B$66,2,FALSE()),Parametros!$B$12)</f>
        <v>1</v>
      </c>
      <c r="L314" s="23" t="n">
        <f aca="false">H314*J314*SQRT(K314)</f>
        <v>2357.91966127964</v>
      </c>
      <c r="M314" s="29" t="n">
        <v>548</v>
      </c>
      <c r="N314" s="24" t="n">
        <v>0.197080291970803</v>
      </c>
      <c r="O314" s="3" t="s">
        <v>746</v>
      </c>
      <c r="P314" s="30" t="n">
        <f aca="false">IF(AND(ISNUMBER(M314),ISNUMBER(N314)),M314*N314/7,"")</f>
        <v>15.4285714285714</v>
      </c>
      <c r="Q314" s="23" t="n">
        <f aca="false">IF(ISNUMBER(P314),I314*P314,"")</f>
        <v>50162.9142857143</v>
      </c>
      <c r="R314" s="23" t="n">
        <f aca="false">IF(ISNUMBER(Q314),MAX(0,MIN(L314,Q314-I314*K314)),L314)</f>
        <v>2357.91966127964</v>
      </c>
      <c r="S314" s="23" t="n">
        <f aca="false">R314+I314*K314</f>
        <v>5609.21966127964</v>
      </c>
      <c r="T314" s="23" t="n">
        <v>28393.6</v>
      </c>
      <c r="U314" s="23" t="n">
        <v>1574.7</v>
      </c>
      <c r="V314" s="23" t="n">
        <f aca="false">T314+U314</f>
        <v>29968.3</v>
      </c>
      <c r="W314" s="30" t="n">
        <f aca="false">IF(I314&gt;0,V314/I314,"")</f>
        <v>9.21732845323409</v>
      </c>
      <c r="X314" s="3" t="str">
        <f aca="false">IF(I314&lt;=0,"SIN FCST",IF(V314&lt;R314,"BAJO SS",IF(T314&lt;R314,"BAJO SS (XLIB CUBRE)",IF(V314&lt;S314,"BAJO P.REORDEN",IF(AND(ISNUMBER(Q314),V314&gt;Q314),"SOBRE MAX VENDIBLE","OK")))))</f>
        <v>OK</v>
      </c>
    </row>
    <row r="315" customFormat="false" ht="15" hidden="false" customHeight="false" outlineLevel="0" collapsed="false">
      <c r="A315" s="3" t="n">
        <v>30001047</v>
      </c>
      <c r="B315" s="3" t="s">
        <v>965</v>
      </c>
      <c r="C315" s="3" t="s">
        <v>139</v>
      </c>
      <c r="D315" s="3" t="s">
        <v>753</v>
      </c>
      <c r="E315" s="3" t="s">
        <v>762</v>
      </c>
      <c r="F315" s="3" t="str">
        <f aca="false">IFERROR(INDEX(ABC_XYZ!$L$5:$L$494,MATCH(A315,ABC_XYZ!$A$5:$A$494,0)),"SIN HIST")</f>
        <v>BX</v>
      </c>
      <c r="G315" s="24" t="n">
        <f aca="false">IF(LEFT(F315,1)="A",Parametros!$B$8,IF(LEFT(F315,1)="B",Parametros!$B$9,IF(LEFT(F315,1)="C",Parametros!$B$10,Parametros!$B$11)))</f>
        <v>0.95</v>
      </c>
      <c r="H315" s="27" t="n">
        <f aca="false">NORMSINV(G315)</f>
        <v>1.64485362695147</v>
      </c>
      <c r="I315" s="23" t="n">
        <v>3234</v>
      </c>
      <c r="J315" s="23" t="n">
        <f aca="false">IFERROR(INDEX(ABC_XYZ!$R$5:$R$494,MATCH(A315,ABC_XYZ!$A$5:$A$494,0)),I315*Parametros!$B$13)</f>
        <v>1666.39430455376</v>
      </c>
      <c r="K315" s="27" t="n">
        <f aca="false">IFERROR(VLOOKUP(C315,Parametros!$A$36:$B$66,2,FALSE()),Parametros!$B$12)</f>
        <v>1</v>
      </c>
      <c r="L315" s="23" t="n">
        <f aca="false">H315*J315*SQRT(K315)</f>
        <v>2740.97471577652</v>
      </c>
      <c r="M315" s="29" t="n">
        <v>73</v>
      </c>
      <c r="N315" s="24" t="n">
        <v>0.232876712328767</v>
      </c>
      <c r="O315" s="3" t="s">
        <v>772</v>
      </c>
      <c r="P315" s="30" t="n">
        <f aca="false">IF(AND(ISNUMBER(M315),ISNUMBER(N315)),M315*N315/7,"")</f>
        <v>2.42857142857143</v>
      </c>
      <c r="Q315" s="23" t="n">
        <f aca="false">IF(ISNUMBER(P315),I315*P315,"")</f>
        <v>7854</v>
      </c>
      <c r="R315" s="23" t="n">
        <f aca="false">IF(ISNUMBER(Q315),MAX(0,MIN(L315,Q315-I315*K315)),L315)</f>
        <v>2740.97471577652</v>
      </c>
      <c r="S315" s="23" t="n">
        <f aca="false">R315+I315*K315</f>
        <v>5974.97471577652</v>
      </c>
      <c r="T315" s="23" t="n">
        <v>1201</v>
      </c>
      <c r="U315" s="23" t="n">
        <v>3300.5</v>
      </c>
      <c r="V315" s="23" t="n">
        <f aca="false">T315+U315</f>
        <v>4501.5</v>
      </c>
      <c r="W315" s="30" t="n">
        <f aca="false">IF(I315&gt;0,V315/I315,"")</f>
        <v>1.39192949907236</v>
      </c>
      <c r="X315" s="3" t="str">
        <f aca="false">IF(I315&lt;=0,"SIN FCST",IF(V315&lt;R315,"BAJO SS",IF(T315&lt;R315,"BAJO SS (XLIB CUBRE)",IF(V315&lt;S315,"BAJO P.REORDEN",IF(AND(ISNUMBER(Q315),V315&gt;Q315),"SOBRE MAX VENDIBLE","OK")))))</f>
        <v>BAJO SS (XLIB CUBRE)</v>
      </c>
    </row>
    <row r="316" customFormat="false" ht="15" hidden="false" customHeight="false" outlineLevel="0" collapsed="false">
      <c r="A316" s="3" t="n">
        <v>30000766</v>
      </c>
      <c r="B316" s="3" t="s">
        <v>966</v>
      </c>
      <c r="C316" s="3" t="s">
        <v>133</v>
      </c>
      <c r="D316" s="3" t="s">
        <v>758</v>
      </c>
      <c r="E316" s="3"/>
      <c r="F316" s="3" t="str">
        <f aca="false">IFERROR(INDEX(ABC_XYZ!$L$5:$L$494,MATCH(A316,ABC_XYZ!$A$5:$A$494,0)),"SIN HIST")</f>
        <v>SIN HIST</v>
      </c>
      <c r="G316" s="24" t="n">
        <f aca="false">IF(LEFT(F316,1)="A",Parametros!$B$8,IF(LEFT(F316,1)="B",Parametros!$B$9,IF(LEFT(F316,1)="C",Parametros!$B$10,Parametros!$B$11)))</f>
        <v>0.95</v>
      </c>
      <c r="H316" s="27" t="n">
        <f aca="false">NORMSINV(G316)</f>
        <v>1.64485362695147</v>
      </c>
      <c r="I316" s="23" t="n">
        <v>3207.7</v>
      </c>
      <c r="J316" s="23" t="n">
        <f aca="false">IFERROR(INDEX(ABC_XYZ!$R$5:$R$494,MATCH(A316,ABC_XYZ!$A$5:$A$494,0)),I316*Parametros!$B$13)</f>
        <v>962.31</v>
      </c>
      <c r="K316" s="27" t="n">
        <f aca="false">IFERROR(VLOOKUP(C316,Parametros!$A$36:$B$66,2,FALSE()),Parametros!$B$12)</f>
        <v>1</v>
      </c>
      <c r="L316" s="23" t="n">
        <f aca="false">H316*J316*SQRT(K316)</f>
        <v>1582.85909375167</v>
      </c>
      <c r="M316" s="29"/>
      <c r="N316" s="24"/>
      <c r="O316" s="3"/>
      <c r="P316" s="30" t="str">
        <f aca="false">IF(AND(ISNUMBER(M316),ISNUMBER(N316)),M316*N316/7,"")</f>
        <v/>
      </c>
      <c r="Q316" s="23" t="str">
        <f aca="false">IF(ISNUMBER(P316),I316*P316,"")</f>
        <v/>
      </c>
      <c r="R316" s="23" t="n">
        <f aca="false">IF(ISNUMBER(Q316),MAX(0,MIN(L316,Q316-I316*K316)),L316)</f>
        <v>1582.85909375167</v>
      </c>
      <c r="S316" s="23" t="n">
        <f aca="false">R316+I316*K316</f>
        <v>4790.55909375167</v>
      </c>
      <c r="T316" s="23" t="n">
        <v>40995</v>
      </c>
      <c r="U316" s="23" t="n">
        <v>0</v>
      </c>
      <c r="V316" s="23" t="n">
        <f aca="false">T316+U316</f>
        <v>40995</v>
      </c>
      <c r="W316" s="30" t="n">
        <f aca="false">IF(I316&gt;0,V316/I316,"")</f>
        <v>12.780185179412</v>
      </c>
      <c r="X316" s="3" t="str">
        <f aca="false">IF(I316&lt;=0,"SIN FCST",IF(V316&lt;R316,"BAJO SS",IF(T316&lt;R316,"BAJO SS (XLIB CUBRE)",IF(V316&lt;S316,"BAJO P.REORDEN",IF(AND(ISNUMBER(Q316),V316&gt;Q316),"SOBRE MAX VENDIBLE","OK")))))</f>
        <v>OK</v>
      </c>
    </row>
    <row r="317" customFormat="false" ht="15" hidden="false" customHeight="false" outlineLevel="0" collapsed="false">
      <c r="A317" s="3" t="n">
        <v>30001092</v>
      </c>
      <c r="B317" s="3" t="s">
        <v>967</v>
      </c>
      <c r="C317" s="3" t="s">
        <v>155</v>
      </c>
      <c r="D317" s="3" t="s">
        <v>761</v>
      </c>
      <c r="E317" s="3" t="s">
        <v>762</v>
      </c>
      <c r="F317" s="3" t="str">
        <f aca="false">IFERROR(INDEX(ABC_XYZ!$L$5:$L$494,MATCH(A317,ABC_XYZ!$A$5:$A$494,0)),"SIN HIST")</f>
        <v>BX</v>
      </c>
      <c r="G317" s="24" t="n">
        <f aca="false">IF(LEFT(F317,1)="A",Parametros!$B$8,IF(LEFT(F317,1)="B",Parametros!$B$9,IF(LEFT(F317,1)="C",Parametros!$B$10,Parametros!$B$11)))</f>
        <v>0.95</v>
      </c>
      <c r="H317" s="27" t="n">
        <f aca="false">NORMSINV(G317)</f>
        <v>1.64485362695147</v>
      </c>
      <c r="I317" s="23" t="n">
        <v>3187.5</v>
      </c>
      <c r="J317" s="23" t="n">
        <f aca="false">IFERROR(INDEX(ABC_XYZ!$R$5:$R$494,MATCH(A317,ABC_XYZ!$A$5:$A$494,0)),I317*Parametros!$B$13)</f>
        <v>1700.2417498035</v>
      </c>
      <c r="K317" s="27" t="n">
        <f aca="false">IFERROR(VLOOKUP(C317,Parametros!$A$36:$B$66,2,FALSE()),Parametros!$B$12)</f>
        <v>1</v>
      </c>
      <c r="L317" s="23" t="n">
        <f aca="false">H317*J317*SQRT(K317)</f>
        <v>2796.6488088586</v>
      </c>
      <c r="M317" s="29" t="n">
        <v>57</v>
      </c>
      <c r="N317" s="24" t="n">
        <v>0.298245614035088</v>
      </c>
      <c r="O317" s="3" t="s">
        <v>763</v>
      </c>
      <c r="P317" s="30" t="n">
        <f aca="false">IF(AND(ISNUMBER(M317),ISNUMBER(N317)),M317*N317/7,"")</f>
        <v>2.42857142857143</v>
      </c>
      <c r="Q317" s="23" t="n">
        <f aca="false">IF(ISNUMBER(P317),I317*P317,"")</f>
        <v>7741.07142857143</v>
      </c>
      <c r="R317" s="23" t="n">
        <f aca="false">IF(ISNUMBER(Q317),MAX(0,MIN(L317,Q317-I317*K317)),L317)</f>
        <v>2796.6488088586</v>
      </c>
      <c r="S317" s="23" t="n">
        <f aca="false">R317+I317*K317</f>
        <v>5984.1488088586</v>
      </c>
      <c r="T317" s="23" t="n">
        <v>4989.6</v>
      </c>
      <c r="U317" s="23" t="n">
        <v>0</v>
      </c>
      <c r="V317" s="23" t="n">
        <f aca="false">T317+U317</f>
        <v>4989.6</v>
      </c>
      <c r="W317" s="30" t="n">
        <f aca="false">IF(I317&gt;0,V317/I317,"")</f>
        <v>1.56536470588235</v>
      </c>
      <c r="X317" s="3" t="str">
        <f aca="false">IF(I317&lt;=0,"SIN FCST",IF(V317&lt;R317,"BAJO SS",IF(T317&lt;R317,"BAJO SS (XLIB CUBRE)",IF(V317&lt;S317,"BAJO P.REORDEN",IF(AND(ISNUMBER(Q317),V317&gt;Q317),"SOBRE MAX VENDIBLE","OK")))))</f>
        <v>BAJO P.REORDEN</v>
      </c>
    </row>
    <row r="318" customFormat="false" ht="15" hidden="false" customHeight="false" outlineLevel="0" collapsed="false">
      <c r="A318" s="3" t="n">
        <v>30000245</v>
      </c>
      <c r="B318" s="3" t="s">
        <v>968</v>
      </c>
      <c r="C318" s="3" t="s">
        <v>135</v>
      </c>
      <c r="D318" s="3" t="s">
        <v>753</v>
      </c>
      <c r="E318" s="3" t="s">
        <v>745</v>
      </c>
      <c r="F318" s="3" t="str">
        <f aca="false">IFERROR(INDEX(ABC_XYZ!$L$5:$L$494,MATCH(A318,ABC_XYZ!$A$5:$A$494,0)),"SIN HIST")</f>
        <v>BX</v>
      </c>
      <c r="G318" s="24" t="n">
        <f aca="false">IF(LEFT(F318,1)="A",Parametros!$B$8,IF(LEFT(F318,1)="B",Parametros!$B$9,IF(LEFT(F318,1)="C",Parametros!$B$10,Parametros!$B$11)))</f>
        <v>0.95</v>
      </c>
      <c r="H318" s="27" t="n">
        <f aca="false">NORMSINV(G318)</f>
        <v>1.64485362695147</v>
      </c>
      <c r="I318" s="23" t="n">
        <v>3185</v>
      </c>
      <c r="J318" s="23" t="n">
        <f aca="false">IFERROR(INDEX(ABC_XYZ!$R$5:$R$494,MATCH(A318,ABC_XYZ!$A$5:$A$494,0)),I318*Parametros!$B$13)</f>
        <v>2127.55456668968</v>
      </c>
      <c r="K318" s="27" t="n">
        <f aca="false">IFERROR(VLOOKUP(C318,Parametros!$A$36:$B$66,2,FALSE()),Parametros!$B$12)</f>
        <v>1</v>
      </c>
      <c r="L318" s="23" t="n">
        <f aca="false">H318*J318*SQRT(K318)</f>
        <v>3499.51584555668</v>
      </c>
      <c r="M318" s="29" t="n">
        <v>365</v>
      </c>
      <c r="N318" s="24" t="n">
        <v>0.194520547945206</v>
      </c>
      <c r="O318" s="3" t="s">
        <v>746</v>
      </c>
      <c r="P318" s="30" t="n">
        <f aca="false">IF(AND(ISNUMBER(M318),ISNUMBER(N318)),M318*N318/7,"")</f>
        <v>10.1428571428571</v>
      </c>
      <c r="Q318" s="23" t="n">
        <f aca="false">IF(ISNUMBER(P318),I318*P318,"")</f>
        <v>32305</v>
      </c>
      <c r="R318" s="23" t="n">
        <f aca="false">IF(ISNUMBER(Q318),MAX(0,MIN(L318,Q318-I318*K318)),L318)</f>
        <v>3499.51584555668</v>
      </c>
      <c r="S318" s="23" t="n">
        <f aca="false">R318+I318*K318</f>
        <v>6684.51584555668</v>
      </c>
      <c r="T318" s="23" t="n">
        <v>32268</v>
      </c>
      <c r="U318" s="23" t="n">
        <v>0</v>
      </c>
      <c r="V318" s="23" t="n">
        <f aca="false">T318+U318</f>
        <v>32268</v>
      </c>
      <c r="W318" s="30" t="n">
        <f aca="false">IF(I318&gt;0,V318/I318,"")</f>
        <v>10.131240188383</v>
      </c>
      <c r="X318" s="3" t="str">
        <f aca="false">IF(I318&lt;=0,"SIN FCST",IF(V318&lt;R318,"BAJO SS",IF(T318&lt;R318,"BAJO SS (XLIB CUBRE)",IF(V318&lt;S318,"BAJO P.REORDEN",IF(AND(ISNUMBER(Q318),V318&gt;Q318),"SOBRE MAX VENDIBLE","OK")))))</f>
        <v>OK</v>
      </c>
    </row>
    <row r="319" customFormat="false" ht="15" hidden="false" customHeight="false" outlineLevel="0" collapsed="false">
      <c r="A319" s="3" t="n">
        <v>30000642</v>
      </c>
      <c r="B319" s="3" t="s">
        <v>451</v>
      </c>
      <c r="C319" s="3" t="s">
        <v>129</v>
      </c>
      <c r="D319" s="3" t="s">
        <v>753</v>
      </c>
      <c r="E319" s="3" t="s">
        <v>745</v>
      </c>
      <c r="F319" s="3" t="str">
        <f aca="false">IFERROR(INDEX(ABC_XYZ!$L$5:$L$494,MATCH(A319,ABC_XYZ!$A$5:$A$494,0)),"SIN HIST")</f>
        <v>BX</v>
      </c>
      <c r="G319" s="24" t="n">
        <f aca="false">IF(LEFT(F319,1)="A",Parametros!$B$8,IF(LEFT(F319,1)="B",Parametros!$B$9,IF(LEFT(F319,1)="C",Parametros!$B$10,Parametros!$B$11)))</f>
        <v>0.95</v>
      </c>
      <c r="H319" s="27" t="n">
        <f aca="false">NORMSINV(G319)</f>
        <v>1.64485362695147</v>
      </c>
      <c r="I319" s="23" t="n">
        <v>3184.1</v>
      </c>
      <c r="J319" s="23" t="n">
        <f aca="false">IFERROR(INDEX(ABC_XYZ!$R$5:$R$494,MATCH(A319,ABC_XYZ!$A$5:$A$494,0)),I319*Parametros!$B$13)</f>
        <v>484.363672736371</v>
      </c>
      <c r="K319" s="27" t="n">
        <f aca="false">IFERROR(VLOOKUP(C319,Parametros!$A$36:$B$66,2,FALSE()),Parametros!$B$12)</f>
        <v>1</v>
      </c>
      <c r="L319" s="23" t="n">
        <f aca="false">H319*J319*SQRT(K319)</f>
        <v>796.707343863956</v>
      </c>
      <c r="M319" s="29" t="n">
        <v>730</v>
      </c>
      <c r="N319" s="24" t="n">
        <v>0.328767123287671</v>
      </c>
      <c r="O319" s="3" t="s">
        <v>772</v>
      </c>
      <c r="P319" s="30" t="n">
        <f aca="false">IF(AND(ISNUMBER(M319),ISNUMBER(N319)),M319*N319/7,"")</f>
        <v>34.2857142857143</v>
      </c>
      <c r="Q319" s="23" t="n">
        <f aca="false">IF(ISNUMBER(P319),I319*P319,"")</f>
        <v>109169.142857143</v>
      </c>
      <c r="R319" s="23" t="n">
        <f aca="false">IF(ISNUMBER(Q319),MAX(0,MIN(L319,Q319-I319*K319)),L319)</f>
        <v>796.707343863956</v>
      </c>
      <c r="S319" s="23" t="n">
        <f aca="false">R319+I319*K319</f>
        <v>3980.80734386396</v>
      </c>
      <c r="T319" s="23" t="n">
        <v>79113</v>
      </c>
      <c r="U319" s="23" t="n">
        <v>10816.3</v>
      </c>
      <c r="V319" s="23" t="n">
        <f aca="false">T319+U319</f>
        <v>89929.3</v>
      </c>
      <c r="W319" s="30" t="n">
        <f aca="false">IF(I319&gt;0,V319/I319,"")</f>
        <v>28.2432398479947</v>
      </c>
      <c r="X319" s="3" t="str">
        <f aca="false">IF(I319&lt;=0,"SIN FCST",IF(V319&lt;R319,"BAJO SS",IF(T319&lt;R319,"BAJO SS (XLIB CUBRE)",IF(V319&lt;S319,"BAJO P.REORDEN",IF(AND(ISNUMBER(Q319),V319&gt;Q319),"SOBRE MAX VENDIBLE","OK")))))</f>
        <v>OK</v>
      </c>
    </row>
    <row r="320" customFormat="false" ht="15" hidden="false" customHeight="false" outlineLevel="0" collapsed="false">
      <c r="A320" s="3" t="n">
        <v>30001898</v>
      </c>
      <c r="B320" s="3" t="s">
        <v>486</v>
      </c>
      <c r="C320" s="3" t="s">
        <v>147</v>
      </c>
      <c r="D320" s="3" t="s">
        <v>753</v>
      </c>
      <c r="E320" s="3" t="s">
        <v>762</v>
      </c>
      <c r="F320" s="3" t="str">
        <f aca="false">IFERROR(INDEX(ABC_XYZ!$L$5:$L$494,MATCH(A320,ABC_XYZ!$A$5:$A$494,0)),"SIN HIST")</f>
        <v>CX</v>
      </c>
      <c r="G320" s="24" t="n">
        <f aca="false">IF(LEFT(F320,1)="A",Parametros!$B$8,IF(LEFT(F320,1)="B",Parametros!$B$9,IF(LEFT(F320,1)="C",Parametros!$B$10,Parametros!$B$11)))</f>
        <v>0.9</v>
      </c>
      <c r="H320" s="27" t="n">
        <f aca="false">NORMSINV(G320)</f>
        <v>1.2815515655446</v>
      </c>
      <c r="I320" s="23" t="n">
        <v>3176.5</v>
      </c>
      <c r="J320" s="23" t="n">
        <f aca="false">IFERROR(INDEX(ABC_XYZ!$R$5:$R$494,MATCH(A320,ABC_XYZ!$A$5:$A$494,0)),I320*Parametros!$B$13)</f>
        <v>346.230316598126</v>
      </c>
      <c r="K320" s="27" t="n">
        <f aca="false">IFERROR(VLOOKUP(C320,Parametros!$A$36:$B$66,2,FALSE()),Parametros!$B$12)</f>
        <v>1</v>
      </c>
      <c r="L320" s="23" t="n">
        <f aca="false">H320*J320*SQRT(K320)</f>
        <v>443.712004275332</v>
      </c>
      <c r="M320" s="29" t="n">
        <v>110</v>
      </c>
      <c r="N320" s="24" t="n">
        <v>0.227272727272727</v>
      </c>
      <c r="O320" s="3" t="s">
        <v>754</v>
      </c>
      <c r="P320" s="30" t="n">
        <f aca="false">IF(AND(ISNUMBER(M320),ISNUMBER(N320)),M320*N320/7,"")</f>
        <v>3.57142857142857</v>
      </c>
      <c r="Q320" s="23" t="n">
        <f aca="false">IF(ISNUMBER(P320),I320*P320,"")</f>
        <v>11344.6428571429</v>
      </c>
      <c r="R320" s="23" t="n">
        <f aca="false">IF(ISNUMBER(Q320),MAX(0,MIN(L320,Q320-I320*K320)),L320)</f>
        <v>443.712004275332</v>
      </c>
      <c r="S320" s="23" t="n">
        <f aca="false">R320+I320*K320</f>
        <v>3620.21200427533</v>
      </c>
      <c r="T320" s="23" t="n">
        <v>5356.8</v>
      </c>
      <c r="U320" s="23" t="n">
        <v>3108</v>
      </c>
      <c r="V320" s="23" t="n">
        <f aca="false">T320+U320</f>
        <v>8464.8</v>
      </c>
      <c r="W320" s="30" t="n">
        <f aca="false">IF(I320&gt;0,V320/I320,"")</f>
        <v>2.66481977018731</v>
      </c>
      <c r="X320" s="3" t="str">
        <f aca="false">IF(I320&lt;=0,"SIN FCST",IF(V320&lt;R320,"BAJO SS",IF(T320&lt;R320,"BAJO SS (XLIB CUBRE)",IF(V320&lt;S320,"BAJO P.REORDEN",IF(AND(ISNUMBER(Q320),V320&gt;Q320),"SOBRE MAX VENDIBLE","OK")))))</f>
        <v>OK</v>
      </c>
    </row>
    <row r="321" customFormat="false" ht="15" hidden="false" customHeight="false" outlineLevel="0" collapsed="false">
      <c r="A321" s="3" t="n">
        <v>30001925</v>
      </c>
      <c r="B321" s="3" t="s">
        <v>551</v>
      </c>
      <c r="C321" s="3" t="s">
        <v>139</v>
      </c>
      <c r="D321" s="3" t="s">
        <v>753</v>
      </c>
      <c r="E321" s="3" t="s">
        <v>745</v>
      </c>
      <c r="F321" s="3" t="str">
        <f aca="false">IFERROR(INDEX(ABC_XYZ!$L$5:$L$494,MATCH(A321,ABC_XYZ!$A$5:$A$494,0)),"SIN HIST")</f>
        <v>CZ</v>
      </c>
      <c r="G321" s="24" t="n">
        <f aca="false">IF(LEFT(F321,1)="A",Parametros!$B$8,IF(LEFT(F321,1)="B",Parametros!$B$9,IF(LEFT(F321,1)="C",Parametros!$B$10,Parametros!$B$11)))</f>
        <v>0.9</v>
      </c>
      <c r="H321" s="27" t="n">
        <f aca="false">NORMSINV(G321)</f>
        <v>1.2815515655446</v>
      </c>
      <c r="I321" s="23" t="n">
        <v>3157</v>
      </c>
      <c r="J321" s="23" t="n">
        <f aca="false">IFERROR(INDEX(ABC_XYZ!$R$5:$R$494,MATCH(A321,ABC_XYZ!$A$5:$A$494,0)),I321*Parametros!$B$13)</f>
        <v>3213.94728543353</v>
      </c>
      <c r="K321" s="27" t="n">
        <f aca="false">IFERROR(VLOOKUP(C321,Parametros!$A$36:$B$66,2,FALSE()),Parametros!$B$12)</f>
        <v>1</v>
      </c>
      <c r="L321" s="23" t="n">
        <f aca="false">H321*J321*SQRT(K321)</f>
        <v>4118.83917522517</v>
      </c>
      <c r="M321" s="29" t="n">
        <v>214</v>
      </c>
      <c r="N321" s="24" t="n">
        <v>0.266355140186916</v>
      </c>
      <c r="O321" s="3" t="s">
        <v>754</v>
      </c>
      <c r="P321" s="30" t="n">
        <f aca="false">IF(AND(ISNUMBER(M321),ISNUMBER(N321)),M321*N321/7,"")</f>
        <v>8.14285714285714</v>
      </c>
      <c r="Q321" s="23" t="n">
        <f aca="false">IF(ISNUMBER(P321),I321*P321,"")</f>
        <v>25707</v>
      </c>
      <c r="R321" s="23" t="n">
        <f aca="false">IF(ISNUMBER(Q321),MAX(0,MIN(L321,Q321-I321*K321)),L321)</f>
        <v>4118.83917522517</v>
      </c>
      <c r="S321" s="23" t="n">
        <f aca="false">R321+I321*K321</f>
        <v>7275.83917522517</v>
      </c>
      <c r="T321" s="23" t="n">
        <v>32654.2</v>
      </c>
      <c r="U321" s="23" t="n">
        <v>0</v>
      </c>
      <c r="V321" s="23" t="n">
        <f aca="false">T321+U321</f>
        <v>32654.2</v>
      </c>
      <c r="W321" s="30" t="n">
        <f aca="false">IF(I321&gt;0,V321/I321,"")</f>
        <v>10.3434273044029</v>
      </c>
      <c r="X321" s="3" t="str">
        <f aca="false">IF(I321&lt;=0,"SIN FCST",IF(V321&lt;R321,"BAJO SS",IF(T321&lt;R321,"BAJO SS (XLIB CUBRE)",IF(V321&lt;S321,"BAJO P.REORDEN",IF(AND(ISNUMBER(Q321),V321&gt;Q321),"SOBRE MAX VENDIBLE","OK")))))</f>
        <v>SOBRE MAX VENDIBLE</v>
      </c>
    </row>
    <row r="322" customFormat="false" ht="15" hidden="false" customHeight="false" outlineLevel="0" collapsed="false">
      <c r="A322" s="3" t="n">
        <v>30002326</v>
      </c>
      <c r="B322" s="3" t="s">
        <v>969</v>
      </c>
      <c r="C322" s="3" t="s">
        <v>130</v>
      </c>
      <c r="D322" s="3" t="s">
        <v>753</v>
      </c>
      <c r="E322" s="3"/>
      <c r="F322" s="3" t="str">
        <f aca="false">IFERROR(INDEX(ABC_XYZ!$L$5:$L$494,MATCH(A322,ABC_XYZ!$A$5:$A$494,0)),"SIN HIST")</f>
        <v>CZ</v>
      </c>
      <c r="G322" s="24" t="n">
        <f aca="false">IF(LEFT(F322,1)="A",Parametros!$B$8,IF(LEFT(F322,1)="B",Parametros!$B$9,IF(LEFT(F322,1)="C",Parametros!$B$10,Parametros!$B$11)))</f>
        <v>0.9</v>
      </c>
      <c r="H322" s="27" t="n">
        <f aca="false">NORMSINV(G322)</f>
        <v>1.2815515655446</v>
      </c>
      <c r="I322" s="23" t="n">
        <v>3125</v>
      </c>
      <c r="J322" s="23" t="n">
        <f aca="false">IFERROR(INDEX(ABC_XYZ!$R$5:$R$494,MATCH(A322,ABC_XYZ!$A$5:$A$494,0)),I322*Parametros!$B$13)</f>
        <v>2974.43185051084</v>
      </c>
      <c r="K322" s="27" t="n">
        <f aca="false">IFERROR(VLOOKUP(C322,Parametros!$A$36:$B$66,2,FALSE()),Parametros!$B$12)</f>
        <v>1</v>
      </c>
      <c r="L322" s="23" t="n">
        <f aca="false">H322*J322*SQRT(K322)</f>
        <v>3811.88779462789</v>
      </c>
      <c r="M322" s="29"/>
      <c r="N322" s="24"/>
      <c r="O322" s="3"/>
      <c r="P322" s="30" t="str">
        <f aca="false">IF(AND(ISNUMBER(M322),ISNUMBER(N322)),M322*N322/7,"")</f>
        <v/>
      </c>
      <c r="Q322" s="23" t="str">
        <f aca="false">IF(ISNUMBER(P322),I322*P322,"")</f>
        <v/>
      </c>
      <c r="R322" s="23" t="n">
        <f aca="false">IF(ISNUMBER(Q322),MAX(0,MIN(L322,Q322-I322*K322)),L322)</f>
        <v>3811.88779462789</v>
      </c>
      <c r="S322" s="23" t="n">
        <f aca="false">R322+I322*K322</f>
        <v>6936.88779462789</v>
      </c>
      <c r="T322" s="23" t="n">
        <v>9940.5</v>
      </c>
      <c r="U322" s="23" t="n">
        <v>0</v>
      </c>
      <c r="V322" s="23" t="n">
        <f aca="false">T322+U322</f>
        <v>9940.5</v>
      </c>
      <c r="W322" s="30" t="n">
        <f aca="false">IF(I322&gt;0,V322/I322,"")</f>
        <v>3.18096</v>
      </c>
      <c r="X322" s="3" t="str">
        <f aca="false">IF(I322&lt;=0,"SIN FCST",IF(V322&lt;R322,"BAJO SS",IF(T322&lt;R322,"BAJO SS (XLIB CUBRE)",IF(V322&lt;S322,"BAJO P.REORDEN",IF(AND(ISNUMBER(Q322),V322&gt;Q322),"SOBRE MAX VENDIBLE","OK")))))</f>
        <v>OK</v>
      </c>
    </row>
    <row r="323" customFormat="false" ht="15" hidden="false" customHeight="false" outlineLevel="0" collapsed="false">
      <c r="A323" s="3" t="n">
        <v>30001752</v>
      </c>
      <c r="B323" s="3" t="s">
        <v>970</v>
      </c>
      <c r="C323" s="3" t="s">
        <v>144</v>
      </c>
      <c r="D323" s="3" t="s">
        <v>753</v>
      </c>
      <c r="E323" s="3" t="s">
        <v>745</v>
      </c>
      <c r="F323" s="3" t="str">
        <f aca="false">IFERROR(INDEX(ABC_XYZ!$L$5:$L$494,MATCH(A323,ABC_XYZ!$A$5:$A$494,0)),"SIN HIST")</f>
        <v>BX</v>
      </c>
      <c r="G323" s="24" t="n">
        <f aca="false">IF(LEFT(F323,1)="A",Parametros!$B$8,IF(LEFT(F323,1)="B",Parametros!$B$9,IF(LEFT(F323,1)="C",Parametros!$B$10,Parametros!$B$11)))</f>
        <v>0.95</v>
      </c>
      <c r="H323" s="27" t="n">
        <f aca="false">NORMSINV(G323)</f>
        <v>1.64485362695147</v>
      </c>
      <c r="I323" s="23" t="n">
        <v>3116.5</v>
      </c>
      <c r="J323" s="23" t="n">
        <f aca="false">IFERROR(INDEX(ABC_XYZ!$R$5:$R$494,MATCH(A323,ABC_XYZ!$A$5:$A$494,0)),I323*Parametros!$B$13)</f>
        <v>1063.23032938933</v>
      </c>
      <c r="K323" s="27" t="n">
        <f aca="false">IFERROR(VLOOKUP(C323,Parametros!$A$36:$B$66,2,FALSE()),Parametros!$B$12)</f>
        <v>1</v>
      </c>
      <c r="L323" s="23" t="n">
        <f aca="false">H323*J323*SQRT(K323)</f>
        <v>1748.85826358084</v>
      </c>
      <c r="M323" s="29" t="n">
        <v>365</v>
      </c>
      <c r="N323" s="24" t="n">
        <v>0.32054794520548</v>
      </c>
      <c r="O323" s="3" t="s">
        <v>754</v>
      </c>
      <c r="P323" s="30" t="n">
        <f aca="false">IF(AND(ISNUMBER(M323),ISNUMBER(N323)),M323*N323/7,"")</f>
        <v>16.7142857142857</v>
      </c>
      <c r="Q323" s="23" t="n">
        <f aca="false">IF(ISNUMBER(P323),I323*P323,"")</f>
        <v>52090.0714285714</v>
      </c>
      <c r="R323" s="23" t="n">
        <f aca="false">IF(ISNUMBER(Q323),MAX(0,MIN(L323,Q323-I323*K323)),L323)</f>
        <v>1748.85826358084</v>
      </c>
      <c r="S323" s="23" t="n">
        <f aca="false">R323+I323*K323</f>
        <v>4865.35826358084</v>
      </c>
      <c r="T323" s="23" t="n">
        <v>16264.8</v>
      </c>
      <c r="U323" s="23" t="n">
        <v>0</v>
      </c>
      <c r="V323" s="23" t="n">
        <f aca="false">T323+U323</f>
        <v>16264.8</v>
      </c>
      <c r="W323" s="30" t="n">
        <f aca="false">IF(I323&gt;0,V323/I323,"")</f>
        <v>5.21893149366276</v>
      </c>
      <c r="X323" s="3" t="str">
        <f aca="false">IF(I323&lt;=0,"SIN FCST",IF(V323&lt;R323,"BAJO SS",IF(T323&lt;R323,"BAJO SS (XLIB CUBRE)",IF(V323&lt;S323,"BAJO P.REORDEN",IF(AND(ISNUMBER(Q323),V323&gt;Q323),"SOBRE MAX VENDIBLE","OK")))))</f>
        <v>OK</v>
      </c>
    </row>
    <row r="324" customFormat="false" ht="15" hidden="false" customHeight="false" outlineLevel="0" collapsed="false">
      <c r="A324" s="3" t="n">
        <v>30000648</v>
      </c>
      <c r="B324" s="3" t="s">
        <v>971</v>
      </c>
      <c r="C324" s="3" t="s">
        <v>129</v>
      </c>
      <c r="D324" s="3" t="s">
        <v>753</v>
      </c>
      <c r="E324" s="3" t="s">
        <v>745</v>
      </c>
      <c r="F324" s="3" t="str">
        <f aca="false">IFERROR(INDEX(ABC_XYZ!$L$5:$L$494,MATCH(A324,ABC_XYZ!$A$5:$A$494,0)),"SIN HIST")</f>
        <v>CX</v>
      </c>
      <c r="G324" s="24" t="n">
        <f aca="false">IF(LEFT(F324,1)="A",Parametros!$B$8,IF(LEFT(F324,1)="B",Parametros!$B$9,IF(LEFT(F324,1)="C",Parametros!$B$10,Parametros!$B$11)))</f>
        <v>0.9</v>
      </c>
      <c r="H324" s="27" t="n">
        <f aca="false">NORMSINV(G324)</f>
        <v>1.2815515655446</v>
      </c>
      <c r="I324" s="23" t="n">
        <v>3098.3</v>
      </c>
      <c r="J324" s="23" t="n">
        <f aca="false">IFERROR(INDEX(ABC_XYZ!$R$5:$R$494,MATCH(A324,ABC_XYZ!$A$5:$A$494,0)),I324*Parametros!$B$13)</f>
        <v>833.196979991326</v>
      </c>
      <c r="K324" s="27" t="n">
        <f aca="false">IFERROR(VLOOKUP(C324,Parametros!$A$36:$B$66,2,FALSE()),Parametros!$B$12)</f>
        <v>1</v>
      </c>
      <c r="L324" s="23" t="n">
        <f aca="false">H324*J324*SQRT(K324)</f>
        <v>1067.78489411492</v>
      </c>
      <c r="M324" s="29" t="n">
        <v>730</v>
      </c>
      <c r="N324" s="24" t="n">
        <v>0.328767123287671</v>
      </c>
      <c r="O324" s="3" t="s">
        <v>772</v>
      </c>
      <c r="P324" s="30" t="n">
        <f aca="false">IF(AND(ISNUMBER(M324),ISNUMBER(N324)),M324*N324/7,"")</f>
        <v>34.2857142857143</v>
      </c>
      <c r="Q324" s="23" t="n">
        <f aca="false">IF(ISNUMBER(P324),I324*P324,"")</f>
        <v>106227.428571429</v>
      </c>
      <c r="R324" s="23" t="n">
        <f aca="false">IF(ISNUMBER(Q324),MAX(0,MIN(L324,Q324-I324*K324)),L324)</f>
        <v>1067.78489411492</v>
      </c>
      <c r="S324" s="23" t="n">
        <f aca="false">R324+I324*K324</f>
        <v>4166.08489411492</v>
      </c>
      <c r="T324" s="23" t="n">
        <v>44110.4</v>
      </c>
      <c r="U324" s="23" t="n">
        <v>1295</v>
      </c>
      <c r="V324" s="23" t="n">
        <f aca="false">T324+U324</f>
        <v>45405.4</v>
      </c>
      <c r="W324" s="30" t="n">
        <f aca="false">IF(I324&gt;0,V324/I324,"")</f>
        <v>14.6549398056999</v>
      </c>
      <c r="X324" s="3" t="str">
        <f aca="false">IF(I324&lt;=0,"SIN FCST",IF(V324&lt;R324,"BAJO SS",IF(T324&lt;R324,"BAJO SS (XLIB CUBRE)",IF(V324&lt;S324,"BAJO P.REORDEN",IF(AND(ISNUMBER(Q324),V324&gt;Q324),"SOBRE MAX VENDIBLE","OK")))))</f>
        <v>OK</v>
      </c>
    </row>
    <row r="325" customFormat="false" ht="15" hidden="false" customHeight="false" outlineLevel="0" collapsed="false">
      <c r="A325" s="3" t="n">
        <v>30001976</v>
      </c>
      <c r="B325" s="3" t="s">
        <v>432</v>
      </c>
      <c r="C325" s="3" t="s">
        <v>139</v>
      </c>
      <c r="D325" s="3" t="s">
        <v>753</v>
      </c>
      <c r="E325" s="3" t="s">
        <v>745</v>
      </c>
      <c r="F325" s="3" t="str">
        <f aca="false">IFERROR(INDEX(ABC_XYZ!$L$5:$L$494,MATCH(A325,ABC_XYZ!$A$5:$A$494,0)),"SIN HIST")</f>
        <v>BX</v>
      </c>
      <c r="G325" s="24" t="n">
        <f aca="false">IF(LEFT(F325,1)="A",Parametros!$B$8,IF(LEFT(F325,1)="B",Parametros!$B$9,IF(LEFT(F325,1)="C",Parametros!$B$10,Parametros!$B$11)))</f>
        <v>0.95</v>
      </c>
      <c r="H325" s="27" t="n">
        <f aca="false">NORMSINV(G325)</f>
        <v>1.64485362695147</v>
      </c>
      <c r="I325" s="23" t="n">
        <v>3065.4</v>
      </c>
      <c r="J325" s="23" t="n">
        <f aca="false">IFERROR(INDEX(ABC_XYZ!$R$5:$R$494,MATCH(A325,ABC_XYZ!$A$5:$A$494,0)),I325*Parametros!$B$13)</f>
        <v>1682.54432266297</v>
      </c>
      <c r="K325" s="27" t="n">
        <f aca="false">IFERROR(VLOOKUP(C325,Parametros!$A$36:$B$66,2,FALSE()),Parametros!$B$12)</f>
        <v>1</v>
      </c>
      <c r="L325" s="23" t="n">
        <f aca="false">H325*J325*SQRT(K325)</f>
        <v>2767.53913163879</v>
      </c>
      <c r="M325" s="29" t="n">
        <v>365</v>
      </c>
      <c r="N325" s="24" t="n">
        <v>0.498630136986301</v>
      </c>
      <c r="O325" s="3" t="s">
        <v>746</v>
      </c>
      <c r="P325" s="30" t="n">
        <f aca="false">IF(AND(ISNUMBER(M325),ISNUMBER(N325)),M325*N325/7,"")</f>
        <v>26</v>
      </c>
      <c r="Q325" s="23" t="n">
        <f aca="false">IF(ISNUMBER(P325),I325*P325,"")</f>
        <v>79700.4</v>
      </c>
      <c r="R325" s="23" t="n">
        <f aca="false">IF(ISNUMBER(Q325),MAX(0,MIN(L325,Q325-I325*K325)),L325)</f>
        <v>2767.53913163879</v>
      </c>
      <c r="S325" s="23" t="n">
        <f aca="false">R325+I325*K325</f>
        <v>5832.93913163879</v>
      </c>
      <c r="T325" s="23" t="n">
        <v>19848</v>
      </c>
      <c r="U325" s="23" t="n">
        <v>0</v>
      </c>
      <c r="V325" s="23" t="n">
        <f aca="false">T325+U325</f>
        <v>19848</v>
      </c>
      <c r="W325" s="30" t="n">
        <f aca="false">IF(I325&gt;0,V325/I325,"")</f>
        <v>6.47484830690938</v>
      </c>
      <c r="X325" s="3" t="str">
        <f aca="false">IF(I325&lt;=0,"SIN FCST",IF(V325&lt;R325,"BAJO SS",IF(T325&lt;R325,"BAJO SS (XLIB CUBRE)",IF(V325&lt;S325,"BAJO P.REORDEN",IF(AND(ISNUMBER(Q325),V325&gt;Q325),"SOBRE MAX VENDIBLE","OK")))))</f>
        <v>OK</v>
      </c>
    </row>
    <row r="326" customFormat="false" ht="15" hidden="false" customHeight="false" outlineLevel="0" collapsed="false">
      <c r="A326" s="3" t="n">
        <v>30002229</v>
      </c>
      <c r="B326" s="3" t="s">
        <v>344</v>
      </c>
      <c r="C326" s="3" t="s">
        <v>135</v>
      </c>
      <c r="D326" s="3" t="s">
        <v>753</v>
      </c>
      <c r="E326" s="3"/>
      <c r="F326" s="3" t="str">
        <f aca="false">IFERROR(INDEX(ABC_XYZ!$L$5:$L$494,MATCH(A326,ABC_XYZ!$A$5:$A$494,0)),"SIN HIST")</f>
        <v>BY</v>
      </c>
      <c r="G326" s="24" t="n">
        <f aca="false">IF(LEFT(F326,1)="A",Parametros!$B$8,IF(LEFT(F326,1)="B",Parametros!$B$9,IF(LEFT(F326,1)="C",Parametros!$B$10,Parametros!$B$11)))</f>
        <v>0.95</v>
      </c>
      <c r="H326" s="27" t="n">
        <f aca="false">NORMSINV(G326)</f>
        <v>1.64485362695147</v>
      </c>
      <c r="I326" s="23" t="n">
        <v>3044.8</v>
      </c>
      <c r="J326" s="23" t="n">
        <f aca="false">IFERROR(INDEX(ABC_XYZ!$R$5:$R$494,MATCH(A326,ABC_XYZ!$A$5:$A$494,0)),I326*Parametros!$B$13)</f>
        <v>3936.28363281446</v>
      </c>
      <c r="K326" s="27" t="n">
        <f aca="false">IFERROR(VLOOKUP(C326,Parametros!$A$36:$B$66,2,FALSE()),Parametros!$B$12)</f>
        <v>1</v>
      </c>
      <c r="L326" s="23" t="n">
        <f aca="false">H326*J326*SQRT(K326)</f>
        <v>6474.61041014457</v>
      </c>
      <c r="M326" s="29" t="n">
        <v>365</v>
      </c>
      <c r="N326" s="24" t="n">
        <v>0.273972602739726</v>
      </c>
      <c r="O326" s="3" t="s">
        <v>746</v>
      </c>
      <c r="P326" s="30" t="n">
        <f aca="false">IF(AND(ISNUMBER(M326),ISNUMBER(N326)),M326*N326/7,"")</f>
        <v>14.2857142857143</v>
      </c>
      <c r="Q326" s="23" t="n">
        <f aca="false">IF(ISNUMBER(P326),I326*P326,"")</f>
        <v>43497.1428571429</v>
      </c>
      <c r="R326" s="23" t="n">
        <f aca="false">IF(ISNUMBER(Q326),MAX(0,MIN(L326,Q326-I326*K326)),L326)</f>
        <v>6474.61041014457</v>
      </c>
      <c r="S326" s="23" t="n">
        <f aca="false">R326+I326*K326</f>
        <v>9519.41041014457</v>
      </c>
      <c r="T326" s="23" t="n">
        <v>90798.2</v>
      </c>
      <c r="U326" s="23" t="n">
        <v>0</v>
      </c>
      <c r="V326" s="23" t="n">
        <f aca="false">T326+U326</f>
        <v>90798.2</v>
      </c>
      <c r="W326" s="30" t="n">
        <f aca="false">IF(I326&gt;0,V326/I326,"")</f>
        <v>29.8207435627956</v>
      </c>
      <c r="X326" s="3" t="str">
        <f aca="false">IF(I326&lt;=0,"SIN FCST",IF(V326&lt;R326,"BAJO SS",IF(T326&lt;R326,"BAJO SS (XLIB CUBRE)",IF(V326&lt;S326,"BAJO P.REORDEN",IF(AND(ISNUMBER(Q326),V326&gt;Q326),"SOBRE MAX VENDIBLE","OK")))))</f>
        <v>SOBRE MAX VENDIBLE</v>
      </c>
    </row>
    <row r="327" customFormat="false" ht="15" hidden="false" customHeight="false" outlineLevel="0" collapsed="false">
      <c r="A327" s="3" t="n">
        <v>30001048</v>
      </c>
      <c r="B327" s="3" t="s">
        <v>972</v>
      </c>
      <c r="C327" s="3" t="s">
        <v>139</v>
      </c>
      <c r="D327" s="3" t="s">
        <v>753</v>
      </c>
      <c r="E327" s="3" t="s">
        <v>762</v>
      </c>
      <c r="F327" s="3" t="str">
        <f aca="false">IFERROR(INDEX(ABC_XYZ!$L$5:$L$494,MATCH(A327,ABC_XYZ!$A$5:$A$494,0)),"SIN HIST")</f>
        <v>BX</v>
      </c>
      <c r="G327" s="24" t="n">
        <f aca="false">IF(LEFT(F327,1)="A",Parametros!$B$8,IF(LEFT(F327,1)="B",Parametros!$B$9,IF(LEFT(F327,1)="C",Parametros!$B$10,Parametros!$B$11)))</f>
        <v>0.95</v>
      </c>
      <c r="H327" s="27" t="n">
        <f aca="false">NORMSINV(G327)</f>
        <v>1.64485362695147</v>
      </c>
      <c r="I327" s="23" t="n">
        <v>3005.1</v>
      </c>
      <c r="J327" s="23" t="n">
        <f aca="false">IFERROR(INDEX(ABC_XYZ!$R$5:$R$494,MATCH(A327,ABC_XYZ!$A$5:$A$494,0)),I327*Parametros!$B$13)</f>
        <v>922.252711228246</v>
      </c>
      <c r="K327" s="27" t="n">
        <f aca="false">IFERROR(VLOOKUP(C327,Parametros!$A$36:$B$66,2,FALSE()),Parametros!$B$12)</f>
        <v>1</v>
      </c>
      <c r="L327" s="23" t="n">
        <f aca="false">H327*J327*SQRT(K327)</f>
        <v>1516.97071702961</v>
      </c>
      <c r="M327" s="29" t="n">
        <v>73</v>
      </c>
      <c r="N327" s="24" t="n">
        <v>0.232876712328767</v>
      </c>
      <c r="O327" s="3" t="s">
        <v>772</v>
      </c>
      <c r="P327" s="30" t="n">
        <f aca="false">IF(AND(ISNUMBER(M327),ISNUMBER(N327)),M327*N327/7,"")</f>
        <v>2.42857142857143</v>
      </c>
      <c r="Q327" s="23" t="n">
        <f aca="false">IF(ISNUMBER(P327),I327*P327,"")</f>
        <v>7298.1</v>
      </c>
      <c r="R327" s="23" t="n">
        <f aca="false">IF(ISNUMBER(Q327),MAX(0,MIN(L327,Q327-I327*K327)),L327)</f>
        <v>1516.97071702961</v>
      </c>
      <c r="S327" s="23" t="n">
        <f aca="false">R327+I327*K327</f>
        <v>4522.07071702961</v>
      </c>
      <c r="T327" s="23" t="n">
        <v>2764.8</v>
      </c>
      <c r="U327" s="23" t="n">
        <v>3391.2</v>
      </c>
      <c r="V327" s="23" t="n">
        <f aca="false">T327+U327</f>
        <v>6156</v>
      </c>
      <c r="W327" s="30" t="n">
        <f aca="false">IF(I327&gt;0,V327/I327,"")</f>
        <v>2.04851752021563</v>
      </c>
      <c r="X327" s="3" t="str">
        <f aca="false">IF(I327&lt;=0,"SIN FCST",IF(V327&lt;R327,"BAJO SS",IF(T327&lt;R327,"BAJO SS (XLIB CUBRE)",IF(V327&lt;S327,"BAJO P.REORDEN",IF(AND(ISNUMBER(Q327),V327&gt;Q327),"SOBRE MAX VENDIBLE","OK")))))</f>
        <v>OK</v>
      </c>
    </row>
    <row r="328" customFormat="false" ht="15" hidden="false" customHeight="false" outlineLevel="0" collapsed="false">
      <c r="A328" s="3" t="n">
        <v>30000248</v>
      </c>
      <c r="B328" s="3" t="s">
        <v>973</v>
      </c>
      <c r="C328" s="3" t="s">
        <v>135</v>
      </c>
      <c r="D328" s="3" t="s">
        <v>753</v>
      </c>
      <c r="E328" s="3" t="s">
        <v>745</v>
      </c>
      <c r="F328" s="3" t="str">
        <f aca="false">IFERROR(INDEX(ABC_XYZ!$L$5:$L$494,MATCH(A328,ABC_XYZ!$A$5:$A$494,0)),"SIN HIST")</f>
        <v>BX</v>
      </c>
      <c r="G328" s="24" t="n">
        <f aca="false">IF(LEFT(F328,1)="A",Parametros!$B$8,IF(LEFT(F328,1)="B",Parametros!$B$9,IF(LEFT(F328,1)="C",Parametros!$B$10,Parametros!$B$11)))</f>
        <v>0.95</v>
      </c>
      <c r="H328" s="27" t="n">
        <f aca="false">NORMSINV(G328)</f>
        <v>1.64485362695147</v>
      </c>
      <c r="I328" s="23" t="n">
        <v>2992.5</v>
      </c>
      <c r="J328" s="23" t="n">
        <f aca="false">IFERROR(INDEX(ABC_XYZ!$R$5:$R$494,MATCH(A328,ABC_XYZ!$A$5:$A$494,0)),I328*Parametros!$B$13)</f>
        <v>821.834454304876</v>
      </c>
      <c r="K328" s="27" t="n">
        <f aca="false">IFERROR(VLOOKUP(C328,Parametros!$A$36:$B$66,2,FALSE()),Parametros!$B$12)</f>
        <v>1</v>
      </c>
      <c r="L328" s="23" t="n">
        <f aca="false">H328*J328*SQRT(K328)</f>
        <v>1351.79738291706</v>
      </c>
      <c r="M328" s="29" t="n">
        <v>365</v>
      </c>
      <c r="N328" s="24" t="n">
        <v>0.194520547945206</v>
      </c>
      <c r="O328" s="3" t="s">
        <v>746</v>
      </c>
      <c r="P328" s="30" t="n">
        <f aca="false">IF(AND(ISNUMBER(M328),ISNUMBER(N328)),M328*N328/7,"")</f>
        <v>10.1428571428571</v>
      </c>
      <c r="Q328" s="23" t="n">
        <f aca="false">IF(ISNUMBER(P328),I328*P328,"")</f>
        <v>30352.5</v>
      </c>
      <c r="R328" s="23" t="n">
        <f aca="false">IF(ISNUMBER(Q328),MAX(0,MIN(L328,Q328-I328*K328)),L328)</f>
        <v>1351.79738291706</v>
      </c>
      <c r="S328" s="23" t="n">
        <f aca="false">R328+I328*K328</f>
        <v>4344.29738291706</v>
      </c>
      <c r="T328" s="23" t="n">
        <v>18120</v>
      </c>
      <c r="U328" s="23" t="n">
        <v>0</v>
      </c>
      <c r="V328" s="23" t="n">
        <f aca="false">T328+U328</f>
        <v>18120</v>
      </c>
      <c r="W328" s="30" t="n">
        <f aca="false">IF(I328&gt;0,V328/I328,"")</f>
        <v>6.05513784461153</v>
      </c>
      <c r="X328" s="3" t="str">
        <f aca="false">IF(I328&lt;=0,"SIN FCST",IF(V328&lt;R328,"BAJO SS",IF(T328&lt;R328,"BAJO SS (XLIB CUBRE)",IF(V328&lt;S328,"BAJO P.REORDEN",IF(AND(ISNUMBER(Q328),V328&gt;Q328),"SOBRE MAX VENDIBLE","OK")))))</f>
        <v>OK</v>
      </c>
    </row>
    <row r="329" customFormat="false" ht="15" hidden="false" customHeight="false" outlineLevel="0" collapsed="false">
      <c r="A329" s="3" t="n">
        <v>30001683</v>
      </c>
      <c r="B329" s="3" t="s">
        <v>466</v>
      </c>
      <c r="C329" s="3" t="s">
        <v>129</v>
      </c>
      <c r="D329" s="3" t="s">
        <v>753</v>
      </c>
      <c r="E329" s="3" t="s">
        <v>745</v>
      </c>
      <c r="F329" s="3" t="str">
        <f aca="false">IFERROR(INDEX(ABC_XYZ!$L$5:$L$494,MATCH(A329,ABC_XYZ!$A$5:$A$494,0)),"SIN HIST")</f>
        <v>BX</v>
      </c>
      <c r="G329" s="24" t="n">
        <f aca="false">IF(LEFT(F329,1)="A",Parametros!$B$8,IF(LEFT(F329,1)="B",Parametros!$B$9,IF(LEFT(F329,1)="C",Parametros!$B$10,Parametros!$B$11)))</f>
        <v>0.95</v>
      </c>
      <c r="H329" s="27" t="n">
        <f aca="false">NORMSINV(G329)</f>
        <v>1.64485362695147</v>
      </c>
      <c r="I329" s="23" t="n">
        <v>2943.8</v>
      </c>
      <c r="J329" s="23" t="n">
        <f aca="false">IFERROR(INDEX(ABC_XYZ!$R$5:$R$494,MATCH(A329,ABC_XYZ!$A$5:$A$494,0)),I329*Parametros!$B$13)</f>
        <v>1350.44140931771</v>
      </c>
      <c r="K329" s="27" t="n">
        <f aca="false">IFERROR(VLOOKUP(C329,Parametros!$A$36:$B$66,2,FALSE()),Parametros!$B$12)</f>
        <v>1</v>
      </c>
      <c r="L329" s="23" t="n">
        <f aca="false">H329*J329*SQRT(K329)</f>
        <v>2221.27845010169</v>
      </c>
      <c r="M329" s="29" t="n">
        <v>730</v>
      </c>
      <c r="N329" s="24" t="n">
        <v>0.456164383561644</v>
      </c>
      <c r="O329" s="3" t="s">
        <v>763</v>
      </c>
      <c r="P329" s="30" t="n">
        <f aca="false">IF(AND(ISNUMBER(M329),ISNUMBER(N329)),M329*N329/7,"")</f>
        <v>47.5714285714286</v>
      </c>
      <c r="Q329" s="23" t="n">
        <f aca="false">IF(ISNUMBER(P329),I329*P329,"")</f>
        <v>140040.771428571</v>
      </c>
      <c r="R329" s="23" t="n">
        <f aca="false">IF(ISNUMBER(Q329),MAX(0,MIN(L329,Q329-I329*K329)),L329)</f>
        <v>2221.27845010169</v>
      </c>
      <c r="S329" s="23" t="n">
        <f aca="false">R329+I329*K329</f>
        <v>5165.07845010169</v>
      </c>
      <c r="T329" s="23" t="n">
        <v>37656</v>
      </c>
      <c r="U329" s="23" t="n">
        <v>0</v>
      </c>
      <c r="V329" s="23" t="n">
        <f aca="false">T329+U329</f>
        <v>37656</v>
      </c>
      <c r="W329" s="30" t="n">
        <f aca="false">IF(I329&gt;0,V329/I329,"")</f>
        <v>12.7916298661594</v>
      </c>
      <c r="X329" s="3" t="str">
        <f aca="false">IF(I329&lt;=0,"SIN FCST",IF(V329&lt;R329,"BAJO SS",IF(T329&lt;R329,"BAJO SS (XLIB CUBRE)",IF(V329&lt;S329,"BAJO P.REORDEN",IF(AND(ISNUMBER(Q329),V329&gt;Q329),"SOBRE MAX VENDIBLE","OK")))))</f>
        <v>OK</v>
      </c>
    </row>
    <row r="330" customFormat="false" ht="15" hidden="false" customHeight="false" outlineLevel="0" collapsed="false">
      <c r="A330" s="3" t="n">
        <v>30000488</v>
      </c>
      <c r="B330" s="3" t="s">
        <v>974</v>
      </c>
      <c r="C330" s="3" t="s">
        <v>155</v>
      </c>
      <c r="D330" s="3" t="s">
        <v>761</v>
      </c>
      <c r="E330" s="3" t="s">
        <v>762</v>
      </c>
      <c r="F330" s="3" t="str">
        <f aca="false">IFERROR(INDEX(ABC_XYZ!$L$5:$L$494,MATCH(A330,ABC_XYZ!$A$5:$A$494,0)),"SIN HIST")</f>
        <v>BX</v>
      </c>
      <c r="G330" s="24" t="n">
        <f aca="false">IF(LEFT(F330,1)="A",Parametros!$B$8,IF(LEFT(F330,1)="B",Parametros!$B$9,IF(LEFT(F330,1)="C",Parametros!$B$10,Parametros!$B$11)))</f>
        <v>0.95</v>
      </c>
      <c r="H330" s="27" t="n">
        <f aca="false">NORMSINV(G330)</f>
        <v>1.64485362695147</v>
      </c>
      <c r="I330" s="23" t="n">
        <v>2887.8</v>
      </c>
      <c r="J330" s="23" t="n">
        <f aca="false">IFERROR(INDEX(ABC_XYZ!$R$5:$R$494,MATCH(A330,ABC_XYZ!$A$5:$A$494,0)),I330*Parametros!$B$13)</f>
        <v>610.907188031447</v>
      </c>
      <c r="K330" s="27" t="n">
        <f aca="false">IFERROR(VLOOKUP(C330,Parametros!$A$36:$B$66,2,FALSE()),Parametros!$B$12)</f>
        <v>1</v>
      </c>
      <c r="L330" s="23" t="n">
        <f aca="false">H330*J330*SQRT(K330)</f>
        <v>1004.85290396425</v>
      </c>
      <c r="M330" s="29" t="n">
        <v>71</v>
      </c>
      <c r="N330" s="24" t="n">
        <v>0.295774647887324</v>
      </c>
      <c r="O330" s="3" t="s">
        <v>774</v>
      </c>
      <c r="P330" s="30" t="n">
        <f aca="false">IF(AND(ISNUMBER(M330),ISNUMBER(N330)),M330*N330/7,"")</f>
        <v>3</v>
      </c>
      <c r="Q330" s="23" t="n">
        <f aca="false">IF(ISNUMBER(P330),I330*P330,"")</f>
        <v>8663.4</v>
      </c>
      <c r="R330" s="23" t="n">
        <f aca="false">IF(ISNUMBER(Q330),MAX(0,MIN(L330,Q330-I330*K330)),L330)</f>
        <v>1004.85290396425</v>
      </c>
      <c r="S330" s="23" t="n">
        <f aca="false">R330+I330*K330</f>
        <v>3892.65290396425</v>
      </c>
      <c r="T330" s="23" t="n">
        <v>4622.4</v>
      </c>
      <c r="U330" s="23" t="n">
        <v>2980.8</v>
      </c>
      <c r="V330" s="23" t="n">
        <f aca="false">T330+U330</f>
        <v>7603.2</v>
      </c>
      <c r="W330" s="30" t="n">
        <f aca="false">IF(I330&gt;0,V330/I330,"")</f>
        <v>2.63286931227924</v>
      </c>
      <c r="X330" s="3" t="str">
        <f aca="false">IF(I330&lt;=0,"SIN FCST",IF(V330&lt;R330,"BAJO SS",IF(T330&lt;R330,"BAJO SS (XLIB CUBRE)",IF(V330&lt;S330,"BAJO P.REORDEN",IF(AND(ISNUMBER(Q330),V330&gt;Q330),"SOBRE MAX VENDIBLE","OK")))))</f>
        <v>OK</v>
      </c>
    </row>
    <row r="331" customFormat="false" ht="15" hidden="false" customHeight="false" outlineLevel="0" collapsed="false">
      <c r="A331" s="3" t="n">
        <v>30000421</v>
      </c>
      <c r="B331" s="3" t="s">
        <v>464</v>
      </c>
      <c r="C331" s="3" t="s">
        <v>139</v>
      </c>
      <c r="D331" s="3" t="s">
        <v>753</v>
      </c>
      <c r="E331" s="3" t="s">
        <v>745</v>
      </c>
      <c r="F331" s="3" t="str">
        <f aca="false">IFERROR(INDEX(ABC_XYZ!$L$5:$L$494,MATCH(A331,ABC_XYZ!$A$5:$A$494,0)),"SIN HIST")</f>
        <v>BX</v>
      </c>
      <c r="G331" s="24" t="n">
        <f aca="false">IF(LEFT(F331,1)="A",Parametros!$B$8,IF(LEFT(F331,1)="B",Parametros!$B$9,IF(LEFT(F331,1)="C",Parametros!$B$10,Parametros!$B$11)))</f>
        <v>0.95</v>
      </c>
      <c r="H331" s="27" t="n">
        <f aca="false">NORMSINV(G331)</f>
        <v>1.64485362695147</v>
      </c>
      <c r="I331" s="23" t="n">
        <v>2880.2</v>
      </c>
      <c r="J331" s="23" t="n">
        <f aca="false">IFERROR(INDEX(ABC_XYZ!$R$5:$R$494,MATCH(A331,ABC_XYZ!$A$5:$A$494,0)),I331*Parametros!$B$13)</f>
        <v>514.109597625779</v>
      </c>
      <c r="K331" s="27" t="n">
        <f aca="false">IFERROR(VLOOKUP(C331,Parametros!$A$36:$B$66,2,FALSE()),Parametros!$B$12)</f>
        <v>1</v>
      </c>
      <c r="L331" s="23" t="n">
        <f aca="false">H331*J331*SQRT(K331)</f>
        <v>845.635036305323</v>
      </c>
      <c r="M331" s="29" t="n">
        <v>189</v>
      </c>
      <c r="N331" s="24" t="n">
        <v>0.259259259259259</v>
      </c>
      <c r="O331" s="3" t="s">
        <v>746</v>
      </c>
      <c r="P331" s="30" t="n">
        <f aca="false">IF(AND(ISNUMBER(M331),ISNUMBER(N331)),M331*N331/7,"")</f>
        <v>7</v>
      </c>
      <c r="Q331" s="23" t="n">
        <f aca="false">IF(ISNUMBER(P331),I331*P331,"")</f>
        <v>20161.4</v>
      </c>
      <c r="R331" s="23" t="n">
        <f aca="false">IF(ISNUMBER(Q331),MAX(0,MIN(L331,Q331-I331*K331)),L331)</f>
        <v>845.635036305323</v>
      </c>
      <c r="S331" s="23" t="n">
        <f aca="false">R331+I331*K331</f>
        <v>3725.83503630532</v>
      </c>
      <c r="T331" s="23" t="n">
        <v>10332</v>
      </c>
      <c r="U331" s="23" t="n">
        <v>0</v>
      </c>
      <c r="V331" s="23" t="n">
        <f aca="false">T331+U331</f>
        <v>10332</v>
      </c>
      <c r="W331" s="30" t="n">
        <f aca="false">IF(I331&gt;0,V331/I331,"")</f>
        <v>3.58725088535518</v>
      </c>
      <c r="X331" s="3" t="str">
        <f aca="false">IF(I331&lt;=0,"SIN FCST",IF(V331&lt;R331,"BAJO SS",IF(T331&lt;R331,"BAJO SS (XLIB CUBRE)",IF(V331&lt;S331,"BAJO P.REORDEN",IF(AND(ISNUMBER(Q331),V331&gt;Q331),"SOBRE MAX VENDIBLE","OK")))))</f>
        <v>OK</v>
      </c>
    </row>
    <row r="332" customFormat="false" ht="15" hidden="false" customHeight="false" outlineLevel="0" collapsed="false">
      <c r="A332" s="3" t="n">
        <v>30001852</v>
      </c>
      <c r="B332" s="3" t="s">
        <v>975</v>
      </c>
      <c r="C332" s="3" t="s">
        <v>155</v>
      </c>
      <c r="D332" s="3" t="s">
        <v>761</v>
      </c>
      <c r="E332" s="3" t="s">
        <v>762</v>
      </c>
      <c r="F332" s="3" t="str">
        <f aca="false">IFERROR(INDEX(ABC_XYZ!$L$5:$L$494,MATCH(A332,ABC_XYZ!$A$5:$A$494,0)),"SIN HIST")</f>
        <v>BX</v>
      </c>
      <c r="G332" s="24" t="n">
        <f aca="false">IF(LEFT(F332,1)="A",Parametros!$B$8,IF(LEFT(F332,1)="B",Parametros!$B$9,IF(LEFT(F332,1)="C",Parametros!$B$10,Parametros!$B$11)))</f>
        <v>0.95</v>
      </c>
      <c r="H332" s="27" t="n">
        <f aca="false">NORMSINV(G332)</f>
        <v>1.64485362695147</v>
      </c>
      <c r="I332" s="23" t="n">
        <v>2875.2</v>
      </c>
      <c r="J332" s="23" t="n">
        <f aca="false">IFERROR(INDEX(ABC_XYZ!$R$5:$R$494,MATCH(A332,ABC_XYZ!$A$5:$A$494,0)),I332*Parametros!$B$13)</f>
        <v>1039.82126853771</v>
      </c>
      <c r="K332" s="27" t="n">
        <f aca="false">IFERROR(VLOOKUP(C332,Parametros!$A$36:$B$66,2,FALSE()),Parametros!$B$12)</f>
        <v>1</v>
      </c>
      <c r="L332" s="23" t="n">
        <f aca="false">H332*J332*SQRT(K332)</f>
        <v>1710.35378493554</v>
      </c>
      <c r="M332" s="29" t="n">
        <v>57</v>
      </c>
      <c r="N332" s="24" t="n">
        <v>0.245614035087719</v>
      </c>
      <c r="O332" s="3" t="s">
        <v>774</v>
      </c>
      <c r="P332" s="30" t="n">
        <f aca="false">IF(AND(ISNUMBER(M332),ISNUMBER(N332)),M332*N332/7,"")</f>
        <v>2</v>
      </c>
      <c r="Q332" s="23" t="n">
        <f aca="false">IF(ISNUMBER(P332),I332*P332,"")</f>
        <v>5750.4</v>
      </c>
      <c r="R332" s="23" t="n">
        <f aca="false">IF(ISNUMBER(Q332),MAX(0,MIN(L332,Q332-I332*K332)),L332)</f>
        <v>1710.35378493554</v>
      </c>
      <c r="S332" s="23" t="n">
        <f aca="false">R332+I332*K332</f>
        <v>4585.55378493554</v>
      </c>
      <c r="T332" s="23" t="n">
        <v>4640.2</v>
      </c>
      <c r="U332" s="23" t="n">
        <v>0</v>
      </c>
      <c r="V332" s="23" t="n">
        <f aca="false">T332+U332</f>
        <v>4640.2</v>
      </c>
      <c r="W332" s="30" t="n">
        <f aca="false">IF(I332&gt;0,V332/I332,"")</f>
        <v>1.61387033945465</v>
      </c>
      <c r="X332" s="3" t="str">
        <f aca="false">IF(I332&lt;=0,"SIN FCST",IF(V332&lt;R332,"BAJO SS",IF(T332&lt;R332,"BAJO SS (XLIB CUBRE)",IF(V332&lt;S332,"BAJO P.REORDEN",IF(AND(ISNUMBER(Q332),V332&gt;Q332),"SOBRE MAX VENDIBLE","OK")))))</f>
        <v>OK</v>
      </c>
    </row>
    <row r="333" customFormat="false" ht="15" hidden="false" customHeight="false" outlineLevel="0" collapsed="false">
      <c r="A333" s="3" t="n">
        <v>30001494</v>
      </c>
      <c r="B333" s="3" t="s">
        <v>976</v>
      </c>
      <c r="C333" s="3" t="s">
        <v>155</v>
      </c>
      <c r="D333" s="3" t="s">
        <v>761</v>
      </c>
      <c r="E333" s="3" t="s">
        <v>762</v>
      </c>
      <c r="F333" s="3" t="str">
        <f aca="false">IFERROR(INDEX(ABC_XYZ!$L$5:$L$494,MATCH(A333,ABC_XYZ!$A$5:$A$494,0)),"SIN HIST")</f>
        <v>BX</v>
      </c>
      <c r="G333" s="24" t="n">
        <f aca="false">IF(LEFT(F333,1)="A",Parametros!$B$8,IF(LEFT(F333,1)="B",Parametros!$B$9,IF(LEFT(F333,1)="C",Parametros!$B$10,Parametros!$B$11)))</f>
        <v>0.95</v>
      </c>
      <c r="H333" s="27" t="n">
        <f aca="false">NORMSINV(G333)</f>
        <v>1.64485362695147</v>
      </c>
      <c r="I333" s="23" t="n">
        <v>2862.2</v>
      </c>
      <c r="J333" s="23" t="n">
        <f aca="false">IFERROR(INDEX(ABC_XYZ!$R$5:$R$494,MATCH(A333,ABC_XYZ!$A$5:$A$494,0)),I333*Parametros!$B$13)</f>
        <v>597.143520578937</v>
      </c>
      <c r="K333" s="27" t="n">
        <f aca="false">IFERROR(VLOOKUP(C333,Parametros!$A$36:$B$66,2,FALSE()),Parametros!$B$12)</f>
        <v>1</v>
      </c>
      <c r="L333" s="23" t="n">
        <f aca="false">H333*J333*SQRT(K333)</f>
        <v>982.213685634835</v>
      </c>
      <c r="M333" s="29" t="n">
        <v>60</v>
      </c>
      <c r="N333" s="24" t="n">
        <v>0.2</v>
      </c>
      <c r="O333" s="3" t="s">
        <v>754</v>
      </c>
      <c r="P333" s="30" t="n">
        <f aca="false">IF(AND(ISNUMBER(M333),ISNUMBER(N333)),M333*N333/7,"")</f>
        <v>1.71428571428571</v>
      </c>
      <c r="Q333" s="23" t="n">
        <f aca="false">IF(ISNUMBER(P333),I333*P333,"")</f>
        <v>4906.62857142857</v>
      </c>
      <c r="R333" s="23" t="n">
        <f aca="false">IF(ISNUMBER(Q333),MAX(0,MIN(L333,Q333-I333*K333)),L333)</f>
        <v>982.213685634835</v>
      </c>
      <c r="S333" s="23" t="n">
        <f aca="false">R333+I333*K333</f>
        <v>3844.41368563484</v>
      </c>
      <c r="T333" s="23" t="n">
        <v>445.4</v>
      </c>
      <c r="U333" s="23" t="n">
        <v>0</v>
      </c>
      <c r="V333" s="23" t="n">
        <f aca="false">T333+U333</f>
        <v>445.4</v>
      </c>
      <c r="W333" s="30" t="n">
        <f aca="false">IF(I333&gt;0,V333/I333,"")</f>
        <v>0.155614562224862</v>
      </c>
      <c r="X333" s="3" t="str">
        <f aca="false">IF(I333&lt;=0,"SIN FCST",IF(V333&lt;R333,"BAJO SS",IF(T333&lt;R333,"BAJO SS (XLIB CUBRE)",IF(V333&lt;S333,"BAJO P.REORDEN",IF(AND(ISNUMBER(Q333),V333&gt;Q333),"SOBRE MAX VENDIBLE","OK")))))</f>
        <v>BAJO SS</v>
      </c>
    </row>
    <row r="334" customFormat="false" ht="15" hidden="false" customHeight="false" outlineLevel="0" collapsed="false">
      <c r="A334" s="3" t="n">
        <v>30000742</v>
      </c>
      <c r="B334" s="3" t="s">
        <v>977</v>
      </c>
      <c r="C334" s="3" t="s">
        <v>133</v>
      </c>
      <c r="D334" s="3" t="s">
        <v>758</v>
      </c>
      <c r="E334" s="3"/>
      <c r="F334" s="3" t="str">
        <f aca="false">IFERROR(INDEX(ABC_XYZ!$L$5:$L$494,MATCH(A334,ABC_XYZ!$A$5:$A$494,0)),"SIN HIST")</f>
        <v>SIN HIST</v>
      </c>
      <c r="G334" s="24" t="n">
        <f aca="false">IF(LEFT(F334,1)="A",Parametros!$B$8,IF(LEFT(F334,1)="B",Parametros!$B$9,IF(LEFT(F334,1)="C",Parametros!$B$10,Parametros!$B$11)))</f>
        <v>0.95</v>
      </c>
      <c r="H334" s="27" t="n">
        <f aca="false">NORMSINV(G334)</f>
        <v>1.64485362695147</v>
      </c>
      <c r="I334" s="23" t="n">
        <v>2856.1</v>
      </c>
      <c r="J334" s="23" t="n">
        <f aca="false">IFERROR(INDEX(ABC_XYZ!$R$5:$R$494,MATCH(A334,ABC_XYZ!$A$5:$A$494,0)),I334*Parametros!$B$13)</f>
        <v>856.83</v>
      </c>
      <c r="K334" s="27" t="n">
        <f aca="false">IFERROR(VLOOKUP(C334,Parametros!$A$36:$B$66,2,FALSE()),Parametros!$B$12)</f>
        <v>1</v>
      </c>
      <c r="L334" s="23" t="n">
        <f aca="false">H334*J334*SQRT(K334)</f>
        <v>1409.35993318083</v>
      </c>
      <c r="M334" s="29"/>
      <c r="N334" s="24"/>
      <c r="O334" s="3"/>
      <c r="P334" s="30" t="str">
        <f aca="false">IF(AND(ISNUMBER(M334),ISNUMBER(N334)),M334*N334/7,"")</f>
        <v/>
      </c>
      <c r="Q334" s="23" t="str">
        <f aca="false">IF(ISNUMBER(P334),I334*P334,"")</f>
        <v/>
      </c>
      <c r="R334" s="23" t="n">
        <f aca="false">IF(ISNUMBER(Q334),MAX(0,MIN(L334,Q334-I334*K334)),L334)</f>
        <v>1409.35993318083</v>
      </c>
      <c r="S334" s="23" t="n">
        <f aca="false">R334+I334*K334</f>
        <v>4265.45993318083</v>
      </c>
      <c r="T334" s="23" t="n">
        <v>15734.4</v>
      </c>
      <c r="U334" s="23" t="n">
        <v>0</v>
      </c>
      <c r="V334" s="23" t="n">
        <f aca="false">T334+U334</f>
        <v>15734.4</v>
      </c>
      <c r="W334" s="30" t="n">
        <f aca="false">IF(I334&gt;0,V334/I334,"")</f>
        <v>5.50905080354329</v>
      </c>
      <c r="X334" s="3" t="str">
        <f aca="false">IF(I334&lt;=0,"SIN FCST",IF(V334&lt;R334,"BAJO SS",IF(T334&lt;R334,"BAJO SS (XLIB CUBRE)",IF(V334&lt;S334,"BAJO P.REORDEN",IF(AND(ISNUMBER(Q334),V334&gt;Q334),"SOBRE MAX VENDIBLE","OK")))))</f>
        <v>OK</v>
      </c>
    </row>
    <row r="335" customFormat="false" ht="15" hidden="false" customHeight="false" outlineLevel="0" collapsed="false">
      <c r="A335" s="3" t="n">
        <v>30001767</v>
      </c>
      <c r="B335" s="3" t="s">
        <v>978</v>
      </c>
      <c r="C335" s="3" t="s">
        <v>144</v>
      </c>
      <c r="D335" s="3" t="s">
        <v>753</v>
      </c>
      <c r="E335" s="3" t="s">
        <v>745</v>
      </c>
      <c r="F335" s="3" t="str">
        <f aca="false">IFERROR(INDEX(ABC_XYZ!$L$5:$L$494,MATCH(A335,ABC_XYZ!$A$5:$A$494,0)),"SIN HIST")</f>
        <v>BY</v>
      </c>
      <c r="G335" s="24" t="n">
        <f aca="false">IF(LEFT(F335,1)="A",Parametros!$B$8,IF(LEFT(F335,1)="B",Parametros!$B$9,IF(LEFT(F335,1)="C",Parametros!$B$10,Parametros!$B$11)))</f>
        <v>0.95</v>
      </c>
      <c r="H335" s="27" t="n">
        <f aca="false">NORMSINV(G335)</f>
        <v>1.64485362695147</v>
      </c>
      <c r="I335" s="23" t="n">
        <v>2841.8</v>
      </c>
      <c r="J335" s="23" t="n">
        <f aca="false">IFERROR(INDEX(ABC_XYZ!$R$5:$R$494,MATCH(A335,ABC_XYZ!$A$5:$A$494,0)),I335*Parametros!$B$13)</f>
        <v>1194.5104603979</v>
      </c>
      <c r="K335" s="27" t="n">
        <f aca="false">IFERROR(VLOOKUP(C335,Parametros!$A$36:$B$66,2,FALSE()),Parametros!$B$12)</f>
        <v>1</v>
      </c>
      <c r="L335" s="23" t="n">
        <f aca="false">H335*J335*SQRT(K335)</f>
        <v>1964.79486321696</v>
      </c>
      <c r="M335" s="29" t="n">
        <v>365</v>
      </c>
      <c r="N335" s="24" t="n">
        <v>0.273972602739726</v>
      </c>
      <c r="O335" s="3" t="s">
        <v>746</v>
      </c>
      <c r="P335" s="30" t="n">
        <f aca="false">IF(AND(ISNUMBER(M335),ISNUMBER(N335)),M335*N335/7,"")</f>
        <v>14.2857142857143</v>
      </c>
      <c r="Q335" s="23" t="n">
        <f aca="false">IF(ISNUMBER(P335),I335*P335,"")</f>
        <v>40597.1428571429</v>
      </c>
      <c r="R335" s="23" t="n">
        <f aca="false">IF(ISNUMBER(Q335),MAX(0,MIN(L335,Q335-I335*K335)),L335)</f>
        <v>1964.79486321696</v>
      </c>
      <c r="S335" s="23" t="n">
        <f aca="false">R335+I335*K335</f>
        <v>4806.59486321696</v>
      </c>
      <c r="T335" s="23" t="n">
        <v>8780.4</v>
      </c>
      <c r="U335" s="23" t="n">
        <v>4546.8</v>
      </c>
      <c r="V335" s="23" t="n">
        <f aca="false">T335+U335</f>
        <v>13327.2</v>
      </c>
      <c r="W335" s="30" t="n">
        <f aca="false">IF(I335&gt;0,V335/I335,"")</f>
        <v>4.68970370891688</v>
      </c>
      <c r="X335" s="3" t="str">
        <f aca="false">IF(I335&lt;=0,"SIN FCST",IF(V335&lt;R335,"BAJO SS",IF(T335&lt;R335,"BAJO SS (XLIB CUBRE)",IF(V335&lt;S335,"BAJO P.REORDEN",IF(AND(ISNUMBER(Q335),V335&gt;Q335),"SOBRE MAX VENDIBLE","OK")))))</f>
        <v>OK</v>
      </c>
    </row>
    <row r="336" customFormat="false" ht="15" hidden="false" customHeight="false" outlineLevel="0" collapsed="false">
      <c r="A336" s="3" t="n">
        <v>30000636</v>
      </c>
      <c r="B336" s="3" t="s">
        <v>979</v>
      </c>
      <c r="C336" s="3" t="s">
        <v>144</v>
      </c>
      <c r="D336" s="3" t="s">
        <v>753</v>
      </c>
      <c r="E336" s="3" t="s">
        <v>745</v>
      </c>
      <c r="F336" s="3" t="str">
        <f aca="false">IFERROR(INDEX(ABC_XYZ!$L$5:$L$494,MATCH(A336,ABC_XYZ!$A$5:$A$494,0)),"SIN HIST")</f>
        <v>BX</v>
      </c>
      <c r="G336" s="24" t="n">
        <f aca="false">IF(LEFT(F336,1)="A",Parametros!$B$8,IF(LEFT(F336,1)="B",Parametros!$B$9,IF(LEFT(F336,1)="C",Parametros!$B$10,Parametros!$B$11)))</f>
        <v>0.95</v>
      </c>
      <c r="H336" s="27" t="n">
        <f aca="false">NORMSINV(G336)</f>
        <v>1.64485362695147</v>
      </c>
      <c r="I336" s="23" t="n">
        <v>2815.3</v>
      </c>
      <c r="J336" s="23" t="n">
        <f aca="false">IFERROR(INDEX(ABC_XYZ!$R$5:$R$494,MATCH(A336,ABC_XYZ!$A$5:$A$494,0)),I336*Parametros!$B$13)</f>
        <v>637.769341794769</v>
      </c>
      <c r="K336" s="27" t="n">
        <f aca="false">IFERROR(VLOOKUP(C336,Parametros!$A$36:$B$66,2,FALSE()),Parametros!$B$12)</f>
        <v>1</v>
      </c>
      <c r="L336" s="23" t="n">
        <f aca="false">H336*J336*SQRT(K336)</f>
        <v>1049.03721500958</v>
      </c>
      <c r="M336" s="29" t="n">
        <v>365</v>
      </c>
      <c r="N336" s="24" t="n">
        <v>0.32054794520548</v>
      </c>
      <c r="O336" s="3" t="s">
        <v>754</v>
      </c>
      <c r="P336" s="30" t="n">
        <f aca="false">IF(AND(ISNUMBER(M336),ISNUMBER(N336)),M336*N336/7,"")</f>
        <v>16.7142857142857</v>
      </c>
      <c r="Q336" s="23" t="n">
        <f aca="false">IF(ISNUMBER(P336),I336*P336,"")</f>
        <v>47055.7285714286</v>
      </c>
      <c r="R336" s="23" t="n">
        <f aca="false">IF(ISNUMBER(Q336),MAX(0,MIN(L336,Q336-I336*K336)),L336)</f>
        <v>1049.03721500958</v>
      </c>
      <c r="S336" s="23" t="n">
        <f aca="false">R336+I336*K336</f>
        <v>3864.33721500958</v>
      </c>
      <c r="T336" s="23" t="n">
        <v>7680</v>
      </c>
      <c r="U336" s="23" t="n">
        <v>0</v>
      </c>
      <c r="V336" s="23" t="n">
        <f aca="false">T336+U336</f>
        <v>7680</v>
      </c>
      <c r="W336" s="30" t="n">
        <f aca="false">IF(I336&gt;0,V336/I336,"")</f>
        <v>2.72795084005257</v>
      </c>
      <c r="X336" s="3" t="str">
        <f aca="false">IF(I336&lt;=0,"SIN FCST",IF(V336&lt;R336,"BAJO SS",IF(T336&lt;R336,"BAJO SS (XLIB CUBRE)",IF(V336&lt;S336,"BAJO P.REORDEN",IF(AND(ISNUMBER(Q336),V336&gt;Q336),"SOBRE MAX VENDIBLE","OK")))))</f>
        <v>OK</v>
      </c>
    </row>
    <row r="337" customFormat="false" ht="15" hidden="false" customHeight="false" outlineLevel="0" collapsed="false">
      <c r="A337" s="3" t="n">
        <v>30001060</v>
      </c>
      <c r="B337" s="3" t="s">
        <v>980</v>
      </c>
      <c r="C337" s="3" t="s">
        <v>155</v>
      </c>
      <c r="D337" s="3" t="s">
        <v>761</v>
      </c>
      <c r="E337" s="3" t="s">
        <v>762</v>
      </c>
      <c r="F337" s="3" t="str">
        <f aca="false">IFERROR(INDEX(ABC_XYZ!$L$5:$L$494,MATCH(A337,ABC_XYZ!$A$5:$A$494,0)),"SIN HIST")</f>
        <v>BX</v>
      </c>
      <c r="G337" s="24" t="n">
        <f aca="false">IF(LEFT(F337,1)="A",Parametros!$B$8,IF(LEFT(F337,1)="B",Parametros!$B$9,IF(LEFT(F337,1)="C",Parametros!$B$10,Parametros!$B$11)))</f>
        <v>0.95</v>
      </c>
      <c r="H337" s="27" t="n">
        <f aca="false">NORMSINV(G337)</f>
        <v>1.64485362695147</v>
      </c>
      <c r="I337" s="23" t="n">
        <v>2786.1</v>
      </c>
      <c r="J337" s="23" t="n">
        <f aca="false">IFERROR(INDEX(ABC_XYZ!$R$5:$R$494,MATCH(A337,ABC_XYZ!$A$5:$A$494,0)),I337*Parametros!$B$13)</f>
        <v>950.887961715356</v>
      </c>
      <c r="K337" s="27" t="n">
        <f aca="false">IFERROR(VLOOKUP(C337,Parametros!$A$36:$B$66,2,FALSE()),Parametros!$B$12)</f>
        <v>1</v>
      </c>
      <c r="L337" s="23" t="n">
        <f aca="false">H337*J337*SQRT(K337)</f>
        <v>1564.07151265199</v>
      </c>
      <c r="M337" s="29" t="n">
        <v>60</v>
      </c>
      <c r="N337" s="24" t="n">
        <v>0.3</v>
      </c>
      <c r="O337" s="3" t="s">
        <v>774</v>
      </c>
      <c r="P337" s="30" t="n">
        <f aca="false">IF(AND(ISNUMBER(M337),ISNUMBER(N337)),M337*N337/7,"")</f>
        <v>2.57142857142857</v>
      </c>
      <c r="Q337" s="23" t="n">
        <f aca="false">IF(ISNUMBER(P337),I337*P337,"")</f>
        <v>7164.25714285714</v>
      </c>
      <c r="R337" s="23" t="n">
        <f aca="false">IF(ISNUMBER(Q337),MAX(0,MIN(L337,Q337-I337*K337)),L337)</f>
        <v>1564.07151265199</v>
      </c>
      <c r="S337" s="23" t="n">
        <f aca="false">R337+I337*K337</f>
        <v>4350.17151265199</v>
      </c>
      <c r="T337" s="23" t="n">
        <v>43.7</v>
      </c>
      <c r="U337" s="23" t="n">
        <v>0</v>
      </c>
      <c r="V337" s="23" t="n">
        <f aca="false">T337+U337</f>
        <v>43.7</v>
      </c>
      <c r="W337" s="30" t="n">
        <f aca="false">IF(I337&gt;0,V337/I337,"")</f>
        <v>0.0156850077168802</v>
      </c>
      <c r="X337" s="3" t="str">
        <f aca="false">IF(I337&lt;=0,"SIN FCST",IF(V337&lt;R337,"BAJO SS",IF(T337&lt;R337,"BAJO SS (XLIB CUBRE)",IF(V337&lt;S337,"BAJO P.REORDEN",IF(AND(ISNUMBER(Q337),V337&gt;Q337),"SOBRE MAX VENDIBLE","OK")))))</f>
        <v>BAJO SS</v>
      </c>
    </row>
    <row r="338" customFormat="false" ht="15" hidden="false" customHeight="false" outlineLevel="0" collapsed="false">
      <c r="A338" s="3" t="n">
        <v>30002359</v>
      </c>
      <c r="B338" s="3" t="s">
        <v>981</v>
      </c>
      <c r="C338" s="3" t="s">
        <v>139</v>
      </c>
      <c r="D338" s="3"/>
      <c r="E338" s="3"/>
      <c r="F338" s="3" t="str">
        <f aca="false">IFERROR(INDEX(ABC_XYZ!$L$5:$L$494,MATCH(A338,ABC_XYZ!$A$5:$A$494,0)),"SIN HIST")</f>
        <v>BX</v>
      </c>
      <c r="G338" s="24" t="n">
        <f aca="false">IF(LEFT(F338,1)="A",Parametros!$B$8,IF(LEFT(F338,1)="B",Parametros!$B$9,IF(LEFT(F338,1)="C",Parametros!$B$10,Parametros!$B$11)))</f>
        <v>0.95</v>
      </c>
      <c r="H338" s="27" t="n">
        <f aca="false">NORMSINV(G338)</f>
        <v>1.64485362695147</v>
      </c>
      <c r="I338" s="23" t="n">
        <v>2775.4</v>
      </c>
      <c r="J338" s="23" t="n">
        <f aca="false">IFERROR(INDEX(ABC_XYZ!$R$5:$R$494,MATCH(A338,ABC_XYZ!$A$5:$A$494,0)),I338*Parametros!$B$13)</f>
        <v>1563.46497157299</v>
      </c>
      <c r="K338" s="27" t="n">
        <f aca="false">IFERROR(VLOOKUP(C338,Parametros!$A$36:$B$66,2,FALSE()),Parametros!$B$12)</f>
        <v>1</v>
      </c>
      <c r="L338" s="23" t="n">
        <f aca="false">H338*J338*SQRT(K338)</f>
        <v>2571.67102910341</v>
      </c>
      <c r="M338" s="29"/>
      <c r="N338" s="24"/>
      <c r="O338" s="3"/>
      <c r="P338" s="30" t="str">
        <f aca="false">IF(AND(ISNUMBER(M338),ISNUMBER(N338)),M338*N338/7,"")</f>
        <v/>
      </c>
      <c r="Q338" s="23" t="str">
        <f aca="false">IF(ISNUMBER(P338),I338*P338,"")</f>
        <v/>
      </c>
      <c r="R338" s="23" t="n">
        <f aca="false">IF(ISNUMBER(Q338),MAX(0,MIN(L338,Q338-I338*K338)),L338)</f>
        <v>2571.67102910341</v>
      </c>
      <c r="S338" s="23" t="n">
        <f aca="false">R338+I338*K338</f>
        <v>5347.07102910341</v>
      </c>
      <c r="T338" s="23" t="n">
        <v>876</v>
      </c>
      <c r="U338" s="23" t="n">
        <v>0</v>
      </c>
      <c r="V338" s="23" t="n">
        <f aca="false">T338+U338</f>
        <v>876</v>
      </c>
      <c r="W338" s="30" t="n">
        <f aca="false">IF(I338&gt;0,V338/I338,"")</f>
        <v>0.315630179433595</v>
      </c>
      <c r="X338" s="3" t="str">
        <f aca="false">IF(I338&lt;=0,"SIN FCST",IF(V338&lt;R338,"BAJO SS",IF(T338&lt;R338,"BAJO SS (XLIB CUBRE)",IF(V338&lt;S338,"BAJO P.REORDEN",IF(AND(ISNUMBER(Q338),V338&gt;Q338),"SOBRE MAX VENDIBLE","OK")))))</f>
        <v>BAJO SS</v>
      </c>
    </row>
    <row r="339" customFormat="false" ht="15" hidden="false" customHeight="false" outlineLevel="0" collapsed="false">
      <c r="A339" s="3" t="n">
        <v>30001033</v>
      </c>
      <c r="B339" s="3" t="s">
        <v>982</v>
      </c>
      <c r="C339" s="3" t="s">
        <v>155</v>
      </c>
      <c r="D339" s="3" t="s">
        <v>761</v>
      </c>
      <c r="E339" s="3" t="s">
        <v>762</v>
      </c>
      <c r="F339" s="3" t="str">
        <f aca="false">IFERROR(INDEX(ABC_XYZ!$L$5:$L$494,MATCH(A339,ABC_XYZ!$A$5:$A$494,0)),"SIN HIST")</f>
        <v>BX</v>
      </c>
      <c r="G339" s="24" t="n">
        <f aca="false">IF(LEFT(F339,1)="A",Parametros!$B$8,IF(LEFT(F339,1)="B",Parametros!$B$9,IF(LEFT(F339,1)="C",Parametros!$B$10,Parametros!$B$11)))</f>
        <v>0.95</v>
      </c>
      <c r="H339" s="27" t="n">
        <f aca="false">NORMSINV(G339)</f>
        <v>1.64485362695147</v>
      </c>
      <c r="I339" s="23" t="n">
        <v>2773.8</v>
      </c>
      <c r="J339" s="23" t="n">
        <f aca="false">IFERROR(INDEX(ABC_XYZ!$R$5:$R$494,MATCH(A339,ABC_XYZ!$A$5:$A$494,0)),I339*Parametros!$B$13)</f>
        <v>900.750041119515</v>
      </c>
      <c r="K339" s="27" t="n">
        <f aca="false">IFERROR(VLOOKUP(C339,Parametros!$A$36:$B$66,2,FALSE()),Parametros!$B$12)</f>
        <v>1</v>
      </c>
      <c r="L339" s="23" t="n">
        <f aca="false">H339*J339*SQRT(K339)</f>
        <v>1481.60197211212</v>
      </c>
      <c r="M339" s="29" t="n">
        <v>62</v>
      </c>
      <c r="N339" s="24" t="n">
        <v>0.193548387096774</v>
      </c>
      <c r="O339" s="3" t="s">
        <v>774</v>
      </c>
      <c r="P339" s="30" t="n">
        <f aca="false">IF(AND(ISNUMBER(M339),ISNUMBER(N339)),M339*N339/7,"")</f>
        <v>1.71428571428571</v>
      </c>
      <c r="Q339" s="23" t="n">
        <f aca="false">IF(ISNUMBER(P339),I339*P339,"")</f>
        <v>4755.08571428571</v>
      </c>
      <c r="R339" s="23" t="n">
        <f aca="false">IF(ISNUMBER(Q339),MAX(0,MIN(L339,Q339-I339*K339)),L339)</f>
        <v>1481.60197211212</v>
      </c>
      <c r="S339" s="23" t="n">
        <f aca="false">R339+I339*K339</f>
        <v>4255.40197211212</v>
      </c>
      <c r="T339" s="23" t="n">
        <v>1933.2</v>
      </c>
      <c r="U339" s="23" t="n">
        <v>0</v>
      </c>
      <c r="V339" s="23" t="n">
        <f aca="false">T339+U339</f>
        <v>1933.2</v>
      </c>
      <c r="W339" s="30" t="n">
        <f aca="false">IF(I339&gt;0,V339/I339,"")</f>
        <v>0.696950032446463</v>
      </c>
      <c r="X339" s="3" t="str">
        <f aca="false">IF(I339&lt;=0,"SIN FCST",IF(V339&lt;R339,"BAJO SS",IF(T339&lt;R339,"BAJO SS (XLIB CUBRE)",IF(V339&lt;S339,"BAJO P.REORDEN",IF(AND(ISNUMBER(Q339),V339&gt;Q339),"SOBRE MAX VENDIBLE","OK")))))</f>
        <v>BAJO P.REORDEN</v>
      </c>
    </row>
    <row r="340" customFormat="false" ht="15" hidden="false" customHeight="false" outlineLevel="0" collapsed="false">
      <c r="A340" s="3" t="n">
        <v>30001954</v>
      </c>
      <c r="B340" s="3" t="s">
        <v>470</v>
      </c>
      <c r="C340" s="3" t="s">
        <v>129</v>
      </c>
      <c r="D340" s="3" t="s">
        <v>753</v>
      </c>
      <c r="E340" s="3" t="s">
        <v>745</v>
      </c>
      <c r="F340" s="3" t="str">
        <f aca="false">IFERROR(INDEX(ABC_XYZ!$L$5:$L$494,MATCH(A340,ABC_XYZ!$A$5:$A$494,0)),"SIN HIST")</f>
        <v>BX</v>
      </c>
      <c r="G340" s="24" t="n">
        <f aca="false">IF(LEFT(F340,1)="A",Parametros!$B$8,IF(LEFT(F340,1)="B",Parametros!$B$9,IF(LEFT(F340,1)="C",Parametros!$B$10,Parametros!$B$11)))</f>
        <v>0.95</v>
      </c>
      <c r="H340" s="27" t="n">
        <f aca="false">NORMSINV(G340)</f>
        <v>1.64485362695147</v>
      </c>
      <c r="I340" s="23" t="n">
        <v>2741.6</v>
      </c>
      <c r="J340" s="23" t="n">
        <f aca="false">IFERROR(INDEX(ABC_XYZ!$R$5:$R$494,MATCH(A340,ABC_XYZ!$A$5:$A$494,0)),I340*Parametros!$B$13)</f>
        <v>939.99388295882</v>
      </c>
      <c r="K340" s="27" t="n">
        <f aca="false">IFERROR(VLOOKUP(C340,Parametros!$A$36:$B$66,2,FALSE()),Parametros!$B$12)</f>
        <v>1</v>
      </c>
      <c r="L340" s="23" t="n">
        <f aca="false">H340*J340*SQRT(K340)</f>
        <v>1546.15234769701</v>
      </c>
      <c r="M340" s="29" t="n">
        <v>548</v>
      </c>
      <c r="N340" s="24" t="n">
        <v>0.12956204379562</v>
      </c>
      <c r="O340" s="3" t="s">
        <v>774</v>
      </c>
      <c r="P340" s="30" t="n">
        <f aca="false">IF(AND(ISNUMBER(M340),ISNUMBER(N340)),M340*N340/7,"")</f>
        <v>10.1428571428571</v>
      </c>
      <c r="Q340" s="23" t="n">
        <f aca="false">IF(ISNUMBER(P340),I340*P340,"")</f>
        <v>27807.6571428571</v>
      </c>
      <c r="R340" s="23" t="n">
        <f aca="false">IF(ISNUMBER(Q340),MAX(0,MIN(L340,Q340-I340*K340)),L340)</f>
        <v>1546.15234769701</v>
      </c>
      <c r="S340" s="23" t="n">
        <f aca="false">R340+I340*K340</f>
        <v>4287.75234769701</v>
      </c>
      <c r="T340" s="23" t="n">
        <v>26344</v>
      </c>
      <c r="U340" s="23" t="n">
        <v>0</v>
      </c>
      <c r="V340" s="23" t="n">
        <f aca="false">T340+U340</f>
        <v>26344</v>
      </c>
      <c r="W340" s="30" t="n">
        <f aca="false">IF(I340&gt;0,V340/I340,"")</f>
        <v>9.60898745258244</v>
      </c>
      <c r="X340" s="3" t="str">
        <f aca="false">IF(I340&lt;=0,"SIN FCST",IF(V340&lt;R340,"BAJO SS",IF(T340&lt;R340,"BAJO SS (XLIB CUBRE)",IF(V340&lt;S340,"BAJO P.REORDEN",IF(AND(ISNUMBER(Q340),V340&gt;Q340),"SOBRE MAX VENDIBLE","OK")))))</f>
        <v>OK</v>
      </c>
    </row>
    <row r="341" customFormat="false" ht="15" hidden="false" customHeight="false" outlineLevel="0" collapsed="false">
      <c r="A341" s="3" t="n">
        <v>30002135</v>
      </c>
      <c r="B341" s="3" t="s">
        <v>446</v>
      </c>
      <c r="C341" s="3" t="s">
        <v>135</v>
      </c>
      <c r="D341" s="3" t="s">
        <v>753</v>
      </c>
      <c r="E341" s="3" t="s">
        <v>762</v>
      </c>
      <c r="F341" s="3" t="str">
        <f aca="false">IFERROR(INDEX(ABC_XYZ!$L$5:$L$494,MATCH(A341,ABC_XYZ!$A$5:$A$494,0)),"SIN HIST")</f>
        <v>BX</v>
      </c>
      <c r="G341" s="24" t="n">
        <f aca="false">IF(LEFT(F341,1)="A",Parametros!$B$8,IF(LEFT(F341,1)="B",Parametros!$B$9,IF(LEFT(F341,1)="C",Parametros!$B$10,Parametros!$B$11)))</f>
        <v>0.95</v>
      </c>
      <c r="H341" s="27" t="n">
        <f aca="false">NORMSINV(G341)</f>
        <v>1.64485362695147</v>
      </c>
      <c r="I341" s="23" t="n">
        <v>2702.7</v>
      </c>
      <c r="J341" s="23" t="n">
        <f aca="false">IFERROR(INDEX(ABC_XYZ!$R$5:$R$494,MATCH(A341,ABC_XYZ!$A$5:$A$494,0)),I341*Parametros!$B$13)</f>
        <v>586.495806004684</v>
      </c>
      <c r="K341" s="27" t="n">
        <f aca="false">IFERROR(VLOOKUP(C341,Parametros!$A$36:$B$66,2,FALSE()),Parametros!$B$12)</f>
        <v>1</v>
      </c>
      <c r="L341" s="23" t="n">
        <f aca="false">H341*J341*SQRT(K341)</f>
        <v>964.699753698631</v>
      </c>
      <c r="M341" s="29" t="n">
        <v>70</v>
      </c>
      <c r="N341" s="24" t="n">
        <v>0.214285714285714</v>
      </c>
      <c r="O341" s="3" t="s">
        <v>754</v>
      </c>
      <c r="P341" s="30" t="n">
        <f aca="false">IF(AND(ISNUMBER(M341),ISNUMBER(N341)),M341*N341/7,"")</f>
        <v>2.14285714285714</v>
      </c>
      <c r="Q341" s="23" t="n">
        <f aca="false">IF(ISNUMBER(P341),I341*P341,"")</f>
        <v>5791.5</v>
      </c>
      <c r="R341" s="23" t="n">
        <f aca="false">IF(ISNUMBER(Q341),MAX(0,MIN(L341,Q341-I341*K341)),L341)</f>
        <v>964.699753698631</v>
      </c>
      <c r="S341" s="23" t="n">
        <f aca="false">R341+I341*K341</f>
        <v>3667.39975369863</v>
      </c>
      <c r="T341" s="23" t="n">
        <v>4329.6</v>
      </c>
      <c r="U341" s="23" t="n">
        <v>0</v>
      </c>
      <c r="V341" s="23" t="n">
        <f aca="false">T341+U341</f>
        <v>4329.6</v>
      </c>
      <c r="W341" s="30" t="n">
        <f aca="false">IF(I341&gt;0,V341/I341,"")</f>
        <v>1.6019536019536</v>
      </c>
      <c r="X341" s="3" t="str">
        <f aca="false">IF(I341&lt;=0,"SIN FCST",IF(V341&lt;R341,"BAJO SS",IF(T341&lt;R341,"BAJO SS (XLIB CUBRE)",IF(V341&lt;S341,"BAJO P.REORDEN",IF(AND(ISNUMBER(Q341),V341&gt;Q341),"SOBRE MAX VENDIBLE","OK")))))</f>
        <v>OK</v>
      </c>
    </row>
    <row r="342" customFormat="false" ht="15" hidden="false" customHeight="false" outlineLevel="0" collapsed="false">
      <c r="A342" s="3" t="n">
        <v>30000778</v>
      </c>
      <c r="B342" s="3" t="s">
        <v>983</v>
      </c>
      <c r="C342" s="3" t="s">
        <v>133</v>
      </c>
      <c r="D342" s="3" t="s">
        <v>769</v>
      </c>
      <c r="E342" s="3"/>
      <c r="F342" s="3" t="str">
        <f aca="false">IFERROR(INDEX(ABC_XYZ!$L$5:$L$494,MATCH(A342,ABC_XYZ!$A$5:$A$494,0)),"SIN HIST")</f>
        <v>SIN HIST</v>
      </c>
      <c r="G342" s="24" t="n">
        <f aca="false">IF(LEFT(F342,1)="A",Parametros!$B$8,IF(LEFT(F342,1)="B",Parametros!$B$9,IF(LEFT(F342,1)="C",Parametros!$B$10,Parametros!$B$11)))</f>
        <v>0.95</v>
      </c>
      <c r="H342" s="27" t="n">
        <f aca="false">NORMSINV(G342)</f>
        <v>1.64485362695147</v>
      </c>
      <c r="I342" s="23" t="n">
        <v>2682.6</v>
      </c>
      <c r="J342" s="23" t="n">
        <f aca="false">IFERROR(INDEX(ABC_XYZ!$R$5:$R$494,MATCH(A342,ABC_XYZ!$A$5:$A$494,0)),I342*Parametros!$B$13)</f>
        <v>804.78</v>
      </c>
      <c r="K342" s="27" t="n">
        <f aca="false">IFERROR(VLOOKUP(C342,Parametros!$A$36:$B$66,2,FALSE()),Parametros!$B$12)</f>
        <v>1</v>
      </c>
      <c r="L342" s="23" t="n">
        <f aca="false">H342*J342*SQRT(K342)</f>
        <v>1323.74530189801</v>
      </c>
      <c r="M342" s="29"/>
      <c r="N342" s="24"/>
      <c r="O342" s="3"/>
      <c r="P342" s="30" t="str">
        <f aca="false">IF(AND(ISNUMBER(M342),ISNUMBER(N342)),M342*N342/7,"")</f>
        <v/>
      </c>
      <c r="Q342" s="23" t="str">
        <f aca="false">IF(ISNUMBER(P342),I342*P342,"")</f>
        <v/>
      </c>
      <c r="R342" s="23" t="n">
        <f aca="false">IF(ISNUMBER(Q342),MAX(0,MIN(L342,Q342-I342*K342)),L342)</f>
        <v>1323.74530189801</v>
      </c>
      <c r="S342" s="23" t="n">
        <f aca="false">R342+I342*K342</f>
        <v>4006.34530189801</v>
      </c>
      <c r="T342" s="23" t="n">
        <v>26068</v>
      </c>
      <c r="U342" s="23" t="n">
        <v>18200</v>
      </c>
      <c r="V342" s="23" t="n">
        <f aca="false">T342+U342</f>
        <v>44268</v>
      </c>
      <c r="W342" s="30" t="n">
        <f aca="false">IF(I342&gt;0,V342/I342,"")</f>
        <v>16.5019011406844</v>
      </c>
      <c r="X342" s="3" t="str">
        <f aca="false">IF(I342&lt;=0,"SIN FCST",IF(V342&lt;R342,"BAJO SS",IF(T342&lt;R342,"BAJO SS (XLIB CUBRE)",IF(V342&lt;S342,"BAJO P.REORDEN",IF(AND(ISNUMBER(Q342),V342&gt;Q342),"SOBRE MAX VENDIBLE","OK")))))</f>
        <v>OK</v>
      </c>
    </row>
    <row r="343" customFormat="false" ht="15" hidden="false" customHeight="false" outlineLevel="0" collapsed="false">
      <c r="A343" s="3" t="n">
        <v>30001699</v>
      </c>
      <c r="B343" s="3" t="s">
        <v>984</v>
      </c>
      <c r="C343" s="3" t="s">
        <v>133</v>
      </c>
      <c r="D343" s="3" t="s">
        <v>758</v>
      </c>
      <c r="E343" s="3"/>
      <c r="F343" s="3" t="str">
        <f aca="false">IFERROR(INDEX(ABC_XYZ!$L$5:$L$494,MATCH(A343,ABC_XYZ!$A$5:$A$494,0)),"SIN HIST")</f>
        <v>SIN HIST</v>
      </c>
      <c r="G343" s="24" t="n">
        <f aca="false">IF(LEFT(F343,1)="A",Parametros!$B$8,IF(LEFT(F343,1)="B",Parametros!$B$9,IF(LEFT(F343,1)="C",Parametros!$B$10,Parametros!$B$11)))</f>
        <v>0.95</v>
      </c>
      <c r="H343" s="27" t="n">
        <f aca="false">NORMSINV(G343)</f>
        <v>1.64485362695147</v>
      </c>
      <c r="I343" s="23" t="n">
        <v>2675.3</v>
      </c>
      <c r="J343" s="23" t="n">
        <f aca="false">IFERROR(INDEX(ABC_XYZ!$R$5:$R$494,MATCH(A343,ABC_XYZ!$A$5:$A$494,0)),I343*Parametros!$B$13)</f>
        <v>802.59</v>
      </c>
      <c r="K343" s="27" t="n">
        <f aca="false">IFERROR(VLOOKUP(C343,Parametros!$A$36:$B$66,2,FALSE()),Parametros!$B$12)</f>
        <v>1</v>
      </c>
      <c r="L343" s="23" t="n">
        <f aca="false">H343*J343*SQRT(K343)</f>
        <v>1320.14307245498</v>
      </c>
      <c r="M343" s="29"/>
      <c r="N343" s="24"/>
      <c r="O343" s="3"/>
      <c r="P343" s="30" t="str">
        <f aca="false">IF(AND(ISNUMBER(M343),ISNUMBER(N343)),M343*N343/7,"")</f>
        <v/>
      </c>
      <c r="Q343" s="23" t="str">
        <f aca="false">IF(ISNUMBER(P343),I343*P343,"")</f>
        <v/>
      </c>
      <c r="R343" s="23" t="n">
        <f aca="false">IF(ISNUMBER(Q343),MAX(0,MIN(L343,Q343-I343*K343)),L343)</f>
        <v>1320.14307245498</v>
      </c>
      <c r="S343" s="23" t="n">
        <f aca="false">R343+I343*K343</f>
        <v>3995.44307245498</v>
      </c>
      <c r="T343" s="23" t="n">
        <v>840</v>
      </c>
      <c r="U343" s="23" t="n">
        <v>0</v>
      </c>
      <c r="V343" s="23" t="n">
        <f aca="false">T343+U343</f>
        <v>840</v>
      </c>
      <c r="W343" s="30" t="n">
        <f aca="false">IF(I343&gt;0,V343/I343,"")</f>
        <v>0.313983478488394</v>
      </c>
      <c r="X343" s="3" t="str">
        <f aca="false">IF(I343&lt;=0,"SIN FCST",IF(V343&lt;R343,"BAJO SS",IF(T343&lt;R343,"BAJO SS (XLIB CUBRE)",IF(V343&lt;S343,"BAJO P.REORDEN",IF(AND(ISNUMBER(Q343),V343&gt;Q343),"SOBRE MAX VENDIBLE","OK")))))</f>
        <v>BAJO SS</v>
      </c>
    </row>
    <row r="344" customFormat="false" ht="15" hidden="false" customHeight="false" outlineLevel="0" collapsed="false">
      <c r="A344" s="3" t="n">
        <v>30001856</v>
      </c>
      <c r="B344" s="3" t="s">
        <v>985</v>
      </c>
      <c r="C344" s="3" t="s">
        <v>155</v>
      </c>
      <c r="D344" s="3" t="s">
        <v>761</v>
      </c>
      <c r="E344" s="3" t="s">
        <v>762</v>
      </c>
      <c r="F344" s="3" t="str">
        <f aca="false">IFERROR(INDEX(ABC_XYZ!$L$5:$L$494,MATCH(A344,ABC_XYZ!$A$5:$A$494,0)),"SIN HIST")</f>
        <v>BX</v>
      </c>
      <c r="G344" s="24" t="n">
        <f aca="false">IF(LEFT(F344,1)="A",Parametros!$B$8,IF(LEFT(F344,1)="B",Parametros!$B$9,IF(LEFT(F344,1)="C",Parametros!$B$10,Parametros!$B$11)))</f>
        <v>0.95</v>
      </c>
      <c r="H344" s="27" t="n">
        <f aca="false">NORMSINV(G344)</f>
        <v>1.64485362695147</v>
      </c>
      <c r="I344" s="23" t="n">
        <v>2641.8</v>
      </c>
      <c r="J344" s="23" t="n">
        <f aca="false">IFERROR(INDEX(ABC_XYZ!$R$5:$R$494,MATCH(A344,ABC_XYZ!$A$5:$A$494,0)),I344*Parametros!$B$13)</f>
        <v>613.24258098342</v>
      </c>
      <c r="K344" s="27" t="n">
        <f aca="false">IFERROR(VLOOKUP(C344,Parametros!$A$36:$B$66,2,FALSE()),Parametros!$B$12)</f>
        <v>1</v>
      </c>
      <c r="L344" s="23" t="n">
        <f aca="false">H344*J344*SQRT(K344)</f>
        <v>1008.69428353166</v>
      </c>
      <c r="M344" s="29" t="n">
        <v>57</v>
      </c>
      <c r="N344" s="24" t="n">
        <v>0.245614035087719</v>
      </c>
      <c r="O344" s="3" t="s">
        <v>774</v>
      </c>
      <c r="P344" s="30" t="n">
        <f aca="false">IF(AND(ISNUMBER(M344),ISNUMBER(N344)),M344*N344/7,"")</f>
        <v>2</v>
      </c>
      <c r="Q344" s="23" t="n">
        <f aca="false">IF(ISNUMBER(P344),I344*P344,"")</f>
        <v>5283.6</v>
      </c>
      <c r="R344" s="23" t="n">
        <f aca="false">IF(ISNUMBER(Q344),MAX(0,MIN(L344,Q344-I344*K344)),L344)</f>
        <v>1008.69428353166</v>
      </c>
      <c r="S344" s="23" t="n">
        <f aca="false">R344+I344*K344</f>
        <v>3650.49428353166</v>
      </c>
      <c r="T344" s="23" t="n">
        <v>3134.9</v>
      </c>
      <c r="U344" s="23" t="n">
        <v>3121.4</v>
      </c>
      <c r="V344" s="23" t="n">
        <f aca="false">T344+U344</f>
        <v>6256.3</v>
      </c>
      <c r="W344" s="30" t="n">
        <f aca="false">IF(I344&gt;0,V344/I344,"")</f>
        <v>2.36819592701946</v>
      </c>
      <c r="X344" s="3" t="str">
        <f aca="false">IF(I344&lt;=0,"SIN FCST",IF(V344&lt;R344,"BAJO SS",IF(T344&lt;R344,"BAJO SS (XLIB CUBRE)",IF(V344&lt;S344,"BAJO P.REORDEN",IF(AND(ISNUMBER(Q344),V344&gt;Q344),"SOBRE MAX VENDIBLE","OK")))))</f>
        <v>SOBRE MAX VENDIBLE</v>
      </c>
    </row>
    <row r="345" customFormat="false" ht="15" hidden="false" customHeight="false" outlineLevel="0" collapsed="false">
      <c r="A345" s="3" t="n">
        <v>30000706</v>
      </c>
      <c r="B345" s="3" t="s">
        <v>986</v>
      </c>
      <c r="C345" s="3" t="s">
        <v>133</v>
      </c>
      <c r="D345" s="3" t="s">
        <v>769</v>
      </c>
      <c r="E345" s="3"/>
      <c r="F345" s="3" t="str">
        <f aca="false">IFERROR(INDEX(ABC_XYZ!$L$5:$L$494,MATCH(A345,ABC_XYZ!$A$5:$A$494,0)),"SIN HIST")</f>
        <v>SIN HIST</v>
      </c>
      <c r="G345" s="24" t="n">
        <f aca="false">IF(LEFT(F345,1)="A",Parametros!$B$8,IF(LEFT(F345,1)="B",Parametros!$B$9,IF(LEFT(F345,1)="C",Parametros!$B$10,Parametros!$B$11)))</f>
        <v>0.95</v>
      </c>
      <c r="H345" s="27" t="n">
        <f aca="false">NORMSINV(G345)</f>
        <v>1.64485362695147</v>
      </c>
      <c r="I345" s="23" t="n">
        <v>2639.6</v>
      </c>
      <c r="J345" s="23" t="n">
        <f aca="false">IFERROR(INDEX(ABC_XYZ!$R$5:$R$494,MATCH(A345,ABC_XYZ!$A$5:$A$494,0)),I345*Parametros!$B$13)</f>
        <v>791.88</v>
      </c>
      <c r="K345" s="27" t="n">
        <f aca="false">IFERROR(VLOOKUP(C345,Parametros!$A$36:$B$66,2,FALSE()),Parametros!$B$12)</f>
        <v>1</v>
      </c>
      <c r="L345" s="23" t="n">
        <f aca="false">H345*J345*SQRT(K345)</f>
        <v>1302.52669011033</v>
      </c>
      <c r="M345" s="29"/>
      <c r="N345" s="24"/>
      <c r="O345" s="3"/>
      <c r="P345" s="30" t="str">
        <f aca="false">IF(AND(ISNUMBER(M345),ISNUMBER(N345)),M345*N345/7,"")</f>
        <v/>
      </c>
      <c r="Q345" s="23" t="str">
        <f aca="false">IF(ISNUMBER(P345),I345*P345,"")</f>
        <v/>
      </c>
      <c r="R345" s="23" t="n">
        <f aca="false">IF(ISNUMBER(Q345),MAX(0,MIN(L345,Q345-I345*K345)),L345)</f>
        <v>1302.52669011033</v>
      </c>
      <c r="S345" s="23" t="n">
        <f aca="false">R345+I345*K345</f>
        <v>3942.12669011033</v>
      </c>
      <c r="T345" s="23" t="n">
        <v>26598</v>
      </c>
      <c r="U345" s="23" t="n">
        <v>14400</v>
      </c>
      <c r="V345" s="23" t="n">
        <f aca="false">T345+U345</f>
        <v>40998</v>
      </c>
      <c r="W345" s="30" t="n">
        <f aca="false">IF(I345&gt;0,V345/I345,"")</f>
        <v>15.5318987725413</v>
      </c>
      <c r="X345" s="3" t="str">
        <f aca="false">IF(I345&lt;=0,"SIN FCST",IF(V345&lt;R345,"BAJO SS",IF(T345&lt;R345,"BAJO SS (XLIB CUBRE)",IF(V345&lt;S345,"BAJO P.REORDEN",IF(AND(ISNUMBER(Q345),V345&gt;Q345),"SOBRE MAX VENDIBLE","OK")))))</f>
        <v>OK</v>
      </c>
    </row>
    <row r="346" customFormat="false" ht="15" hidden="false" customHeight="false" outlineLevel="0" collapsed="false">
      <c r="A346" s="3" t="n">
        <v>30001854</v>
      </c>
      <c r="B346" s="3" t="s">
        <v>987</v>
      </c>
      <c r="C346" s="3" t="s">
        <v>155</v>
      </c>
      <c r="D346" s="3" t="s">
        <v>761</v>
      </c>
      <c r="E346" s="3" t="s">
        <v>762</v>
      </c>
      <c r="F346" s="3" t="str">
        <f aca="false">IFERROR(INDEX(ABC_XYZ!$L$5:$L$494,MATCH(A346,ABC_XYZ!$A$5:$A$494,0)),"SIN HIST")</f>
        <v>BX</v>
      </c>
      <c r="G346" s="24" t="n">
        <f aca="false">IF(LEFT(F346,1)="A",Parametros!$B$8,IF(LEFT(F346,1)="B",Parametros!$B$9,IF(LEFT(F346,1)="C",Parametros!$B$10,Parametros!$B$11)))</f>
        <v>0.95</v>
      </c>
      <c r="H346" s="27" t="n">
        <f aca="false">NORMSINV(G346)</f>
        <v>1.64485362695147</v>
      </c>
      <c r="I346" s="23" t="n">
        <v>2625.3</v>
      </c>
      <c r="J346" s="23" t="n">
        <f aca="false">IFERROR(INDEX(ABC_XYZ!$R$5:$R$494,MATCH(A346,ABC_XYZ!$A$5:$A$494,0)),I346*Parametros!$B$13)</f>
        <v>1637.03212095513</v>
      </c>
      <c r="K346" s="27" t="n">
        <f aca="false">IFERROR(VLOOKUP(C346,Parametros!$A$36:$B$66,2,FALSE()),Parametros!$B$12)</f>
        <v>1</v>
      </c>
      <c r="L346" s="23" t="n">
        <f aca="false">H346*J346*SQRT(K346)</f>
        <v>2692.6782215891</v>
      </c>
      <c r="M346" s="29" t="n">
        <v>57</v>
      </c>
      <c r="N346" s="24" t="n">
        <v>0.245614035087719</v>
      </c>
      <c r="O346" s="3" t="s">
        <v>774</v>
      </c>
      <c r="P346" s="30" t="n">
        <f aca="false">IF(AND(ISNUMBER(M346),ISNUMBER(N346)),M346*N346/7,"")</f>
        <v>2</v>
      </c>
      <c r="Q346" s="23" t="n">
        <f aca="false">IF(ISNUMBER(P346),I346*P346,"")</f>
        <v>5250.6</v>
      </c>
      <c r="R346" s="23" t="n">
        <f aca="false">IF(ISNUMBER(Q346),MAX(0,MIN(L346,Q346-I346*K346)),L346)</f>
        <v>2625.3</v>
      </c>
      <c r="S346" s="23" t="n">
        <f aca="false">R346+I346*K346</f>
        <v>5250.6</v>
      </c>
      <c r="T346" s="23" t="n">
        <v>3709.4</v>
      </c>
      <c r="U346" s="23" t="n">
        <v>0</v>
      </c>
      <c r="V346" s="23" t="n">
        <f aca="false">T346+U346</f>
        <v>3709.4</v>
      </c>
      <c r="W346" s="30" t="n">
        <f aca="false">IF(I346&gt;0,V346/I346,"")</f>
        <v>1.41294328267246</v>
      </c>
      <c r="X346" s="3" t="str">
        <f aca="false">IF(I346&lt;=0,"SIN FCST",IF(V346&lt;R346,"BAJO SS",IF(T346&lt;R346,"BAJO SS (XLIB CUBRE)",IF(V346&lt;S346,"BAJO P.REORDEN",IF(AND(ISNUMBER(Q346),V346&gt;Q346),"SOBRE MAX VENDIBLE","OK")))))</f>
        <v>BAJO P.REORDEN</v>
      </c>
    </row>
    <row r="347" customFormat="false" ht="15" hidden="false" customHeight="false" outlineLevel="0" collapsed="false">
      <c r="A347" s="3" t="n">
        <v>30000764</v>
      </c>
      <c r="B347" s="3" t="s">
        <v>988</v>
      </c>
      <c r="C347" s="3" t="s">
        <v>133</v>
      </c>
      <c r="D347" s="3" t="s">
        <v>758</v>
      </c>
      <c r="E347" s="3"/>
      <c r="F347" s="3" t="str">
        <f aca="false">IFERROR(INDEX(ABC_XYZ!$L$5:$L$494,MATCH(A347,ABC_XYZ!$A$5:$A$494,0)),"SIN HIST")</f>
        <v>SIN HIST</v>
      </c>
      <c r="G347" s="24" t="n">
        <f aca="false">IF(LEFT(F347,1)="A",Parametros!$B$8,IF(LEFT(F347,1)="B",Parametros!$B$9,IF(LEFT(F347,1)="C",Parametros!$B$10,Parametros!$B$11)))</f>
        <v>0.95</v>
      </c>
      <c r="H347" s="27" t="n">
        <f aca="false">NORMSINV(G347)</f>
        <v>1.64485362695147</v>
      </c>
      <c r="I347" s="23" t="n">
        <v>2618.7</v>
      </c>
      <c r="J347" s="23" t="n">
        <f aca="false">IFERROR(INDEX(ABC_XYZ!$R$5:$R$494,MATCH(A347,ABC_XYZ!$A$5:$A$494,0)),I347*Parametros!$B$13)</f>
        <v>785.61</v>
      </c>
      <c r="K347" s="27" t="n">
        <f aca="false">IFERROR(VLOOKUP(C347,Parametros!$A$36:$B$66,2,FALSE()),Parametros!$B$12)</f>
        <v>1</v>
      </c>
      <c r="L347" s="23" t="n">
        <f aca="false">H347*J347*SQRT(K347)</f>
        <v>1292.21345786935</v>
      </c>
      <c r="M347" s="29"/>
      <c r="N347" s="24"/>
      <c r="O347" s="3"/>
      <c r="P347" s="30" t="str">
        <f aca="false">IF(AND(ISNUMBER(M347),ISNUMBER(N347)),M347*N347/7,"")</f>
        <v/>
      </c>
      <c r="Q347" s="23" t="str">
        <f aca="false">IF(ISNUMBER(P347),I347*P347,"")</f>
        <v/>
      </c>
      <c r="R347" s="23" t="n">
        <f aca="false">IF(ISNUMBER(Q347),MAX(0,MIN(L347,Q347-I347*K347)),L347)</f>
        <v>1292.21345786935</v>
      </c>
      <c r="S347" s="23" t="n">
        <f aca="false">R347+I347*K347</f>
        <v>3910.91345786935</v>
      </c>
      <c r="T347" s="23" t="n">
        <v>5692.8</v>
      </c>
      <c r="U347" s="23" t="n">
        <v>0</v>
      </c>
      <c r="V347" s="23" t="n">
        <f aca="false">T347+U347</f>
        <v>5692.8</v>
      </c>
      <c r="W347" s="30" t="n">
        <f aca="false">IF(I347&gt;0,V347/I347,"")</f>
        <v>2.17390308168175</v>
      </c>
      <c r="X347" s="3" t="str">
        <f aca="false">IF(I347&lt;=0,"SIN FCST",IF(V347&lt;R347,"BAJO SS",IF(T347&lt;R347,"BAJO SS (XLIB CUBRE)",IF(V347&lt;S347,"BAJO P.REORDEN",IF(AND(ISNUMBER(Q347),V347&gt;Q347),"SOBRE MAX VENDIBLE","OK")))))</f>
        <v>OK</v>
      </c>
    </row>
    <row r="348" customFormat="false" ht="15" hidden="false" customHeight="false" outlineLevel="0" collapsed="false">
      <c r="A348" s="3" t="n">
        <v>30001995</v>
      </c>
      <c r="B348" s="3" t="s">
        <v>989</v>
      </c>
      <c r="C348" s="3" t="s">
        <v>143</v>
      </c>
      <c r="D348" s="3" t="s">
        <v>750</v>
      </c>
      <c r="E348" s="3" t="s">
        <v>762</v>
      </c>
      <c r="F348" s="3" t="str">
        <f aca="false">IFERROR(INDEX(ABC_XYZ!$L$5:$L$494,MATCH(A348,ABC_XYZ!$A$5:$A$494,0)),"SIN HIST")</f>
        <v>BX</v>
      </c>
      <c r="G348" s="24" t="n">
        <f aca="false">IF(LEFT(F348,1)="A",Parametros!$B$8,IF(LEFT(F348,1)="B",Parametros!$B$9,IF(LEFT(F348,1)="C",Parametros!$B$10,Parametros!$B$11)))</f>
        <v>0.95</v>
      </c>
      <c r="H348" s="27" t="n">
        <f aca="false">NORMSINV(G348)</f>
        <v>1.64485362695147</v>
      </c>
      <c r="I348" s="23" t="n">
        <v>2600</v>
      </c>
      <c r="J348" s="23" t="n">
        <f aca="false">IFERROR(INDEX(ABC_XYZ!$R$5:$R$494,MATCH(A348,ABC_XYZ!$A$5:$A$494,0)),I348*Parametros!$B$13)</f>
        <v>685.128462372801</v>
      </c>
      <c r="K348" s="27" t="n">
        <f aca="false">IFERROR(VLOOKUP(C348,Parametros!$A$36:$B$66,2,FALSE()),Parametros!$B$12)</f>
        <v>1</v>
      </c>
      <c r="L348" s="23" t="n">
        <f aca="false">H348*J348*SQRT(K348)</f>
        <v>1126.93603626159</v>
      </c>
      <c r="M348" s="29" t="n">
        <v>184</v>
      </c>
      <c r="N348" s="24" t="n">
        <v>0.217391304347826</v>
      </c>
      <c r="O348" s="3" t="s">
        <v>754</v>
      </c>
      <c r="P348" s="30" t="n">
        <f aca="false">IF(AND(ISNUMBER(M348),ISNUMBER(N348)),M348*N348/7,"")</f>
        <v>5.71428571428572</v>
      </c>
      <c r="Q348" s="23" t="n">
        <f aca="false">IF(ISNUMBER(P348),I348*P348,"")</f>
        <v>14857.1428571429</v>
      </c>
      <c r="R348" s="23" t="n">
        <f aca="false">IF(ISNUMBER(Q348),MAX(0,MIN(L348,Q348-I348*K348)),L348)</f>
        <v>1126.93603626159</v>
      </c>
      <c r="S348" s="23" t="n">
        <f aca="false">R348+I348*K348</f>
        <v>3726.93603626159</v>
      </c>
      <c r="T348" s="23" t="n">
        <v>4938</v>
      </c>
      <c r="U348" s="23" t="n">
        <v>0</v>
      </c>
      <c r="V348" s="23" t="n">
        <f aca="false">T348+U348</f>
        <v>4938</v>
      </c>
      <c r="W348" s="30" t="n">
        <f aca="false">IF(I348&gt;0,V348/I348,"")</f>
        <v>1.89923076923077</v>
      </c>
      <c r="X348" s="3" t="str">
        <f aca="false">IF(I348&lt;=0,"SIN FCST",IF(V348&lt;R348,"BAJO SS",IF(T348&lt;R348,"BAJO SS (XLIB CUBRE)",IF(V348&lt;S348,"BAJO P.REORDEN",IF(AND(ISNUMBER(Q348),V348&gt;Q348),"SOBRE MAX VENDIBLE","OK")))))</f>
        <v>OK</v>
      </c>
    </row>
    <row r="349" customFormat="false" ht="15" hidden="false" customHeight="false" outlineLevel="0" collapsed="false">
      <c r="A349" s="3" t="n">
        <v>30001540</v>
      </c>
      <c r="B349" s="3" t="s">
        <v>501</v>
      </c>
      <c r="C349" s="3" t="s">
        <v>129</v>
      </c>
      <c r="D349" s="3" t="s">
        <v>753</v>
      </c>
      <c r="E349" s="3" t="s">
        <v>745</v>
      </c>
      <c r="F349" s="3" t="str">
        <f aca="false">IFERROR(INDEX(ABC_XYZ!$L$5:$L$494,MATCH(A349,ABC_XYZ!$A$5:$A$494,0)),"SIN HIST")</f>
        <v>CX</v>
      </c>
      <c r="G349" s="24" t="n">
        <f aca="false">IF(LEFT(F349,1)="A",Parametros!$B$8,IF(LEFT(F349,1)="B",Parametros!$B$9,IF(LEFT(F349,1)="C",Parametros!$B$10,Parametros!$B$11)))</f>
        <v>0.9</v>
      </c>
      <c r="H349" s="27" t="n">
        <f aca="false">NORMSINV(G349)</f>
        <v>1.2815515655446</v>
      </c>
      <c r="I349" s="23" t="n">
        <v>2567.3</v>
      </c>
      <c r="J349" s="23" t="n">
        <f aca="false">IFERROR(INDEX(ABC_XYZ!$R$5:$R$494,MATCH(A349,ABC_XYZ!$A$5:$A$494,0)),I349*Parametros!$B$13)</f>
        <v>802.291375831333</v>
      </c>
      <c r="K349" s="27" t="n">
        <f aca="false">IFERROR(VLOOKUP(C349,Parametros!$A$36:$B$66,2,FALSE()),Parametros!$B$12)</f>
        <v>1</v>
      </c>
      <c r="L349" s="23" t="n">
        <f aca="false">H349*J349*SQRT(K349)</f>
        <v>1028.17776871958</v>
      </c>
      <c r="M349" s="29" t="n">
        <v>730</v>
      </c>
      <c r="N349" s="24" t="n">
        <v>0.197260273972603</v>
      </c>
      <c r="O349" s="3" t="s">
        <v>746</v>
      </c>
      <c r="P349" s="30" t="n">
        <f aca="false">IF(AND(ISNUMBER(M349),ISNUMBER(N349)),M349*N349/7,"")</f>
        <v>20.5714285714286</v>
      </c>
      <c r="Q349" s="23" t="n">
        <f aca="false">IF(ISNUMBER(P349),I349*P349,"")</f>
        <v>52813.0285714286</v>
      </c>
      <c r="R349" s="23" t="n">
        <f aca="false">IF(ISNUMBER(Q349),MAX(0,MIN(L349,Q349-I349*K349)),L349)</f>
        <v>1028.17776871958</v>
      </c>
      <c r="S349" s="23" t="n">
        <f aca="false">R349+I349*K349</f>
        <v>3595.47776871958</v>
      </c>
      <c r="T349" s="23" t="n">
        <v>44633.3</v>
      </c>
      <c r="U349" s="23" t="n">
        <v>0</v>
      </c>
      <c r="V349" s="23" t="n">
        <f aca="false">T349+U349</f>
        <v>44633.3</v>
      </c>
      <c r="W349" s="30" t="n">
        <f aca="false">IF(I349&gt;0,V349/I349,"")</f>
        <v>17.3853075215207</v>
      </c>
      <c r="X349" s="3" t="str">
        <f aca="false">IF(I349&lt;=0,"SIN FCST",IF(V349&lt;R349,"BAJO SS",IF(T349&lt;R349,"BAJO SS (XLIB CUBRE)",IF(V349&lt;S349,"BAJO P.REORDEN",IF(AND(ISNUMBER(Q349),V349&gt;Q349),"SOBRE MAX VENDIBLE","OK")))))</f>
        <v>OK</v>
      </c>
    </row>
    <row r="350" customFormat="false" ht="15" hidden="false" customHeight="false" outlineLevel="0" collapsed="false">
      <c r="A350" s="3" t="n">
        <v>30001536</v>
      </c>
      <c r="B350" s="3" t="s">
        <v>990</v>
      </c>
      <c r="C350" s="3" t="s">
        <v>155</v>
      </c>
      <c r="D350" s="3" t="s">
        <v>761</v>
      </c>
      <c r="E350" s="3" t="s">
        <v>762</v>
      </c>
      <c r="F350" s="3" t="str">
        <f aca="false">IFERROR(INDEX(ABC_XYZ!$L$5:$L$494,MATCH(A350,ABC_XYZ!$A$5:$A$494,0)),"SIN HIST")</f>
        <v>BX</v>
      </c>
      <c r="G350" s="24" t="n">
        <f aca="false">IF(LEFT(F350,1)="A",Parametros!$B$8,IF(LEFT(F350,1)="B",Parametros!$B$9,IF(LEFT(F350,1)="C",Parametros!$B$10,Parametros!$B$11)))</f>
        <v>0.95</v>
      </c>
      <c r="H350" s="27" t="n">
        <f aca="false">NORMSINV(G350)</f>
        <v>1.64485362695147</v>
      </c>
      <c r="I350" s="23" t="n">
        <v>2561.3</v>
      </c>
      <c r="J350" s="23" t="n">
        <f aca="false">IFERROR(INDEX(ABC_XYZ!$R$5:$R$494,MATCH(A350,ABC_XYZ!$A$5:$A$494,0)),I350*Parametros!$B$13)</f>
        <v>1219.18289009718</v>
      </c>
      <c r="K350" s="27" t="n">
        <f aca="false">IFERROR(VLOOKUP(C350,Parametros!$A$36:$B$66,2,FALSE()),Parametros!$B$12)</f>
        <v>1</v>
      </c>
      <c r="L350" s="23" t="n">
        <f aca="false">H350*J350*SQRT(K350)</f>
        <v>2005.37739869353</v>
      </c>
      <c r="M350" s="29" t="n">
        <v>65</v>
      </c>
      <c r="N350" s="24" t="n">
        <v>0.323076923076923</v>
      </c>
      <c r="O350" s="3" t="s">
        <v>780</v>
      </c>
      <c r="P350" s="30" t="n">
        <f aca="false">IF(AND(ISNUMBER(M350),ISNUMBER(N350)),M350*N350/7,"")</f>
        <v>3</v>
      </c>
      <c r="Q350" s="23" t="n">
        <f aca="false">IF(ISNUMBER(P350),I350*P350,"")</f>
        <v>7683.9</v>
      </c>
      <c r="R350" s="23" t="n">
        <f aca="false">IF(ISNUMBER(Q350),MAX(0,MIN(L350,Q350-I350*K350)),L350)</f>
        <v>2005.37739869353</v>
      </c>
      <c r="S350" s="23" t="n">
        <f aca="false">R350+I350*K350</f>
        <v>4566.67739869353</v>
      </c>
      <c r="T350" s="23" t="n">
        <v>2453.4</v>
      </c>
      <c r="U350" s="23" t="n">
        <v>0</v>
      </c>
      <c r="V350" s="23" t="n">
        <f aca="false">T350+U350</f>
        <v>2453.4</v>
      </c>
      <c r="W350" s="30" t="n">
        <f aca="false">IF(I350&gt;0,V350/I350,"")</f>
        <v>0.957872955139968</v>
      </c>
      <c r="X350" s="3" t="str">
        <f aca="false">IF(I350&lt;=0,"SIN FCST",IF(V350&lt;R350,"BAJO SS",IF(T350&lt;R350,"BAJO SS (XLIB CUBRE)",IF(V350&lt;S350,"BAJO P.REORDEN",IF(AND(ISNUMBER(Q350),V350&gt;Q350),"SOBRE MAX VENDIBLE","OK")))))</f>
        <v>BAJO P.REORDEN</v>
      </c>
    </row>
    <row r="351" customFormat="false" ht="15" hidden="false" customHeight="false" outlineLevel="0" collapsed="false">
      <c r="A351" s="3" t="n">
        <v>30000476</v>
      </c>
      <c r="B351" s="3" t="s">
        <v>991</v>
      </c>
      <c r="C351" s="3" t="s">
        <v>148</v>
      </c>
      <c r="D351" s="3" t="s">
        <v>753</v>
      </c>
      <c r="E351" s="3" t="s">
        <v>745</v>
      </c>
      <c r="F351" s="3" t="str">
        <f aca="false">IFERROR(INDEX(ABC_XYZ!$L$5:$L$494,MATCH(A351,ABC_XYZ!$A$5:$A$494,0)),"SIN HIST")</f>
        <v>SIN HIST</v>
      </c>
      <c r="G351" s="24" t="n">
        <f aca="false">IF(LEFT(F351,1)="A",Parametros!$B$8,IF(LEFT(F351,1)="B",Parametros!$B$9,IF(LEFT(F351,1)="C",Parametros!$B$10,Parametros!$B$11)))</f>
        <v>0.95</v>
      </c>
      <c r="H351" s="27" t="n">
        <f aca="false">NORMSINV(G351)</f>
        <v>1.64485362695147</v>
      </c>
      <c r="I351" s="23" t="n">
        <v>2558.1</v>
      </c>
      <c r="J351" s="23" t="n">
        <f aca="false">IFERROR(INDEX(ABC_XYZ!$R$5:$R$494,MATCH(A351,ABC_XYZ!$A$5:$A$494,0)),I351*Parametros!$B$13)</f>
        <v>767.43</v>
      </c>
      <c r="K351" s="27" t="n">
        <f aca="false">IFERROR(VLOOKUP(C351,Parametros!$A$36:$B$66,2,FALSE()),Parametros!$B$12)</f>
        <v>1</v>
      </c>
      <c r="L351" s="23" t="n">
        <f aca="false">H351*J351*SQRT(K351)</f>
        <v>1262.31001893137</v>
      </c>
      <c r="M351" s="29" t="n">
        <v>245</v>
      </c>
      <c r="N351" s="24" t="n">
        <v>0.253061224489796</v>
      </c>
      <c r="O351" s="3" t="s">
        <v>754</v>
      </c>
      <c r="P351" s="30" t="n">
        <f aca="false">IF(AND(ISNUMBER(M351),ISNUMBER(N351)),M351*N351/7,"")</f>
        <v>8.85714285714286</v>
      </c>
      <c r="Q351" s="23" t="n">
        <f aca="false">IF(ISNUMBER(P351),I351*P351,"")</f>
        <v>22657.4571428571</v>
      </c>
      <c r="R351" s="23" t="n">
        <f aca="false">IF(ISNUMBER(Q351),MAX(0,MIN(L351,Q351-I351*K351)),L351)</f>
        <v>1262.31001893137</v>
      </c>
      <c r="S351" s="23" t="n">
        <f aca="false">R351+I351*K351</f>
        <v>3820.41001893137</v>
      </c>
      <c r="T351" s="23" t="n">
        <v>6024</v>
      </c>
      <c r="U351" s="23" t="n">
        <v>0</v>
      </c>
      <c r="V351" s="23" t="n">
        <f aca="false">T351+U351</f>
        <v>6024</v>
      </c>
      <c r="W351" s="30" t="n">
        <f aca="false">IF(I351&gt;0,V351/I351,"")</f>
        <v>2.35487275712443</v>
      </c>
      <c r="X351" s="3" t="str">
        <f aca="false">IF(I351&lt;=0,"SIN FCST",IF(V351&lt;R351,"BAJO SS",IF(T351&lt;R351,"BAJO SS (XLIB CUBRE)",IF(V351&lt;S351,"BAJO P.REORDEN",IF(AND(ISNUMBER(Q351),V351&gt;Q351),"SOBRE MAX VENDIBLE","OK")))))</f>
        <v>OK</v>
      </c>
    </row>
    <row r="352" customFormat="false" ht="15" hidden="false" customHeight="false" outlineLevel="0" collapsed="false">
      <c r="A352" s="3" t="n">
        <v>30001858</v>
      </c>
      <c r="B352" s="3" t="s">
        <v>992</v>
      </c>
      <c r="C352" s="3" t="s">
        <v>148</v>
      </c>
      <c r="D352" s="3" t="s">
        <v>753</v>
      </c>
      <c r="E352" s="3" t="s">
        <v>745</v>
      </c>
      <c r="F352" s="3" t="str">
        <f aca="false">IFERROR(INDEX(ABC_XYZ!$L$5:$L$494,MATCH(A352,ABC_XYZ!$A$5:$A$494,0)),"SIN HIST")</f>
        <v>SIN HIST</v>
      </c>
      <c r="G352" s="24" t="n">
        <f aca="false">IF(LEFT(F352,1)="A",Parametros!$B$8,IF(LEFT(F352,1)="B",Parametros!$B$9,IF(LEFT(F352,1)="C",Parametros!$B$10,Parametros!$B$11)))</f>
        <v>0.95</v>
      </c>
      <c r="H352" s="27" t="n">
        <f aca="false">NORMSINV(G352)</f>
        <v>1.64485362695147</v>
      </c>
      <c r="I352" s="23" t="n">
        <v>2558.1</v>
      </c>
      <c r="J352" s="23" t="n">
        <f aca="false">IFERROR(INDEX(ABC_XYZ!$R$5:$R$494,MATCH(A352,ABC_XYZ!$A$5:$A$494,0)),I352*Parametros!$B$13)</f>
        <v>767.43</v>
      </c>
      <c r="K352" s="27" t="n">
        <f aca="false">IFERROR(VLOOKUP(C352,Parametros!$A$36:$B$66,2,FALSE()),Parametros!$B$12)</f>
        <v>1</v>
      </c>
      <c r="L352" s="23" t="n">
        <f aca="false">H352*J352*SQRT(K352)</f>
        <v>1262.31001893137</v>
      </c>
      <c r="M352" s="29" t="n">
        <v>245</v>
      </c>
      <c r="N352" s="24" t="n">
        <v>0.253061224489796</v>
      </c>
      <c r="O352" s="3" t="s">
        <v>754</v>
      </c>
      <c r="P352" s="30" t="n">
        <f aca="false">IF(AND(ISNUMBER(M352),ISNUMBER(N352)),M352*N352/7,"")</f>
        <v>8.85714285714286</v>
      </c>
      <c r="Q352" s="23" t="n">
        <f aca="false">IF(ISNUMBER(P352),I352*P352,"")</f>
        <v>22657.4571428571</v>
      </c>
      <c r="R352" s="23" t="n">
        <f aca="false">IF(ISNUMBER(Q352),MAX(0,MIN(L352,Q352-I352*K352)),L352)</f>
        <v>1262.31001893137</v>
      </c>
      <c r="S352" s="23" t="n">
        <f aca="false">R352+I352*K352</f>
        <v>3820.41001893137</v>
      </c>
      <c r="T352" s="23" t="n">
        <v>4536</v>
      </c>
      <c r="U352" s="23" t="n">
        <v>21600</v>
      </c>
      <c r="V352" s="23" t="n">
        <f aca="false">T352+U352</f>
        <v>26136</v>
      </c>
      <c r="W352" s="30" t="n">
        <f aca="false">IF(I352&gt;0,V352/I352,"")</f>
        <v>10.2169578984403</v>
      </c>
      <c r="X352" s="3" t="str">
        <f aca="false">IF(I352&lt;=0,"SIN FCST",IF(V352&lt;R352,"BAJO SS",IF(T352&lt;R352,"BAJO SS (XLIB CUBRE)",IF(V352&lt;S352,"BAJO P.REORDEN",IF(AND(ISNUMBER(Q352),V352&gt;Q352),"SOBRE MAX VENDIBLE","OK")))))</f>
        <v>SOBRE MAX VENDIBLE</v>
      </c>
    </row>
    <row r="353" customFormat="false" ht="15" hidden="false" customHeight="false" outlineLevel="0" collapsed="false">
      <c r="A353" s="3" t="n">
        <v>30001403</v>
      </c>
      <c r="B353" s="3" t="s">
        <v>465</v>
      </c>
      <c r="C353" s="3" t="s">
        <v>143</v>
      </c>
      <c r="D353" s="3" t="s">
        <v>750</v>
      </c>
      <c r="E353" s="3" t="s">
        <v>762</v>
      </c>
      <c r="F353" s="3" t="str">
        <f aca="false">IFERROR(INDEX(ABC_XYZ!$L$5:$L$494,MATCH(A353,ABC_XYZ!$A$5:$A$494,0)),"SIN HIST")</f>
        <v>BX</v>
      </c>
      <c r="G353" s="24" t="n">
        <f aca="false">IF(LEFT(F353,1)="A",Parametros!$B$8,IF(LEFT(F353,1)="B",Parametros!$B$9,IF(LEFT(F353,1)="C",Parametros!$B$10,Parametros!$B$11)))</f>
        <v>0.95</v>
      </c>
      <c r="H353" s="27" t="n">
        <f aca="false">NORMSINV(G353)</f>
        <v>1.64485362695147</v>
      </c>
      <c r="I353" s="23" t="n">
        <v>2550</v>
      </c>
      <c r="J353" s="23" t="n">
        <f aca="false">IFERROR(INDEX(ABC_XYZ!$R$5:$R$494,MATCH(A353,ABC_XYZ!$A$5:$A$494,0)),I353*Parametros!$B$13)</f>
        <v>742.481303208117</v>
      </c>
      <c r="K353" s="27" t="n">
        <f aca="false">IFERROR(VLOOKUP(C353,Parametros!$A$36:$B$66,2,FALSE()),Parametros!$B$12)</f>
        <v>1</v>
      </c>
      <c r="L353" s="23" t="n">
        <f aca="false">H353*J353*SQRT(K353)</f>
        <v>1221.27306452553</v>
      </c>
      <c r="M353" s="29" t="n">
        <v>184</v>
      </c>
      <c r="N353" s="24" t="n">
        <v>0.217391304347826</v>
      </c>
      <c r="O353" s="3" t="s">
        <v>754</v>
      </c>
      <c r="P353" s="30" t="n">
        <f aca="false">IF(AND(ISNUMBER(M353),ISNUMBER(N353)),M353*N353/7,"")</f>
        <v>5.71428571428572</v>
      </c>
      <c r="Q353" s="23" t="n">
        <f aca="false">IF(ISNUMBER(P353),I353*P353,"")</f>
        <v>14571.4285714286</v>
      </c>
      <c r="R353" s="23" t="n">
        <f aca="false">IF(ISNUMBER(Q353),MAX(0,MIN(L353,Q353-I353*K353)),L353)</f>
        <v>1221.27306452553</v>
      </c>
      <c r="S353" s="23" t="n">
        <f aca="false">R353+I353*K353</f>
        <v>3771.27306452553</v>
      </c>
      <c r="T353" s="23" t="n">
        <v>8537.4</v>
      </c>
      <c r="U353" s="23" t="n">
        <v>2640.6</v>
      </c>
      <c r="V353" s="23" t="n">
        <f aca="false">T353+U353</f>
        <v>11178</v>
      </c>
      <c r="W353" s="30" t="n">
        <f aca="false">IF(I353&gt;0,V353/I353,"")</f>
        <v>4.38352941176471</v>
      </c>
      <c r="X353" s="3" t="str">
        <f aca="false">IF(I353&lt;=0,"SIN FCST",IF(V353&lt;R353,"BAJO SS",IF(T353&lt;R353,"BAJO SS (XLIB CUBRE)",IF(V353&lt;S353,"BAJO P.REORDEN",IF(AND(ISNUMBER(Q353),V353&gt;Q353),"SOBRE MAX VENDIBLE","OK")))))</f>
        <v>OK</v>
      </c>
    </row>
    <row r="354" customFormat="false" ht="15" hidden="false" customHeight="false" outlineLevel="0" collapsed="false">
      <c r="A354" s="3" t="n">
        <v>30000674</v>
      </c>
      <c r="B354" s="3" t="s">
        <v>480</v>
      </c>
      <c r="C354" s="3" t="s">
        <v>129</v>
      </c>
      <c r="D354" s="3" t="s">
        <v>769</v>
      </c>
      <c r="E354" s="3" t="s">
        <v>745</v>
      </c>
      <c r="F354" s="3" t="str">
        <f aca="false">IFERROR(INDEX(ABC_XYZ!$L$5:$L$494,MATCH(A354,ABC_XYZ!$A$5:$A$494,0)),"SIN HIST")</f>
        <v>BY</v>
      </c>
      <c r="G354" s="24" t="n">
        <f aca="false">IF(LEFT(F354,1)="A",Parametros!$B$8,IF(LEFT(F354,1)="B",Parametros!$B$9,IF(LEFT(F354,1)="C",Parametros!$B$10,Parametros!$B$11)))</f>
        <v>0.95</v>
      </c>
      <c r="H354" s="27" t="n">
        <f aca="false">NORMSINV(G354)</f>
        <v>1.64485362695147</v>
      </c>
      <c r="I354" s="23" t="n">
        <v>2549</v>
      </c>
      <c r="J354" s="23" t="n">
        <f aca="false">IFERROR(INDEX(ABC_XYZ!$R$5:$R$494,MATCH(A354,ABC_XYZ!$A$5:$A$494,0)),I354*Parametros!$B$13)</f>
        <v>1120.94274608474</v>
      </c>
      <c r="K354" s="27" t="n">
        <f aca="false">IFERROR(VLOOKUP(C354,Parametros!$A$36:$B$66,2,FALSE()),Parametros!$B$12)</f>
        <v>1</v>
      </c>
      <c r="L354" s="23" t="n">
        <f aca="false">H354*J354*SQRT(K354)</f>
        <v>1843.78674150243</v>
      </c>
      <c r="M354" s="29" t="n">
        <v>1095</v>
      </c>
      <c r="N354" s="24" t="n">
        <v>0.480365296803653</v>
      </c>
      <c r="O354" s="3" t="s">
        <v>763</v>
      </c>
      <c r="P354" s="30" t="n">
        <f aca="false">IF(AND(ISNUMBER(M354),ISNUMBER(N354)),M354*N354/7,"")</f>
        <v>75.1428571428571</v>
      </c>
      <c r="Q354" s="23" t="n">
        <f aca="false">IF(ISNUMBER(P354),I354*P354,"")</f>
        <v>191539.142857143</v>
      </c>
      <c r="R354" s="23" t="n">
        <f aca="false">IF(ISNUMBER(Q354),MAX(0,MIN(L354,Q354-I354*K354)),L354)</f>
        <v>1843.78674150243</v>
      </c>
      <c r="S354" s="23" t="n">
        <f aca="false">R354+I354*K354</f>
        <v>4392.78674150243</v>
      </c>
      <c r="T354" s="23" t="n">
        <v>37944</v>
      </c>
      <c r="U354" s="23" t="n">
        <v>0</v>
      </c>
      <c r="V354" s="23" t="n">
        <f aca="false">T354+U354</f>
        <v>37944</v>
      </c>
      <c r="W354" s="30" t="n">
        <f aca="false">IF(I354&gt;0,V354/I354,"")</f>
        <v>14.885837583366</v>
      </c>
      <c r="X354" s="3" t="str">
        <f aca="false">IF(I354&lt;=0,"SIN FCST",IF(V354&lt;R354,"BAJO SS",IF(T354&lt;R354,"BAJO SS (XLIB CUBRE)",IF(V354&lt;S354,"BAJO P.REORDEN",IF(AND(ISNUMBER(Q354),V354&gt;Q354),"SOBRE MAX VENDIBLE","OK")))))</f>
        <v>OK</v>
      </c>
    </row>
    <row r="355" customFormat="false" ht="15" hidden="false" customHeight="false" outlineLevel="0" collapsed="false">
      <c r="A355" s="3" t="n">
        <v>30000435</v>
      </c>
      <c r="B355" s="3" t="s">
        <v>459</v>
      </c>
      <c r="C355" s="3" t="s">
        <v>139</v>
      </c>
      <c r="D355" s="3" t="s">
        <v>753</v>
      </c>
      <c r="E355" s="3" t="s">
        <v>762</v>
      </c>
      <c r="F355" s="3" t="str">
        <f aca="false">IFERROR(INDEX(ABC_XYZ!$L$5:$L$494,MATCH(A355,ABC_XYZ!$A$5:$A$494,0)),"SIN HIST")</f>
        <v>BX</v>
      </c>
      <c r="G355" s="24" t="n">
        <f aca="false">IF(LEFT(F355,1)="A",Parametros!$B$8,IF(LEFT(F355,1)="B",Parametros!$B$9,IF(LEFT(F355,1)="C",Parametros!$B$10,Parametros!$B$11)))</f>
        <v>0.95</v>
      </c>
      <c r="H355" s="27" t="n">
        <f aca="false">NORMSINV(G355)</f>
        <v>1.64485362695147</v>
      </c>
      <c r="I355" s="23" t="n">
        <v>2492.1</v>
      </c>
      <c r="J355" s="23" t="n">
        <f aca="false">IFERROR(INDEX(ABC_XYZ!$R$5:$R$494,MATCH(A355,ABC_XYZ!$A$5:$A$494,0)),I355*Parametros!$B$13)</f>
        <v>1198.26322401597</v>
      </c>
      <c r="K355" s="27" t="n">
        <f aca="false">IFERROR(VLOOKUP(C355,Parametros!$A$36:$B$66,2,FALSE()),Parametros!$B$12)</f>
        <v>1</v>
      </c>
      <c r="L355" s="23" t="n">
        <f aca="false">H355*J355*SQRT(K355)</f>
        <v>1970.96761006524</v>
      </c>
      <c r="M355" s="29" t="n">
        <v>78</v>
      </c>
      <c r="N355" s="24" t="n">
        <v>0.346153846153846</v>
      </c>
      <c r="O355" s="3" t="s">
        <v>774</v>
      </c>
      <c r="P355" s="30" t="n">
        <f aca="false">IF(AND(ISNUMBER(M355),ISNUMBER(N355)),M355*N355/7,"")</f>
        <v>3.85714285714286</v>
      </c>
      <c r="Q355" s="23" t="n">
        <f aca="false">IF(ISNUMBER(P355),I355*P355,"")</f>
        <v>9612.38571428571</v>
      </c>
      <c r="R355" s="23" t="n">
        <f aca="false">IF(ISNUMBER(Q355),MAX(0,MIN(L355,Q355-I355*K355)),L355)</f>
        <v>1970.96761006524</v>
      </c>
      <c r="S355" s="23" t="n">
        <f aca="false">R355+I355*K355</f>
        <v>4463.06761006524</v>
      </c>
      <c r="T355" s="23" t="n">
        <v>1679.4</v>
      </c>
      <c r="U355" s="23" t="n">
        <v>0</v>
      </c>
      <c r="V355" s="23" t="n">
        <f aca="false">T355+U355</f>
        <v>1679.4</v>
      </c>
      <c r="W355" s="30" t="n">
        <f aca="false">IF(I355&gt;0,V355/I355,"")</f>
        <v>0.673889490790899</v>
      </c>
      <c r="X355" s="3" t="str">
        <f aca="false">IF(I355&lt;=0,"SIN FCST",IF(V355&lt;R355,"BAJO SS",IF(T355&lt;R355,"BAJO SS (XLIB CUBRE)",IF(V355&lt;S355,"BAJO P.REORDEN",IF(AND(ISNUMBER(Q355),V355&gt;Q355),"SOBRE MAX VENDIBLE","OK")))))</f>
        <v>BAJO SS</v>
      </c>
    </row>
    <row r="356" customFormat="false" ht="15" hidden="false" customHeight="false" outlineLevel="0" collapsed="false">
      <c r="A356" s="3" t="n">
        <v>30000801</v>
      </c>
      <c r="B356" s="3" t="s">
        <v>993</v>
      </c>
      <c r="C356" s="3" t="s">
        <v>133</v>
      </c>
      <c r="D356" s="3" t="s">
        <v>769</v>
      </c>
      <c r="E356" s="3"/>
      <c r="F356" s="3" t="str">
        <f aca="false">IFERROR(INDEX(ABC_XYZ!$L$5:$L$494,MATCH(A356,ABC_XYZ!$A$5:$A$494,0)),"SIN HIST")</f>
        <v>SIN HIST</v>
      </c>
      <c r="G356" s="24" t="n">
        <f aca="false">IF(LEFT(F356,1)="A",Parametros!$B$8,IF(LEFT(F356,1)="B",Parametros!$B$9,IF(LEFT(F356,1)="C",Parametros!$B$10,Parametros!$B$11)))</f>
        <v>0.95</v>
      </c>
      <c r="H356" s="27" t="n">
        <f aca="false">NORMSINV(G356)</f>
        <v>1.64485362695147</v>
      </c>
      <c r="I356" s="23" t="n">
        <v>2478.9</v>
      </c>
      <c r="J356" s="23" t="n">
        <f aca="false">IFERROR(INDEX(ABC_XYZ!$R$5:$R$494,MATCH(A356,ABC_XYZ!$A$5:$A$494,0)),I356*Parametros!$B$13)</f>
        <v>743.67</v>
      </c>
      <c r="K356" s="27" t="n">
        <f aca="false">IFERROR(VLOOKUP(C356,Parametros!$A$36:$B$66,2,FALSE()),Parametros!$B$12)</f>
        <v>1</v>
      </c>
      <c r="L356" s="23" t="n">
        <f aca="false">H356*J356*SQRT(K356)</f>
        <v>1223.228296755</v>
      </c>
      <c r="M356" s="29"/>
      <c r="N356" s="24"/>
      <c r="O356" s="3"/>
      <c r="P356" s="30" t="str">
        <f aca="false">IF(AND(ISNUMBER(M356),ISNUMBER(N356)),M356*N356/7,"")</f>
        <v/>
      </c>
      <c r="Q356" s="23" t="str">
        <f aca="false">IF(ISNUMBER(P356),I356*P356,"")</f>
        <v/>
      </c>
      <c r="R356" s="23" t="n">
        <f aca="false">IF(ISNUMBER(Q356),MAX(0,MIN(L356,Q356-I356*K356)),L356)</f>
        <v>1223.228296755</v>
      </c>
      <c r="S356" s="23" t="n">
        <f aca="false">R356+I356*K356</f>
        <v>3702.128296755</v>
      </c>
      <c r="T356" s="23" t="n">
        <v>19681.2</v>
      </c>
      <c r="U356" s="23" t="n">
        <v>0</v>
      </c>
      <c r="V356" s="23" t="n">
        <f aca="false">T356+U356</f>
        <v>19681.2</v>
      </c>
      <c r="W356" s="30" t="n">
        <f aca="false">IF(I356&gt;0,V356/I356,"")</f>
        <v>7.93948928960426</v>
      </c>
      <c r="X356" s="3" t="str">
        <f aca="false">IF(I356&lt;=0,"SIN FCST",IF(V356&lt;R356,"BAJO SS",IF(T356&lt;R356,"BAJO SS (XLIB CUBRE)",IF(V356&lt;S356,"BAJO P.REORDEN",IF(AND(ISNUMBER(Q356),V356&gt;Q356),"SOBRE MAX VENDIBLE","OK")))))</f>
        <v>OK</v>
      </c>
    </row>
    <row r="357" customFormat="false" ht="15" hidden="false" customHeight="false" outlineLevel="0" collapsed="false">
      <c r="A357" s="3" t="n">
        <v>30002113</v>
      </c>
      <c r="B357" s="3" t="s">
        <v>498</v>
      </c>
      <c r="C357" s="3" t="s">
        <v>144</v>
      </c>
      <c r="D357" s="3" t="s">
        <v>753</v>
      </c>
      <c r="E357" s="3" t="s">
        <v>745</v>
      </c>
      <c r="F357" s="3" t="str">
        <f aca="false">IFERROR(INDEX(ABC_XYZ!$L$5:$L$494,MATCH(A357,ABC_XYZ!$A$5:$A$494,0)),"SIN HIST")</f>
        <v>CX</v>
      </c>
      <c r="G357" s="24" t="n">
        <f aca="false">IF(LEFT(F357,1)="A",Parametros!$B$8,IF(LEFT(F357,1)="B",Parametros!$B$9,IF(LEFT(F357,1)="C",Parametros!$B$10,Parametros!$B$11)))</f>
        <v>0.9</v>
      </c>
      <c r="H357" s="27" t="n">
        <f aca="false">NORMSINV(G357)</f>
        <v>1.2815515655446</v>
      </c>
      <c r="I357" s="23" t="n">
        <v>2477.5</v>
      </c>
      <c r="J357" s="23" t="n">
        <f aca="false">IFERROR(INDEX(ABC_XYZ!$R$5:$R$494,MATCH(A357,ABC_XYZ!$A$5:$A$494,0)),I357*Parametros!$B$13)</f>
        <v>303.514140252696</v>
      </c>
      <c r="K357" s="27" t="n">
        <f aca="false">IFERROR(VLOOKUP(C357,Parametros!$A$36:$B$66,2,FALSE()),Parametros!$B$12)</f>
        <v>1</v>
      </c>
      <c r="L357" s="23" t="n">
        <f aca="false">H357*J357*SQRT(K357)</f>
        <v>388.969021605766</v>
      </c>
      <c r="M357" s="29" t="n">
        <v>365</v>
      </c>
      <c r="N357" s="24" t="n">
        <v>0.194520547945206</v>
      </c>
      <c r="O357" s="3" t="s">
        <v>746</v>
      </c>
      <c r="P357" s="30" t="n">
        <f aca="false">IF(AND(ISNUMBER(M357),ISNUMBER(N357)),M357*N357/7,"")</f>
        <v>10.1428571428571</v>
      </c>
      <c r="Q357" s="23" t="n">
        <f aca="false">IF(ISNUMBER(P357),I357*P357,"")</f>
        <v>25128.9285714286</v>
      </c>
      <c r="R357" s="23" t="n">
        <f aca="false">IF(ISNUMBER(Q357),MAX(0,MIN(L357,Q357-I357*K357)),L357)</f>
        <v>388.969021605766</v>
      </c>
      <c r="S357" s="23" t="n">
        <f aca="false">R357+I357*K357</f>
        <v>2866.46902160577</v>
      </c>
      <c r="T357" s="23" t="n">
        <v>3640</v>
      </c>
      <c r="U357" s="23" t="n">
        <v>0</v>
      </c>
      <c r="V357" s="23" t="n">
        <f aca="false">T357+U357</f>
        <v>3640</v>
      </c>
      <c r="W357" s="30" t="n">
        <f aca="false">IF(I357&gt;0,V357/I357,"")</f>
        <v>1.46922300706357</v>
      </c>
      <c r="X357" s="3" t="str">
        <f aca="false">IF(I357&lt;=0,"SIN FCST",IF(V357&lt;R357,"BAJO SS",IF(T357&lt;R357,"BAJO SS (XLIB CUBRE)",IF(V357&lt;S357,"BAJO P.REORDEN",IF(AND(ISNUMBER(Q357),V357&gt;Q357),"SOBRE MAX VENDIBLE","OK")))))</f>
        <v>OK</v>
      </c>
    </row>
    <row r="358" customFormat="false" ht="15" hidden="false" customHeight="false" outlineLevel="0" collapsed="false">
      <c r="A358" s="3" t="n">
        <v>30001757</v>
      </c>
      <c r="B358" s="3" t="s">
        <v>994</v>
      </c>
      <c r="C358" s="3" t="s">
        <v>144</v>
      </c>
      <c r="D358" s="3" t="s">
        <v>753</v>
      </c>
      <c r="E358" s="3" t="s">
        <v>745</v>
      </c>
      <c r="F358" s="3" t="str">
        <f aca="false">IFERROR(INDEX(ABC_XYZ!$L$5:$L$494,MATCH(A358,ABC_XYZ!$A$5:$A$494,0)),"SIN HIST")</f>
        <v>CX</v>
      </c>
      <c r="G358" s="24" t="n">
        <f aca="false">IF(LEFT(F358,1)="A",Parametros!$B$8,IF(LEFT(F358,1)="B",Parametros!$B$9,IF(LEFT(F358,1)="C",Parametros!$B$10,Parametros!$B$11)))</f>
        <v>0.9</v>
      </c>
      <c r="H358" s="27" t="n">
        <f aca="false">NORMSINV(G358)</f>
        <v>1.2815515655446</v>
      </c>
      <c r="I358" s="23" t="n">
        <v>2450</v>
      </c>
      <c r="J358" s="23" t="n">
        <f aca="false">IFERROR(INDEX(ABC_XYZ!$R$5:$R$494,MATCH(A358,ABC_XYZ!$A$5:$A$494,0)),I358*Parametros!$B$13)</f>
        <v>908.578439101435</v>
      </c>
      <c r="K358" s="27" t="n">
        <f aca="false">IFERROR(VLOOKUP(C358,Parametros!$A$36:$B$66,2,FALSE()),Parametros!$B$12)</f>
        <v>1</v>
      </c>
      <c r="L358" s="23" t="n">
        <f aca="false">H358*J358*SQRT(K358)</f>
        <v>1164.39012105051</v>
      </c>
      <c r="M358" s="29" t="n">
        <v>365</v>
      </c>
      <c r="N358" s="24" t="n">
        <v>0.273972602739726</v>
      </c>
      <c r="O358" s="3" t="s">
        <v>746</v>
      </c>
      <c r="P358" s="30" t="n">
        <f aca="false">IF(AND(ISNUMBER(M358),ISNUMBER(N358)),M358*N358/7,"")</f>
        <v>14.2857142857143</v>
      </c>
      <c r="Q358" s="23" t="n">
        <f aca="false">IF(ISNUMBER(P358),I358*P358,"")</f>
        <v>35000</v>
      </c>
      <c r="R358" s="23" t="n">
        <f aca="false">IF(ISNUMBER(Q358),MAX(0,MIN(L358,Q358-I358*K358)),L358)</f>
        <v>1164.39012105051</v>
      </c>
      <c r="S358" s="23" t="n">
        <f aca="false">R358+I358*K358</f>
        <v>3614.39012105051</v>
      </c>
      <c r="T358" s="23" t="n">
        <v>7473.6</v>
      </c>
      <c r="U358" s="23" t="n">
        <v>0</v>
      </c>
      <c r="V358" s="23" t="n">
        <f aca="false">T358+U358</f>
        <v>7473.6</v>
      </c>
      <c r="W358" s="30" t="n">
        <f aca="false">IF(I358&gt;0,V358/I358,"")</f>
        <v>3.05044897959184</v>
      </c>
      <c r="X358" s="3" t="str">
        <f aca="false">IF(I358&lt;=0,"SIN FCST",IF(V358&lt;R358,"BAJO SS",IF(T358&lt;R358,"BAJO SS (XLIB CUBRE)",IF(V358&lt;S358,"BAJO P.REORDEN",IF(AND(ISNUMBER(Q358),V358&gt;Q358),"SOBRE MAX VENDIBLE","OK")))))</f>
        <v>OK</v>
      </c>
    </row>
    <row r="359" customFormat="false" ht="15" hidden="false" customHeight="false" outlineLevel="0" collapsed="false">
      <c r="A359" s="3" t="n">
        <v>30001143</v>
      </c>
      <c r="B359" s="3" t="s">
        <v>995</v>
      </c>
      <c r="C359" s="3" t="s">
        <v>144</v>
      </c>
      <c r="D359" s="3" t="s">
        <v>753</v>
      </c>
      <c r="E359" s="3" t="s">
        <v>745</v>
      </c>
      <c r="F359" s="3" t="str">
        <f aca="false">IFERROR(INDEX(ABC_XYZ!$L$5:$L$494,MATCH(A359,ABC_XYZ!$A$5:$A$494,0)),"SIN HIST")</f>
        <v>CX</v>
      </c>
      <c r="G359" s="24" t="n">
        <f aca="false">IF(LEFT(F359,1)="A",Parametros!$B$8,IF(LEFT(F359,1)="B",Parametros!$B$9,IF(LEFT(F359,1)="C",Parametros!$B$10,Parametros!$B$11)))</f>
        <v>0.9</v>
      </c>
      <c r="H359" s="27" t="n">
        <f aca="false">NORMSINV(G359)</f>
        <v>1.2815515655446</v>
      </c>
      <c r="I359" s="23" t="n">
        <v>2447.5</v>
      </c>
      <c r="J359" s="23" t="n">
        <f aca="false">IFERROR(INDEX(ABC_XYZ!$R$5:$R$494,MATCH(A359,ABC_XYZ!$A$5:$A$494,0)),I359*Parametros!$B$13)</f>
        <v>468.854988242634</v>
      </c>
      <c r="K359" s="27" t="n">
        <f aca="false">IFERROR(VLOOKUP(C359,Parametros!$A$36:$B$66,2,FALSE()),Parametros!$B$12)</f>
        <v>1</v>
      </c>
      <c r="L359" s="23" t="n">
        <f aca="false">H359*J359*SQRT(K359)</f>
        <v>600.861844195742</v>
      </c>
      <c r="M359" s="29" t="n">
        <v>365</v>
      </c>
      <c r="N359" s="24" t="n">
        <v>0.194520547945206</v>
      </c>
      <c r="O359" s="3" t="s">
        <v>746</v>
      </c>
      <c r="P359" s="30" t="n">
        <f aca="false">IF(AND(ISNUMBER(M359),ISNUMBER(N359)),M359*N359/7,"")</f>
        <v>10.1428571428571</v>
      </c>
      <c r="Q359" s="23" t="n">
        <f aca="false">IF(ISNUMBER(P359),I359*P359,"")</f>
        <v>24824.6428571429</v>
      </c>
      <c r="R359" s="23" t="n">
        <f aca="false">IF(ISNUMBER(Q359),MAX(0,MIN(L359,Q359-I359*K359)),L359)</f>
        <v>600.861844195742</v>
      </c>
      <c r="S359" s="23" t="n">
        <f aca="false">R359+I359*K359</f>
        <v>3048.36184419574</v>
      </c>
      <c r="T359" s="23" t="n">
        <v>6390</v>
      </c>
      <c r="U359" s="23" t="n">
        <v>0</v>
      </c>
      <c r="V359" s="23" t="n">
        <f aca="false">T359+U359</f>
        <v>6390</v>
      </c>
      <c r="W359" s="30" t="n">
        <f aca="false">IF(I359&gt;0,V359/I359,"")</f>
        <v>2.61082737487232</v>
      </c>
      <c r="X359" s="3" t="str">
        <f aca="false">IF(I359&lt;=0,"SIN FCST",IF(V359&lt;R359,"BAJO SS",IF(T359&lt;R359,"BAJO SS (XLIB CUBRE)",IF(V359&lt;S359,"BAJO P.REORDEN",IF(AND(ISNUMBER(Q359),V359&gt;Q359),"SOBRE MAX VENDIBLE","OK")))))</f>
        <v>OK</v>
      </c>
    </row>
    <row r="360" customFormat="false" ht="15" hidden="false" customHeight="false" outlineLevel="0" collapsed="false">
      <c r="A360" s="3" t="n">
        <v>30000041</v>
      </c>
      <c r="B360" s="3" t="s">
        <v>419</v>
      </c>
      <c r="C360" s="3" t="s">
        <v>124</v>
      </c>
      <c r="D360" s="3" t="s">
        <v>750</v>
      </c>
      <c r="E360" s="3" t="s">
        <v>745</v>
      </c>
      <c r="F360" s="3" t="str">
        <f aca="false">IFERROR(INDEX(ABC_XYZ!$L$5:$L$494,MATCH(A360,ABC_XYZ!$A$5:$A$494,0)),"SIN HIST")</f>
        <v>BY</v>
      </c>
      <c r="G360" s="24" t="n">
        <f aca="false">IF(LEFT(F360,1)="A",Parametros!$B$8,IF(LEFT(F360,1)="B",Parametros!$B$9,IF(LEFT(F360,1)="C",Parametros!$B$10,Parametros!$B$11)))</f>
        <v>0.95</v>
      </c>
      <c r="H360" s="27" t="n">
        <f aca="false">NORMSINV(G360)</f>
        <v>1.64485362695147</v>
      </c>
      <c r="I360" s="23" t="n">
        <v>2424</v>
      </c>
      <c r="J360" s="23" t="n">
        <f aca="false">IFERROR(INDEX(ABC_XYZ!$R$5:$R$494,MATCH(A360,ABC_XYZ!$A$5:$A$494,0)),I360*Parametros!$B$13)</f>
        <v>2243.09376828819</v>
      </c>
      <c r="K360" s="27" t="n">
        <f aca="false">IFERROR(VLOOKUP(C360,Parametros!$A$36:$B$66,2,FALSE()),Parametros!$B$12)</f>
        <v>1</v>
      </c>
      <c r="L360" s="23" t="n">
        <f aca="false">H360*J360*SQRT(K360)</f>
        <v>3689.56092036108</v>
      </c>
      <c r="M360" s="29" t="n">
        <v>548</v>
      </c>
      <c r="N360" s="24" t="n">
        <v>0.275547445255475</v>
      </c>
      <c r="O360" s="3" t="s">
        <v>746</v>
      </c>
      <c r="P360" s="30" t="n">
        <f aca="false">IF(AND(ISNUMBER(M360),ISNUMBER(N360)),M360*N360/7,"")</f>
        <v>21.5714285714286</v>
      </c>
      <c r="Q360" s="23" t="n">
        <f aca="false">IF(ISNUMBER(P360),I360*P360,"")</f>
        <v>52289.1428571429</v>
      </c>
      <c r="R360" s="23" t="n">
        <f aca="false">IF(ISNUMBER(Q360),MAX(0,MIN(L360,Q360-I360*K360)),L360)</f>
        <v>3689.56092036108</v>
      </c>
      <c r="S360" s="23" t="n">
        <f aca="false">R360+I360*K360</f>
        <v>6113.56092036108</v>
      </c>
      <c r="T360" s="23" t="n">
        <v>21196.8</v>
      </c>
      <c r="U360" s="23" t="n">
        <v>0</v>
      </c>
      <c r="V360" s="23" t="n">
        <f aca="false">T360+U360</f>
        <v>21196.8</v>
      </c>
      <c r="W360" s="30" t="n">
        <f aca="false">IF(I360&gt;0,V360/I360,"")</f>
        <v>8.74455445544554</v>
      </c>
      <c r="X360" s="3" t="str">
        <f aca="false">IF(I360&lt;=0,"SIN FCST",IF(V360&lt;R360,"BAJO SS",IF(T360&lt;R360,"BAJO SS (XLIB CUBRE)",IF(V360&lt;S360,"BAJO P.REORDEN",IF(AND(ISNUMBER(Q360),V360&gt;Q360),"SOBRE MAX VENDIBLE","OK")))))</f>
        <v>OK</v>
      </c>
    </row>
    <row r="361" customFormat="false" ht="15" hidden="false" customHeight="false" outlineLevel="0" collapsed="false">
      <c r="A361" s="3" t="n">
        <v>30000180</v>
      </c>
      <c r="B361" s="3" t="s">
        <v>996</v>
      </c>
      <c r="C361" s="3" t="s">
        <v>144</v>
      </c>
      <c r="D361" s="3" t="s">
        <v>753</v>
      </c>
      <c r="E361" s="3" t="s">
        <v>745</v>
      </c>
      <c r="F361" s="3" t="str">
        <f aca="false">IFERROR(INDEX(ABC_XYZ!$L$5:$L$494,MATCH(A361,ABC_XYZ!$A$5:$A$494,0)),"SIN HIST")</f>
        <v>BX</v>
      </c>
      <c r="G361" s="24" t="n">
        <f aca="false">IF(LEFT(F361,1)="A",Parametros!$B$8,IF(LEFT(F361,1)="B",Parametros!$B$9,IF(LEFT(F361,1)="C",Parametros!$B$10,Parametros!$B$11)))</f>
        <v>0.95</v>
      </c>
      <c r="H361" s="27" t="n">
        <f aca="false">NORMSINV(G361)</f>
        <v>1.64485362695147</v>
      </c>
      <c r="I361" s="23" t="n">
        <v>2411.9</v>
      </c>
      <c r="J361" s="23" t="n">
        <f aca="false">IFERROR(INDEX(ABC_XYZ!$R$5:$R$494,MATCH(A361,ABC_XYZ!$A$5:$A$494,0)),I361*Parametros!$B$13)</f>
        <v>870.515019973808</v>
      </c>
      <c r="K361" s="27" t="n">
        <f aca="false">IFERROR(VLOOKUP(C361,Parametros!$A$36:$B$66,2,FALSE()),Parametros!$B$12)</f>
        <v>1</v>
      </c>
      <c r="L361" s="23" t="n">
        <f aca="false">H361*J361*SQRT(K361)</f>
        <v>1431.86978791965</v>
      </c>
      <c r="M361" s="29" t="n">
        <v>184</v>
      </c>
      <c r="N361" s="24" t="n">
        <v>0.28804347826087</v>
      </c>
      <c r="O361" s="3" t="s">
        <v>746</v>
      </c>
      <c r="P361" s="30" t="n">
        <f aca="false">IF(AND(ISNUMBER(M361),ISNUMBER(N361)),M361*N361/7,"")</f>
        <v>7.57142857142857</v>
      </c>
      <c r="Q361" s="23" t="n">
        <f aca="false">IF(ISNUMBER(P361),I361*P361,"")</f>
        <v>18261.5285714286</v>
      </c>
      <c r="R361" s="23" t="n">
        <f aca="false">IF(ISNUMBER(Q361),MAX(0,MIN(L361,Q361-I361*K361)),L361)</f>
        <v>1431.86978791965</v>
      </c>
      <c r="S361" s="23" t="n">
        <f aca="false">R361+I361*K361</f>
        <v>3843.76978791965</v>
      </c>
      <c r="T361" s="23" t="n">
        <v>5875.2</v>
      </c>
      <c r="U361" s="23" t="n">
        <v>0</v>
      </c>
      <c r="V361" s="23" t="n">
        <f aca="false">T361+U361</f>
        <v>5875.2</v>
      </c>
      <c r="W361" s="30" t="n">
        <f aca="false">IF(I361&gt;0,V361/I361,"")</f>
        <v>2.43592188730876</v>
      </c>
      <c r="X361" s="3" t="str">
        <f aca="false">IF(I361&lt;=0,"SIN FCST",IF(V361&lt;R361,"BAJO SS",IF(T361&lt;R361,"BAJO SS (XLIB CUBRE)",IF(V361&lt;S361,"BAJO P.REORDEN",IF(AND(ISNUMBER(Q361),V361&gt;Q361),"SOBRE MAX VENDIBLE","OK")))))</f>
        <v>OK</v>
      </c>
    </row>
    <row r="362" customFormat="false" ht="15" hidden="false" customHeight="false" outlineLevel="0" collapsed="false">
      <c r="A362" s="3" t="n">
        <v>30000608</v>
      </c>
      <c r="B362" s="3" t="s">
        <v>997</v>
      </c>
      <c r="C362" s="3" t="s">
        <v>129</v>
      </c>
      <c r="D362" s="3" t="s">
        <v>769</v>
      </c>
      <c r="E362" s="3" t="s">
        <v>745</v>
      </c>
      <c r="F362" s="3" t="str">
        <f aca="false">IFERROR(INDEX(ABC_XYZ!$L$5:$L$494,MATCH(A362,ABC_XYZ!$A$5:$A$494,0)),"SIN HIST")</f>
        <v>BX</v>
      </c>
      <c r="G362" s="24" t="n">
        <f aca="false">IF(LEFT(F362,1)="A",Parametros!$B$8,IF(LEFT(F362,1)="B",Parametros!$B$9,IF(LEFT(F362,1)="C",Parametros!$B$10,Parametros!$B$11)))</f>
        <v>0.95</v>
      </c>
      <c r="H362" s="27" t="n">
        <f aca="false">NORMSINV(G362)</f>
        <v>1.64485362695147</v>
      </c>
      <c r="I362" s="23" t="n">
        <v>2410.4</v>
      </c>
      <c r="J362" s="23" t="n">
        <f aca="false">IFERROR(INDEX(ABC_XYZ!$R$5:$R$494,MATCH(A362,ABC_XYZ!$A$5:$A$494,0)),I362*Parametros!$B$13)</f>
        <v>2104.73622733745</v>
      </c>
      <c r="K362" s="27" t="n">
        <f aca="false">IFERROR(VLOOKUP(C362,Parametros!$A$36:$B$66,2,FALSE()),Parametros!$B$12)</f>
        <v>1</v>
      </c>
      <c r="L362" s="23" t="n">
        <f aca="false">H362*J362*SQRT(K362)</f>
        <v>3461.98301731216</v>
      </c>
      <c r="M362" s="29" t="n">
        <v>1095</v>
      </c>
      <c r="N362" s="24" t="n">
        <v>0.461187214611872</v>
      </c>
      <c r="O362" s="3" t="s">
        <v>763</v>
      </c>
      <c r="P362" s="30" t="n">
        <f aca="false">IF(AND(ISNUMBER(M362),ISNUMBER(N362)),M362*N362/7,"")</f>
        <v>72.1428571428572</v>
      </c>
      <c r="Q362" s="23" t="n">
        <f aca="false">IF(ISNUMBER(P362),I362*P362,"")</f>
        <v>173893.142857143</v>
      </c>
      <c r="R362" s="23" t="n">
        <f aca="false">IF(ISNUMBER(Q362),MAX(0,MIN(L362,Q362-I362*K362)),L362)</f>
        <v>3461.98301731216</v>
      </c>
      <c r="S362" s="23" t="n">
        <f aca="false">R362+I362*K362</f>
        <v>5872.38301731216</v>
      </c>
      <c r="T362" s="23" t="n">
        <v>45924.5</v>
      </c>
      <c r="U362" s="23" t="n">
        <v>0</v>
      </c>
      <c r="V362" s="23" t="n">
        <f aca="false">T362+U362</f>
        <v>45924.5</v>
      </c>
      <c r="W362" s="30" t="n">
        <f aca="false">IF(I362&gt;0,V362/I362,"")</f>
        <v>19.0526468635911</v>
      </c>
      <c r="X362" s="3" t="str">
        <f aca="false">IF(I362&lt;=0,"SIN FCST",IF(V362&lt;R362,"BAJO SS",IF(T362&lt;R362,"BAJO SS (XLIB CUBRE)",IF(V362&lt;S362,"BAJO P.REORDEN",IF(AND(ISNUMBER(Q362),V362&gt;Q362),"SOBRE MAX VENDIBLE","OK")))))</f>
        <v>OK</v>
      </c>
    </row>
    <row r="363" customFormat="false" ht="15" hidden="false" customHeight="false" outlineLevel="0" collapsed="false">
      <c r="A363" s="3" t="n">
        <v>30000327</v>
      </c>
      <c r="B363" s="3" t="s">
        <v>998</v>
      </c>
      <c r="C363" s="3" t="s">
        <v>139</v>
      </c>
      <c r="D363" s="3" t="s">
        <v>753</v>
      </c>
      <c r="E363" s="3" t="s">
        <v>745</v>
      </c>
      <c r="F363" s="3" t="str">
        <f aca="false">IFERROR(INDEX(ABC_XYZ!$L$5:$L$494,MATCH(A363,ABC_XYZ!$A$5:$A$494,0)),"SIN HIST")</f>
        <v>BY</v>
      </c>
      <c r="G363" s="24" t="n">
        <f aca="false">IF(LEFT(F363,1)="A",Parametros!$B$8,IF(LEFT(F363,1)="B",Parametros!$B$9,IF(LEFT(F363,1)="C",Parametros!$B$10,Parametros!$B$11)))</f>
        <v>0.95</v>
      </c>
      <c r="H363" s="27" t="n">
        <f aca="false">NORMSINV(G363)</f>
        <v>1.64485362695147</v>
      </c>
      <c r="I363" s="23" t="n">
        <v>2404.7</v>
      </c>
      <c r="J363" s="23" t="n">
        <f aca="false">IFERROR(INDEX(ABC_XYZ!$R$5:$R$494,MATCH(A363,ABC_XYZ!$A$5:$A$494,0)),I363*Parametros!$B$13)</f>
        <v>3094.29174473467</v>
      </c>
      <c r="K363" s="27" t="n">
        <f aca="false">IFERROR(VLOOKUP(C363,Parametros!$A$36:$B$66,2,FALSE()),Parametros!$B$12)</f>
        <v>1</v>
      </c>
      <c r="L363" s="23" t="n">
        <f aca="false">H363*J363*SQRT(K363)</f>
        <v>5089.65699917282</v>
      </c>
      <c r="M363" s="29" t="n">
        <v>189</v>
      </c>
      <c r="N363" s="24" t="n">
        <v>0.333333333333333</v>
      </c>
      <c r="O363" s="3" t="s">
        <v>780</v>
      </c>
      <c r="P363" s="30" t="n">
        <f aca="false">IF(AND(ISNUMBER(M363),ISNUMBER(N363)),M363*N363/7,"")</f>
        <v>9</v>
      </c>
      <c r="Q363" s="23" t="n">
        <f aca="false">IF(ISNUMBER(P363),I363*P363,"")</f>
        <v>21642.3</v>
      </c>
      <c r="R363" s="23" t="n">
        <f aca="false">IF(ISNUMBER(Q363),MAX(0,MIN(L363,Q363-I363*K363)),L363)</f>
        <v>5089.65699917282</v>
      </c>
      <c r="S363" s="23" t="n">
        <f aca="false">R363+I363*K363</f>
        <v>7494.35699917282</v>
      </c>
      <c r="T363" s="23" t="n">
        <v>14904</v>
      </c>
      <c r="U363" s="23" t="n">
        <v>0</v>
      </c>
      <c r="V363" s="23" t="n">
        <f aca="false">T363+U363</f>
        <v>14904</v>
      </c>
      <c r="W363" s="30" t="n">
        <f aca="false">IF(I363&gt;0,V363/I363,"")</f>
        <v>6.19786251923317</v>
      </c>
      <c r="X363" s="3" t="str">
        <f aca="false">IF(I363&lt;=0,"SIN FCST",IF(V363&lt;R363,"BAJO SS",IF(T363&lt;R363,"BAJO SS (XLIB CUBRE)",IF(V363&lt;S363,"BAJO P.REORDEN",IF(AND(ISNUMBER(Q363),V363&gt;Q363),"SOBRE MAX VENDIBLE","OK")))))</f>
        <v>OK</v>
      </c>
    </row>
    <row r="364" customFormat="false" ht="15" hidden="false" customHeight="false" outlineLevel="0" collapsed="false">
      <c r="A364" s="3" t="n">
        <v>30002134</v>
      </c>
      <c r="B364" s="3" t="s">
        <v>444</v>
      </c>
      <c r="C364" s="3" t="s">
        <v>135</v>
      </c>
      <c r="D364" s="3" t="s">
        <v>753</v>
      </c>
      <c r="E364" s="3" t="s">
        <v>762</v>
      </c>
      <c r="F364" s="3" t="str">
        <f aca="false">IFERROR(INDEX(ABC_XYZ!$L$5:$L$494,MATCH(A364,ABC_XYZ!$A$5:$A$494,0)),"SIN HIST")</f>
        <v>BX</v>
      </c>
      <c r="G364" s="24" t="n">
        <f aca="false">IF(LEFT(F364,1)="A",Parametros!$B$8,IF(LEFT(F364,1)="B",Parametros!$B$9,IF(LEFT(F364,1)="C",Parametros!$B$10,Parametros!$B$11)))</f>
        <v>0.95</v>
      </c>
      <c r="H364" s="27" t="n">
        <f aca="false">NORMSINV(G364)</f>
        <v>1.64485362695147</v>
      </c>
      <c r="I364" s="23" t="n">
        <v>2400</v>
      </c>
      <c r="J364" s="23" t="n">
        <f aca="false">IFERROR(INDEX(ABC_XYZ!$R$5:$R$494,MATCH(A364,ABC_XYZ!$A$5:$A$494,0)),I364*Parametros!$B$13)</f>
        <v>948.92857264765</v>
      </c>
      <c r="K364" s="27" t="n">
        <f aca="false">IFERROR(VLOOKUP(C364,Parametros!$A$36:$B$66,2,FALSE()),Parametros!$B$12)</f>
        <v>1</v>
      </c>
      <c r="L364" s="23" t="n">
        <f aca="false">H364*J364*SQRT(K364)</f>
        <v>1560.84860443737</v>
      </c>
      <c r="M364" s="29" t="n">
        <v>70</v>
      </c>
      <c r="N364" s="24" t="n">
        <v>0.214285714285714</v>
      </c>
      <c r="O364" s="3" t="s">
        <v>754</v>
      </c>
      <c r="P364" s="30" t="n">
        <f aca="false">IF(AND(ISNUMBER(M364),ISNUMBER(N364)),M364*N364/7,"")</f>
        <v>2.14285714285714</v>
      </c>
      <c r="Q364" s="23" t="n">
        <f aca="false">IF(ISNUMBER(P364),I364*P364,"")</f>
        <v>5142.85714285714</v>
      </c>
      <c r="R364" s="23" t="n">
        <f aca="false">IF(ISNUMBER(Q364),MAX(0,MIN(L364,Q364-I364*K364)),L364)</f>
        <v>1560.84860443737</v>
      </c>
      <c r="S364" s="23" t="n">
        <f aca="false">R364+I364*K364</f>
        <v>3960.84860443737</v>
      </c>
      <c r="T364" s="23" t="n">
        <v>4060.8</v>
      </c>
      <c r="U364" s="23" t="n">
        <v>0</v>
      </c>
      <c r="V364" s="23" t="n">
        <f aca="false">T364+U364</f>
        <v>4060.8</v>
      </c>
      <c r="W364" s="30" t="n">
        <f aca="false">IF(I364&gt;0,V364/I364,"")</f>
        <v>1.692</v>
      </c>
      <c r="X364" s="3" t="str">
        <f aca="false">IF(I364&lt;=0,"SIN FCST",IF(V364&lt;R364,"BAJO SS",IF(T364&lt;R364,"BAJO SS (XLIB CUBRE)",IF(V364&lt;S364,"BAJO P.REORDEN",IF(AND(ISNUMBER(Q364),V364&gt;Q364),"SOBRE MAX VENDIBLE","OK")))))</f>
        <v>OK</v>
      </c>
    </row>
    <row r="365" customFormat="false" ht="15" hidden="false" customHeight="false" outlineLevel="0" collapsed="false">
      <c r="A365" s="3" t="n">
        <v>30000780</v>
      </c>
      <c r="B365" s="3" t="s">
        <v>999</v>
      </c>
      <c r="C365" s="3" t="s">
        <v>133</v>
      </c>
      <c r="D365" s="3" t="s">
        <v>769</v>
      </c>
      <c r="E365" s="3"/>
      <c r="F365" s="3" t="str">
        <f aca="false">IFERROR(INDEX(ABC_XYZ!$L$5:$L$494,MATCH(A365,ABC_XYZ!$A$5:$A$494,0)),"SIN HIST")</f>
        <v>SIN HIST</v>
      </c>
      <c r="G365" s="24" t="n">
        <f aca="false">IF(LEFT(F365,1)="A",Parametros!$B$8,IF(LEFT(F365,1)="B",Parametros!$B$9,IF(LEFT(F365,1)="C",Parametros!$B$10,Parametros!$B$11)))</f>
        <v>0.95</v>
      </c>
      <c r="H365" s="27" t="n">
        <f aca="false">NORMSINV(G365)</f>
        <v>1.64485362695147</v>
      </c>
      <c r="I365" s="23" t="n">
        <v>2390.7</v>
      </c>
      <c r="J365" s="23" t="n">
        <f aca="false">IFERROR(INDEX(ABC_XYZ!$R$5:$R$494,MATCH(A365,ABC_XYZ!$A$5:$A$494,0)),I365*Parametros!$B$13)</f>
        <v>717.21</v>
      </c>
      <c r="K365" s="27" t="n">
        <f aca="false">IFERROR(VLOOKUP(C365,Parametros!$A$36:$B$66,2,FALSE()),Parametros!$B$12)</f>
        <v>1</v>
      </c>
      <c r="L365" s="23" t="n">
        <f aca="false">H365*J365*SQRT(K365)</f>
        <v>1179.70546978586</v>
      </c>
      <c r="M365" s="29"/>
      <c r="N365" s="24"/>
      <c r="O365" s="3"/>
      <c r="P365" s="30" t="str">
        <f aca="false">IF(AND(ISNUMBER(M365),ISNUMBER(N365)),M365*N365/7,"")</f>
        <v/>
      </c>
      <c r="Q365" s="23" t="str">
        <f aca="false">IF(ISNUMBER(P365),I365*P365,"")</f>
        <v/>
      </c>
      <c r="R365" s="23" t="n">
        <f aca="false">IF(ISNUMBER(Q365),MAX(0,MIN(L365,Q365-I365*K365)),L365)</f>
        <v>1179.70546978586</v>
      </c>
      <c r="S365" s="23" t="n">
        <f aca="false">R365+I365*K365</f>
        <v>3570.40546978586</v>
      </c>
      <c r="T365" s="23" t="n">
        <v>25390</v>
      </c>
      <c r="U365" s="23" t="n">
        <v>0</v>
      </c>
      <c r="V365" s="23" t="n">
        <f aca="false">T365+U365</f>
        <v>25390</v>
      </c>
      <c r="W365" s="30" t="n">
        <f aca="false">IF(I365&gt;0,V365/I365,"")</f>
        <v>10.6203204082486</v>
      </c>
      <c r="X365" s="3" t="str">
        <f aca="false">IF(I365&lt;=0,"SIN FCST",IF(V365&lt;R365,"BAJO SS",IF(T365&lt;R365,"BAJO SS (XLIB CUBRE)",IF(V365&lt;S365,"BAJO P.REORDEN",IF(AND(ISNUMBER(Q365),V365&gt;Q365),"SOBRE MAX VENDIBLE","OK")))))</f>
        <v>OK</v>
      </c>
    </row>
    <row r="366" customFormat="false" ht="15" hidden="false" customHeight="false" outlineLevel="0" collapsed="false">
      <c r="A366" s="3" t="n">
        <v>30000498</v>
      </c>
      <c r="B366" s="3" t="s">
        <v>1000</v>
      </c>
      <c r="C366" s="3" t="s">
        <v>139</v>
      </c>
      <c r="D366" s="3" t="s">
        <v>761</v>
      </c>
      <c r="E366" s="3" t="s">
        <v>762</v>
      </c>
      <c r="F366" s="3" t="str">
        <f aca="false">IFERROR(INDEX(ABC_XYZ!$L$5:$L$494,MATCH(A366,ABC_XYZ!$A$5:$A$494,0)),"SIN HIST")</f>
        <v>BX</v>
      </c>
      <c r="G366" s="24" t="n">
        <f aca="false">IF(LEFT(F366,1)="A",Parametros!$B$8,IF(LEFT(F366,1)="B",Parametros!$B$9,IF(LEFT(F366,1)="C",Parametros!$B$10,Parametros!$B$11)))</f>
        <v>0.95</v>
      </c>
      <c r="H366" s="27" t="n">
        <f aca="false">NORMSINV(G366)</f>
        <v>1.64485362695147</v>
      </c>
      <c r="I366" s="23" t="n">
        <v>2386</v>
      </c>
      <c r="J366" s="23" t="n">
        <f aca="false">IFERROR(INDEX(ABC_XYZ!$R$5:$R$494,MATCH(A366,ABC_XYZ!$A$5:$A$494,0)),I366*Parametros!$B$13)</f>
        <v>1008.80847549471</v>
      </c>
      <c r="K366" s="27" t="n">
        <f aca="false">IFERROR(VLOOKUP(C366,Parametros!$A$36:$B$66,2,FALSE()),Parametros!$B$12)</f>
        <v>1</v>
      </c>
      <c r="L366" s="23" t="n">
        <f aca="false">H366*J366*SQRT(K366)</f>
        <v>1659.34227981686</v>
      </c>
      <c r="M366" s="29" t="n">
        <v>71</v>
      </c>
      <c r="N366" s="24" t="n">
        <v>0.23943661971831</v>
      </c>
      <c r="O366" s="3" t="s">
        <v>772</v>
      </c>
      <c r="P366" s="30" t="n">
        <f aca="false">IF(AND(ISNUMBER(M366),ISNUMBER(N366)),M366*N366/7,"")</f>
        <v>2.42857142857143</v>
      </c>
      <c r="Q366" s="23" t="n">
        <f aca="false">IF(ISNUMBER(P366),I366*P366,"")</f>
        <v>5794.57142857143</v>
      </c>
      <c r="R366" s="23" t="n">
        <f aca="false">IF(ISNUMBER(Q366),MAX(0,MIN(L366,Q366-I366*K366)),L366)</f>
        <v>1659.34227981686</v>
      </c>
      <c r="S366" s="23" t="n">
        <f aca="false">R366+I366*K366</f>
        <v>4045.34227981686</v>
      </c>
      <c r="T366" s="23" t="n">
        <v>297</v>
      </c>
      <c r="U366" s="23" t="n">
        <v>0</v>
      </c>
      <c r="V366" s="23" t="n">
        <f aca="false">T366+U366</f>
        <v>297</v>
      </c>
      <c r="W366" s="30" t="n">
        <f aca="false">IF(I366&gt;0,V366/I366,"")</f>
        <v>0.124476110645432</v>
      </c>
      <c r="X366" s="3" t="str">
        <f aca="false">IF(I366&lt;=0,"SIN FCST",IF(V366&lt;R366,"BAJO SS",IF(T366&lt;R366,"BAJO SS (XLIB CUBRE)",IF(V366&lt;S366,"BAJO P.REORDEN",IF(AND(ISNUMBER(Q366),V366&gt;Q366),"SOBRE MAX VENDIBLE","OK")))))</f>
        <v>BAJO SS</v>
      </c>
    </row>
    <row r="367" customFormat="false" ht="15" hidden="false" customHeight="false" outlineLevel="0" collapsed="false">
      <c r="A367" s="3" t="n">
        <v>30001853</v>
      </c>
      <c r="B367" s="3" t="s">
        <v>1001</v>
      </c>
      <c r="C367" s="3" t="s">
        <v>155</v>
      </c>
      <c r="D367" s="3" t="s">
        <v>761</v>
      </c>
      <c r="E367" s="3" t="s">
        <v>762</v>
      </c>
      <c r="F367" s="3" t="str">
        <f aca="false">IFERROR(INDEX(ABC_XYZ!$L$5:$L$494,MATCH(A367,ABC_XYZ!$A$5:$A$494,0)),"SIN HIST")</f>
        <v>CX</v>
      </c>
      <c r="G367" s="24" t="n">
        <f aca="false">IF(LEFT(F367,1)="A",Parametros!$B$8,IF(LEFT(F367,1)="B",Parametros!$B$9,IF(LEFT(F367,1)="C",Parametros!$B$10,Parametros!$B$11)))</f>
        <v>0.9</v>
      </c>
      <c r="H367" s="27" t="n">
        <f aca="false">NORMSINV(G367)</f>
        <v>1.2815515655446</v>
      </c>
      <c r="I367" s="23" t="n">
        <v>2383.5</v>
      </c>
      <c r="J367" s="23" t="n">
        <f aca="false">IFERROR(INDEX(ABC_XYZ!$R$5:$R$494,MATCH(A367,ABC_XYZ!$A$5:$A$494,0)),I367*Parametros!$B$13)</f>
        <v>475.667493800576</v>
      </c>
      <c r="K367" s="27" t="n">
        <f aca="false">IFERROR(VLOOKUP(C367,Parametros!$A$36:$B$66,2,FALSE()),Parametros!$B$12)</f>
        <v>1</v>
      </c>
      <c r="L367" s="23" t="n">
        <f aca="false">H367*J367*SQRT(K367)</f>
        <v>609.592421358805</v>
      </c>
      <c r="M367" s="29" t="n">
        <v>57</v>
      </c>
      <c r="N367" s="24" t="n">
        <v>0.245614035087719</v>
      </c>
      <c r="O367" s="3" t="s">
        <v>774</v>
      </c>
      <c r="P367" s="30" t="n">
        <f aca="false">IF(AND(ISNUMBER(M367),ISNUMBER(N367)),M367*N367/7,"")</f>
        <v>2</v>
      </c>
      <c r="Q367" s="23" t="n">
        <f aca="false">IF(ISNUMBER(P367),I367*P367,"")</f>
        <v>4767</v>
      </c>
      <c r="R367" s="23" t="n">
        <f aca="false">IF(ISNUMBER(Q367),MAX(0,MIN(L367,Q367-I367*K367)),L367)</f>
        <v>609.592421358805</v>
      </c>
      <c r="S367" s="23" t="n">
        <f aca="false">R367+I367*K367</f>
        <v>2993.0924213588</v>
      </c>
      <c r="T367" s="23" t="n">
        <v>3074.4</v>
      </c>
      <c r="U367" s="23" t="n">
        <v>0</v>
      </c>
      <c r="V367" s="23" t="n">
        <f aca="false">T367+U367</f>
        <v>3074.4</v>
      </c>
      <c r="W367" s="30" t="n">
        <f aca="false">IF(I367&gt;0,V367/I367,"")</f>
        <v>1.28986784140969</v>
      </c>
      <c r="X367" s="3" t="str">
        <f aca="false">IF(I367&lt;=0,"SIN FCST",IF(V367&lt;R367,"BAJO SS",IF(T367&lt;R367,"BAJO SS (XLIB CUBRE)",IF(V367&lt;S367,"BAJO P.REORDEN",IF(AND(ISNUMBER(Q367),V367&gt;Q367),"SOBRE MAX VENDIBLE","OK")))))</f>
        <v>OK</v>
      </c>
    </row>
    <row r="368" customFormat="false" ht="15" hidden="false" customHeight="false" outlineLevel="0" collapsed="false">
      <c r="A368" s="3" t="n">
        <v>30000079</v>
      </c>
      <c r="B368" s="3" t="s">
        <v>435</v>
      </c>
      <c r="C368" s="3" t="s">
        <v>141</v>
      </c>
      <c r="D368" s="3" t="s">
        <v>750</v>
      </c>
      <c r="E368" s="3" t="s">
        <v>762</v>
      </c>
      <c r="F368" s="3" t="str">
        <f aca="false">IFERROR(INDEX(ABC_XYZ!$L$5:$L$494,MATCH(A368,ABC_XYZ!$A$5:$A$494,0)),"SIN HIST")</f>
        <v>BX</v>
      </c>
      <c r="G368" s="24" t="n">
        <f aca="false">IF(LEFT(F368,1)="A",Parametros!$B$8,IF(LEFT(F368,1)="B",Parametros!$B$9,IF(LEFT(F368,1)="C",Parametros!$B$10,Parametros!$B$11)))</f>
        <v>0.95</v>
      </c>
      <c r="H368" s="27" t="n">
        <f aca="false">NORMSINV(G368)</f>
        <v>1.64485362695147</v>
      </c>
      <c r="I368" s="23" t="n">
        <v>2379.8</v>
      </c>
      <c r="J368" s="23" t="n">
        <f aca="false">IFERROR(INDEX(ABC_XYZ!$R$5:$R$494,MATCH(A368,ABC_XYZ!$A$5:$A$494,0)),I368*Parametros!$B$13)</f>
        <v>1284.24015862201</v>
      </c>
      <c r="K368" s="27" t="n">
        <f aca="false">IFERROR(VLOOKUP(C368,Parametros!$A$36:$B$66,2,FALSE()),Parametros!$B$12)</f>
        <v>1</v>
      </c>
      <c r="L368" s="23" t="n">
        <f aca="false">H368*J368*SQRT(K368)</f>
        <v>2112.38708278615</v>
      </c>
      <c r="M368" s="29" t="n">
        <v>184</v>
      </c>
      <c r="N368" s="24" t="n">
        <v>0.217391304347826</v>
      </c>
      <c r="O368" s="3" t="s">
        <v>754</v>
      </c>
      <c r="P368" s="30" t="n">
        <f aca="false">IF(AND(ISNUMBER(M368),ISNUMBER(N368)),M368*N368/7,"")</f>
        <v>5.71428571428572</v>
      </c>
      <c r="Q368" s="23" t="n">
        <f aca="false">IF(ISNUMBER(P368),I368*P368,"")</f>
        <v>13598.8571428571</v>
      </c>
      <c r="R368" s="23" t="n">
        <f aca="false">IF(ISNUMBER(Q368),MAX(0,MIN(L368,Q368-I368*K368)),L368)</f>
        <v>2112.38708278615</v>
      </c>
      <c r="S368" s="23" t="n">
        <f aca="false">R368+I368*K368</f>
        <v>4492.18708278616</v>
      </c>
      <c r="T368" s="23" t="n">
        <v>7232</v>
      </c>
      <c r="U368" s="23" t="n">
        <v>0</v>
      </c>
      <c r="V368" s="23" t="n">
        <f aca="false">T368+U368</f>
        <v>7232</v>
      </c>
      <c r="W368" s="30" t="n">
        <f aca="false">IF(I368&gt;0,V368/I368,"")</f>
        <v>3.0389108328431</v>
      </c>
      <c r="X368" s="3" t="str">
        <f aca="false">IF(I368&lt;=0,"SIN FCST",IF(V368&lt;R368,"BAJO SS",IF(T368&lt;R368,"BAJO SS (XLIB CUBRE)",IF(V368&lt;S368,"BAJO P.REORDEN",IF(AND(ISNUMBER(Q368),V368&gt;Q368),"SOBRE MAX VENDIBLE","OK")))))</f>
        <v>OK</v>
      </c>
    </row>
    <row r="369" customFormat="false" ht="15" hidden="false" customHeight="false" outlineLevel="0" collapsed="false">
      <c r="A369" s="3" t="n">
        <v>30000759</v>
      </c>
      <c r="B369" s="3" t="s">
        <v>1002</v>
      </c>
      <c r="C369" s="3" t="s">
        <v>133</v>
      </c>
      <c r="D369" s="3" t="s">
        <v>758</v>
      </c>
      <c r="E369" s="3"/>
      <c r="F369" s="3" t="str">
        <f aca="false">IFERROR(INDEX(ABC_XYZ!$L$5:$L$494,MATCH(A369,ABC_XYZ!$A$5:$A$494,0)),"SIN HIST")</f>
        <v>SIN HIST</v>
      </c>
      <c r="G369" s="24" t="n">
        <f aca="false">IF(LEFT(F369,1)="A",Parametros!$B$8,IF(LEFT(F369,1)="B",Parametros!$B$9,IF(LEFT(F369,1)="C",Parametros!$B$10,Parametros!$B$11)))</f>
        <v>0.95</v>
      </c>
      <c r="H369" s="27" t="n">
        <f aca="false">NORMSINV(G369)</f>
        <v>1.64485362695147</v>
      </c>
      <c r="I369" s="23" t="n">
        <v>2347</v>
      </c>
      <c r="J369" s="23" t="n">
        <f aca="false">IFERROR(INDEX(ABC_XYZ!$R$5:$R$494,MATCH(A369,ABC_XYZ!$A$5:$A$494,0)),I369*Parametros!$B$13)</f>
        <v>704.1</v>
      </c>
      <c r="K369" s="27" t="n">
        <f aca="false">IFERROR(VLOOKUP(C369,Parametros!$A$36:$B$66,2,FALSE()),Parametros!$B$12)</f>
        <v>1</v>
      </c>
      <c r="L369" s="23" t="n">
        <f aca="false">H369*J369*SQRT(K369)</f>
        <v>1158.14143873653</v>
      </c>
      <c r="M369" s="29"/>
      <c r="N369" s="24"/>
      <c r="O369" s="3"/>
      <c r="P369" s="30" t="str">
        <f aca="false">IF(AND(ISNUMBER(M369),ISNUMBER(N369)),M369*N369/7,"")</f>
        <v/>
      </c>
      <c r="Q369" s="23" t="str">
        <f aca="false">IF(ISNUMBER(P369),I369*P369,"")</f>
        <v/>
      </c>
      <c r="R369" s="23" t="n">
        <f aca="false">IF(ISNUMBER(Q369),MAX(0,MIN(L369,Q369-I369*K369)),L369)</f>
        <v>1158.14143873653</v>
      </c>
      <c r="S369" s="23" t="n">
        <f aca="false">R369+I369*K369</f>
        <v>3505.14143873653</v>
      </c>
      <c r="T369" s="23" t="n">
        <v>6846</v>
      </c>
      <c r="U369" s="23" t="n">
        <v>0</v>
      </c>
      <c r="V369" s="23" t="n">
        <f aca="false">T369+U369</f>
        <v>6846</v>
      </c>
      <c r="W369" s="30" t="n">
        <f aca="false">IF(I369&gt;0,V369/I369,"")</f>
        <v>2.91691521090754</v>
      </c>
      <c r="X369" s="3" t="str">
        <f aca="false">IF(I369&lt;=0,"SIN FCST",IF(V369&lt;R369,"BAJO SS",IF(T369&lt;R369,"BAJO SS (XLIB CUBRE)",IF(V369&lt;S369,"BAJO P.REORDEN",IF(AND(ISNUMBER(Q369),V369&gt;Q369),"SOBRE MAX VENDIBLE","OK")))))</f>
        <v>OK</v>
      </c>
    </row>
    <row r="370" customFormat="false" ht="15" hidden="false" customHeight="false" outlineLevel="0" collapsed="false">
      <c r="A370" s="3" t="n">
        <v>30002256</v>
      </c>
      <c r="B370" s="3" t="s">
        <v>534</v>
      </c>
      <c r="C370" s="3" t="s">
        <v>129</v>
      </c>
      <c r="D370" s="3" t="s">
        <v>753</v>
      </c>
      <c r="E370" s="3"/>
      <c r="F370" s="3" t="str">
        <f aca="false">IFERROR(INDEX(ABC_XYZ!$L$5:$L$494,MATCH(A370,ABC_XYZ!$A$5:$A$494,0)),"SIN HIST")</f>
        <v>CX</v>
      </c>
      <c r="G370" s="24" t="n">
        <f aca="false">IF(LEFT(F370,1)="A",Parametros!$B$8,IF(LEFT(F370,1)="B",Parametros!$B$9,IF(LEFT(F370,1)="C",Parametros!$B$10,Parametros!$B$11)))</f>
        <v>0.9</v>
      </c>
      <c r="H370" s="27" t="n">
        <f aca="false">NORMSINV(G370)</f>
        <v>1.2815515655446</v>
      </c>
      <c r="I370" s="23" t="n">
        <v>2337.5</v>
      </c>
      <c r="J370" s="23" t="n">
        <f aca="false">IFERROR(INDEX(ABC_XYZ!$R$5:$R$494,MATCH(A370,ABC_XYZ!$A$5:$A$494,0)),I370*Parametros!$B$13)</f>
        <v>408.121232968832</v>
      </c>
      <c r="K370" s="27" t="n">
        <f aca="false">IFERROR(VLOOKUP(C370,Parametros!$A$36:$B$66,2,FALSE()),Parametros!$B$12)</f>
        <v>1</v>
      </c>
      <c r="L370" s="23" t="n">
        <f aca="false">H370*J370*SQRT(K370)</f>
        <v>523.0284050432</v>
      </c>
      <c r="M370" s="29" t="n">
        <v>730</v>
      </c>
      <c r="N370" s="24" t="n">
        <v>0.28</v>
      </c>
      <c r="O370" s="3" t="s">
        <v>746</v>
      </c>
      <c r="P370" s="30" t="n">
        <f aca="false">IF(AND(ISNUMBER(M370),ISNUMBER(N370)),M370*N370/7,"")</f>
        <v>29.2</v>
      </c>
      <c r="Q370" s="23" t="n">
        <f aca="false">IF(ISNUMBER(P370),I370*P370,"")</f>
        <v>68255</v>
      </c>
      <c r="R370" s="23" t="n">
        <f aca="false">IF(ISNUMBER(Q370),MAX(0,MIN(L370,Q370-I370*K370)),L370)</f>
        <v>523.0284050432</v>
      </c>
      <c r="S370" s="23" t="n">
        <f aca="false">R370+I370*K370</f>
        <v>2860.5284050432</v>
      </c>
      <c r="T370" s="23" t="n">
        <v>29068.5</v>
      </c>
      <c r="U370" s="23" t="n">
        <v>0</v>
      </c>
      <c r="V370" s="23" t="n">
        <f aca="false">T370+U370</f>
        <v>29068.5</v>
      </c>
      <c r="W370" s="30" t="n">
        <f aca="false">IF(I370&gt;0,V370/I370,"")</f>
        <v>12.4357219251337</v>
      </c>
      <c r="X370" s="3" t="str">
        <f aca="false">IF(I370&lt;=0,"SIN FCST",IF(V370&lt;R370,"BAJO SS",IF(T370&lt;R370,"BAJO SS (XLIB CUBRE)",IF(V370&lt;S370,"BAJO P.REORDEN",IF(AND(ISNUMBER(Q370),V370&gt;Q370),"SOBRE MAX VENDIBLE","OK")))))</f>
        <v>OK</v>
      </c>
    </row>
    <row r="371" customFormat="false" ht="15" hidden="false" customHeight="false" outlineLevel="0" collapsed="false">
      <c r="A371" s="3" t="n">
        <v>30000055</v>
      </c>
      <c r="B371" s="3" t="s">
        <v>417</v>
      </c>
      <c r="C371" s="3" t="s">
        <v>124</v>
      </c>
      <c r="D371" s="3" t="s">
        <v>750</v>
      </c>
      <c r="E371" s="3" t="s">
        <v>745</v>
      </c>
      <c r="F371" s="3" t="str">
        <f aca="false">IFERROR(INDEX(ABC_XYZ!$L$5:$L$494,MATCH(A371,ABC_XYZ!$A$5:$A$494,0)),"SIN HIST")</f>
        <v>BX</v>
      </c>
      <c r="G371" s="24" t="n">
        <f aca="false">IF(LEFT(F371,1)="A",Parametros!$B$8,IF(LEFT(F371,1)="B",Parametros!$B$9,IF(LEFT(F371,1)="C",Parametros!$B$10,Parametros!$B$11)))</f>
        <v>0.95</v>
      </c>
      <c r="H371" s="27" t="n">
        <f aca="false">NORMSINV(G371)</f>
        <v>1.64485362695147</v>
      </c>
      <c r="I371" s="23" t="n">
        <v>2329.8</v>
      </c>
      <c r="J371" s="23" t="n">
        <f aca="false">IFERROR(INDEX(ABC_XYZ!$R$5:$R$494,MATCH(A371,ABC_XYZ!$A$5:$A$494,0)),I371*Parametros!$B$13)</f>
        <v>2054.37805024619</v>
      </c>
      <c r="K371" s="27" t="n">
        <f aca="false">IFERROR(VLOOKUP(C371,Parametros!$A$36:$B$66,2,FALSE()),Parametros!$B$12)</f>
        <v>1</v>
      </c>
      <c r="L371" s="23" t="n">
        <f aca="false">H371*J371*SQRT(K371)</f>
        <v>3379.15118707694</v>
      </c>
      <c r="M371" s="29" t="n">
        <v>365</v>
      </c>
      <c r="N371" s="24" t="n">
        <v>0.32054794520548</v>
      </c>
      <c r="O371" s="3" t="s">
        <v>754</v>
      </c>
      <c r="P371" s="30" t="n">
        <f aca="false">IF(AND(ISNUMBER(M371),ISNUMBER(N371)),M371*N371/7,"")</f>
        <v>16.7142857142857</v>
      </c>
      <c r="Q371" s="23" t="n">
        <f aca="false">IF(ISNUMBER(P371),I371*P371,"")</f>
        <v>38940.9428571429</v>
      </c>
      <c r="R371" s="23" t="n">
        <f aca="false">IF(ISNUMBER(Q371),MAX(0,MIN(L371,Q371-I371*K371)),L371)</f>
        <v>3379.15118707694</v>
      </c>
      <c r="S371" s="23" t="n">
        <f aca="false">R371+I371*K371</f>
        <v>5708.95118707694</v>
      </c>
      <c r="T371" s="23" t="n">
        <v>11398.8</v>
      </c>
      <c r="U371" s="23" t="n">
        <v>0</v>
      </c>
      <c r="V371" s="23" t="n">
        <f aca="false">T371+U371</f>
        <v>11398.8</v>
      </c>
      <c r="W371" s="30" t="n">
        <f aca="false">IF(I371&gt;0,V371/I371,"")</f>
        <v>4.89260880762297</v>
      </c>
      <c r="X371" s="3" t="str">
        <f aca="false">IF(I371&lt;=0,"SIN FCST",IF(V371&lt;R371,"BAJO SS",IF(T371&lt;R371,"BAJO SS (XLIB CUBRE)",IF(V371&lt;S371,"BAJO P.REORDEN",IF(AND(ISNUMBER(Q371),V371&gt;Q371),"SOBRE MAX VENDIBLE","OK")))))</f>
        <v>OK</v>
      </c>
    </row>
    <row r="372" customFormat="false" ht="15" hidden="false" customHeight="false" outlineLevel="0" collapsed="false">
      <c r="A372" s="3" t="n">
        <v>30000413</v>
      </c>
      <c r="B372" s="3" t="s">
        <v>1003</v>
      </c>
      <c r="C372" s="3" t="s">
        <v>130</v>
      </c>
      <c r="D372" s="3" t="s">
        <v>769</v>
      </c>
      <c r="E372" s="3" t="s">
        <v>762</v>
      </c>
      <c r="F372" s="3" t="str">
        <f aca="false">IFERROR(INDEX(ABC_XYZ!$L$5:$L$494,MATCH(A372,ABC_XYZ!$A$5:$A$494,0)),"SIN HIST")</f>
        <v>SIN HIST</v>
      </c>
      <c r="G372" s="24" t="n">
        <f aca="false">IF(LEFT(F372,1)="A",Parametros!$B$8,IF(LEFT(F372,1)="B",Parametros!$B$9,IF(LEFT(F372,1)="C",Parametros!$B$10,Parametros!$B$11)))</f>
        <v>0.95</v>
      </c>
      <c r="H372" s="27" t="n">
        <f aca="false">NORMSINV(G372)</f>
        <v>1.64485362695147</v>
      </c>
      <c r="I372" s="23" t="n">
        <v>2325.6</v>
      </c>
      <c r="J372" s="23" t="n">
        <f aca="false">IFERROR(INDEX(ABC_XYZ!$R$5:$R$494,MATCH(A372,ABC_XYZ!$A$5:$A$494,0)),I372*Parametros!$B$13)</f>
        <v>697.68</v>
      </c>
      <c r="K372" s="27" t="n">
        <f aca="false">IFERROR(VLOOKUP(C372,Parametros!$A$36:$B$66,2,FALSE()),Parametros!$B$12)</f>
        <v>1</v>
      </c>
      <c r="L372" s="23" t="n">
        <f aca="false">H372*J372*SQRT(K372)</f>
        <v>1147.5814784515</v>
      </c>
      <c r="M372" s="29" t="n">
        <v>305</v>
      </c>
      <c r="N372" s="24" t="n">
        <v>0.468852459016394</v>
      </c>
      <c r="O372" s="3" t="s">
        <v>763</v>
      </c>
      <c r="P372" s="30" t="n">
        <f aca="false">IF(AND(ISNUMBER(M372),ISNUMBER(N372)),M372*N372/7,"")</f>
        <v>20.4285714285714</v>
      </c>
      <c r="Q372" s="23" t="n">
        <f aca="false">IF(ISNUMBER(P372),I372*P372,"")</f>
        <v>47508.6857142857</v>
      </c>
      <c r="R372" s="23" t="n">
        <f aca="false">IF(ISNUMBER(Q372),MAX(0,MIN(L372,Q372-I372*K372)),L372)</f>
        <v>1147.5814784515</v>
      </c>
      <c r="S372" s="23" t="n">
        <f aca="false">R372+I372*K372</f>
        <v>3473.1814784515</v>
      </c>
      <c r="T372" s="23" t="n">
        <v>2616</v>
      </c>
      <c r="U372" s="23" t="n">
        <v>0</v>
      </c>
      <c r="V372" s="23" t="n">
        <f aca="false">T372+U372</f>
        <v>2616</v>
      </c>
      <c r="W372" s="30" t="n">
        <f aca="false">IF(I372&gt;0,V372/I372,"")</f>
        <v>1.12487100103199</v>
      </c>
      <c r="X372" s="3" t="str">
        <f aca="false">IF(I372&lt;=0,"SIN FCST",IF(V372&lt;R372,"BAJO SS",IF(T372&lt;R372,"BAJO SS (XLIB CUBRE)",IF(V372&lt;S372,"BAJO P.REORDEN",IF(AND(ISNUMBER(Q372),V372&gt;Q372),"SOBRE MAX VENDIBLE","OK")))))</f>
        <v>BAJO P.REORDEN</v>
      </c>
    </row>
    <row r="373" customFormat="false" ht="15" hidden="false" customHeight="false" outlineLevel="0" collapsed="false">
      <c r="A373" s="3" t="n">
        <v>30000802</v>
      </c>
      <c r="B373" s="3" t="s">
        <v>1004</v>
      </c>
      <c r="C373" s="3" t="s">
        <v>133</v>
      </c>
      <c r="D373" s="3" t="s">
        <v>769</v>
      </c>
      <c r="E373" s="3"/>
      <c r="F373" s="3" t="str">
        <f aca="false">IFERROR(INDEX(ABC_XYZ!$L$5:$L$494,MATCH(A373,ABC_XYZ!$A$5:$A$494,0)),"SIN HIST")</f>
        <v>SIN HIST</v>
      </c>
      <c r="G373" s="24" t="n">
        <f aca="false">IF(LEFT(F373,1)="A",Parametros!$B$8,IF(LEFT(F373,1)="B",Parametros!$B$9,IF(LEFT(F373,1)="C",Parametros!$B$10,Parametros!$B$11)))</f>
        <v>0.95</v>
      </c>
      <c r="H373" s="27" t="n">
        <f aca="false">NORMSINV(G373)</f>
        <v>1.64485362695147</v>
      </c>
      <c r="I373" s="23" t="n">
        <v>2325.6</v>
      </c>
      <c r="J373" s="23" t="n">
        <f aca="false">IFERROR(INDEX(ABC_XYZ!$R$5:$R$494,MATCH(A373,ABC_XYZ!$A$5:$A$494,0)),I373*Parametros!$B$13)</f>
        <v>697.68</v>
      </c>
      <c r="K373" s="27" t="n">
        <f aca="false">IFERROR(VLOOKUP(C373,Parametros!$A$36:$B$66,2,FALSE()),Parametros!$B$12)</f>
        <v>1</v>
      </c>
      <c r="L373" s="23" t="n">
        <f aca="false">H373*J373*SQRT(K373)</f>
        <v>1147.5814784515</v>
      </c>
      <c r="M373" s="29"/>
      <c r="N373" s="24"/>
      <c r="O373" s="3"/>
      <c r="P373" s="30" t="str">
        <f aca="false">IF(AND(ISNUMBER(M373),ISNUMBER(N373)),M373*N373/7,"")</f>
        <v/>
      </c>
      <c r="Q373" s="23" t="str">
        <f aca="false">IF(ISNUMBER(P373),I373*P373,"")</f>
        <v/>
      </c>
      <c r="R373" s="23" t="n">
        <f aca="false">IF(ISNUMBER(Q373),MAX(0,MIN(L373,Q373-I373*K373)),L373)</f>
        <v>1147.5814784515</v>
      </c>
      <c r="S373" s="23" t="n">
        <f aca="false">R373+I373*K373</f>
        <v>3473.1814784515</v>
      </c>
      <c r="T373" s="23" t="n">
        <v>27300</v>
      </c>
      <c r="U373" s="23" t="n">
        <v>0</v>
      </c>
      <c r="V373" s="23" t="n">
        <f aca="false">T373+U373</f>
        <v>27300</v>
      </c>
      <c r="W373" s="30" t="n">
        <f aca="false">IF(I373&gt;0,V373/I373,"")</f>
        <v>11.7389060887513</v>
      </c>
      <c r="X373" s="3" t="str">
        <f aca="false">IF(I373&lt;=0,"SIN FCST",IF(V373&lt;R373,"BAJO SS",IF(T373&lt;R373,"BAJO SS (XLIB CUBRE)",IF(V373&lt;S373,"BAJO P.REORDEN",IF(AND(ISNUMBER(Q373),V373&gt;Q373),"SOBRE MAX VENDIBLE","OK")))))</f>
        <v>OK</v>
      </c>
    </row>
    <row r="374" customFormat="false" ht="15" hidden="false" customHeight="false" outlineLevel="0" collapsed="false">
      <c r="A374" s="3" t="n">
        <v>30001001</v>
      </c>
      <c r="B374" s="3" t="s">
        <v>1005</v>
      </c>
      <c r="C374" s="3" t="s">
        <v>133</v>
      </c>
      <c r="D374" s="3" t="s">
        <v>769</v>
      </c>
      <c r="E374" s="3"/>
      <c r="F374" s="3" t="str">
        <f aca="false">IFERROR(INDEX(ABC_XYZ!$L$5:$L$494,MATCH(A374,ABC_XYZ!$A$5:$A$494,0)),"SIN HIST")</f>
        <v>SIN HIST</v>
      </c>
      <c r="G374" s="24" t="n">
        <f aca="false">IF(LEFT(F374,1)="A",Parametros!$B$8,IF(LEFT(F374,1)="B",Parametros!$B$9,IF(LEFT(F374,1)="C",Parametros!$B$10,Parametros!$B$11)))</f>
        <v>0.95</v>
      </c>
      <c r="H374" s="27" t="n">
        <f aca="false">NORMSINV(G374)</f>
        <v>1.64485362695147</v>
      </c>
      <c r="I374" s="23" t="n">
        <v>2325.6</v>
      </c>
      <c r="J374" s="23" t="n">
        <f aca="false">IFERROR(INDEX(ABC_XYZ!$R$5:$R$494,MATCH(A374,ABC_XYZ!$A$5:$A$494,0)),I374*Parametros!$B$13)</f>
        <v>697.68</v>
      </c>
      <c r="K374" s="27" t="n">
        <f aca="false">IFERROR(VLOOKUP(C374,Parametros!$A$36:$B$66,2,FALSE()),Parametros!$B$12)</f>
        <v>1</v>
      </c>
      <c r="L374" s="23" t="n">
        <f aca="false">H374*J374*SQRT(K374)</f>
        <v>1147.5814784515</v>
      </c>
      <c r="M374" s="29"/>
      <c r="N374" s="24"/>
      <c r="O374" s="3"/>
      <c r="P374" s="30" t="str">
        <f aca="false">IF(AND(ISNUMBER(M374),ISNUMBER(N374)),M374*N374/7,"")</f>
        <v/>
      </c>
      <c r="Q374" s="23" t="str">
        <f aca="false">IF(ISNUMBER(P374),I374*P374,"")</f>
        <v/>
      </c>
      <c r="R374" s="23" t="n">
        <f aca="false">IF(ISNUMBER(Q374),MAX(0,MIN(L374,Q374-I374*K374)),L374)</f>
        <v>1147.5814784515</v>
      </c>
      <c r="S374" s="23" t="n">
        <f aca="false">R374+I374*K374</f>
        <v>3473.1814784515</v>
      </c>
      <c r="T374" s="23" t="n">
        <v>18000</v>
      </c>
      <c r="U374" s="23" t="n">
        <v>0</v>
      </c>
      <c r="V374" s="23" t="n">
        <f aca="false">T374+U374</f>
        <v>18000</v>
      </c>
      <c r="W374" s="30" t="n">
        <f aca="false">IF(I374&gt;0,V374/I374,"")</f>
        <v>7.73993808049536</v>
      </c>
      <c r="X374" s="3" t="str">
        <f aca="false">IF(I374&lt;=0,"SIN FCST",IF(V374&lt;R374,"BAJO SS",IF(T374&lt;R374,"BAJO SS (XLIB CUBRE)",IF(V374&lt;S374,"BAJO P.REORDEN",IF(AND(ISNUMBER(Q374),V374&gt;Q374),"SOBRE MAX VENDIBLE","OK")))))</f>
        <v>OK</v>
      </c>
    </row>
    <row r="375" customFormat="false" ht="15" hidden="false" customHeight="false" outlineLevel="0" collapsed="false">
      <c r="A375" s="3" t="n">
        <v>30000058</v>
      </c>
      <c r="B375" s="3" t="s">
        <v>1006</v>
      </c>
      <c r="C375" s="3" t="s">
        <v>124</v>
      </c>
      <c r="D375" s="3" t="s">
        <v>750</v>
      </c>
      <c r="E375" s="3" t="s">
        <v>745</v>
      </c>
      <c r="F375" s="3" t="str">
        <f aca="false">IFERROR(INDEX(ABC_XYZ!$L$5:$L$494,MATCH(A375,ABC_XYZ!$A$5:$A$494,0)),"SIN HIST")</f>
        <v>SIN HIST</v>
      </c>
      <c r="G375" s="24" t="n">
        <f aca="false">IF(LEFT(F375,1)="A",Parametros!$B$8,IF(LEFT(F375,1)="B",Parametros!$B$9,IF(LEFT(F375,1)="C",Parametros!$B$10,Parametros!$B$11)))</f>
        <v>0.95</v>
      </c>
      <c r="H375" s="27" t="n">
        <f aca="false">NORMSINV(G375)</f>
        <v>1.64485362695147</v>
      </c>
      <c r="I375" s="23" t="n">
        <v>2325.6</v>
      </c>
      <c r="J375" s="23" t="n">
        <f aca="false">IFERROR(INDEX(ABC_XYZ!$R$5:$R$494,MATCH(A375,ABC_XYZ!$A$5:$A$494,0)),I375*Parametros!$B$13)</f>
        <v>697.68</v>
      </c>
      <c r="K375" s="27" t="n">
        <f aca="false">IFERROR(VLOOKUP(C375,Parametros!$A$36:$B$66,2,FALSE()),Parametros!$B$12)</f>
        <v>1</v>
      </c>
      <c r="L375" s="23" t="n">
        <f aca="false">H375*J375*SQRT(K375)</f>
        <v>1147.5814784515</v>
      </c>
      <c r="M375" s="29" t="n">
        <v>365</v>
      </c>
      <c r="N375" s="24" t="n">
        <v>0.273972602739726</v>
      </c>
      <c r="O375" s="3" t="s">
        <v>746</v>
      </c>
      <c r="P375" s="30" t="n">
        <f aca="false">IF(AND(ISNUMBER(M375),ISNUMBER(N375)),M375*N375/7,"")</f>
        <v>14.2857142857143</v>
      </c>
      <c r="Q375" s="23" t="n">
        <f aca="false">IF(ISNUMBER(P375),I375*P375,"")</f>
        <v>33222.8571428571</v>
      </c>
      <c r="R375" s="23" t="n">
        <f aca="false">IF(ISNUMBER(Q375),MAX(0,MIN(L375,Q375-I375*K375)),L375)</f>
        <v>1147.5814784515</v>
      </c>
      <c r="S375" s="23" t="n">
        <f aca="false">R375+I375*K375</f>
        <v>3473.1814784515</v>
      </c>
      <c r="T375" s="23" t="n">
        <v>16854.4</v>
      </c>
      <c r="U375" s="23" t="n">
        <v>0</v>
      </c>
      <c r="V375" s="23" t="n">
        <f aca="false">T375+U375</f>
        <v>16854.4</v>
      </c>
      <c r="W375" s="30" t="n">
        <f aca="false">IF(I375&gt;0,V375/I375,"")</f>
        <v>7.24733402132783</v>
      </c>
      <c r="X375" s="3" t="str">
        <f aca="false">IF(I375&lt;=0,"SIN FCST",IF(V375&lt;R375,"BAJO SS",IF(T375&lt;R375,"BAJO SS (XLIB CUBRE)",IF(V375&lt;S375,"BAJO P.REORDEN",IF(AND(ISNUMBER(Q375),V375&gt;Q375),"SOBRE MAX VENDIBLE","OK")))))</f>
        <v>OK</v>
      </c>
    </row>
    <row r="376" customFormat="false" ht="15" hidden="false" customHeight="false" outlineLevel="0" collapsed="false">
      <c r="A376" s="3" t="n">
        <v>30000878</v>
      </c>
      <c r="B376" s="3" t="s">
        <v>1007</v>
      </c>
      <c r="C376" s="3" t="s">
        <v>133</v>
      </c>
      <c r="D376" s="3" t="s">
        <v>769</v>
      </c>
      <c r="E376" s="3"/>
      <c r="F376" s="3" t="str">
        <f aca="false">IFERROR(INDEX(ABC_XYZ!$L$5:$L$494,MATCH(A376,ABC_XYZ!$A$5:$A$494,0)),"SIN HIST")</f>
        <v>SIN HIST</v>
      </c>
      <c r="G376" s="24" t="n">
        <f aca="false">IF(LEFT(F376,1)="A",Parametros!$B$8,IF(LEFT(F376,1)="B",Parametros!$B$9,IF(LEFT(F376,1)="C",Parametros!$B$10,Parametros!$B$11)))</f>
        <v>0.95</v>
      </c>
      <c r="H376" s="27" t="n">
        <f aca="false">NORMSINV(G376)</f>
        <v>1.64485362695147</v>
      </c>
      <c r="I376" s="23" t="n">
        <v>2325.6</v>
      </c>
      <c r="J376" s="23" t="n">
        <f aca="false">IFERROR(INDEX(ABC_XYZ!$R$5:$R$494,MATCH(A376,ABC_XYZ!$A$5:$A$494,0)),I376*Parametros!$B$13)</f>
        <v>697.68</v>
      </c>
      <c r="K376" s="27" t="n">
        <f aca="false">IFERROR(VLOOKUP(C376,Parametros!$A$36:$B$66,2,FALSE()),Parametros!$B$12)</f>
        <v>1</v>
      </c>
      <c r="L376" s="23" t="n">
        <f aca="false">H376*J376*SQRT(K376)</f>
        <v>1147.5814784515</v>
      </c>
      <c r="M376" s="29"/>
      <c r="N376" s="24"/>
      <c r="O376" s="3"/>
      <c r="P376" s="30" t="str">
        <f aca="false">IF(AND(ISNUMBER(M376),ISNUMBER(N376)),M376*N376/7,"")</f>
        <v/>
      </c>
      <c r="Q376" s="23" t="str">
        <f aca="false">IF(ISNUMBER(P376),I376*P376,"")</f>
        <v/>
      </c>
      <c r="R376" s="23" t="n">
        <f aca="false">IF(ISNUMBER(Q376),MAX(0,MIN(L376,Q376-I376*K376)),L376)</f>
        <v>1147.5814784515</v>
      </c>
      <c r="S376" s="23" t="n">
        <f aca="false">R376+I376*K376</f>
        <v>3473.1814784515</v>
      </c>
      <c r="T376" s="23" t="n">
        <v>20800</v>
      </c>
      <c r="U376" s="23" t="n">
        <v>0</v>
      </c>
      <c r="V376" s="23" t="n">
        <f aca="false">T376+U376</f>
        <v>20800</v>
      </c>
      <c r="W376" s="30" t="n">
        <f aca="false">IF(I376&gt;0,V376/I376,"")</f>
        <v>8.94392844857241</v>
      </c>
      <c r="X376" s="3" t="str">
        <f aca="false">IF(I376&lt;=0,"SIN FCST",IF(V376&lt;R376,"BAJO SS",IF(T376&lt;R376,"BAJO SS (XLIB CUBRE)",IF(V376&lt;S376,"BAJO P.REORDEN",IF(AND(ISNUMBER(Q376),V376&gt;Q376),"SOBRE MAX VENDIBLE","OK")))))</f>
        <v>OK</v>
      </c>
    </row>
    <row r="377" customFormat="false" ht="15" hidden="false" customHeight="false" outlineLevel="0" collapsed="false">
      <c r="A377" s="3" t="n">
        <v>30000767</v>
      </c>
      <c r="B377" s="3" t="s">
        <v>1008</v>
      </c>
      <c r="C377" s="3" t="s">
        <v>133</v>
      </c>
      <c r="D377" s="3" t="s">
        <v>758</v>
      </c>
      <c r="E377" s="3"/>
      <c r="F377" s="3" t="str">
        <f aca="false">IFERROR(INDEX(ABC_XYZ!$L$5:$L$494,MATCH(A377,ABC_XYZ!$A$5:$A$494,0)),"SIN HIST")</f>
        <v>SIN HIST</v>
      </c>
      <c r="G377" s="24" t="n">
        <f aca="false">IF(LEFT(F377,1)="A",Parametros!$B$8,IF(LEFT(F377,1)="B",Parametros!$B$9,IF(LEFT(F377,1)="C",Parametros!$B$10,Parametros!$B$11)))</f>
        <v>0.95</v>
      </c>
      <c r="H377" s="27" t="n">
        <f aca="false">NORMSINV(G377)</f>
        <v>1.64485362695147</v>
      </c>
      <c r="I377" s="23" t="n">
        <v>2300</v>
      </c>
      <c r="J377" s="23" t="n">
        <f aca="false">IFERROR(INDEX(ABC_XYZ!$R$5:$R$494,MATCH(A377,ABC_XYZ!$A$5:$A$494,0)),I377*Parametros!$B$13)</f>
        <v>690</v>
      </c>
      <c r="K377" s="27" t="n">
        <f aca="false">IFERROR(VLOOKUP(C377,Parametros!$A$36:$B$66,2,FALSE()),Parametros!$B$12)</f>
        <v>1</v>
      </c>
      <c r="L377" s="23" t="n">
        <f aca="false">H377*J377*SQRT(K377)</f>
        <v>1134.94900259652</v>
      </c>
      <c r="M377" s="29"/>
      <c r="N377" s="24"/>
      <c r="O377" s="3"/>
      <c r="P377" s="30" t="str">
        <f aca="false">IF(AND(ISNUMBER(M377),ISNUMBER(N377)),M377*N377/7,"")</f>
        <v/>
      </c>
      <c r="Q377" s="23" t="str">
        <f aca="false">IF(ISNUMBER(P377),I377*P377,"")</f>
        <v/>
      </c>
      <c r="R377" s="23" t="n">
        <f aca="false">IF(ISNUMBER(Q377),MAX(0,MIN(L377,Q377-I377*K377)),L377)</f>
        <v>1134.94900259652</v>
      </c>
      <c r="S377" s="23" t="n">
        <f aca="false">R377+I377*K377</f>
        <v>3434.94900259652</v>
      </c>
      <c r="T377" s="23" t="n">
        <v>17140</v>
      </c>
      <c r="U377" s="23" t="n">
        <v>0</v>
      </c>
      <c r="V377" s="23" t="n">
        <f aca="false">T377+U377</f>
        <v>17140</v>
      </c>
      <c r="W377" s="30" t="n">
        <f aca="false">IF(I377&gt;0,V377/I377,"")</f>
        <v>7.45217391304348</v>
      </c>
      <c r="X377" s="3" t="str">
        <f aca="false">IF(I377&lt;=0,"SIN FCST",IF(V377&lt;R377,"BAJO SS",IF(T377&lt;R377,"BAJO SS (XLIB CUBRE)",IF(V377&lt;S377,"BAJO P.REORDEN",IF(AND(ISNUMBER(Q377),V377&gt;Q377),"SOBRE MAX VENDIBLE","OK")))))</f>
        <v>OK</v>
      </c>
    </row>
    <row r="378" customFormat="false" ht="15" hidden="false" customHeight="false" outlineLevel="0" collapsed="false">
      <c r="A378" s="3" t="n">
        <v>30000914</v>
      </c>
      <c r="B378" s="3" t="s">
        <v>1009</v>
      </c>
      <c r="C378" s="3" t="s">
        <v>133</v>
      </c>
      <c r="D378" s="3" t="s">
        <v>769</v>
      </c>
      <c r="E378" s="3"/>
      <c r="F378" s="3" t="str">
        <f aca="false">IFERROR(INDEX(ABC_XYZ!$L$5:$L$494,MATCH(A378,ABC_XYZ!$A$5:$A$494,0)),"SIN HIST")</f>
        <v>SIN HIST</v>
      </c>
      <c r="G378" s="24" t="n">
        <f aca="false">IF(LEFT(F378,1)="A",Parametros!$B$8,IF(LEFT(F378,1)="B",Parametros!$B$9,IF(LEFT(F378,1)="C",Parametros!$B$10,Parametros!$B$11)))</f>
        <v>0.95</v>
      </c>
      <c r="H378" s="27" t="n">
        <f aca="false">NORMSINV(G378)</f>
        <v>1.64485362695147</v>
      </c>
      <c r="I378" s="23" t="n">
        <v>2294.5</v>
      </c>
      <c r="J378" s="23" t="n">
        <f aca="false">IFERROR(INDEX(ABC_XYZ!$R$5:$R$494,MATCH(A378,ABC_XYZ!$A$5:$A$494,0)),I378*Parametros!$B$13)</f>
        <v>688.35</v>
      </c>
      <c r="K378" s="27" t="n">
        <f aca="false">IFERROR(VLOOKUP(C378,Parametros!$A$36:$B$66,2,FALSE()),Parametros!$B$12)</f>
        <v>1</v>
      </c>
      <c r="L378" s="23" t="n">
        <f aca="false">H378*J378*SQRT(K378)</f>
        <v>1132.23499411205</v>
      </c>
      <c r="M378" s="29"/>
      <c r="N378" s="24"/>
      <c r="O378" s="3"/>
      <c r="P378" s="30" t="str">
        <f aca="false">IF(AND(ISNUMBER(M378),ISNUMBER(N378)),M378*N378/7,"")</f>
        <v/>
      </c>
      <c r="Q378" s="23" t="str">
        <f aca="false">IF(ISNUMBER(P378),I378*P378,"")</f>
        <v/>
      </c>
      <c r="R378" s="23" t="n">
        <f aca="false">IF(ISNUMBER(Q378),MAX(0,MIN(L378,Q378-I378*K378)),L378)</f>
        <v>1132.23499411205</v>
      </c>
      <c r="S378" s="23" t="n">
        <f aca="false">R378+I378*K378</f>
        <v>3426.73499411205</v>
      </c>
      <c r="T378" s="23" t="n">
        <v>27205.5</v>
      </c>
      <c r="U378" s="23" t="n">
        <v>17640</v>
      </c>
      <c r="V378" s="23" t="n">
        <f aca="false">T378+U378</f>
        <v>44845.5</v>
      </c>
      <c r="W378" s="30" t="n">
        <f aca="false">IF(I378&gt;0,V378/I378,"")</f>
        <v>19.5447809980388</v>
      </c>
      <c r="X378" s="3" t="str">
        <f aca="false">IF(I378&lt;=0,"SIN FCST",IF(V378&lt;R378,"BAJO SS",IF(T378&lt;R378,"BAJO SS (XLIB CUBRE)",IF(V378&lt;S378,"BAJO P.REORDEN",IF(AND(ISNUMBER(Q378),V378&gt;Q378),"SOBRE MAX VENDIBLE","OK")))))</f>
        <v>OK</v>
      </c>
    </row>
    <row r="379" customFormat="false" ht="15" hidden="false" customHeight="false" outlineLevel="0" collapsed="false">
      <c r="A379" s="3" t="n">
        <v>30002178</v>
      </c>
      <c r="B379" s="3" t="s">
        <v>527</v>
      </c>
      <c r="C379" s="3" t="s">
        <v>139</v>
      </c>
      <c r="D379" s="3" t="s">
        <v>753</v>
      </c>
      <c r="E379" s="3"/>
      <c r="F379" s="3" t="str">
        <f aca="false">IFERROR(INDEX(ABC_XYZ!$L$5:$L$494,MATCH(A379,ABC_XYZ!$A$5:$A$494,0)),"SIN HIST")</f>
        <v>CX</v>
      </c>
      <c r="G379" s="24" t="n">
        <f aca="false">IF(LEFT(F379,1)="A",Parametros!$B$8,IF(LEFT(F379,1)="B",Parametros!$B$9,IF(LEFT(F379,1)="C",Parametros!$B$10,Parametros!$B$11)))</f>
        <v>0.9</v>
      </c>
      <c r="H379" s="27" t="n">
        <f aca="false">NORMSINV(G379)</f>
        <v>1.2815515655446</v>
      </c>
      <c r="I379" s="23" t="n">
        <v>2294.1</v>
      </c>
      <c r="J379" s="23" t="n">
        <f aca="false">IFERROR(INDEX(ABC_XYZ!$R$5:$R$494,MATCH(A379,ABC_XYZ!$A$5:$A$494,0)),I379*Parametros!$B$13)</f>
        <v>648.64718593534</v>
      </c>
      <c r="K379" s="27" t="n">
        <f aca="false">IFERROR(VLOOKUP(C379,Parametros!$A$36:$B$66,2,FALSE()),Parametros!$B$12)</f>
        <v>1</v>
      </c>
      <c r="L379" s="23" t="n">
        <f aca="false">H379*J379*SQRT(K379)</f>
        <v>831.274816621534</v>
      </c>
      <c r="M379" s="29" t="n">
        <v>245</v>
      </c>
      <c r="N379" s="24" t="n">
        <v>0.19</v>
      </c>
      <c r="O379" s="3" t="s">
        <v>746</v>
      </c>
      <c r="P379" s="30" t="n">
        <f aca="false">IF(AND(ISNUMBER(M379),ISNUMBER(N379)),M379*N379/7,"")</f>
        <v>6.65</v>
      </c>
      <c r="Q379" s="23" t="n">
        <f aca="false">IF(ISNUMBER(P379),I379*P379,"")</f>
        <v>15255.765</v>
      </c>
      <c r="R379" s="23" t="n">
        <f aca="false">IF(ISNUMBER(Q379),MAX(0,MIN(L379,Q379-I379*K379)),L379)</f>
        <v>831.274816621534</v>
      </c>
      <c r="S379" s="23" t="n">
        <f aca="false">R379+I379*K379</f>
        <v>3125.37481662153</v>
      </c>
      <c r="T379" s="23" t="n">
        <v>9171.3</v>
      </c>
      <c r="U379" s="23" t="n">
        <v>0</v>
      </c>
      <c r="V379" s="23" t="n">
        <f aca="false">T379+U379</f>
        <v>9171.3</v>
      </c>
      <c r="W379" s="30" t="n">
        <f aca="false">IF(I379&gt;0,V379/I379,"")</f>
        <v>3.9977769059762</v>
      </c>
      <c r="X379" s="3" t="str">
        <f aca="false">IF(I379&lt;=0,"SIN FCST",IF(V379&lt;R379,"BAJO SS",IF(T379&lt;R379,"BAJO SS (XLIB CUBRE)",IF(V379&lt;S379,"BAJO P.REORDEN",IF(AND(ISNUMBER(Q379),V379&gt;Q379),"SOBRE MAX VENDIBLE","OK")))))</f>
        <v>OK</v>
      </c>
    </row>
    <row r="380" customFormat="false" ht="15" hidden="false" customHeight="false" outlineLevel="0" collapsed="false">
      <c r="A380" s="3" t="n">
        <v>30002169</v>
      </c>
      <c r="B380" s="3" t="s">
        <v>377</v>
      </c>
      <c r="C380" s="3" t="s">
        <v>143</v>
      </c>
      <c r="D380" s="3" t="s">
        <v>750</v>
      </c>
      <c r="E380" s="3" t="s">
        <v>762</v>
      </c>
      <c r="F380" s="3" t="str">
        <f aca="false">IFERROR(INDEX(ABC_XYZ!$L$5:$L$494,MATCH(A380,ABC_XYZ!$A$5:$A$494,0)),"SIN HIST")</f>
        <v>BX</v>
      </c>
      <c r="G380" s="24" t="n">
        <f aca="false">IF(LEFT(F380,1)="A",Parametros!$B$8,IF(LEFT(F380,1)="B",Parametros!$B$9,IF(LEFT(F380,1)="C",Parametros!$B$10,Parametros!$B$11)))</f>
        <v>0.95</v>
      </c>
      <c r="H380" s="27" t="n">
        <f aca="false">NORMSINV(G380)</f>
        <v>1.64485362695147</v>
      </c>
      <c r="I380" s="23" t="n">
        <v>2280</v>
      </c>
      <c r="J380" s="23" t="n">
        <f aca="false">IFERROR(INDEX(ABC_XYZ!$R$5:$R$494,MATCH(A380,ABC_XYZ!$A$5:$A$494,0)),I380*Parametros!$B$13)</f>
        <v>2319.82512598578</v>
      </c>
      <c r="K380" s="27" t="n">
        <f aca="false">IFERROR(VLOOKUP(C380,Parametros!$A$36:$B$66,2,FALSE()),Parametros!$B$12)</f>
        <v>1</v>
      </c>
      <c r="L380" s="23" t="n">
        <f aca="false">H380*J380*SQRT(K380)</f>
        <v>3815.77277237086</v>
      </c>
      <c r="M380" s="29" t="n">
        <v>184</v>
      </c>
      <c r="N380" s="24" t="n">
        <v>0.211956521739131</v>
      </c>
      <c r="O380" s="3" t="s">
        <v>754</v>
      </c>
      <c r="P380" s="30" t="n">
        <f aca="false">IF(AND(ISNUMBER(M380),ISNUMBER(N380)),M380*N380/7,"")</f>
        <v>5.57142857142857</v>
      </c>
      <c r="Q380" s="23" t="n">
        <f aca="false">IF(ISNUMBER(P380),I380*P380,"")</f>
        <v>12702.8571428571</v>
      </c>
      <c r="R380" s="23" t="n">
        <f aca="false">IF(ISNUMBER(Q380),MAX(0,MIN(L380,Q380-I380*K380)),L380)</f>
        <v>3815.77277237086</v>
      </c>
      <c r="S380" s="23" t="n">
        <f aca="false">R380+I380*K380</f>
        <v>6095.77277237086</v>
      </c>
      <c r="T380" s="23" t="n">
        <v>12295.8</v>
      </c>
      <c r="U380" s="23" t="n">
        <v>0</v>
      </c>
      <c r="V380" s="23" t="n">
        <f aca="false">T380+U380</f>
        <v>12295.8</v>
      </c>
      <c r="W380" s="30" t="n">
        <f aca="false">IF(I380&gt;0,V380/I380,"")</f>
        <v>5.39289473684211</v>
      </c>
      <c r="X380" s="3" t="str">
        <f aca="false">IF(I380&lt;=0,"SIN FCST",IF(V380&lt;R380,"BAJO SS",IF(T380&lt;R380,"BAJO SS (XLIB CUBRE)",IF(V380&lt;S380,"BAJO P.REORDEN",IF(AND(ISNUMBER(Q380),V380&gt;Q380),"SOBRE MAX VENDIBLE","OK")))))</f>
        <v>OK</v>
      </c>
    </row>
    <row r="381" customFormat="false" ht="15" hidden="false" customHeight="false" outlineLevel="0" collapsed="false">
      <c r="A381" s="3" t="n">
        <v>30002108</v>
      </c>
      <c r="B381" s="3" t="s">
        <v>1010</v>
      </c>
      <c r="C381" s="3" t="s">
        <v>133</v>
      </c>
      <c r="D381" s="3" t="s">
        <v>758</v>
      </c>
      <c r="E381" s="3"/>
      <c r="F381" s="3" t="str">
        <f aca="false">IFERROR(INDEX(ABC_XYZ!$L$5:$L$494,MATCH(A381,ABC_XYZ!$A$5:$A$494,0)),"SIN HIST")</f>
        <v>SIN HIST</v>
      </c>
      <c r="G381" s="24" t="n">
        <f aca="false">IF(LEFT(F381,1)="A",Parametros!$B$8,IF(LEFT(F381,1)="B",Parametros!$B$9,IF(LEFT(F381,1)="C",Parametros!$B$10,Parametros!$B$11)))</f>
        <v>0.95</v>
      </c>
      <c r="H381" s="27" t="n">
        <f aca="false">NORMSINV(G381)</f>
        <v>1.64485362695147</v>
      </c>
      <c r="I381" s="23" t="n">
        <v>2264.9</v>
      </c>
      <c r="J381" s="23" t="n">
        <f aca="false">IFERROR(INDEX(ABC_XYZ!$R$5:$R$494,MATCH(A381,ABC_XYZ!$A$5:$A$494,0)),I381*Parametros!$B$13)</f>
        <v>679.47</v>
      </c>
      <c r="K381" s="27" t="n">
        <f aca="false">IFERROR(VLOOKUP(C381,Parametros!$A$36:$B$66,2,FALSE()),Parametros!$B$12)</f>
        <v>1</v>
      </c>
      <c r="L381" s="23" t="n">
        <f aca="false">H381*J381*SQRT(K381)</f>
        <v>1117.62869390472</v>
      </c>
      <c r="M381" s="29"/>
      <c r="N381" s="24"/>
      <c r="O381" s="3"/>
      <c r="P381" s="30" t="str">
        <f aca="false">IF(AND(ISNUMBER(M381),ISNUMBER(N381)),M381*N381/7,"")</f>
        <v/>
      </c>
      <c r="Q381" s="23" t="str">
        <f aca="false">IF(ISNUMBER(P381),I381*P381,"")</f>
        <v/>
      </c>
      <c r="R381" s="23" t="n">
        <f aca="false">IF(ISNUMBER(Q381),MAX(0,MIN(L381,Q381-I381*K381)),L381)</f>
        <v>1117.62869390472</v>
      </c>
      <c r="S381" s="23" t="n">
        <f aca="false">R381+I381*K381</f>
        <v>3382.52869390472</v>
      </c>
      <c r="T381" s="23" t="n">
        <v>17982</v>
      </c>
      <c r="U381" s="23" t="n">
        <v>0</v>
      </c>
      <c r="V381" s="23" t="n">
        <f aca="false">T381+U381</f>
        <v>17982</v>
      </c>
      <c r="W381" s="30" t="n">
        <f aca="false">IF(I381&gt;0,V381/I381,"")</f>
        <v>7.9394233741004</v>
      </c>
      <c r="X381" s="3" t="str">
        <f aca="false">IF(I381&lt;=0,"SIN FCST",IF(V381&lt;R381,"BAJO SS",IF(T381&lt;R381,"BAJO SS (XLIB CUBRE)",IF(V381&lt;S381,"BAJO P.REORDEN",IF(AND(ISNUMBER(Q381),V381&gt;Q381),"SOBRE MAX VENDIBLE","OK")))))</f>
        <v>OK</v>
      </c>
    </row>
    <row r="382" customFormat="false" ht="15" hidden="false" customHeight="false" outlineLevel="0" collapsed="false">
      <c r="A382" s="3" t="n">
        <v>30000631</v>
      </c>
      <c r="B382" s="3" t="s">
        <v>1011</v>
      </c>
      <c r="C382" s="3" t="s">
        <v>144</v>
      </c>
      <c r="D382" s="3" t="s">
        <v>753</v>
      </c>
      <c r="E382" s="3" t="s">
        <v>745</v>
      </c>
      <c r="F382" s="3" t="str">
        <f aca="false">IFERROR(INDEX(ABC_XYZ!$L$5:$L$494,MATCH(A382,ABC_XYZ!$A$5:$A$494,0)),"SIN HIST")</f>
        <v>CX</v>
      </c>
      <c r="G382" s="24" t="n">
        <f aca="false">IF(LEFT(F382,1)="A",Parametros!$B$8,IF(LEFT(F382,1)="B",Parametros!$B$9,IF(LEFT(F382,1)="C",Parametros!$B$10,Parametros!$B$11)))</f>
        <v>0.9</v>
      </c>
      <c r="H382" s="27" t="n">
        <f aca="false">NORMSINV(G382)</f>
        <v>1.2815515655446</v>
      </c>
      <c r="I382" s="23" t="n">
        <v>2236</v>
      </c>
      <c r="J382" s="23" t="n">
        <f aca="false">IFERROR(INDEX(ABC_XYZ!$R$5:$R$494,MATCH(A382,ABC_XYZ!$A$5:$A$494,0)),I382*Parametros!$B$13)</f>
        <v>416.289738843833</v>
      </c>
      <c r="K382" s="27" t="n">
        <f aca="false">IFERROR(VLOOKUP(C382,Parametros!$A$36:$B$66,2,FALSE()),Parametros!$B$12)</f>
        <v>1</v>
      </c>
      <c r="L382" s="23" t="n">
        <f aca="false">H382*J382*SQRT(K382)</f>
        <v>533.496766535467</v>
      </c>
      <c r="M382" s="29" t="n">
        <v>365</v>
      </c>
      <c r="N382" s="24" t="n">
        <v>0.32054794520548</v>
      </c>
      <c r="O382" s="3" t="s">
        <v>754</v>
      </c>
      <c r="P382" s="30" t="n">
        <f aca="false">IF(AND(ISNUMBER(M382),ISNUMBER(N382)),M382*N382/7,"")</f>
        <v>16.7142857142857</v>
      </c>
      <c r="Q382" s="23" t="n">
        <f aca="false">IF(ISNUMBER(P382),I382*P382,"")</f>
        <v>37373.1428571429</v>
      </c>
      <c r="R382" s="23" t="n">
        <f aca="false">IF(ISNUMBER(Q382),MAX(0,MIN(L382,Q382-I382*K382)),L382)</f>
        <v>533.496766535467</v>
      </c>
      <c r="S382" s="23" t="n">
        <f aca="false">R382+I382*K382</f>
        <v>2769.49676653547</v>
      </c>
      <c r="T382" s="23" t="n">
        <v>9504</v>
      </c>
      <c r="U382" s="23" t="n">
        <v>0</v>
      </c>
      <c r="V382" s="23" t="n">
        <f aca="false">T382+U382</f>
        <v>9504</v>
      </c>
      <c r="W382" s="30" t="n">
        <f aca="false">IF(I382&gt;0,V382/I382,"")</f>
        <v>4.25044722719141</v>
      </c>
      <c r="X382" s="3" t="str">
        <f aca="false">IF(I382&lt;=0,"SIN FCST",IF(V382&lt;R382,"BAJO SS",IF(T382&lt;R382,"BAJO SS (XLIB CUBRE)",IF(V382&lt;S382,"BAJO P.REORDEN",IF(AND(ISNUMBER(Q382),V382&gt;Q382),"SOBRE MAX VENDIBLE","OK")))))</f>
        <v>OK</v>
      </c>
    </row>
    <row r="383" customFormat="false" ht="15" hidden="false" customHeight="false" outlineLevel="0" collapsed="false">
      <c r="A383" s="3" t="n">
        <v>30001076</v>
      </c>
      <c r="B383" s="3" t="s">
        <v>1012</v>
      </c>
      <c r="C383" s="3" t="s">
        <v>155</v>
      </c>
      <c r="D383" s="3" t="s">
        <v>761</v>
      </c>
      <c r="E383" s="3" t="s">
        <v>762</v>
      </c>
      <c r="F383" s="3" t="str">
        <f aca="false">IFERROR(INDEX(ABC_XYZ!$L$5:$L$494,MATCH(A383,ABC_XYZ!$A$5:$A$494,0)),"SIN HIST")</f>
        <v>BX</v>
      </c>
      <c r="G383" s="24" t="n">
        <f aca="false">IF(LEFT(F383,1)="A",Parametros!$B$8,IF(LEFT(F383,1)="B",Parametros!$B$9,IF(LEFT(F383,1)="C",Parametros!$B$10,Parametros!$B$11)))</f>
        <v>0.95</v>
      </c>
      <c r="H383" s="27" t="n">
        <f aca="false">NORMSINV(G383)</f>
        <v>1.64485362695147</v>
      </c>
      <c r="I383" s="23" t="n">
        <v>2226.7</v>
      </c>
      <c r="J383" s="23" t="n">
        <f aca="false">IFERROR(INDEX(ABC_XYZ!$R$5:$R$494,MATCH(A383,ABC_XYZ!$A$5:$A$494,0)),I383*Parametros!$B$13)</f>
        <v>1452.32512033657</v>
      </c>
      <c r="K383" s="27" t="n">
        <f aca="false">IFERROR(VLOOKUP(C383,Parametros!$A$36:$B$66,2,FALSE()),Parametros!$B$12)</f>
        <v>1</v>
      </c>
      <c r="L383" s="23" t="n">
        <f aca="false">H383*J383*SQRT(K383)</f>
        <v>2388.86224169834</v>
      </c>
      <c r="M383" s="29" t="n">
        <v>57</v>
      </c>
      <c r="N383" s="24" t="n">
        <v>0.298245614035088</v>
      </c>
      <c r="O383" s="3" t="s">
        <v>763</v>
      </c>
      <c r="P383" s="30" t="n">
        <f aca="false">IF(AND(ISNUMBER(M383),ISNUMBER(N383)),M383*N383/7,"")</f>
        <v>2.42857142857143</v>
      </c>
      <c r="Q383" s="23" t="n">
        <f aca="false">IF(ISNUMBER(P383),I383*P383,"")</f>
        <v>5407.7</v>
      </c>
      <c r="R383" s="23" t="n">
        <f aca="false">IF(ISNUMBER(Q383),MAX(0,MIN(L383,Q383-I383*K383)),L383)</f>
        <v>2388.86224169834</v>
      </c>
      <c r="S383" s="23" t="n">
        <f aca="false">R383+I383*K383</f>
        <v>4615.56224169834</v>
      </c>
      <c r="T383" s="23" t="n">
        <v>2687.5</v>
      </c>
      <c r="U383" s="23" t="n">
        <v>0</v>
      </c>
      <c r="V383" s="23" t="n">
        <f aca="false">T383+U383</f>
        <v>2687.5</v>
      </c>
      <c r="W383" s="30" t="n">
        <f aca="false">IF(I383&gt;0,V383/I383,"")</f>
        <v>1.20694300983518</v>
      </c>
      <c r="X383" s="3" t="str">
        <f aca="false">IF(I383&lt;=0,"SIN FCST",IF(V383&lt;R383,"BAJO SS",IF(T383&lt;R383,"BAJO SS (XLIB CUBRE)",IF(V383&lt;S383,"BAJO P.REORDEN",IF(AND(ISNUMBER(Q383),V383&gt;Q383),"SOBRE MAX VENDIBLE","OK")))))</f>
        <v>BAJO P.REORDEN</v>
      </c>
    </row>
    <row r="384" customFormat="false" ht="15" hidden="false" customHeight="false" outlineLevel="0" collapsed="false">
      <c r="A384" s="3" t="n">
        <v>30000633</v>
      </c>
      <c r="B384" s="3" t="s">
        <v>1013</v>
      </c>
      <c r="C384" s="3" t="s">
        <v>144</v>
      </c>
      <c r="D384" s="3" t="s">
        <v>753</v>
      </c>
      <c r="E384" s="3" t="s">
        <v>745</v>
      </c>
      <c r="F384" s="3" t="str">
        <f aca="false">IFERROR(INDEX(ABC_XYZ!$L$5:$L$494,MATCH(A384,ABC_XYZ!$A$5:$A$494,0)),"SIN HIST")</f>
        <v>CX</v>
      </c>
      <c r="G384" s="24" t="n">
        <f aca="false">IF(LEFT(F384,1)="A",Parametros!$B$8,IF(LEFT(F384,1)="B",Parametros!$B$9,IF(LEFT(F384,1)="C",Parametros!$B$10,Parametros!$B$11)))</f>
        <v>0.9</v>
      </c>
      <c r="H384" s="27" t="n">
        <f aca="false">NORMSINV(G384)</f>
        <v>1.2815515655446</v>
      </c>
      <c r="I384" s="23" t="n">
        <v>2200.6</v>
      </c>
      <c r="J384" s="23" t="n">
        <f aca="false">IFERROR(INDEX(ABC_XYZ!$R$5:$R$494,MATCH(A384,ABC_XYZ!$A$5:$A$494,0)),I384*Parametros!$B$13)</f>
        <v>513.14923105597</v>
      </c>
      <c r="K384" s="27" t="n">
        <f aca="false">IFERROR(VLOOKUP(C384,Parametros!$A$36:$B$66,2,FALSE()),Parametros!$B$12)</f>
        <v>1</v>
      </c>
      <c r="L384" s="23" t="n">
        <f aca="false">H384*J384*SQRT(K384)</f>
        <v>657.627200417786</v>
      </c>
      <c r="M384" s="29" t="n">
        <v>365</v>
      </c>
      <c r="N384" s="24" t="n">
        <v>0.32054794520548</v>
      </c>
      <c r="O384" s="3" t="s">
        <v>754</v>
      </c>
      <c r="P384" s="30" t="n">
        <f aca="false">IF(AND(ISNUMBER(M384),ISNUMBER(N384)),M384*N384/7,"")</f>
        <v>16.7142857142857</v>
      </c>
      <c r="Q384" s="23" t="n">
        <f aca="false">IF(ISNUMBER(P384),I384*P384,"")</f>
        <v>36781.4571428572</v>
      </c>
      <c r="R384" s="23" t="n">
        <f aca="false">IF(ISNUMBER(Q384),MAX(0,MIN(L384,Q384-I384*K384)),L384)</f>
        <v>657.627200417786</v>
      </c>
      <c r="S384" s="23" t="n">
        <f aca="false">R384+I384*K384</f>
        <v>2858.22720041779</v>
      </c>
      <c r="T384" s="23" t="n">
        <v>9556.8</v>
      </c>
      <c r="U384" s="23" t="n">
        <v>0</v>
      </c>
      <c r="V384" s="23" t="n">
        <f aca="false">T384+U384</f>
        <v>9556.8</v>
      </c>
      <c r="W384" s="30" t="n">
        <f aca="false">IF(I384&gt;0,V384/I384,"")</f>
        <v>4.34281559574662</v>
      </c>
      <c r="X384" s="3" t="str">
        <f aca="false">IF(I384&lt;=0,"SIN FCST",IF(V384&lt;R384,"BAJO SS",IF(T384&lt;R384,"BAJO SS (XLIB CUBRE)",IF(V384&lt;S384,"BAJO P.REORDEN",IF(AND(ISNUMBER(Q384),V384&gt;Q384),"SOBRE MAX VENDIBLE","OK")))))</f>
        <v>OK</v>
      </c>
    </row>
    <row r="385" customFormat="false" ht="15" hidden="false" customHeight="false" outlineLevel="0" collapsed="false">
      <c r="A385" s="3" t="n">
        <v>30001918</v>
      </c>
      <c r="B385" s="3" t="s">
        <v>532</v>
      </c>
      <c r="C385" s="3" t="s">
        <v>149</v>
      </c>
      <c r="D385" s="3" t="s">
        <v>744</v>
      </c>
      <c r="E385" s="3" t="s">
        <v>762</v>
      </c>
      <c r="F385" s="3" t="str">
        <f aca="false">IFERROR(INDEX(ABC_XYZ!$L$5:$L$494,MATCH(A385,ABC_XYZ!$A$5:$A$494,0)),"SIN HIST")</f>
        <v>CY</v>
      </c>
      <c r="G385" s="24" t="n">
        <f aca="false">IF(LEFT(F385,1)="A",Parametros!$B$8,IF(LEFT(F385,1)="B",Parametros!$B$9,IF(LEFT(F385,1)="C",Parametros!$B$10,Parametros!$B$11)))</f>
        <v>0.9</v>
      </c>
      <c r="H385" s="27" t="n">
        <f aca="false">NORMSINV(G385)</f>
        <v>1.2815515655446</v>
      </c>
      <c r="I385" s="23" t="n">
        <v>2200</v>
      </c>
      <c r="J385" s="23" t="n">
        <f aca="false">IFERROR(INDEX(ABC_XYZ!$R$5:$R$494,MATCH(A385,ABC_XYZ!$A$5:$A$494,0)),I385*Parametros!$B$13)</f>
        <v>2734.98638510229</v>
      </c>
      <c r="K385" s="27" t="n">
        <f aca="false">IFERROR(VLOOKUP(C385,Parametros!$A$36:$B$66,2,FALSE()),Parametros!$B$12)</f>
        <v>1</v>
      </c>
      <c r="L385" s="23" t="n">
        <f aca="false">H385*J385*SQRT(K385)</f>
        <v>3505.02608357101</v>
      </c>
      <c r="M385" s="29" t="n">
        <v>184</v>
      </c>
      <c r="N385" s="24" t="n">
        <v>0.217391304347826</v>
      </c>
      <c r="O385" s="3" t="s">
        <v>754</v>
      </c>
      <c r="P385" s="30" t="n">
        <f aca="false">IF(AND(ISNUMBER(M385),ISNUMBER(N385)),M385*N385/7,"")</f>
        <v>5.71428571428572</v>
      </c>
      <c r="Q385" s="23" t="n">
        <f aca="false">IF(ISNUMBER(P385),I385*P385,"")</f>
        <v>12571.4285714286</v>
      </c>
      <c r="R385" s="23" t="n">
        <f aca="false">IF(ISNUMBER(Q385),MAX(0,MIN(L385,Q385-I385*K385)),L385)</f>
        <v>3505.02608357101</v>
      </c>
      <c r="S385" s="23" t="n">
        <f aca="false">R385+I385*K385</f>
        <v>5705.02608357101</v>
      </c>
      <c r="T385" s="23" t="n">
        <v>6060.6</v>
      </c>
      <c r="U385" s="23" t="n">
        <v>0</v>
      </c>
      <c r="V385" s="23" t="n">
        <f aca="false">T385+U385</f>
        <v>6060.6</v>
      </c>
      <c r="W385" s="30" t="n">
        <f aca="false">IF(I385&gt;0,V385/I385,"")</f>
        <v>2.75481818181818</v>
      </c>
      <c r="X385" s="3" t="str">
        <f aca="false">IF(I385&lt;=0,"SIN FCST",IF(V385&lt;R385,"BAJO SS",IF(T385&lt;R385,"BAJO SS (XLIB CUBRE)",IF(V385&lt;S385,"BAJO P.REORDEN",IF(AND(ISNUMBER(Q385),V385&gt;Q385),"SOBRE MAX VENDIBLE","OK")))))</f>
        <v>OK</v>
      </c>
    </row>
    <row r="386" customFormat="false" ht="15" hidden="false" customHeight="false" outlineLevel="0" collapsed="false">
      <c r="A386" s="3" t="n">
        <v>30002358</v>
      </c>
      <c r="B386" s="3" t="s">
        <v>1014</v>
      </c>
      <c r="C386" s="3" t="s">
        <v>139</v>
      </c>
      <c r="D386" s="3"/>
      <c r="E386" s="3"/>
      <c r="F386" s="3" t="str">
        <f aca="false">IFERROR(INDEX(ABC_XYZ!$L$5:$L$494,MATCH(A386,ABC_XYZ!$A$5:$A$494,0)),"SIN HIST")</f>
        <v>CX</v>
      </c>
      <c r="G386" s="24" t="n">
        <f aca="false">IF(LEFT(F386,1)="A",Parametros!$B$8,IF(LEFT(F386,1)="B",Parametros!$B$9,IF(LEFT(F386,1)="C",Parametros!$B$10,Parametros!$B$11)))</f>
        <v>0.9</v>
      </c>
      <c r="H386" s="27" t="n">
        <f aca="false">NORMSINV(G386)</f>
        <v>1.2815515655446</v>
      </c>
      <c r="I386" s="23" t="n">
        <v>2191.8</v>
      </c>
      <c r="J386" s="23" t="n">
        <f aca="false">IFERROR(INDEX(ABC_XYZ!$R$5:$R$494,MATCH(A386,ABC_XYZ!$A$5:$A$494,0)),I386*Parametros!$B$13)</f>
        <v>603.596392104976</v>
      </c>
      <c r="K386" s="27" t="n">
        <f aca="false">IFERROR(VLOOKUP(C386,Parametros!$A$36:$B$66,2,FALSE()),Parametros!$B$12)</f>
        <v>1</v>
      </c>
      <c r="L386" s="23" t="n">
        <f aca="false">H386*J386*SQRT(K386)</f>
        <v>773.539901259205</v>
      </c>
      <c r="M386" s="29"/>
      <c r="N386" s="24"/>
      <c r="O386" s="3"/>
      <c r="P386" s="30" t="str">
        <f aca="false">IF(AND(ISNUMBER(M386),ISNUMBER(N386)),M386*N386/7,"")</f>
        <v/>
      </c>
      <c r="Q386" s="23" t="str">
        <f aca="false">IF(ISNUMBER(P386),I386*P386,"")</f>
        <v/>
      </c>
      <c r="R386" s="23" t="n">
        <f aca="false">IF(ISNUMBER(Q386),MAX(0,MIN(L386,Q386-I386*K386)),L386)</f>
        <v>773.539901259205</v>
      </c>
      <c r="S386" s="23" t="n">
        <f aca="false">R386+I386*K386</f>
        <v>2965.33990125921</v>
      </c>
      <c r="T386" s="23" t="n">
        <v>10278</v>
      </c>
      <c r="U386" s="23" t="n">
        <v>0</v>
      </c>
      <c r="V386" s="23" t="n">
        <f aca="false">T386+U386</f>
        <v>10278</v>
      </c>
      <c r="W386" s="30" t="n">
        <f aca="false">IF(I386&gt;0,V386/I386,"")</f>
        <v>4.6892964686559</v>
      </c>
      <c r="X386" s="3" t="str">
        <f aca="false">IF(I386&lt;=0,"SIN FCST",IF(V386&lt;R386,"BAJO SS",IF(T386&lt;R386,"BAJO SS (XLIB CUBRE)",IF(V386&lt;S386,"BAJO P.REORDEN",IF(AND(ISNUMBER(Q386),V386&gt;Q386),"SOBRE MAX VENDIBLE","OK")))))</f>
        <v>OK</v>
      </c>
    </row>
    <row r="387" customFormat="false" ht="15" hidden="false" customHeight="false" outlineLevel="0" collapsed="false">
      <c r="A387" s="3" t="n">
        <v>30000171</v>
      </c>
      <c r="B387" s="3" t="s">
        <v>1015</v>
      </c>
      <c r="C387" s="3" t="s">
        <v>144</v>
      </c>
      <c r="D387" s="3" t="s">
        <v>753</v>
      </c>
      <c r="E387" s="3" t="s">
        <v>745</v>
      </c>
      <c r="F387" s="3" t="str">
        <f aca="false">IFERROR(INDEX(ABC_XYZ!$L$5:$L$494,MATCH(A387,ABC_XYZ!$A$5:$A$494,0)),"SIN HIST")</f>
        <v>CX</v>
      </c>
      <c r="G387" s="24" t="n">
        <f aca="false">IF(LEFT(F387,1)="A",Parametros!$B$8,IF(LEFT(F387,1)="B",Parametros!$B$9,IF(LEFT(F387,1)="C",Parametros!$B$10,Parametros!$B$11)))</f>
        <v>0.9</v>
      </c>
      <c r="H387" s="27" t="n">
        <f aca="false">NORMSINV(G387)</f>
        <v>1.2815515655446</v>
      </c>
      <c r="I387" s="23" t="n">
        <v>2164.5</v>
      </c>
      <c r="J387" s="23" t="n">
        <f aca="false">IFERROR(INDEX(ABC_XYZ!$R$5:$R$494,MATCH(A387,ABC_XYZ!$A$5:$A$494,0)),I387*Parametros!$B$13)</f>
        <v>654.135052314632</v>
      </c>
      <c r="K387" s="27" t="n">
        <f aca="false">IFERROR(VLOOKUP(C387,Parametros!$A$36:$B$66,2,FALSE()),Parametros!$B$12)</f>
        <v>1</v>
      </c>
      <c r="L387" s="23" t="n">
        <f aca="false">H387*J387*SQRT(K387)</f>
        <v>838.307800371416</v>
      </c>
      <c r="M387" s="29" t="n">
        <v>184</v>
      </c>
      <c r="N387" s="24" t="n">
        <v>0.190217391304348</v>
      </c>
      <c r="O387" s="3" t="s">
        <v>746</v>
      </c>
      <c r="P387" s="30" t="n">
        <f aca="false">IF(AND(ISNUMBER(M387),ISNUMBER(N387)),M387*N387/7,"")</f>
        <v>5</v>
      </c>
      <c r="Q387" s="23" t="n">
        <f aca="false">IF(ISNUMBER(P387),I387*P387,"")</f>
        <v>10822.5</v>
      </c>
      <c r="R387" s="23" t="n">
        <f aca="false">IF(ISNUMBER(Q387),MAX(0,MIN(L387,Q387-I387*K387)),L387)</f>
        <v>838.307800371416</v>
      </c>
      <c r="S387" s="23" t="n">
        <f aca="false">R387+I387*K387</f>
        <v>3002.80780037142</v>
      </c>
      <c r="T387" s="23" t="n">
        <v>651</v>
      </c>
      <c r="U387" s="23" t="n">
        <v>0</v>
      </c>
      <c r="V387" s="23" t="n">
        <f aca="false">T387+U387</f>
        <v>651</v>
      </c>
      <c r="W387" s="30" t="n">
        <f aca="false">IF(I387&gt;0,V387/I387,"")</f>
        <v>0.300762300762301</v>
      </c>
      <c r="X387" s="3" t="str">
        <f aca="false">IF(I387&lt;=0,"SIN FCST",IF(V387&lt;R387,"BAJO SS",IF(T387&lt;R387,"BAJO SS (XLIB CUBRE)",IF(V387&lt;S387,"BAJO P.REORDEN",IF(AND(ISNUMBER(Q387),V387&gt;Q387),"SOBRE MAX VENDIBLE","OK")))))</f>
        <v>BAJO SS</v>
      </c>
    </row>
    <row r="388" customFormat="false" ht="15" hidden="false" customHeight="false" outlineLevel="0" collapsed="false">
      <c r="A388" s="3" t="n">
        <v>30000116</v>
      </c>
      <c r="B388" s="3" t="s">
        <v>424</v>
      </c>
      <c r="C388" s="3" t="s">
        <v>141</v>
      </c>
      <c r="D388" s="3" t="s">
        <v>750</v>
      </c>
      <c r="E388" s="3" t="s">
        <v>762</v>
      </c>
      <c r="F388" s="3" t="str">
        <f aca="false">IFERROR(INDEX(ABC_XYZ!$L$5:$L$494,MATCH(A388,ABC_XYZ!$A$5:$A$494,0)),"SIN HIST")</f>
        <v>BX</v>
      </c>
      <c r="G388" s="24" t="n">
        <f aca="false">IF(LEFT(F388,1)="A",Parametros!$B$8,IF(LEFT(F388,1)="B",Parametros!$B$9,IF(LEFT(F388,1)="C",Parametros!$B$10,Parametros!$B$11)))</f>
        <v>0.95</v>
      </c>
      <c r="H388" s="27" t="n">
        <f aca="false">NORMSINV(G388)</f>
        <v>1.64485362695147</v>
      </c>
      <c r="I388" s="23" t="n">
        <v>2159.7</v>
      </c>
      <c r="J388" s="23" t="n">
        <f aca="false">IFERROR(INDEX(ABC_XYZ!$R$5:$R$494,MATCH(A388,ABC_XYZ!$A$5:$A$494,0)),I388*Parametros!$B$13)</f>
        <v>1555.81828538866</v>
      </c>
      <c r="K388" s="27" t="n">
        <f aca="false">IFERROR(VLOOKUP(C388,Parametros!$A$36:$B$66,2,FALSE()),Parametros!$B$12)</f>
        <v>1</v>
      </c>
      <c r="L388" s="23" t="n">
        <f aca="false">H388*J388*SQRT(K388)</f>
        <v>2559.09334959896</v>
      </c>
      <c r="M388" s="29" t="n">
        <v>184</v>
      </c>
      <c r="N388" s="24" t="n">
        <v>0.217391304347826</v>
      </c>
      <c r="O388" s="3" t="s">
        <v>754</v>
      </c>
      <c r="P388" s="30" t="n">
        <f aca="false">IF(AND(ISNUMBER(M388),ISNUMBER(N388)),M388*N388/7,"")</f>
        <v>5.71428571428572</v>
      </c>
      <c r="Q388" s="23" t="n">
        <f aca="false">IF(ISNUMBER(P388),I388*P388,"")</f>
        <v>12341.1428571429</v>
      </c>
      <c r="R388" s="23" t="n">
        <f aca="false">IF(ISNUMBER(Q388),MAX(0,MIN(L388,Q388-I388*K388)),L388)</f>
        <v>2559.09334959896</v>
      </c>
      <c r="S388" s="23" t="n">
        <f aca="false">R388+I388*K388</f>
        <v>4718.79334959896</v>
      </c>
      <c r="T388" s="23" t="n">
        <v>19180.8</v>
      </c>
      <c r="U388" s="23" t="n">
        <v>0</v>
      </c>
      <c r="V388" s="23" t="n">
        <f aca="false">T388+U388</f>
        <v>19180.8</v>
      </c>
      <c r="W388" s="30" t="n">
        <f aca="false">IF(I388&gt;0,V388/I388,"")</f>
        <v>8.88123350465343</v>
      </c>
      <c r="X388" s="3" t="str">
        <f aca="false">IF(I388&lt;=0,"SIN FCST",IF(V388&lt;R388,"BAJO SS",IF(T388&lt;R388,"BAJO SS (XLIB CUBRE)",IF(V388&lt;S388,"BAJO P.REORDEN",IF(AND(ISNUMBER(Q388),V388&gt;Q388),"SOBRE MAX VENDIBLE","OK")))))</f>
        <v>SOBRE MAX VENDIBLE</v>
      </c>
    </row>
    <row r="389" customFormat="false" ht="15" hidden="false" customHeight="false" outlineLevel="0" collapsed="false">
      <c r="A389" s="3" t="n">
        <v>30001924</v>
      </c>
      <c r="B389" s="3" t="s">
        <v>1016</v>
      </c>
      <c r="C389" s="3" t="s">
        <v>135</v>
      </c>
      <c r="D389" s="3" t="s">
        <v>753</v>
      </c>
      <c r="E389" s="3" t="s">
        <v>745</v>
      </c>
      <c r="F389" s="3" t="str">
        <f aca="false">IFERROR(INDEX(ABC_XYZ!$L$5:$L$494,MATCH(A389,ABC_XYZ!$A$5:$A$494,0)),"SIN HIST")</f>
        <v>CY</v>
      </c>
      <c r="G389" s="24" t="n">
        <f aca="false">IF(LEFT(F389,1)="A",Parametros!$B$8,IF(LEFT(F389,1)="B",Parametros!$B$9,IF(LEFT(F389,1)="C",Parametros!$B$10,Parametros!$B$11)))</f>
        <v>0.9</v>
      </c>
      <c r="H389" s="27" t="n">
        <f aca="false">NORMSINV(G389)</f>
        <v>1.2815515655446</v>
      </c>
      <c r="I389" s="23" t="n">
        <v>2141.9</v>
      </c>
      <c r="J389" s="23" t="n">
        <f aca="false">IFERROR(INDEX(ABC_XYZ!$R$5:$R$494,MATCH(A389,ABC_XYZ!$A$5:$A$494,0)),I389*Parametros!$B$13)</f>
        <v>750.472050452099</v>
      </c>
      <c r="K389" s="27" t="n">
        <f aca="false">IFERROR(VLOOKUP(C389,Parametros!$A$36:$B$66,2,FALSE()),Parametros!$B$12)</f>
        <v>1</v>
      </c>
      <c r="L389" s="23" t="n">
        <f aca="false">H389*J389*SQRT(K389)</f>
        <v>961.768631154355</v>
      </c>
      <c r="M389" s="29" t="n">
        <v>184</v>
      </c>
      <c r="N389" s="24" t="n">
        <v>0.190217391304348</v>
      </c>
      <c r="O389" s="3" t="s">
        <v>746</v>
      </c>
      <c r="P389" s="30" t="n">
        <f aca="false">IF(AND(ISNUMBER(M389),ISNUMBER(N389)),M389*N389/7,"")</f>
        <v>5</v>
      </c>
      <c r="Q389" s="23" t="n">
        <f aca="false">IF(ISNUMBER(P389),I389*P389,"")</f>
        <v>10709.5</v>
      </c>
      <c r="R389" s="23" t="n">
        <f aca="false">IF(ISNUMBER(Q389),MAX(0,MIN(L389,Q389-I389*K389)),L389)</f>
        <v>961.768631154355</v>
      </c>
      <c r="S389" s="23" t="n">
        <f aca="false">R389+I389*K389</f>
        <v>3103.66863115435</v>
      </c>
      <c r="T389" s="23" t="n">
        <v>7836</v>
      </c>
      <c r="U389" s="23" t="n">
        <v>0</v>
      </c>
      <c r="V389" s="23" t="n">
        <f aca="false">T389+U389</f>
        <v>7836</v>
      </c>
      <c r="W389" s="30" t="n">
        <f aca="false">IF(I389&gt;0,V389/I389,"")</f>
        <v>3.65843410056492</v>
      </c>
      <c r="X389" s="3" t="str">
        <f aca="false">IF(I389&lt;=0,"SIN FCST",IF(V389&lt;R389,"BAJO SS",IF(T389&lt;R389,"BAJO SS (XLIB CUBRE)",IF(V389&lt;S389,"BAJO P.REORDEN",IF(AND(ISNUMBER(Q389),V389&gt;Q389),"SOBRE MAX VENDIBLE","OK")))))</f>
        <v>OK</v>
      </c>
    </row>
    <row r="390" customFormat="false" ht="15" hidden="false" customHeight="false" outlineLevel="0" collapsed="false">
      <c r="A390" s="3" t="n">
        <v>30002228</v>
      </c>
      <c r="B390" s="3" t="s">
        <v>407</v>
      </c>
      <c r="C390" s="3" t="s">
        <v>135</v>
      </c>
      <c r="D390" s="3" t="s">
        <v>753</v>
      </c>
      <c r="E390" s="3"/>
      <c r="F390" s="3" t="str">
        <f aca="false">IFERROR(INDEX(ABC_XYZ!$L$5:$L$494,MATCH(A390,ABC_XYZ!$A$5:$A$494,0)),"SIN HIST")</f>
        <v>BY</v>
      </c>
      <c r="G390" s="24" t="n">
        <f aca="false">IF(LEFT(F390,1)="A",Parametros!$B$8,IF(LEFT(F390,1)="B",Parametros!$B$9,IF(LEFT(F390,1)="C",Parametros!$B$10,Parametros!$B$11)))</f>
        <v>0.95</v>
      </c>
      <c r="H390" s="27" t="n">
        <f aca="false">NORMSINV(G390)</f>
        <v>1.64485362695147</v>
      </c>
      <c r="I390" s="23" t="n">
        <v>2126.4</v>
      </c>
      <c r="J390" s="23" t="n">
        <f aca="false">IFERROR(INDEX(ABC_XYZ!$R$5:$R$494,MATCH(A390,ABC_XYZ!$A$5:$A$494,0)),I390*Parametros!$B$13)</f>
        <v>2174.97394032138</v>
      </c>
      <c r="K390" s="27" t="n">
        <f aca="false">IFERROR(VLOOKUP(C390,Parametros!$A$36:$B$66,2,FALSE()),Parametros!$B$12)</f>
        <v>1</v>
      </c>
      <c r="L390" s="23" t="n">
        <f aca="false">H390*J390*SQRT(K390)</f>
        <v>3577.51377426256</v>
      </c>
      <c r="M390" s="29" t="n">
        <v>365</v>
      </c>
      <c r="N390" s="24" t="n">
        <v>0.273972602739726</v>
      </c>
      <c r="O390" s="3" t="s">
        <v>746</v>
      </c>
      <c r="P390" s="30" t="n">
        <f aca="false">IF(AND(ISNUMBER(M390),ISNUMBER(N390)),M390*N390/7,"")</f>
        <v>14.2857142857143</v>
      </c>
      <c r="Q390" s="23" t="n">
        <f aca="false">IF(ISNUMBER(P390),I390*P390,"")</f>
        <v>30377.1428571429</v>
      </c>
      <c r="R390" s="23" t="n">
        <f aca="false">IF(ISNUMBER(Q390),MAX(0,MIN(L390,Q390-I390*K390)),L390)</f>
        <v>3577.51377426256</v>
      </c>
      <c r="S390" s="23" t="n">
        <f aca="false">R390+I390*K390</f>
        <v>5703.91377426256</v>
      </c>
      <c r="T390" s="23" t="n">
        <v>172.5</v>
      </c>
      <c r="U390" s="23" t="n">
        <v>20884</v>
      </c>
      <c r="V390" s="23" t="n">
        <f aca="false">T390+U390</f>
        <v>21056.5</v>
      </c>
      <c r="W390" s="30" t="n">
        <f aca="false">IF(I390&gt;0,V390/I390,"")</f>
        <v>9.90241723100075</v>
      </c>
      <c r="X390" s="3" t="str">
        <f aca="false">IF(I390&lt;=0,"SIN FCST",IF(V390&lt;R390,"BAJO SS",IF(T390&lt;R390,"BAJO SS (XLIB CUBRE)",IF(V390&lt;S390,"BAJO P.REORDEN",IF(AND(ISNUMBER(Q390),V390&gt;Q390),"SOBRE MAX VENDIBLE","OK")))))</f>
        <v>BAJO SS (XLIB CUBRE)</v>
      </c>
    </row>
    <row r="391" customFormat="false" ht="15" hidden="false" customHeight="false" outlineLevel="0" collapsed="false">
      <c r="A391" s="3" t="n">
        <v>30000803</v>
      </c>
      <c r="B391" s="3" t="s">
        <v>1017</v>
      </c>
      <c r="C391" s="3" t="s">
        <v>133</v>
      </c>
      <c r="D391" s="3" t="s">
        <v>758</v>
      </c>
      <c r="E391" s="3"/>
      <c r="F391" s="3" t="str">
        <f aca="false">IFERROR(INDEX(ABC_XYZ!$L$5:$L$494,MATCH(A391,ABC_XYZ!$A$5:$A$494,0)),"SIN HIST")</f>
        <v>SIN HIST</v>
      </c>
      <c r="G391" s="24" t="n">
        <f aca="false">IF(LEFT(F391,1)="A",Parametros!$B$8,IF(LEFT(F391,1)="B",Parametros!$B$9,IF(LEFT(F391,1)="C",Parametros!$B$10,Parametros!$B$11)))</f>
        <v>0.95</v>
      </c>
      <c r="H391" s="27" t="n">
        <f aca="false">NORMSINV(G391)</f>
        <v>1.64485362695147</v>
      </c>
      <c r="I391" s="23" t="n">
        <v>2114.4</v>
      </c>
      <c r="J391" s="23" t="n">
        <f aca="false">IFERROR(INDEX(ABC_XYZ!$R$5:$R$494,MATCH(A391,ABC_XYZ!$A$5:$A$494,0)),I391*Parametros!$B$13)</f>
        <v>634.32</v>
      </c>
      <c r="K391" s="27" t="n">
        <f aca="false">IFERROR(VLOOKUP(C391,Parametros!$A$36:$B$66,2,FALSE()),Parametros!$B$12)</f>
        <v>1</v>
      </c>
      <c r="L391" s="23" t="n">
        <f aca="false">H391*J391*SQRT(K391)</f>
        <v>1043.36355264786</v>
      </c>
      <c r="M391" s="29"/>
      <c r="N391" s="24"/>
      <c r="O391" s="3"/>
      <c r="P391" s="30" t="str">
        <f aca="false">IF(AND(ISNUMBER(M391),ISNUMBER(N391)),M391*N391/7,"")</f>
        <v/>
      </c>
      <c r="Q391" s="23" t="str">
        <f aca="false">IF(ISNUMBER(P391),I391*P391,"")</f>
        <v/>
      </c>
      <c r="R391" s="23" t="n">
        <f aca="false">IF(ISNUMBER(Q391),MAX(0,MIN(L391,Q391-I391*K391)),L391)</f>
        <v>1043.36355264786</v>
      </c>
      <c r="S391" s="23" t="n">
        <f aca="false">R391+I391*K391</f>
        <v>3157.76355264786</v>
      </c>
      <c r="T391" s="23" t="n">
        <v>13527.5</v>
      </c>
      <c r="U391" s="23" t="n">
        <v>0</v>
      </c>
      <c r="V391" s="23" t="n">
        <f aca="false">T391+U391</f>
        <v>13527.5</v>
      </c>
      <c r="W391" s="30" t="n">
        <f aca="false">IF(I391&gt;0,V391/I391,"")</f>
        <v>6.39779606507756</v>
      </c>
      <c r="X391" s="3" t="str">
        <f aca="false">IF(I391&lt;=0,"SIN FCST",IF(V391&lt;R391,"BAJO SS",IF(T391&lt;R391,"BAJO SS (XLIB CUBRE)",IF(V391&lt;S391,"BAJO P.REORDEN",IF(AND(ISNUMBER(Q391),V391&gt;Q391),"SOBRE MAX VENDIBLE","OK")))))</f>
        <v>OK</v>
      </c>
    </row>
    <row r="392" customFormat="false" ht="15" hidden="false" customHeight="false" outlineLevel="0" collapsed="false">
      <c r="A392" s="3" t="n">
        <v>30002167</v>
      </c>
      <c r="B392" s="3" t="s">
        <v>1018</v>
      </c>
      <c r="C392" s="3" t="s">
        <v>146</v>
      </c>
      <c r="D392" s="3" t="s">
        <v>769</v>
      </c>
      <c r="E392" s="3"/>
      <c r="F392" s="3" t="str">
        <f aca="false">IFERROR(INDEX(ABC_XYZ!$L$5:$L$494,MATCH(A392,ABC_XYZ!$A$5:$A$494,0)),"SIN HIST")</f>
        <v>SIN HIST</v>
      </c>
      <c r="G392" s="24" t="n">
        <f aca="false">IF(LEFT(F392,1)="A",Parametros!$B$8,IF(LEFT(F392,1)="B",Parametros!$B$9,IF(LEFT(F392,1)="C",Parametros!$B$10,Parametros!$B$11)))</f>
        <v>0.95</v>
      </c>
      <c r="H392" s="27" t="n">
        <f aca="false">NORMSINV(G392)</f>
        <v>1.64485362695147</v>
      </c>
      <c r="I392" s="23" t="n">
        <v>2111.6</v>
      </c>
      <c r="J392" s="23" t="n">
        <f aca="false">IFERROR(INDEX(ABC_XYZ!$R$5:$R$494,MATCH(A392,ABC_XYZ!$A$5:$A$494,0)),I392*Parametros!$B$13)</f>
        <v>633.48</v>
      </c>
      <c r="K392" s="27" t="n">
        <f aca="false">IFERROR(VLOOKUP(C392,Parametros!$A$36:$B$66,2,FALSE()),Parametros!$B$12)</f>
        <v>1</v>
      </c>
      <c r="L392" s="23" t="n">
        <f aca="false">H392*J392*SQRT(K392)</f>
        <v>1041.98187560122</v>
      </c>
      <c r="M392" s="29"/>
      <c r="N392" s="24"/>
      <c r="O392" s="3"/>
      <c r="P392" s="30" t="str">
        <f aca="false">IF(AND(ISNUMBER(M392),ISNUMBER(N392)),M392*N392/7,"")</f>
        <v/>
      </c>
      <c r="Q392" s="23" t="str">
        <f aca="false">IF(ISNUMBER(P392),I392*P392,"")</f>
        <v/>
      </c>
      <c r="R392" s="23" t="n">
        <f aca="false">IF(ISNUMBER(Q392),MAX(0,MIN(L392,Q392-I392*K392)),L392)</f>
        <v>1041.98187560122</v>
      </c>
      <c r="S392" s="23" t="n">
        <f aca="false">R392+I392*K392</f>
        <v>3153.58187560122</v>
      </c>
      <c r="T392" s="23" t="n">
        <v>12946.5</v>
      </c>
      <c r="U392" s="23" t="n">
        <v>0</v>
      </c>
      <c r="V392" s="23" t="n">
        <f aca="false">T392+U392</f>
        <v>12946.5</v>
      </c>
      <c r="W392" s="30" t="n">
        <f aca="false">IF(I392&gt;0,V392/I392,"")</f>
        <v>6.13113279030119</v>
      </c>
      <c r="X392" s="3" t="str">
        <f aca="false">IF(I392&lt;=0,"SIN FCST",IF(V392&lt;R392,"BAJO SS",IF(T392&lt;R392,"BAJO SS (XLIB CUBRE)",IF(V392&lt;S392,"BAJO P.REORDEN",IF(AND(ISNUMBER(Q392),V392&gt;Q392),"SOBRE MAX VENDIBLE","OK")))))</f>
        <v>OK</v>
      </c>
    </row>
    <row r="393" customFormat="false" ht="15" hidden="false" customHeight="false" outlineLevel="0" collapsed="false">
      <c r="A393" s="3" t="n">
        <v>30002293</v>
      </c>
      <c r="B393" s="3" t="s">
        <v>454</v>
      </c>
      <c r="C393" s="3" t="s">
        <v>144</v>
      </c>
      <c r="D393" s="3" t="s">
        <v>753</v>
      </c>
      <c r="E393" s="3"/>
      <c r="F393" s="3" t="str">
        <f aca="false">IFERROR(INDEX(ABC_XYZ!$L$5:$L$494,MATCH(A393,ABC_XYZ!$A$5:$A$494,0)),"SIN HIST")</f>
        <v>BX</v>
      </c>
      <c r="G393" s="24" t="n">
        <f aca="false">IF(LEFT(F393,1)="A",Parametros!$B$8,IF(LEFT(F393,1)="B",Parametros!$B$9,IF(LEFT(F393,1)="C",Parametros!$B$10,Parametros!$B$11)))</f>
        <v>0.95</v>
      </c>
      <c r="H393" s="27" t="n">
        <f aca="false">NORMSINV(G393)</f>
        <v>1.64485362695147</v>
      </c>
      <c r="I393" s="23" t="n">
        <v>2106.5</v>
      </c>
      <c r="J393" s="23" t="n">
        <f aca="false">IFERROR(INDEX(ABC_XYZ!$R$5:$R$494,MATCH(A393,ABC_XYZ!$A$5:$A$494,0)),I393*Parametros!$B$13)</f>
        <v>2084.51724889421</v>
      </c>
      <c r="K393" s="27" t="n">
        <f aca="false">IFERROR(VLOOKUP(C393,Parametros!$A$36:$B$66,2,FALSE()),Parametros!$B$12)</f>
        <v>1</v>
      </c>
      <c r="L393" s="23" t="n">
        <f aca="false">H393*J393*SQRT(K393)</f>
        <v>3428.72575728655</v>
      </c>
      <c r="M393" s="29"/>
      <c r="N393" s="24"/>
      <c r="O393" s="3"/>
      <c r="P393" s="30" t="str">
        <f aca="false">IF(AND(ISNUMBER(M393),ISNUMBER(N393)),M393*N393/7,"")</f>
        <v/>
      </c>
      <c r="Q393" s="23" t="str">
        <f aca="false">IF(ISNUMBER(P393),I393*P393,"")</f>
        <v/>
      </c>
      <c r="R393" s="23" t="n">
        <f aca="false">IF(ISNUMBER(Q393),MAX(0,MIN(L393,Q393-I393*K393)),L393)</f>
        <v>3428.72575728655</v>
      </c>
      <c r="S393" s="23" t="n">
        <f aca="false">R393+I393*K393</f>
        <v>5535.22575728655</v>
      </c>
      <c r="T393" s="23" t="n">
        <v>2856.6</v>
      </c>
      <c r="U393" s="23" t="n">
        <v>6134.4</v>
      </c>
      <c r="V393" s="23" t="n">
        <f aca="false">T393+U393</f>
        <v>8991</v>
      </c>
      <c r="W393" s="30" t="n">
        <f aca="false">IF(I393&gt;0,V393/I393,"")</f>
        <v>4.26821742226442</v>
      </c>
      <c r="X393" s="3" t="str">
        <f aca="false">IF(I393&lt;=0,"SIN FCST",IF(V393&lt;R393,"BAJO SS",IF(T393&lt;R393,"BAJO SS (XLIB CUBRE)",IF(V393&lt;S393,"BAJO P.REORDEN",IF(AND(ISNUMBER(Q393),V393&gt;Q393),"SOBRE MAX VENDIBLE","OK")))))</f>
        <v>BAJO SS (XLIB CUBRE)</v>
      </c>
    </row>
    <row r="394" customFormat="false" ht="15" hidden="false" customHeight="false" outlineLevel="0" collapsed="false">
      <c r="A394" s="3" t="n">
        <v>30000073</v>
      </c>
      <c r="B394" s="3" t="s">
        <v>496</v>
      </c>
      <c r="C394" s="3" t="s">
        <v>143</v>
      </c>
      <c r="D394" s="3" t="s">
        <v>750</v>
      </c>
      <c r="E394" s="3" t="s">
        <v>762</v>
      </c>
      <c r="F394" s="3" t="str">
        <f aca="false">IFERROR(INDEX(ABC_XYZ!$L$5:$L$494,MATCH(A394,ABC_XYZ!$A$5:$A$494,0)),"SIN HIST")</f>
        <v>CX</v>
      </c>
      <c r="G394" s="24" t="n">
        <f aca="false">IF(LEFT(F394,1)="A",Parametros!$B$8,IF(LEFT(F394,1)="B",Parametros!$B$9,IF(LEFT(F394,1)="C",Parametros!$B$10,Parametros!$B$11)))</f>
        <v>0.9</v>
      </c>
      <c r="H394" s="27" t="n">
        <f aca="false">NORMSINV(G394)</f>
        <v>1.2815515655446</v>
      </c>
      <c r="I394" s="23" t="n">
        <v>2100</v>
      </c>
      <c r="J394" s="23" t="n">
        <f aca="false">IFERROR(INDEX(ABC_XYZ!$R$5:$R$494,MATCH(A394,ABC_XYZ!$A$5:$A$494,0)),I394*Parametros!$B$13)</f>
        <v>385.648479677645</v>
      </c>
      <c r="K394" s="27" t="n">
        <f aca="false">IFERROR(VLOOKUP(C394,Parametros!$A$36:$B$66,2,FALSE()),Parametros!$B$12)</f>
        <v>1</v>
      </c>
      <c r="L394" s="23" t="n">
        <f aca="false">H394*J394*SQRT(K394)</f>
        <v>494.228412880781</v>
      </c>
      <c r="M394" s="29" t="n">
        <v>184</v>
      </c>
      <c r="N394" s="24" t="n">
        <v>0.217391304347826</v>
      </c>
      <c r="O394" s="3" t="s">
        <v>754</v>
      </c>
      <c r="P394" s="30" t="n">
        <f aca="false">IF(AND(ISNUMBER(M394),ISNUMBER(N394)),M394*N394/7,"")</f>
        <v>5.71428571428572</v>
      </c>
      <c r="Q394" s="23" t="n">
        <f aca="false">IF(ISNUMBER(P394),I394*P394,"")</f>
        <v>12000</v>
      </c>
      <c r="R394" s="23" t="n">
        <f aca="false">IF(ISNUMBER(Q394),MAX(0,MIN(L394,Q394-I394*K394)),L394)</f>
        <v>494.228412880781</v>
      </c>
      <c r="S394" s="23" t="n">
        <f aca="false">R394+I394*K394</f>
        <v>2594.22841288078</v>
      </c>
      <c r="T394" s="23" t="n">
        <v>7830</v>
      </c>
      <c r="U394" s="23" t="n">
        <v>0</v>
      </c>
      <c r="V394" s="23" t="n">
        <f aca="false">T394+U394</f>
        <v>7830</v>
      </c>
      <c r="W394" s="30" t="n">
        <f aca="false">IF(I394&gt;0,V394/I394,"")</f>
        <v>3.72857142857143</v>
      </c>
      <c r="X394" s="3" t="str">
        <f aca="false">IF(I394&lt;=0,"SIN FCST",IF(V394&lt;R394,"BAJO SS",IF(T394&lt;R394,"BAJO SS (XLIB CUBRE)",IF(V394&lt;S394,"BAJO P.REORDEN",IF(AND(ISNUMBER(Q394),V394&gt;Q394),"SOBRE MAX VENDIBLE","OK")))))</f>
        <v>OK</v>
      </c>
    </row>
    <row r="395" customFormat="false" ht="15" hidden="false" customHeight="false" outlineLevel="0" collapsed="false">
      <c r="A395" s="3" t="n">
        <v>30002185</v>
      </c>
      <c r="B395" s="3" t="s">
        <v>1019</v>
      </c>
      <c r="C395" s="3" t="s">
        <v>151</v>
      </c>
      <c r="D395" s="3"/>
      <c r="E395" s="3"/>
      <c r="F395" s="3" t="str">
        <f aca="false">IFERROR(INDEX(ABC_XYZ!$L$5:$L$494,MATCH(A395,ABC_XYZ!$A$5:$A$494,0)),"SIN HIST")</f>
        <v>SIN HIST</v>
      </c>
      <c r="G395" s="24" t="n">
        <f aca="false">IF(LEFT(F395,1)="A",Parametros!$B$8,IF(LEFT(F395,1)="B",Parametros!$B$9,IF(LEFT(F395,1)="C",Parametros!$B$10,Parametros!$B$11)))</f>
        <v>0.95</v>
      </c>
      <c r="H395" s="27" t="n">
        <f aca="false">NORMSINV(G395)</f>
        <v>1.64485362695147</v>
      </c>
      <c r="I395" s="23" t="n">
        <v>2093</v>
      </c>
      <c r="J395" s="23" t="n">
        <f aca="false">IFERROR(INDEX(ABC_XYZ!$R$5:$R$494,MATCH(A395,ABC_XYZ!$A$5:$A$494,0)),I395*Parametros!$B$13)</f>
        <v>627.9</v>
      </c>
      <c r="K395" s="27" t="n">
        <f aca="false">IFERROR(VLOOKUP(C395,Parametros!$A$36:$B$66,2,FALSE()),Parametros!$B$12)</f>
        <v>1</v>
      </c>
      <c r="L395" s="23" t="n">
        <f aca="false">H395*J395*SQRT(K395)</f>
        <v>1032.80359236283</v>
      </c>
      <c r="M395" s="29"/>
      <c r="N395" s="24"/>
      <c r="O395" s="3"/>
      <c r="P395" s="30" t="str">
        <f aca="false">IF(AND(ISNUMBER(M395),ISNUMBER(N395)),M395*N395/7,"")</f>
        <v/>
      </c>
      <c r="Q395" s="23" t="str">
        <f aca="false">IF(ISNUMBER(P395),I395*P395,"")</f>
        <v/>
      </c>
      <c r="R395" s="23" t="n">
        <f aca="false">IF(ISNUMBER(Q395),MAX(0,MIN(L395,Q395-I395*K395)),L395)</f>
        <v>1032.80359236283</v>
      </c>
      <c r="S395" s="23" t="n">
        <f aca="false">R395+I395*K395</f>
        <v>3125.80359236283</v>
      </c>
      <c r="T395" s="23" t="n">
        <v>11976</v>
      </c>
      <c r="U395" s="23" t="n">
        <v>0</v>
      </c>
      <c r="V395" s="23" t="n">
        <f aca="false">T395+U395</f>
        <v>11976</v>
      </c>
      <c r="W395" s="30" t="n">
        <f aca="false">IF(I395&gt;0,V395/I395,"")</f>
        <v>5.72193024366937</v>
      </c>
      <c r="X395" s="3" t="str">
        <f aca="false">IF(I395&lt;=0,"SIN FCST",IF(V395&lt;R395,"BAJO SS",IF(T395&lt;R395,"BAJO SS (XLIB CUBRE)",IF(V395&lt;S395,"BAJO P.REORDEN",IF(AND(ISNUMBER(Q395),V395&gt;Q395),"SOBRE MAX VENDIBLE","OK")))))</f>
        <v>OK</v>
      </c>
    </row>
    <row r="396" customFormat="false" ht="15" hidden="false" customHeight="false" outlineLevel="0" collapsed="false">
      <c r="A396" s="3" t="n">
        <v>30000830</v>
      </c>
      <c r="B396" s="3" t="s">
        <v>1020</v>
      </c>
      <c r="C396" s="3" t="s">
        <v>133</v>
      </c>
      <c r="D396" s="3" t="s">
        <v>769</v>
      </c>
      <c r="E396" s="3"/>
      <c r="F396" s="3" t="str">
        <f aca="false">IFERROR(INDEX(ABC_XYZ!$L$5:$L$494,MATCH(A396,ABC_XYZ!$A$5:$A$494,0)),"SIN HIST")</f>
        <v>SIN HIST</v>
      </c>
      <c r="G396" s="24" t="n">
        <f aca="false">IF(LEFT(F396,1)="A",Parametros!$B$8,IF(LEFT(F396,1)="B",Parametros!$B$9,IF(LEFT(F396,1)="C",Parametros!$B$10,Parametros!$B$11)))</f>
        <v>0.95</v>
      </c>
      <c r="H396" s="27" t="n">
        <f aca="false">NORMSINV(G396)</f>
        <v>1.64485362695147</v>
      </c>
      <c r="I396" s="23" t="n">
        <v>2093</v>
      </c>
      <c r="J396" s="23" t="n">
        <f aca="false">IFERROR(INDEX(ABC_XYZ!$R$5:$R$494,MATCH(A396,ABC_XYZ!$A$5:$A$494,0)),I396*Parametros!$B$13)</f>
        <v>627.9</v>
      </c>
      <c r="K396" s="27" t="n">
        <f aca="false">IFERROR(VLOOKUP(C396,Parametros!$A$36:$B$66,2,FALSE()),Parametros!$B$12)</f>
        <v>1</v>
      </c>
      <c r="L396" s="23" t="n">
        <f aca="false">H396*J396*SQRT(K396)</f>
        <v>1032.80359236283</v>
      </c>
      <c r="M396" s="29"/>
      <c r="N396" s="24"/>
      <c r="O396" s="3"/>
      <c r="P396" s="30" t="str">
        <f aca="false">IF(AND(ISNUMBER(M396),ISNUMBER(N396)),M396*N396/7,"")</f>
        <v/>
      </c>
      <c r="Q396" s="23" t="str">
        <f aca="false">IF(ISNUMBER(P396),I396*P396,"")</f>
        <v/>
      </c>
      <c r="R396" s="23" t="n">
        <f aca="false">IF(ISNUMBER(Q396),MAX(0,MIN(L396,Q396-I396*K396)),L396)</f>
        <v>1032.80359236283</v>
      </c>
      <c r="S396" s="23" t="n">
        <f aca="false">R396+I396*K396</f>
        <v>3125.80359236283</v>
      </c>
      <c r="T396" s="23" t="n">
        <v>21776</v>
      </c>
      <c r="U396" s="23" t="n">
        <v>0</v>
      </c>
      <c r="V396" s="23" t="n">
        <f aca="false">T396+U396</f>
        <v>21776</v>
      </c>
      <c r="W396" s="30" t="n">
        <f aca="false">IF(I396&gt;0,V396/I396,"")</f>
        <v>10.404204491161</v>
      </c>
      <c r="X396" s="3" t="str">
        <f aca="false">IF(I396&lt;=0,"SIN FCST",IF(V396&lt;R396,"BAJO SS",IF(T396&lt;R396,"BAJO SS (XLIB CUBRE)",IF(V396&lt;S396,"BAJO P.REORDEN",IF(AND(ISNUMBER(Q396),V396&gt;Q396),"SOBRE MAX VENDIBLE","OK")))))</f>
        <v>OK</v>
      </c>
    </row>
    <row r="397" customFormat="false" ht="15" hidden="false" customHeight="false" outlineLevel="0" collapsed="false">
      <c r="A397" s="3" t="n">
        <v>30000723</v>
      </c>
      <c r="B397" s="3" t="s">
        <v>1021</v>
      </c>
      <c r="C397" s="3" t="s">
        <v>133</v>
      </c>
      <c r="D397" s="3" t="s">
        <v>758</v>
      </c>
      <c r="E397" s="3"/>
      <c r="F397" s="3" t="str">
        <f aca="false">IFERROR(INDEX(ABC_XYZ!$L$5:$L$494,MATCH(A397,ABC_XYZ!$A$5:$A$494,0)),"SIN HIST")</f>
        <v>SIN HIST</v>
      </c>
      <c r="G397" s="24" t="n">
        <f aca="false">IF(LEFT(F397,1)="A",Parametros!$B$8,IF(LEFT(F397,1)="B",Parametros!$B$9,IF(LEFT(F397,1)="C",Parametros!$B$10,Parametros!$B$11)))</f>
        <v>0.95</v>
      </c>
      <c r="H397" s="27" t="n">
        <f aca="false">NORMSINV(G397)</f>
        <v>1.64485362695147</v>
      </c>
      <c r="I397" s="23" t="n">
        <v>2093</v>
      </c>
      <c r="J397" s="23" t="n">
        <f aca="false">IFERROR(INDEX(ABC_XYZ!$R$5:$R$494,MATCH(A397,ABC_XYZ!$A$5:$A$494,0)),I397*Parametros!$B$13)</f>
        <v>627.9</v>
      </c>
      <c r="K397" s="27" t="n">
        <f aca="false">IFERROR(VLOOKUP(C397,Parametros!$A$36:$B$66,2,FALSE()),Parametros!$B$12)</f>
        <v>1</v>
      </c>
      <c r="L397" s="23" t="n">
        <f aca="false">H397*J397*SQRT(K397)</f>
        <v>1032.80359236283</v>
      </c>
      <c r="M397" s="29"/>
      <c r="N397" s="24"/>
      <c r="O397" s="3"/>
      <c r="P397" s="30" t="str">
        <f aca="false">IF(AND(ISNUMBER(M397),ISNUMBER(N397)),M397*N397/7,"")</f>
        <v/>
      </c>
      <c r="Q397" s="23" t="str">
        <f aca="false">IF(ISNUMBER(P397),I397*P397,"")</f>
        <v/>
      </c>
      <c r="R397" s="23" t="n">
        <f aca="false">IF(ISNUMBER(Q397),MAX(0,MIN(L397,Q397-I397*K397)),L397)</f>
        <v>1032.80359236283</v>
      </c>
      <c r="S397" s="23" t="n">
        <f aca="false">R397+I397*K397</f>
        <v>3125.80359236283</v>
      </c>
      <c r="T397" s="23" t="n">
        <v>10800</v>
      </c>
      <c r="U397" s="23" t="n">
        <v>0</v>
      </c>
      <c r="V397" s="23" t="n">
        <f aca="false">T397+U397</f>
        <v>10800</v>
      </c>
      <c r="W397" s="30" t="n">
        <f aca="false">IF(I397&gt;0,V397/I397,"")</f>
        <v>5.16005733397038</v>
      </c>
      <c r="X397" s="3" t="str">
        <f aca="false">IF(I397&lt;=0,"SIN FCST",IF(V397&lt;R397,"BAJO SS",IF(T397&lt;R397,"BAJO SS (XLIB CUBRE)",IF(V397&lt;S397,"BAJO P.REORDEN",IF(AND(ISNUMBER(Q397),V397&gt;Q397),"SOBRE MAX VENDIBLE","OK")))))</f>
        <v>OK</v>
      </c>
    </row>
    <row r="398" customFormat="false" ht="15" hidden="false" customHeight="false" outlineLevel="0" collapsed="false">
      <c r="A398" s="3" t="n">
        <v>30002000</v>
      </c>
      <c r="B398" s="3" t="s">
        <v>1022</v>
      </c>
      <c r="C398" s="3" t="s">
        <v>148</v>
      </c>
      <c r="D398" s="3" t="s">
        <v>753</v>
      </c>
      <c r="E398" s="3"/>
      <c r="F398" s="3" t="str">
        <f aca="false">IFERROR(INDEX(ABC_XYZ!$L$5:$L$494,MATCH(A398,ABC_XYZ!$A$5:$A$494,0)),"SIN HIST")</f>
        <v>SIN HIST</v>
      </c>
      <c r="G398" s="24" t="n">
        <f aca="false">IF(LEFT(F398,1)="A",Parametros!$B$8,IF(LEFT(F398,1)="B",Parametros!$B$9,IF(LEFT(F398,1)="C",Parametros!$B$10,Parametros!$B$11)))</f>
        <v>0.95</v>
      </c>
      <c r="H398" s="27" t="n">
        <f aca="false">NORMSINV(G398)</f>
        <v>1.64485362695147</v>
      </c>
      <c r="I398" s="23" t="n">
        <v>2093</v>
      </c>
      <c r="J398" s="23" t="n">
        <f aca="false">IFERROR(INDEX(ABC_XYZ!$R$5:$R$494,MATCH(A398,ABC_XYZ!$A$5:$A$494,0)),I398*Parametros!$B$13)</f>
        <v>627.9</v>
      </c>
      <c r="K398" s="27" t="n">
        <f aca="false">IFERROR(VLOOKUP(C398,Parametros!$A$36:$B$66,2,FALSE()),Parametros!$B$12)</f>
        <v>1</v>
      </c>
      <c r="L398" s="23" t="n">
        <f aca="false">H398*J398*SQRT(K398)</f>
        <v>1032.80359236283</v>
      </c>
      <c r="M398" s="29"/>
      <c r="N398" s="24"/>
      <c r="O398" s="3"/>
      <c r="P398" s="30" t="str">
        <f aca="false">IF(AND(ISNUMBER(M398),ISNUMBER(N398)),M398*N398/7,"")</f>
        <v/>
      </c>
      <c r="Q398" s="23" t="str">
        <f aca="false">IF(ISNUMBER(P398),I398*P398,"")</f>
        <v/>
      </c>
      <c r="R398" s="23" t="n">
        <f aca="false">IF(ISNUMBER(Q398),MAX(0,MIN(L398,Q398-I398*K398)),L398)</f>
        <v>1032.80359236283</v>
      </c>
      <c r="S398" s="23" t="n">
        <f aca="false">R398+I398*K398</f>
        <v>3125.80359236283</v>
      </c>
      <c r="T398" s="23" t="n">
        <v>12030</v>
      </c>
      <c r="U398" s="23" t="n">
        <v>0</v>
      </c>
      <c r="V398" s="23" t="n">
        <f aca="false">T398+U398</f>
        <v>12030</v>
      </c>
      <c r="W398" s="30" t="n">
        <f aca="false">IF(I398&gt;0,V398/I398,"")</f>
        <v>5.74773053033923</v>
      </c>
      <c r="X398" s="3" t="str">
        <f aca="false">IF(I398&lt;=0,"SIN FCST",IF(V398&lt;R398,"BAJO SS",IF(T398&lt;R398,"BAJO SS (XLIB CUBRE)",IF(V398&lt;S398,"BAJO P.REORDEN",IF(AND(ISNUMBER(Q398),V398&gt;Q398),"SOBRE MAX VENDIBLE","OK")))))</f>
        <v>OK</v>
      </c>
    </row>
    <row r="399" customFormat="false" ht="15" hidden="false" customHeight="false" outlineLevel="0" collapsed="false">
      <c r="A399" s="3" t="n">
        <v>30000880</v>
      </c>
      <c r="B399" s="3" t="s">
        <v>1023</v>
      </c>
      <c r="C399" s="3" t="s">
        <v>133</v>
      </c>
      <c r="D399" s="3" t="s">
        <v>769</v>
      </c>
      <c r="E399" s="3"/>
      <c r="F399" s="3" t="str">
        <f aca="false">IFERROR(INDEX(ABC_XYZ!$L$5:$L$494,MATCH(A399,ABC_XYZ!$A$5:$A$494,0)),"SIN HIST")</f>
        <v>SIN HIST</v>
      </c>
      <c r="G399" s="24" t="n">
        <f aca="false">IF(LEFT(F399,1)="A",Parametros!$B$8,IF(LEFT(F399,1)="B",Parametros!$B$9,IF(LEFT(F399,1)="C",Parametros!$B$10,Parametros!$B$11)))</f>
        <v>0.95</v>
      </c>
      <c r="H399" s="27" t="n">
        <f aca="false">NORMSINV(G399)</f>
        <v>1.64485362695147</v>
      </c>
      <c r="I399" s="23" t="n">
        <v>2093</v>
      </c>
      <c r="J399" s="23" t="n">
        <f aca="false">IFERROR(INDEX(ABC_XYZ!$R$5:$R$494,MATCH(A399,ABC_XYZ!$A$5:$A$494,0)),I399*Parametros!$B$13)</f>
        <v>627.9</v>
      </c>
      <c r="K399" s="27" t="n">
        <f aca="false">IFERROR(VLOOKUP(C399,Parametros!$A$36:$B$66,2,FALSE()),Parametros!$B$12)</f>
        <v>1</v>
      </c>
      <c r="L399" s="23" t="n">
        <f aca="false">H399*J399*SQRT(K399)</f>
        <v>1032.80359236283</v>
      </c>
      <c r="M399" s="29"/>
      <c r="N399" s="24"/>
      <c r="O399" s="3"/>
      <c r="P399" s="30" t="str">
        <f aca="false">IF(AND(ISNUMBER(M399),ISNUMBER(N399)),M399*N399/7,"")</f>
        <v/>
      </c>
      <c r="Q399" s="23" t="str">
        <f aca="false">IF(ISNUMBER(P399),I399*P399,"")</f>
        <v/>
      </c>
      <c r="R399" s="23" t="n">
        <f aca="false">IF(ISNUMBER(Q399),MAX(0,MIN(L399,Q399-I399*K399)),L399)</f>
        <v>1032.80359236283</v>
      </c>
      <c r="S399" s="23" t="n">
        <f aca="false">R399+I399*K399</f>
        <v>3125.80359236283</v>
      </c>
      <c r="T399" s="23" t="n">
        <v>13870</v>
      </c>
      <c r="U399" s="23" t="n">
        <v>0</v>
      </c>
      <c r="V399" s="23" t="n">
        <f aca="false">T399+U399</f>
        <v>13870</v>
      </c>
      <c r="W399" s="30" t="n">
        <f aca="false">IF(I399&gt;0,V399/I399,"")</f>
        <v>6.62685140946011</v>
      </c>
      <c r="X399" s="3" t="str">
        <f aca="false">IF(I399&lt;=0,"SIN FCST",IF(V399&lt;R399,"BAJO SS",IF(T399&lt;R399,"BAJO SS (XLIB CUBRE)",IF(V399&lt;S399,"BAJO P.REORDEN",IF(AND(ISNUMBER(Q399),V399&gt;Q399),"SOBRE MAX VENDIBLE","OK")))))</f>
        <v>OK</v>
      </c>
    </row>
    <row r="400" customFormat="false" ht="15" hidden="false" customHeight="false" outlineLevel="0" collapsed="false">
      <c r="A400" s="3" t="n">
        <v>30001945</v>
      </c>
      <c r="B400" s="3" t="s">
        <v>478</v>
      </c>
      <c r="C400" s="3" t="s">
        <v>135</v>
      </c>
      <c r="D400" s="3" t="s">
        <v>753</v>
      </c>
      <c r="E400" s="3" t="s">
        <v>762</v>
      </c>
      <c r="F400" s="3" t="str">
        <f aca="false">IFERROR(INDEX(ABC_XYZ!$L$5:$L$494,MATCH(A400,ABC_XYZ!$A$5:$A$494,0)),"SIN HIST")</f>
        <v>BX</v>
      </c>
      <c r="G400" s="24" t="n">
        <f aca="false">IF(LEFT(F400,1)="A",Parametros!$B$8,IF(LEFT(F400,1)="B",Parametros!$B$9,IF(LEFT(F400,1)="C",Parametros!$B$10,Parametros!$B$11)))</f>
        <v>0.95</v>
      </c>
      <c r="H400" s="27" t="n">
        <f aca="false">NORMSINV(G400)</f>
        <v>1.64485362695147</v>
      </c>
      <c r="I400" s="23" t="n">
        <v>2050.6</v>
      </c>
      <c r="J400" s="23" t="n">
        <f aca="false">IFERROR(INDEX(ABC_XYZ!$R$5:$R$494,MATCH(A400,ABC_XYZ!$A$5:$A$494,0)),I400*Parametros!$B$13)</f>
        <v>794.513452748522</v>
      </c>
      <c r="K400" s="27" t="n">
        <f aca="false">IFERROR(VLOOKUP(C400,Parametros!$A$36:$B$66,2,FALSE()),Parametros!$B$12)</f>
        <v>1</v>
      </c>
      <c r="L400" s="23" t="n">
        <f aca="false">H400*J400*SQRT(K400)</f>
        <v>1306.85833441514</v>
      </c>
      <c r="M400" s="29" t="n">
        <v>90</v>
      </c>
      <c r="N400" s="24" t="n">
        <v>0.222222222222222</v>
      </c>
      <c r="O400" s="3" t="s">
        <v>754</v>
      </c>
      <c r="P400" s="30" t="n">
        <f aca="false">IF(AND(ISNUMBER(M400),ISNUMBER(N400)),M400*N400/7,"")</f>
        <v>2.85714285714286</v>
      </c>
      <c r="Q400" s="23" t="n">
        <f aca="false">IF(ISNUMBER(P400),I400*P400,"")</f>
        <v>5858.85714285714</v>
      </c>
      <c r="R400" s="23" t="n">
        <f aca="false">IF(ISNUMBER(Q400),MAX(0,MIN(L400,Q400-I400*K400)),L400)</f>
        <v>1306.85833441514</v>
      </c>
      <c r="S400" s="23" t="n">
        <f aca="false">R400+I400*K400</f>
        <v>3357.45833441514</v>
      </c>
      <c r="T400" s="23" t="n">
        <v>5001.6</v>
      </c>
      <c r="U400" s="23" t="n">
        <v>0</v>
      </c>
      <c r="V400" s="23" t="n">
        <f aca="false">T400+U400</f>
        <v>5001.6</v>
      </c>
      <c r="W400" s="30" t="n">
        <f aca="false">IF(I400&gt;0,V400/I400,"")</f>
        <v>2.43909099775675</v>
      </c>
      <c r="X400" s="3" t="str">
        <f aca="false">IF(I400&lt;=0,"SIN FCST",IF(V400&lt;R400,"BAJO SS",IF(T400&lt;R400,"BAJO SS (XLIB CUBRE)",IF(V400&lt;S400,"BAJO P.REORDEN",IF(AND(ISNUMBER(Q400),V400&gt;Q400),"SOBRE MAX VENDIBLE","OK")))))</f>
        <v>OK</v>
      </c>
    </row>
    <row r="401" customFormat="false" ht="15" hidden="false" customHeight="false" outlineLevel="0" collapsed="false">
      <c r="A401" s="3" t="n">
        <v>30000006</v>
      </c>
      <c r="B401" s="3" t="s">
        <v>1024</v>
      </c>
      <c r="C401" s="3" t="s">
        <v>139</v>
      </c>
      <c r="D401" s="3" t="s">
        <v>753</v>
      </c>
      <c r="E401" s="3" t="s">
        <v>745</v>
      </c>
      <c r="F401" s="3" t="str">
        <f aca="false">IFERROR(INDEX(ABC_XYZ!$L$5:$L$494,MATCH(A401,ABC_XYZ!$A$5:$A$494,0)),"SIN HIST")</f>
        <v>BX</v>
      </c>
      <c r="G401" s="24" t="n">
        <f aca="false">IF(LEFT(F401,1)="A",Parametros!$B$8,IF(LEFT(F401,1)="B",Parametros!$B$9,IF(LEFT(F401,1)="C",Parametros!$B$10,Parametros!$B$11)))</f>
        <v>0.95</v>
      </c>
      <c r="H401" s="27" t="n">
        <f aca="false">NORMSINV(G401)</f>
        <v>1.64485362695147</v>
      </c>
      <c r="I401" s="23" t="n">
        <v>2049.9</v>
      </c>
      <c r="J401" s="23" t="n">
        <f aca="false">IFERROR(INDEX(ABC_XYZ!$R$5:$R$494,MATCH(A401,ABC_XYZ!$A$5:$A$494,0)),I401*Parametros!$B$13)</f>
        <v>1954.26402599431</v>
      </c>
      <c r="K401" s="27" t="n">
        <f aca="false">IFERROR(VLOOKUP(C401,Parametros!$A$36:$B$66,2,FALSE()),Parametros!$B$12)</f>
        <v>1</v>
      </c>
      <c r="L401" s="23" t="n">
        <f aca="false">H401*J401*SQRT(K401)</f>
        <v>3214.47827117753</v>
      </c>
      <c r="M401" s="29" t="n">
        <v>187</v>
      </c>
      <c r="N401" s="24" t="n">
        <v>0.240641711229947</v>
      </c>
      <c r="O401" s="3" t="s">
        <v>746</v>
      </c>
      <c r="P401" s="30" t="n">
        <f aca="false">IF(AND(ISNUMBER(M401),ISNUMBER(N401)),M401*N401/7,"")</f>
        <v>6.42857142857143</v>
      </c>
      <c r="Q401" s="23" t="n">
        <f aca="false">IF(ISNUMBER(P401),I401*P401,"")</f>
        <v>13177.9285714286</v>
      </c>
      <c r="R401" s="23" t="n">
        <f aca="false">IF(ISNUMBER(Q401),MAX(0,MIN(L401,Q401-I401*K401)),L401)</f>
        <v>3214.47827117753</v>
      </c>
      <c r="S401" s="23" t="n">
        <f aca="false">R401+I401*K401</f>
        <v>5264.37827117753</v>
      </c>
      <c r="T401" s="23" t="n">
        <v>27564</v>
      </c>
      <c r="U401" s="23" t="n">
        <v>0</v>
      </c>
      <c r="V401" s="23" t="n">
        <f aca="false">T401+U401</f>
        <v>27564</v>
      </c>
      <c r="W401" s="30" t="n">
        <f aca="false">IF(I401&gt;0,V401/I401,"")</f>
        <v>13.4465095858335</v>
      </c>
      <c r="X401" s="3" t="str">
        <f aca="false">IF(I401&lt;=0,"SIN FCST",IF(V401&lt;R401,"BAJO SS",IF(T401&lt;R401,"BAJO SS (XLIB CUBRE)",IF(V401&lt;S401,"BAJO P.REORDEN",IF(AND(ISNUMBER(Q401),V401&gt;Q401),"SOBRE MAX VENDIBLE","OK")))))</f>
        <v>SOBRE MAX VENDIBLE</v>
      </c>
    </row>
    <row r="402" customFormat="false" ht="15" hidden="false" customHeight="false" outlineLevel="0" collapsed="false">
      <c r="A402" s="3" t="n">
        <v>30001698</v>
      </c>
      <c r="B402" s="3" t="s">
        <v>539</v>
      </c>
      <c r="C402" s="3" t="s">
        <v>152</v>
      </c>
      <c r="D402" s="3" t="s">
        <v>753</v>
      </c>
      <c r="E402" s="3" t="s">
        <v>745</v>
      </c>
      <c r="F402" s="3" t="str">
        <f aca="false">IFERROR(INDEX(ABC_XYZ!$L$5:$L$494,MATCH(A402,ABC_XYZ!$A$5:$A$494,0)),"SIN HIST")</f>
        <v>CY</v>
      </c>
      <c r="G402" s="24" t="n">
        <f aca="false">IF(LEFT(F402,1)="A",Parametros!$B$8,IF(LEFT(F402,1)="B",Parametros!$B$9,IF(LEFT(F402,1)="C",Parametros!$B$10,Parametros!$B$11)))</f>
        <v>0.9</v>
      </c>
      <c r="H402" s="27" t="n">
        <f aca="false">NORMSINV(G402)</f>
        <v>1.2815515655446</v>
      </c>
      <c r="I402" s="23" t="n">
        <v>2040.4</v>
      </c>
      <c r="J402" s="23" t="n">
        <f aca="false">IFERROR(INDEX(ABC_XYZ!$R$5:$R$494,MATCH(A402,ABC_XYZ!$A$5:$A$494,0)),I402*Parametros!$B$13)</f>
        <v>850.835336047267</v>
      </c>
      <c r="K402" s="27" t="n">
        <f aca="false">IFERROR(VLOOKUP(C402,Parametros!$A$36:$B$66,2,FALSE()),Parametros!$B$12)</f>
        <v>1</v>
      </c>
      <c r="L402" s="23" t="n">
        <f aca="false">H402*J402*SQRT(K402)</f>
        <v>1090.38935693204</v>
      </c>
      <c r="M402" s="29" t="n">
        <v>365</v>
      </c>
      <c r="N402" s="24" t="n">
        <v>0.194520547945206</v>
      </c>
      <c r="O402" s="3" t="s">
        <v>746</v>
      </c>
      <c r="P402" s="30" t="n">
        <f aca="false">IF(AND(ISNUMBER(M402),ISNUMBER(N402)),M402*N402/7,"")</f>
        <v>10.1428571428571</v>
      </c>
      <c r="Q402" s="23" t="n">
        <f aca="false">IF(ISNUMBER(P402),I402*P402,"")</f>
        <v>20695.4857142857</v>
      </c>
      <c r="R402" s="23" t="n">
        <f aca="false">IF(ISNUMBER(Q402),MAX(0,MIN(L402,Q402-I402*K402)),L402)</f>
        <v>1090.38935693204</v>
      </c>
      <c r="S402" s="23" t="n">
        <f aca="false">R402+I402*K402</f>
        <v>3130.78935693204</v>
      </c>
      <c r="T402" s="23" t="n">
        <v>18221.8</v>
      </c>
      <c r="U402" s="23" t="n">
        <v>0</v>
      </c>
      <c r="V402" s="23" t="n">
        <f aca="false">T402+U402</f>
        <v>18221.8</v>
      </c>
      <c r="W402" s="30" t="n">
        <f aca="false">IF(I402&gt;0,V402/I402,"")</f>
        <v>8.93050382277985</v>
      </c>
      <c r="X402" s="3" t="str">
        <f aca="false">IF(I402&lt;=0,"SIN FCST",IF(V402&lt;R402,"BAJO SS",IF(T402&lt;R402,"BAJO SS (XLIB CUBRE)",IF(V402&lt;S402,"BAJO P.REORDEN",IF(AND(ISNUMBER(Q402),V402&gt;Q402),"SOBRE MAX VENDIBLE","OK")))))</f>
        <v>OK</v>
      </c>
    </row>
    <row r="403" customFormat="false" ht="15" hidden="false" customHeight="false" outlineLevel="0" collapsed="false">
      <c r="A403" s="3" t="n">
        <v>30000172</v>
      </c>
      <c r="B403" s="3" t="s">
        <v>1025</v>
      </c>
      <c r="C403" s="3" t="s">
        <v>144</v>
      </c>
      <c r="D403" s="3" t="s">
        <v>753</v>
      </c>
      <c r="E403" s="3" t="s">
        <v>745</v>
      </c>
      <c r="F403" s="3" t="str">
        <f aca="false">IFERROR(INDEX(ABC_XYZ!$L$5:$L$494,MATCH(A403,ABC_XYZ!$A$5:$A$494,0)),"SIN HIST")</f>
        <v>CX</v>
      </c>
      <c r="G403" s="24" t="n">
        <f aca="false">IF(LEFT(F403,1)="A",Parametros!$B$8,IF(LEFT(F403,1)="B",Parametros!$B$9,IF(LEFT(F403,1)="C",Parametros!$B$10,Parametros!$B$11)))</f>
        <v>0.9</v>
      </c>
      <c r="H403" s="27" t="n">
        <f aca="false">NORMSINV(G403)</f>
        <v>1.2815515655446</v>
      </c>
      <c r="I403" s="23" t="n">
        <v>2038.3</v>
      </c>
      <c r="J403" s="23" t="n">
        <f aca="false">IFERROR(INDEX(ABC_XYZ!$R$5:$R$494,MATCH(A403,ABC_XYZ!$A$5:$A$494,0)),I403*Parametros!$B$13)</f>
        <v>918.079328453339</v>
      </c>
      <c r="K403" s="27" t="n">
        <f aca="false">IFERROR(VLOOKUP(C403,Parametros!$A$36:$B$66,2,FALSE()),Parametros!$B$12)</f>
        <v>1</v>
      </c>
      <c r="L403" s="23" t="n">
        <f aca="false">H403*J403*SQRT(K403)</f>
        <v>1176.56600067351</v>
      </c>
      <c r="M403" s="29" t="n">
        <v>184</v>
      </c>
      <c r="N403" s="24" t="n">
        <v>0.190217391304348</v>
      </c>
      <c r="O403" s="3" t="s">
        <v>746</v>
      </c>
      <c r="P403" s="30" t="n">
        <f aca="false">IF(AND(ISNUMBER(M403),ISNUMBER(N403)),M403*N403/7,"")</f>
        <v>5</v>
      </c>
      <c r="Q403" s="23" t="n">
        <f aca="false">IF(ISNUMBER(P403),I403*P403,"")</f>
        <v>10191.5</v>
      </c>
      <c r="R403" s="23" t="n">
        <f aca="false">IF(ISNUMBER(Q403),MAX(0,MIN(L403,Q403-I403*K403)),L403)</f>
        <v>1176.56600067351</v>
      </c>
      <c r="S403" s="23" t="n">
        <f aca="false">R403+I403*K403</f>
        <v>3214.86600067351</v>
      </c>
      <c r="T403" s="23" t="n">
        <v>201.6</v>
      </c>
      <c r="U403" s="23" t="n">
        <v>3973.2</v>
      </c>
      <c r="V403" s="23" t="n">
        <f aca="false">T403+U403</f>
        <v>4174.8</v>
      </c>
      <c r="W403" s="30" t="n">
        <f aca="false">IF(I403&gt;0,V403/I403,"")</f>
        <v>2.04817740273758</v>
      </c>
      <c r="X403" s="3" t="str">
        <f aca="false">IF(I403&lt;=0,"SIN FCST",IF(V403&lt;R403,"BAJO SS",IF(T403&lt;R403,"BAJO SS (XLIB CUBRE)",IF(V403&lt;S403,"BAJO P.REORDEN",IF(AND(ISNUMBER(Q403),V403&gt;Q403),"SOBRE MAX VENDIBLE","OK")))))</f>
        <v>BAJO SS (XLIB CUBRE)</v>
      </c>
    </row>
    <row r="404" customFormat="false" ht="15" hidden="false" customHeight="false" outlineLevel="0" collapsed="false">
      <c r="A404" s="3" t="n">
        <v>30000777</v>
      </c>
      <c r="B404" s="3" t="s">
        <v>1026</v>
      </c>
      <c r="C404" s="3" t="s">
        <v>133</v>
      </c>
      <c r="D404" s="3" t="s">
        <v>758</v>
      </c>
      <c r="E404" s="3"/>
      <c r="F404" s="3" t="str">
        <f aca="false">IFERROR(INDEX(ABC_XYZ!$L$5:$L$494,MATCH(A404,ABC_XYZ!$A$5:$A$494,0)),"SIN HIST")</f>
        <v>SIN HIST</v>
      </c>
      <c r="G404" s="24" t="n">
        <f aca="false">IF(LEFT(F404,1)="A",Parametros!$B$8,IF(LEFT(F404,1)="B",Parametros!$B$9,IF(LEFT(F404,1)="C",Parametros!$B$10,Parametros!$B$11)))</f>
        <v>0.95</v>
      </c>
      <c r="H404" s="27" t="n">
        <f aca="false">NORMSINV(G404)</f>
        <v>1.64485362695147</v>
      </c>
      <c r="I404" s="23" t="n">
        <v>2034.4</v>
      </c>
      <c r="J404" s="23" t="n">
        <f aca="false">IFERROR(INDEX(ABC_XYZ!$R$5:$R$494,MATCH(A404,ABC_XYZ!$A$5:$A$494,0)),I404*Parametros!$B$13)</f>
        <v>610.32</v>
      </c>
      <c r="K404" s="27" t="n">
        <f aca="false">IFERROR(VLOOKUP(C404,Parametros!$A$36:$B$66,2,FALSE()),Parametros!$B$12)</f>
        <v>1</v>
      </c>
      <c r="L404" s="23" t="n">
        <f aca="false">H404*J404*SQRT(K404)</f>
        <v>1003.88706560102</v>
      </c>
      <c r="M404" s="29"/>
      <c r="N404" s="24"/>
      <c r="O404" s="3"/>
      <c r="P404" s="30" t="str">
        <f aca="false">IF(AND(ISNUMBER(M404),ISNUMBER(N404)),M404*N404/7,"")</f>
        <v/>
      </c>
      <c r="Q404" s="23" t="str">
        <f aca="false">IF(ISNUMBER(P404),I404*P404,"")</f>
        <v/>
      </c>
      <c r="R404" s="23" t="n">
        <f aca="false">IF(ISNUMBER(Q404),MAX(0,MIN(L404,Q404-I404*K404)),L404)</f>
        <v>1003.88706560102</v>
      </c>
      <c r="S404" s="23" t="n">
        <f aca="false">R404+I404*K404</f>
        <v>3038.28706560102</v>
      </c>
      <c r="T404" s="23" t="n">
        <v>8736</v>
      </c>
      <c r="U404" s="23" t="n">
        <v>0</v>
      </c>
      <c r="V404" s="23" t="n">
        <f aca="false">T404+U404</f>
        <v>8736</v>
      </c>
      <c r="W404" s="30" t="n">
        <f aca="false">IF(I404&gt;0,V404/I404,"")</f>
        <v>4.29414077860794</v>
      </c>
      <c r="X404" s="3" t="str">
        <f aca="false">IF(I404&lt;=0,"SIN FCST",IF(V404&lt;R404,"BAJO SS",IF(T404&lt;R404,"BAJO SS (XLIB CUBRE)",IF(V404&lt;S404,"BAJO P.REORDEN",IF(AND(ISNUMBER(Q404),V404&gt;Q404),"SOBRE MAX VENDIBLE","OK")))))</f>
        <v>OK</v>
      </c>
    </row>
    <row r="405" customFormat="false" ht="15" hidden="false" customHeight="false" outlineLevel="0" collapsed="false">
      <c r="A405" s="3" t="n">
        <v>30000490</v>
      </c>
      <c r="B405" s="3" t="s">
        <v>1027</v>
      </c>
      <c r="C405" s="3" t="s">
        <v>155</v>
      </c>
      <c r="D405" s="3" t="s">
        <v>761</v>
      </c>
      <c r="E405" s="3" t="s">
        <v>762</v>
      </c>
      <c r="F405" s="3" t="str">
        <f aca="false">IFERROR(INDEX(ABC_XYZ!$L$5:$L$494,MATCH(A405,ABC_XYZ!$A$5:$A$494,0)),"SIN HIST")</f>
        <v>BX</v>
      </c>
      <c r="G405" s="24" t="n">
        <f aca="false">IF(LEFT(F405,1)="A",Parametros!$B$8,IF(LEFT(F405,1)="B",Parametros!$B$9,IF(LEFT(F405,1)="C",Parametros!$B$10,Parametros!$B$11)))</f>
        <v>0.95</v>
      </c>
      <c r="H405" s="27" t="n">
        <f aca="false">NORMSINV(G405)</f>
        <v>1.64485362695147</v>
      </c>
      <c r="I405" s="23" t="n">
        <v>2022</v>
      </c>
      <c r="J405" s="23" t="n">
        <f aca="false">IFERROR(INDEX(ABC_XYZ!$R$5:$R$494,MATCH(A405,ABC_XYZ!$A$5:$A$494,0)),I405*Parametros!$B$13)</f>
        <v>995.560150643802</v>
      </c>
      <c r="K405" s="27" t="n">
        <f aca="false">IFERROR(VLOOKUP(C405,Parametros!$A$36:$B$66,2,FALSE()),Parametros!$B$12)</f>
        <v>1</v>
      </c>
      <c r="L405" s="23" t="n">
        <f aca="false">H405*J405*SQRT(K405)</f>
        <v>1637.55072463481</v>
      </c>
      <c r="M405" s="29" t="n">
        <v>71</v>
      </c>
      <c r="N405" s="24" t="n">
        <v>0.295774647887324</v>
      </c>
      <c r="O405" s="3" t="s">
        <v>774</v>
      </c>
      <c r="P405" s="30" t="n">
        <f aca="false">IF(AND(ISNUMBER(M405),ISNUMBER(N405)),M405*N405/7,"")</f>
        <v>3</v>
      </c>
      <c r="Q405" s="23" t="n">
        <f aca="false">IF(ISNUMBER(P405),I405*P405,"")</f>
        <v>6066</v>
      </c>
      <c r="R405" s="23" t="n">
        <f aca="false">IF(ISNUMBER(Q405),MAX(0,MIN(L405,Q405-I405*K405)),L405)</f>
        <v>1637.55072463481</v>
      </c>
      <c r="S405" s="23" t="n">
        <f aca="false">R405+I405*K405</f>
        <v>3659.55072463481</v>
      </c>
      <c r="T405" s="23" t="n">
        <v>626.4</v>
      </c>
      <c r="U405" s="23" t="n">
        <v>2959.2</v>
      </c>
      <c r="V405" s="23" t="n">
        <f aca="false">T405+U405</f>
        <v>3585.6</v>
      </c>
      <c r="W405" s="30" t="n">
        <f aca="false">IF(I405&gt;0,V405/I405,"")</f>
        <v>1.77329376854599</v>
      </c>
      <c r="X405" s="3" t="str">
        <f aca="false">IF(I405&lt;=0,"SIN FCST",IF(V405&lt;R405,"BAJO SS",IF(T405&lt;R405,"BAJO SS (XLIB CUBRE)",IF(V405&lt;S405,"BAJO P.REORDEN",IF(AND(ISNUMBER(Q405),V405&gt;Q405),"SOBRE MAX VENDIBLE","OK")))))</f>
        <v>BAJO SS (XLIB CUBRE)</v>
      </c>
    </row>
    <row r="406" customFormat="false" ht="15" hidden="false" customHeight="false" outlineLevel="0" collapsed="false">
      <c r="A406" s="3" t="n">
        <v>30002273</v>
      </c>
      <c r="B406" s="3" t="s">
        <v>512</v>
      </c>
      <c r="C406" s="3" t="s">
        <v>138</v>
      </c>
      <c r="D406" s="3" t="s">
        <v>744</v>
      </c>
      <c r="E406" s="3"/>
      <c r="F406" s="3" t="str">
        <f aca="false">IFERROR(INDEX(ABC_XYZ!$L$5:$L$494,MATCH(A406,ABC_XYZ!$A$5:$A$494,0)),"SIN HIST")</f>
        <v>CY</v>
      </c>
      <c r="G406" s="24" t="n">
        <f aca="false">IF(LEFT(F406,1)="A",Parametros!$B$8,IF(LEFT(F406,1)="B",Parametros!$B$9,IF(LEFT(F406,1)="C",Parametros!$B$10,Parametros!$B$11)))</f>
        <v>0.9</v>
      </c>
      <c r="H406" s="27" t="n">
        <f aca="false">NORMSINV(G406)</f>
        <v>1.2815515655446</v>
      </c>
      <c r="I406" s="23" t="n">
        <v>2011.6</v>
      </c>
      <c r="J406" s="23" t="n">
        <f aca="false">IFERROR(INDEX(ABC_XYZ!$R$5:$R$494,MATCH(A406,ABC_XYZ!$A$5:$A$494,0)),I406*Parametros!$B$13)</f>
        <v>1222.73963490256</v>
      </c>
      <c r="K406" s="27" t="n">
        <f aca="false">IFERROR(VLOOKUP(C406,Parametros!$A$36:$B$66,2,FALSE()),Parametros!$B$12)</f>
        <v>1</v>
      </c>
      <c r="L406" s="23" t="n">
        <f aca="false">H406*J406*SQRT(K406)</f>
        <v>1567.0038933628</v>
      </c>
      <c r="M406" s="29"/>
      <c r="N406" s="24"/>
      <c r="O406" s="3"/>
      <c r="P406" s="30" t="str">
        <f aca="false">IF(AND(ISNUMBER(M406),ISNUMBER(N406)),M406*N406/7,"")</f>
        <v/>
      </c>
      <c r="Q406" s="23" t="str">
        <f aca="false">IF(ISNUMBER(P406),I406*P406,"")</f>
        <v/>
      </c>
      <c r="R406" s="23" t="n">
        <f aca="false">IF(ISNUMBER(Q406),MAX(0,MIN(L406,Q406-I406*K406)),L406)</f>
        <v>1567.0038933628</v>
      </c>
      <c r="S406" s="23" t="n">
        <f aca="false">R406+I406*K406</f>
        <v>3578.6038933628</v>
      </c>
      <c r="T406" s="23" t="n">
        <v>8301.6</v>
      </c>
      <c r="U406" s="23" t="n">
        <v>0</v>
      </c>
      <c r="V406" s="23" t="n">
        <f aca="false">T406+U406</f>
        <v>8301.6</v>
      </c>
      <c r="W406" s="30" t="n">
        <f aca="false">IF(I406&gt;0,V406/I406,"")</f>
        <v>4.12686418771128</v>
      </c>
      <c r="X406" s="3" t="str">
        <f aca="false">IF(I406&lt;=0,"SIN FCST",IF(V406&lt;R406,"BAJO SS",IF(T406&lt;R406,"BAJO SS (XLIB CUBRE)",IF(V406&lt;S406,"BAJO P.REORDEN",IF(AND(ISNUMBER(Q406),V406&gt;Q406),"SOBRE MAX VENDIBLE","OK")))))</f>
        <v>OK</v>
      </c>
    </row>
    <row r="407" customFormat="false" ht="15" hidden="false" customHeight="false" outlineLevel="0" collapsed="false">
      <c r="A407" s="3" t="n">
        <v>30001816</v>
      </c>
      <c r="B407" s="3" t="s">
        <v>1028</v>
      </c>
      <c r="C407" s="3" t="s">
        <v>155</v>
      </c>
      <c r="D407" s="3" t="s">
        <v>761</v>
      </c>
      <c r="E407" s="3" t="s">
        <v>762</v>
      </c>
      <c r="F407" s="3" t="str">
        <f aca="false">IFERROR(INDEX(ABC_XYZ!$L$5:$L$494,MATCH(A407,ABC_XYZ!$A$5:$A$494,0)),"SIN HIST")</f>
        <v>BX</v>
      </c>
      <c r="G407" s="24" t="n">
        <f aca="false">IF(LEFT(F407,1)="A",Parametros!$B$8,IF(LEFT(F407,1)="B",Parametros!$B$9,IF(LEFT(F407,1)="C",Parametros!$B$10,Parametros!$B$11)))</f>
        <v>0.95</v>
      </c>
      <c r="H407" s="27" t="n">
        <f aca="false">NORMSINV(G407)</f>
        <v>1.64485362695147</v>
      </c>
      <c r="I407" s="23" t="n">
        <v>2000</v>
      </c>
      <c r="J407" s="23" t="n">
        <f aca="false">IFERROR(INDEX(ABC_XYZ!$R$5:$R$494,MATCH(A407,ABC_XYZ!$A$5:$A$494,0)),I407*Parametros!$B$13)</f>
        <v>1597.54773893893</v>
      </c>
      <c r="K407" s="27" t="n">
        <f aca="false">IFERROR(VLOOKUP(C407,Parametros!$A$36:$B$66,2,FALSE()),Parametros!$B$12)</f>
        <v>1</v>
      </c>
      <c r="L407" s="23" t="n">
        <f aca="false">H407*J407*SQRT(K407)</f>
        <v>2627.73219262181</v>
      </c>
      <c r="M407" s="29" t="n">
        <v>62</v>
      </c>
      <c r="N407" s="24" t="n">
        <v>0.290322580645161</v>
      </c>
      <c r="O407" s="3" t="s">
        <v>780</v>
      </c>
      <c r="P407" s="30" t="n">
        <f aca="false">IF(AND(ISNUMBER(M407),ISNUMBER(N407)),M407*N407/7,"")</f>
        <v>2.57142857142857</v>
      </c>
      <c r="Q407" s="23" t="n">
        <f aca="false">IF(ISNUMBER(P407),I407*P407,"")</f>
        <v>5142.85714285714</v>
      </c>
      <c r="R407" s="23" t="n">
        <f aca="false">IF(ISNUMBER(Q407),MAX(0,MIN(L407,Q407-I407*K407)),L407)</f>
        <v>2627.73219262181</v>
      </c>
      <c r="S407" s="23" t="n">
        <f aca="false">R407+I407*K407</f>
        <v>4627.73219262181</v>
      </c>
      <c r="T407" s="23" t="n">
        <v>1896.5</v>
      </c>
      <c r="U407" s="23" t="n">
        <v>0</v>
      </c>
      <c r="V407" s="23" t="n">
        <f aca="false">T407+U407</f>
        <v>1896.5</v>
      </c>
      <c r="W407" s="30" t="n">
        <f aca="false">IF(I407&gt;0,V407/I407,"")</f>
        <v>0.94825</v>
      </c>
      <c r="X407" s="3" t="str">
        <f aca="false">IF(I407&lt;=0,"SIN FCST",IF(V407&lt;R407,"BAJO SS",IF(T407&lt;R407,"BAJO SS (XLIB CUBRE)",IF(V407&lt;S407,"BAJO P.REORDEN",IF(AND(ISNUMBER(Q407),V407&gt;Q407),"SOBRE MAX VENDIBLE","OK")))))</f>
        <v>BAJO SS</v>
      </c>
    </row>
    <row r="408" customFormat="false" ht="15" hidden="false" customHeight="false" outlineLevel="0" collapsed="false">
      <c r="A408" s="3" t="n">
        <v>30000671</v>
      </c>
      <c r="B408" s="3" t="s">
        <v>552</v>
      </c>
      <c r="C408" s="3" t="s">
        <v>129</v>
      </c>
      <c r="D408" s="3" t="s">
        <v>753</v>
      </c>
      <c r="E408" s="3" t="s">
        <v>745</v>
      </c>
      <c r="F408" s="3" t="str">
        <f aca="false">IFERROR(INDEX(ABC_XYZ!$L$5:$L$494,MATCH(A408,ABC_XYZ!$A$5:$A$494,0)),"SIN HIST")</f>
        <v>CX</v>
      </c>
      <c r="G408" s="24" t="n">
        <f aca="false">IF(LEFT(F408,1)="A",Parametros!$B$8,IF(LEFT(F408,1)="B",Parametros!$B$9,IF(LEFT(F408,1)="C",Parametros!$B$10,Parametros!$B$11)))</f>
        <v>0.9</v>
      </c>
      <c r="H408" s="27" t="n">
        <f aca="false">NORMSINV(G408)</f>
        <v>1.2815515655446</v>
      </c>
      <c r="I408" s="23" t="n">
        <v>1993</v>
      </c>
      <c r="J408" s="23" t="n">
        <f aca="false">IFERROR(INDEX(ABC_XYZ!$R$5:$R$494,MATCH(A408,ABC_XYZ!$A$5:$A$494,0)),I408*Parametros!$B$13)</f>
        <v>409.661619063018</v>
      </c>
      <c r="K408" s="27" t="n">
        <f aca="false">IFERROR(VLOOKUP(C408,Parametros!$A$36:$B$66,2,FALSE()),Parametros!$B$12)</f>
        <v>1</v>
      </c>
      <c r="L408" s="23" t="n">
        <f aca="false">H408*J408*SQRT(K408)</f>
        <v>525.002489253747</v>
      </c>
      <c r="M408" s="29" t="n">
        <v>730</v>
      </c>
      <c r="N408" s="24" t="n">
        <v>0.328767123287671</v>
      </c>
      <c r="O408" s="3" t="s">
        <v>772</v>
      </c>
      <c r="P408" s="30" t="n">
        <f aca="false">IF(AND(ISNUMBER(M408),ISNUMBER(N408)),M408*N408/7,"")</f>
        <v>34.2857142857143</v>
      </c>
      <c r="Q408" s="23" t="n">
        <f aca="false">IF(ISNUMBER(P408),I408*P408,"")</f>
        <v>68331.4285714286</v>
      </c>
      <c r="R408" s="23" t="n">
        <f aca="false">IF(ISNUMBER(Q408),MAX(0,MIN(L408,Q408-I408*K408)),L408)</f>
        <v>525.002489253747</v>
      </c>
      <c r="S408" s="23" t="n">
        <f aca="false">R408+I408*K408</f>
        <v>2518.00248925375</v>
      </c>
      <c r="T408" s="23" t="n">
        <v>36401</v>
      </c>
      <c r="U408" s="23" t="n">
        <v>0</v>
      </c>
      <c r="V408" s="23" t="n">
        <f aca="false">T408+U408</f>
        <v>36401</v>
      </c>
      <c r="W408" s="30" t="n">
        <f aca="false">IF(I408&gt;0,V408/I408,"")</f>
        <v>18.2644254892122</v>
      </c>
      <c r="X408" s="3" t="str">
        <f aca="false">IF(I408&lt;=0,"SIN FCST",IF(V408&lt;R408,"BAJO SS",IF(T408&lt;R408,"BAJO SS (XLIB CUBRE)",IF(V408&lt;S408,"BAJO P.REORDEN",IF(AND(ISNUMBER(Q408),V408&gt;Q408),"SOBRE MAX VENDIBLE","OK")))))</f>
        <v>OK</v>
      </c>
    </row>
    <row r="409" customFormat="false" ht="15" hidden="false" customHeight="false" outlineLevel="0" collapsed="false">
      <c r="A409" s="3" t="n">
        <v>30001902</v>
      </c>
      <c r="B409" s="3" t="s">
        <v>547</v>
      </c>
      <c r="C409" s="3" t="s">
        <v>155</v>
      </c>
      <c r="D409" s="3" t="s">
        <v>761</v>
      </c>
      <c r="E409" s="3" t="s">
        <v>762</v>
      </c>
      <c r="F409" s="3" t="str">
        <f aca="false">IFERROR(INDEX(ABC_XYZ!$L$5:$L$494,MATCH(A409,ABC_XYZ!$A$5:$A$494,0)),"SIN HIST")</f>
        <v>CX</v>
      </c>
      <c r="G409" s="24" t="n">
        <f aca="false">IF(LEFT(F409,1)="A",Parametros!$B$8,IF(LEFT(F409,1)="B",Parametros!$B$9,IF(LEFT(F409,1)="C",Parametros!$B$10,Parametros!$B$11)))</f>
        <v>0.9</v>
      </c>
      <c r="H409" s="27" t="n">
        <f aca="false">NORMSINV(G409)</f>
        <v>1.2815515655446</v>
      </c>
      <c r="I409" s="23" t="n">
        <v>1988</v>
      </c>
      <c r="J409" s="23" t="n">
        <f aca="false">IFERROR(INDEX(ABC_XYZ!$R$5:$R$494,MATCH(A409,ABC_XYZ!$A$5:$A$494,0)),I409*Parametros!$B$13)</f>
        <v>745.327556155363</v>
      </c>
      <c r="K409" s="27" t="n">
        <f aca="false">IFERROR(VLOOKUP(C409,Parametros!$A$36:$B$66,2,FALSE()),Parametros!$B$12)</f>
        <v>1</v>
      </c>
      <c r="L409" s="23" t="n">
        <f aca="false">H409*J409*SQRT(K409)</f>
        <v>955.175696434437</v>
      </c>
      <c r="M409" s="29" t="n">
        <v>71</v>
      </c>
      <c r="N409" s="24" t="n">
        <v>0.23943661971831</v>
      </c>
      <c r="O409" s="3" t="s">
        <v>772</v>
      </c>
      <c r="P409" s="30" t="n">
        <f aca="false">IF(AND(ISNUMBER(M409),ISNUMBER(N409)),M409*N409/7,"")</f>
        <v>2.42857142857143</v>
      </c>
      <c r="Q409" s="23" t="n">
        <f aca="false">IF(ISNUMBER(P409),I409*P409,"")</f>
        <v>4828</v>
      </c>
      <c r="R409" s="23" t="n">
        <f aca="false">IF(ISNUMBER(Q409),MAX(0,MIN(L409,Q409-I409*K409)),L409)</f>
        <v>955.175696434437</v>
      </c>
      <c r="S409" s="23" t="n">
        <f aca="false">R409+I409*K409</f>
        <v>2943.17569643444</v>
      </c>
      <c r="T409" s="23" t="n">
        <v>3148.2</v>
      </c>
      <c r="U409" s="23" t="n">
        <v>0</v>
      </c>
      <c r="V409" s="23" t="n">
        <f aca="false">T409+U409</f>
        <v>3148.2</v>
      </c>
      <c r="W409" s="30" t="n">
        <f aca="false">IF(I409&gt;0,V409/I409,"")</f>
        <v>1.58360160965795</v>
      </c>
      <c r="X409" s="3" t="str">
        <f aca="false">IF(I409&lt;=0,"SIN FCST",IF(V409&lt;R409,"BAJO SS",IF(T409&lt;R409,"BAJO SS (XLIB CUBRE)",IF(V409&lt;S409,"BAJO P.REORDEN",IF(AND(ISNUMBER(Q409),V409&gt;Q409),"SOBRE MAX VENDIBLE","OK")))))</f>
        <v>OK</v>
      </c>
    </row>
    <row r="410" customFormat="false" ht="15" hidden="false" customHeight="false" outlineLevel="0" collapsed="false">
      <c r="A410" s="3" t="n">
        <v>30001851</v>
      </c>
      <c r="B410" s="3" t="s">
        <v>1029</v>
      </c>
      <c r="C410" s="3" t="s">
        <v>139</v>
      </c>
      <c r="D410" s="3" t="s">
        <v>761</v>
      </c>
      <c r="E410" s="3" t="s">
        <v>762</v>
      </c>
      <c r="F410" s="3" t="str">
        <f aca="false">IFERROR(INDEX(ABC_XYZ!$L$5:$L$494,MATCH(A410,ABC_XYZ!$A$5:$A$494,0)),"SIN HIST")</f>
        <v>CX</v>
      </c>
      <c r="G410" s="24" t="n">
        <f aca="false">IF(LEFT(F410,1)="A",Parametros!$B$8,IF(LEFT(F410,1)="B",Parametros!$B$9,IF(LEFT(F410,1)="C",Parametros!$B$10,Parametros!$B$11)))</f>
        <v>0.9</v>
      </c>
      <c r="H410" s="27" t="n">
        <f aca="false">NORMSINV(G410)</f>
        <v>1.2815515655446</v>
      </c>
      <c r="I410" s="23" t="n">
        <v>1982.7</v>
      </c>
      <c r="J410" s="23" t="n">
        <f aca="false">IFERROR(INDEX(ABC_XYZ!$R$5:$R$494,MATCH(A410,ABC_XYZ!$A$5:$A$494,0)),I410*Parametros!$B$13)</f>
        <v>657.439900029177</v>
      </c>
      <c r="K410" s="27" t="n">
        <f aca="false">IFERROR(VLOOKUP(C410,Parametros!$A$36:$B$66,2,FALSE()),Parametros!$B$12)</f>
        <v>1</v>
      </c>
      <c r="L410" s="23" t="n">
        <f aca="false">H410*J410*SQRT(K410)</f>
        <v>842.543133133877</v>
      </c>
      <c r="M410" s="29" t="n">
        <v>60</v>
      </c>
      <c r="N410" s="24" t="n">
        <v>0.3</v>
      </c>
      <c r="O410" s="3" t="s">
        <v>774</v>
      </c>
      <c r="P410" s="30" t="n">
        <f aca="false">IF(AND(ISNUMBER(M410),ISNUMBER(N410)),M410*N410/7,"")</f>
        <v>2.57142857142857</v>
      </c>
      <c r="Q410" s="23" t="n">
        <f aca="false">IF(ISNUMBER(P410),I410*P410,"")</f>
        <v>5098.37142857143</v>
      </c>
      <c r="R410" s="23" t="n">
        <f aca="false">IF(ISNUMBER(Q410),MAX(0,MIN(L410,Q410-I410*K410)),L410)</f>
        <v>842.543133133877</v>
      </c>
      <c r="S410" s="23" t="n">
        <f aca="false">R410+I410*K410</f>
        <v>2825.24313313388</v>
      </c>
      <c r="T410" s="23" t="n">
        <v>0</v>
      </c>
      <c r="U410" s="23" t="n">
        <v>0</v>
      </c>
      <c r="V410" s="23" t="n">
        <f aca="false">T410+U410</f>
        <v>0</v>
      </c>
      <c r="W410" s="30" t="n">
        <f aca="false">IF(I410&gt;0,V410/I410,"")</f>
        <v>0</v>
      </c>
      <c r="X410" s="3" t="str">
        <f aca="false">IF(I410&lt;=0,"SIN FCST",IF(V410&lt;R410,"BAJO SS",IF(T410&lt;R410,"BAJO SS (XLIB CUBRE)",IF(V410&lt;S410,"BAJO P.REORDEN",IF(AND(ISNUMBER(Q410),V410&gt;Q410),"SOBRE MAX VENDIBLE","OK")))))</f>
        <v>BAJO SS</v>
      </c>
    </row>
    <row r="411" customFormat="false" ht="15" hidden="false" customHeight="false" outlineLevel="0" collapsed="false">
      <c r="A411" s="3" t="n">
        <v>30001889</v>
      </c>
      <c r="B411" s="3" t="s">
        <v>507</v>
      </c>
      <c r="C411" s="3" t="s">
        <v>147</v>
      </c>
      <c r="D411" s="3" t="s">
        <v>753</v>
      </c>
      <c r="E411" s="3" t="s">
        <v>762</v>
      </c>
      <c r="F411" s="3" t="str">
        <f aca="false">IFERROR(INDEX(ABC_XYZ!$L$5:$L$494,MATCH(A411,ABC_XYZ!$A$5:$A$494,0)),"SIN HIST")</f>
        <v>CX</v>
      </c>
      <c r="G411" s="24" t="n">
        <f aca="false">IF(LEFT(F411,1)="A",Parametros!$B$8,IF(LEFT(F411,1)="B",Parametros!$B$9,IF(LEFT(F411,1)="C",Parametros!$B$10,Parametros!$B$11)))</f>
        <v>0.9</v>
      </c>
      <c r="H411" s="27" t="n">
        <f aca="false">NORMSINV(G411)</f>
        <v>1.2815515655446</v>
      </c>
      <c r="I411" s="23" t="n">
        <v>1967.3</v>
      </c>
      <c r="J411" s="23" t="n">
        <f aca="false">IFERROR(INDEX(ABC_XYZ!$R$5:$R$494,MATCH(A411,ABC_XYZ!$A$5:$A$494,0)),I411*Parametros!$B$13)</f>
        <v>1087.38042534772</v>
      </c>
      <c r="K411" s="27" t="n">
        <f aca="false">IFERROR(VLOOKUP(C411,Parametros!$A$36:$B$66,2,FALSE()),Parametros!$B$12)</f>
        <v>1</v>
      </c>
      <c r="L411" s="23" t="n">
        <f aca="false">H411*J411*SQRT(K411)</f>
        <v>1393.53408644692</v>
      </c>
      <c r="M411" s="29" t="n">
        <v>110</v>
      </c>
      <c r="N411" s="24" t="n">
        <v>0.227272727272727</v>
      </c>
      <c r="O411" s="3" t="s">
        <v>754</v>
      </c>
      <c r="P411" s="30" t="n">
        <f aca="false">IF(AND(ISNUMBER(M411),ISNUMBER(N411)),M411*N411/7,"")</f>
        <v>3.57142857142857</v>
      </c>
      <c r="Q411" s="23" t="n">
        <f aca="false">IF(ISNUMBER(P411),I411*P411,"")</f>
        <v>7026.07142857143</v>
      </c>
      <c r="R411" s="23" t="n">
        <f aca="false">IF(ISNUMBER(Q411),MAX(0,MIN(L411,Q411-I411*K411)),L411)</f>
        <v>1393.53408644692</v>
      </c>
      <c r="S411" s="23" t="n">
        <f aca="false">R411+I411*K411</f>
        <v>3360.83408644692</v>
      </c>
      <c r="T411" s="23" t="n">
        <v>4898.4</v>
      </c>
      <c r="U411" s="23" t="n">
        <v>1524</v>
      </c>
      <c r="V411" s="23" t="n">
        <f aca="false">T411+U411</f>
        <v>6422.4</v>
      </c>
      <c r="W411" s="30" t="n">
        <f aca="false">IF(I411&gt;0,V411/I411,"")</f>
        <v>3.26457581456819</v>
      </c>
      <c r="X411" s="3" t="str">
        <f aca="false">IF(I411&lt;=0,"SIN FCST",IF(V411&lt;R411,"BAJO SS",IF(T411&lt;R411,"BAJO SS (XLIB CUBRE)",IF(V411&lt;S411,"BAJO P.REORDEN",IF(AND(ISNUMBER(Q411),V411&gt;Q411),"SOBRE MAX VENDIBLE","OK")))))</f>
        <v>OK</v>
      </c>
    </row>
    <row r="412" customFormat="false" ht="15" hidden="false" customHeight="false" outlineLevel="0" collapsed="false">
      <c r="A412" s="3" t="n">
        <v>30000807</v>
      </c>
      <c r="B412" s="3" t="s">
        <v>1030</v>
      </c>
      <c r="C412" s="3" t="s">
        <v>133</v>
      </c>
      <c r="D412" s="3" t="s">
        <v>758</v>
      </c>
      <c r="E412" s="3"/>
      <c r="F412" s="3" t="str">
        <f aca="false">IFERROR(INDEX(ABC_XYZ!$L$5:$L$494,MATCH(A412,ABC_XYZ!$A$5:$A$494,0)),"SIN HIST")</f>
        <v>SIN HIST</v>
      </c>
      <c r="G412" s="24" t="n">
        <f aca="false">IF(LEFT(F412,1)="A",Parametros!$B$8,IF(LEFT(F412,1)="B",Parametros!$B$9,IF(LEFT(F412,1)="C",Parametros!$B$10,Parametros!$B$11)))</f>
        <v>0.95</v>
      </c>
      <c r="H412" s="27" t="n">
        <f aca="false">NORMSINV(G412)</f>
        <v>1.64485362695147</v>
      </c>
      <c r="I412" s="23" t="n">
        <v>1962.8</v>
      </c>
      <c r="J412" s="23" t="n">
        <f aca="false">IFERROR(INDEX(ABC_XYZ!$R$5:$R$494,MATCH(A412,ABC_XYZ!$A$5:$A$494,0)),I412*Parametros!$B$13)</f>
        <v>588.84</v>
      </c>
      <c r="K412" s="27" t="n">
        <f aca="false">IFERROR(VLOOKUP(C412,Parametros!$A$36:$B$66,2,FALSE()),Parametros!$B$12)</f>
        <v>1</v>
      </c>
      <c r="L412" s="23" t="n">
        <f aca="false">H412*J412*SQRT(K412)</f>
        <v>968.555609694104</v>
      </c>
      <c r="M412" s="29"/>
      <c r="N412" s="24"/>
      <c r="O412" s="3"/>
      <c r="P412" s="30" t="str">
        <f aca="false">IF(AND(ISNUMBER(M412),ISNUMBER(N412)),M412*N412/7,"")</f>
        <v/>
      </c>
      <c r="Q412" s="23" t="str">
        <f aca="false">IF(ISNUMBER(P412),I412*P412,"")</f>
        <v/>
      </c>
      <c r="R412" s="23" t="n">
        <f aca="false">IF(ISNUMBER(Q412),MAX(0,MIN(L412,Q412-I412*K412)),L412)</f>
        <v>968.555609694104</v>
      </c>
      <c r="S412" s="23" t="n">
        <f aca="false">R412+I412*K412</f>
        <v>2931.3556096941</v>
      </c>
      <c r="T412" s="23" t="n">
        <v>14936</v>
      </c>
      <c r="U412" s="23" t="n">
        <v>0</v>
      </c>
      <c r="V412" s="23" t="n">
        <f aca="false">T412+U412</f>
        <v>14936</v>
      </c>
      <c r="W412" s="30" t="n">
        <f aca="false">IF(I412&gt;0,V412/I412,"")</f>
        <v>7.60953739555737</v>
      </c>
      <c r="X412" s="3" t="str">
        <f aca="false">IF(I412&lt;=0,"SIN FCST",IF(V412&lt;R412,"BAJO SS",IF(T412&lt;R412,"BAJO SS (XLIB CUBRE)",IF(V412&lt;S412,"BAJO P.REORDEN",IF(AND(ISNUMBER(Q412),V412&gt;Q412),"SOBRE MAX VENDIBLE","OK")))))</f>
        <v>OK</v>
      </c>
    </row>
    <row r="413" customFormat="false" ht="15" hidden="false" customHeight="false" outlineLevel="0" collapsed="false">
      <c r="A413" s="3" t="n">
        <v>30002094</v>
      </c>
      <c r="B413" s="3" t="s">
        <v>1031</v>
      </c>
      <c r="C413" s="3" t="s">
        <v>147</v>
      </c>
      <c r="D413" s="3" t="s">
        <v>761</v>
      </c>
      <c r="E413" s="3" t="s">
        <v>762</v>
      </c>
      <c r="F413" s="3" t="str">
        <f aca="false">IFERROR(INDEX(ABC_XYZ!$L$5:$L$494,MATCH(A413,ABC_XYZ!$A$5:$A$494,0)),"SIN HIST")</f>
        <v>BX</v>
      </c>
      <c r="G413" s="24" t="n">
        <f aca="false">IF(LEFT(F413,1)="A",Parametros!$B$8,IF(LEFT(F413,1)="B",Parametros!$B$9,IF(LEFT(F413,1)="C",Parametros!$B$10,Parametros!$B$11)))</f>
        <v>0.95</v>
      </c>
      <c r="H413" s="27" t="n">
        <f aca="false">NORMSINV(G413)</f>
        <v>1.64485362695147</v>
      </c>
      <c r="I413" s="23" t="n">
        <v>1948.1</v>
      </c>
      <c r="J413" s="23" t="n">
        <f aca="false">IFERROR(INDEX(ABC_XYZ!$R$5:$R$494,MATCH(A413,ABC_XYZ!$A$5:$A$494,0)),I413*Parametros!$B$13)</f>
        <v>850.264008696402</v>
      </c>
      <c r="K413" s="27" t="n">
        <f aca="false">IFERROR(VLOOKUP(C413,Parametros!$A$36:$B$66,2,FALSE()),Parametros!$B$12)</f>
        <v>1</v>
      </c>
      <c r="L413" s="23" t="n">
        <f aca="false">H413*J413*SQRT(K413)</f>
        <v>1398.55983857057</v>
      </c>
      <c r="M413" s="29" t="n">
        <v>57</v>
      </c>
      <c r="N413" s="24" t="n">
        <v>0.228070175438597</v>
      </c>
      <c r="O413" s="3" t="s">
        <v>754</v>
      </c>
      <c r="P413" s="30" t="n">
        <f aca="false">IF(AND(ISNUMBER(M413),ISNUMBER(N413)),M413*N413/7,"")</f>
        <v>1.85714285714286</v>
      </c>
      <c r="Q413" s="23" t="n">
        <f aca="false">IF(ISNUMBER(P413),I413*P413,"")</f>
        <v>3617.9</v>
      </c>
      <c r="R413" s="23" t="n">
        <f aca="false">IF(ISNUMBER(Q413),MAX(0,MIN(L413,Q413-I413*K413)),L413)</f>
        <v>1398.55983857057</v>
      </c>
      <c r="S413" s="23" t="n">
        <f aca="false">R413+I413*K413</f>
        <v>3346.65983857057</v>
      </c>
      <c r="T413" s="23" t="n">
        <v>2924.1</v>
      </c>
      <c r="U413" s="23" t="n">
        <v>0</v>
      </c>
      <c r="V413" s="23" t="n">
        <f aca="false">T413+U413</f>
        <v>2924.1</v>
      </c>
      <c r="W413" s="30" t="n">
        <f aca="false">IF(I413&gt;0,V413/I413,"")</f>
        <v>1.50100097530928</v>
      </c>
      <c r="X413" s="3" t="str">
        <f aca="false">IF(I413&lt;=0,"SIN FCST",IF(V413&lt;R413,"BAJO SS",IF(T413&lt;R413,"BAJO SS (XLIB CUBRE)",IF(V413&lt;S413,"BAJO P.REORDEN",IF(AND(ISNUMBER(Q413),V413&gt;Q413),"SOBRE MAX VENDIBLE","OK")))))</f>
        <v>BAJO P.REORDEN</v>
      </c>
    </row>
    <row r="414" customFormat="false" ht="15" hidden="false" customHeight="false" outlineLevel="0" collapsed="false">
      <c r="A414" s="3" t="n">
        <v>30000793</v>
      </c>
      <c r="B414" s="3" t="s">
        <v>1032</v>
      </c>
      <c r="C414" s="3" t="s">
        <v>133</v>
      </c>
      <c r="D414" s="3" t="s">
        <v>769</v>
      </c>
      <c r="E414" s="3"/>
      <c r="F414" s="3" t="str">
        <f aca="false">IFERROR(INDEX(ABC_XYZ!$L$5:$L$494,MATCH(A414,ABC_XYZ!$A$5:$A$494,0)),"SIN HIST")</f>
        <v>SIN HIST</v>
      </c>
      <c r="G414" s="24" t="n">
        <f aca="false">IF(LEFT(F414,1)="A",Parametros!$B$8,IF(LEFT(F414,1)="B",Parametros!$B$9,IF(LEFT(F414,1)="C",Parametros!$B$10,Parametros!$B$11)))</f>
        <v>0.95</v>
      </c>
      <c r="H414" s="27" t="n">
        <f aca="false">NORMSINV(G414)</f>
        <v>1.64485362695147</v>
      </c>
      <c r="I414" s="23" t="n">
        <v>1929.5</v>
      </c>
      <c r="J414" s="23" t="n">
        <f aca="false">IFERROR(INDEX(ABC_XYZ!$R$5:$R$494,MATCH(A414,ABC_XYZ!$A$5:$A$494,0)),I414*Parametros!$B$13)</f>
        <v>578.85</v>
      </c>
      <c r="K414" s="27" t="n">
        <f aca="false">IFERROR(VLOOKUP(C414,Parametros!$A$36:$B$66,2,FALSE()),Parametros!$B$12)</f>
        <v>1</v>
      </c>
      <c r="L414" s="23" t="n">
        <f aca="false">H414*J414*SQRT(K414)</f>
        <v>952.123521960859</v>
      </c>
      <c r="M414" s="29"/>
      <c r="N414" s="24"/>
      <c r="O414" s="3"/>
      <c r="P414" s="30" t="str">
        <f aca="false">IF(AND(ISNUMBER(M414),ISNUMBER(N414)),M414*N414/7,"")</f>
        <v/>
      </c>
      <c r="Q414" s="23" t="str">
        <f aca="false">IF(ISNUMBER(P414),I414*P414,"")</f>
        <v/>
      </c>
      <c r="R414" s="23" t="n">
        <f aca="false">IF(ISNUMBER(Q414),MAX(0,MIN(L414,Q414-I414*K414)),L414)</f>
        <v>952.123521960859</v>
      </c>
      <c r="S414" s="23" t="n">
        <f aca="false">R414+I414*K414</f>
        <v>2881.62352196086</v>
      </c>
      <c r="T414" s="23" t="n">
        <v>17570</v>
      </c>
      <c r="U414" s="23" t="n">
        <v>0</v>
      </c>
      <c r="V414" s="23" t="n">
        <f aca="false">T414+U414</f>
        <v>17570</v>
      </c>
      <c r="W414" s="30" t="n">
        <f aca="false">IF(I414&gt;0,V414/I414,"")</f>
        <v>9.1059860067375</v>
      </c>
      <c r="X414" s="3" t="str">
        <f aca="false">IF(I414&lt;=0,"SIN FCST",IF(V414&lt;R414,"BAJO SS",IF(T414&lt;R414,"BAJO SS (XLIB CUBRE)",IF(V414&lt;S414,"BAJO P.REORDEN",IF(AND(ISNUMBER(Q414),V414&gt;Q414),"SOBRE MAX VENDIBLE","OK")))))</f>
        <v>OK</v>
      </c>
    </row>
    <row r="415" customFormat="false" ht="15" hidden="false" customHeight="false" outlineLevel="0" collapsed="false">
      <c r="A415" s="3" t="n">
        <v>30002172</v>
      </c>
      <c r="B415" s="3" t="s">
        <v>491</v>
      </c>
      <c r="C415" s="3" t="s">
        <v>135</v>
      </c>
      <c r="D415" s="3" t="s">
        <v>753</v>
      </c>
      <c r="E415" s="3"/>
      <c r="F415" s="3" t="str">
        <f aca="false">IFERROR(INDEX(ABC_XYZ!$L$5:$L$494,MATCH(A415,ABC_XYZ!$A$5:$A$494,0)),"SIN HIST")</f>
        <v>CY</v>
      </c>
      <c r="G415" s="24" t="n">
        <f aca="false">IF(LEFT(F415,1)="A",Parametros!$B$8,IF(LEFT(F415,1)="B",Parametros!$B$9,IF(LEFT(F415,1)="C",Parametros!$B$10,Parametros!$B$11)))</f>
        <v>0.9</v>
      </c>
      <c r="H415" s="27" t="n">
        <f aca="false">NORMSINV(G415)</f>
        <v>1.2815515655446</v>
      </c>
      <c r="I415" s="23" t="n">
        <v>1917</v>
      </c>
      <c r="J415" s="23" t="n">
        <f aca="false">IFERROR(INDEX(ABC_XYZ!$R$5:$R$494,MATCH(A415,ABC_XYZ!$A$5:$A$494,0)),I415*Parametros!$B$13)</f>
        <v>1681.47733648271</v>
      </c>
      <c r="K415" s="27" t="n">
        <f aca="false">IFERROR(VLOOKUP(C415,Parametros!$A$36:$B$66,2,FALSE()),Parametros!$B$12)</f>
        <v>1</v>
      </c>
      <c r="L415" s="23" t="n">
        <f aca="false">H415*J415*SQRT(K415)</f>
        <v>2154.89991299718</v>
      </c>
      <c r="M415" s="29" t="n">
        <v>123</v>
      </c>
      <c r="N415" s="24" t="n">
        <v>0.235772357723577</v>
      </c>
      <c r="O415" s="3" t="s">
        <v>754</v>
      </c>
      <c r="P415" s="30" t="n">
        <f aca="false">IF(AND(ISNUMBER(M415),ISNUMBER(N415)),M415*N415/7,"")</f>
        <v>4.14285714285714</v>
      </c>
      <c r="Q415" s="23" t="n">
        <f aca="false">IF(ISNUMBER(P415),I415*P415,"")</f>
        <v>7941.85714285714</v>
      </c>
      <c r="R415" s="23" t="n">
        <f aca="false">IF(ISNUMBER(Q415),MAX(0,MIN(L415,Q415-I415*K415)),L415)</f>
        <v>2154.89991299718</v>
      </c>
      <c r="S415" s="23" t="n">
        <f aca="false">R415+I415*K415</f>
        <v>4071.89991299718</v>
      </c>
      <c r="T415" s="23" t="n">
        <v>1699.2</v>
      </c>
      <c r="U415" s="23" t="n">
        <v>0</v>
      </c>
      <c r="V415" s="23" t="n">
        <f aca="false">T415+U415</f>
        <v>1699.2</v>
      </c>
      <c r="W415" s="30" t="n">
        <f aca="false">IF(I415&gt;0,V415/I415,"")</f>
        <v>0.886384976525822</v>
      </c>
      <c r="X415" s="3" t="str">
        <f aca="false">IF(I415&lt;=0,"SIN FCST",IF(V415&lt;R415,"BAJO SS",IF(T415&lt;R415,"BAJO SS (XLIB CUBRE)",IF(V415&lt;S415,"BAJO P.REORDEN",IF(AND(ISNUMBER(Q415),V415&gt;Q415),"SOBRE MAX VENDIBLE","OK")))))</f>
        <v>BAJO SS</v>
      </c>
    </row>
    <row r="416" customFormat="false" ht="15" hidden="false" customHeight="false" outlineLevel="0" collapsed="false">
      <c r="A416" s="3" t="n">
        <v>30002064</v>
      </c>
      <c r="B416" s="3" t="s">
        <v>509</v>
      </c>
      <c r="C416" s="3" t="s">
        <v>142</v>
      </c>
      <c r="D416" s="3" t="s">
        <v>750</v>
      </c>
      <c r="E416" s="3" t="s">
        <v>762</v>
      </c>
      <c r="F416" s="3" t="str">
        <f aca="false">IFERROR(INDEX(ABC_XYZ!$L$5:$L$494,MATCH(A416,ABC_XYZ!$A$5:$A$494,0)),"SIN HIST")</f>
        <v>CX</v>
      </c>
      <c r="G416" s="24" t="n">
        <f aca="false">IF(LEFT(F416,1)="A",Parametros!$B$8,IF(LEFT(F416,1)="B",Parametros!$B$9,IF(LEFT(F416,1)="C",Parametros!$B$10,Parametros!$B$11)))</f>
        <v>0.9</v>
      </c>
      <c r="H416" s="27" t="n">
        <f aca="false">NORMSINV(G416)</f>
        <v>1.2815515655446</v>
      </c>
      <c r="I416" s="23" t="n">
        <v>1900</v>
      </c>
      <c r="J416" s="23" t="n">
        <f aca="false">IFERROR(INDEX(ABC_XYZ!$R$5:$R$494,MATCH(A416,ABC_XYZ!$A$5:$A$494,0)),I416*Parametros!$B$13)</f>
        <v>976.005630680902</v>
      </c>
      <c r="K416" s="27" t="n">
        <f aca="false">IFERROR(VLOOKUP(C416,Parametros!$A$36:$B$66,2,FALSE()),Parametros!$B$12)</f>
        <v>1</v>
      </c>
      <c r="L416" s="23" t="n">
        <f aca="false">H416*J416*SQRT(K416)</f>
        <v>1250.80154397946</v>
      </c>
      <c r="M416" s="29" t="n">
        <v>184</v>
      </c>
      <c r="N416" s="24" t="n">
        <v>0.211956521739131</v>
      </c>
      <c r="O416" s="3" t="s">
        <v>754</v>
      </c>
      <c r="P416" s="30" t="n">
        <f aca="false">IF(AND(ISNUMBER(M416),ISNUMBER(N416)),M416*N416/7,"")</f>
        <v>5.57142857142857</v>
      </c>
      <c r="Q416" s="23" t="n">
        <f aca="false">IF(ISNUMBER(P416),I416*P416,"")</f>
        <v>10585.7142857143</v>
      </c>
      <c r="R416" s="23" t="n">
        <f aca="false">IF(ISNUMBER(Q416),MAX(0,MIN(L416,Q416-I416*K416)),L416)</f>
        <v>1250.80154397946</v>
      </c>
      <c r="S416" s="23" t="n">
        <f aca="false">R416+I416*K416</f>
        <v>3150.80154397946</v>
      </c>
      <c r="T416" s="23" t="n">
        <v>4948.8</v>
      </c>
      <c r="U416" s="23" t="n">
        <v>0</v>
      </c>
      <c r="V416" s="23" t="n">
        <f aca="false">T416+U416</f>
        <v>4948.8</v>
      </c>
      <c r="W416" s="30" t="n">
        <f aca="false">IF(I416&gt;0,V416/I416,"")</f>
        <v>2.60463157894737</v>
      </c>
      <c r="X416" s="3" t="str">
        <f aca="false">IF(I416&lt;=0,"SIN FCST",IF(V416&lt;R416,"BAJO SS",IF(T416&lt;R416,"BAJO SS (XLIB CUBRE)",IF(V416&lt;S416,"BAJO P.REORDEN",IF(AND(ISNUMBER(Q416),V416&gt;Q416),"SOBRE MAX VENDIBLE","OK")))))</f>
        <v>OK</v>
      </c>
    </row>
    <row r="417" customFormat="false" ht="15" hidden="false" customHeight="false" outlineLevel="0" collapsed="false">
      <c r="A417" s="3" t="n">
        <v>30000105</v>
      </c>
      <c r="B417" s="3" t="s">
        <v>1033</v>
      </c>
      <c r="C417" s="3" t="s">
        <v>143</v>
      </c>
      <c r="D417" s="3" t="s">
        <v>750</v>
      </c>
      <c r="E417" s="3" t="s">
        <v>762</v>
      </c>
      <c r="F417" s="3" t="str">
        <f aca="false">IFERROR(INDEX(ABC_XYZ!$L$5:$L$494,MATCH(A417,ABC_XYZ!$A$5:$A$494,0)),"SIN HIST")</f>
        <v>SIN HIST</v>
      </c>
      <c r="G417" s="24" t="n">
        <f aca="false">IF(LEFT(F417,1)="A",Parametros!$B$8,IF(LEFT(F417,1)="B",Parametros!$B$9,IF(LEFT(F417,1)="C",Parametros!$B$10,Parametros!$B$11)))</f>
        <v>0.95</v>
      </c>
      <c r="H417" s="27" t="n">
        <f aca="false">NORMSINV(G417)</f>
        <v>1.64485362695147</v>
      </c>
      <c r="I417" s="23" t="n">
        <v>1889.4</v>
      </c>
      <c r="J417" s="23" t="n">
        <f aca="false">IFERROR(INDEX(ABC_XYZ!$R$5:$R$494,MATCH(A417,ABC_XYZ!$A$5:$A$494,0)),I417*Parametros!$B$13)</f>
        <v>566.82</v>
      </c>
      <c r="K417" s="27" t="n">
        <f aca="false">IFERROR(VLOOKUP(C417,Parametros!$A$36:$B$66,2,FALSE()),Parametros!$B$12)</f>
        <v>1</v>
      </c>
      <c r="L417" s="23" t="n">
        <f aca="false">H417*J417*SQRT(K417)</f>
        <v>932.335932828633</v>
      </c>
      <c r="M417" s="29" t="n">
        <v>245</v>
      </c>
      <c r="N417" s="24" t="n">
        <v>0.220408163265306</v>
      </c>
      <c r="O417" s="3" t="s">
        <v>754</v>
      </c>
      <c r="P417" s="30" t="n">
        <f aca="false">IF(AND(ISNUMBER(M417),ISNUMBER(N417)),M417*N417/7,"")</f>
        <v>7.71428571428571</v>
      </c>
      <c r="Q417" s="23" t="n">
        <f aca="false">IF(ISNUMBER(P417),I417*P417,"")</f>
        <v>14575.3714285714</v>
      </c>
      <c r="R417" s="23" t="n">
        <f aca="false">IF(ISNUMBER(Q417),MAX(0,MIN(L417,Q417-I417*K417)),L417)</f>
        <v>932.335932828633</v>
      </c>
      <c r="S417" s="23" t="n">
        <f aca="false">R417+I417*K417</f>
        <v>2821.73593282863</v>
      </c>
      <c r="T417" s="23" t="n">
        <v>5260</v>
      </c>
      <c r="U417" s="23" t="n">
        <v>0</v>
      </c>
      <c r="V417" s="23" t="n">
        <f aca="false">T417+U417</f>
        <v>5260</v>
      </c>
      <c r="W417" s="30" t="n">
        <f aca="false">IF(I417&gt;0,V417/I417,"")</f>
        <v>2.78395257753784</v>
      </c>
      <c r="X417" s="3" t="str">
        <f aca="false">IF(I417&lt;=0,"SIN FCST",IF(V417&lt;R417,"BAJO SS",IF(T417&lt;R417,"BAJO SS (XLIB CUBRE)",IF(V417&lt;S417,"BAJO P.REORDEN",IF(AND(ISNUMBER(Q417),V417&gt;Q417),"SOBRE MAX VENDIBLE","OK")))))</f>
        <v>OK</v>
      </c>
    </row>
    <row r="418" customFormat="false" ht="15" hidden="false" customHeight="false" outlineLevel="0" collapsed="false">
      <c r="A418" s="3" t="n">
        <v>30000086</v>
      </c>
      <c r="B418" s="3" t="s">
        <v>1034</v>
      </c>
      <c r="C418" s="3" t="s">
        <v>142</v>
      </c>
      <c r="D418" s="3" t="s">
        <v>750</v>
      </c>
      <c r="E418" s="3" t="s">
        <v>762</v>
      </c>
      <c r="F418" s="3" t="str">
        <f aca="false">IFERROR(INDEX(ABC_XYZ!$L$5:$L$494,MATCH(A418,ABC_XYZ!$A$5:$A$494,0)),"SIN HIST")</f>
        <v>CY</v>
      </c>
      <c r="G418" s="24" t="n">
        <f aca="false">IF(LEFT(F418,1)="A",Parametros!$B$8,IF(LEFT(F418,1)="B",Parametros!$B$9,IF(LEFT(F418,1)="C",Parametros!$B$10,Parametros!$B$11)))</f>
        <v>0.9</v>
      </c>
      <c r="H418" s="27" t="n">
        <f aca="false">NORMSINV(G418)</f>
        <v>1.2815515655446</v>
      </c>
      <c r="I418" s="23" t="n">
        <v>1875</v>
      </c>
      <c r="J418" s="23" t="n">
        <f aca="false">IFERROR(INDEX(ABC_XYZ!$R$5:$R$494,MATCH(A418,ABC_XYZ!$A$5:$A$494,0)),I418*Parametros!$B$13)</f>
        <v>721.99442100421</v>
      </c>
      <c r="K418" s="27" t="n">
        <f aca="false">IFERROR(VLOOKUP(C418,Parametros!$A$36:$B$66,2,FALSE()),Parametros!$B$12)</f>
        <v>1</v>
      </c>
      <c r="L418" s="23" t="n">
        <f aca="false">H418*J418*SQRT(K418)</f>
        <v>925.273080552413</v>
      </c>
      <c r="M418" s="29" t="n">
        <v>184</v>
      </c>
      <c r="N418" s="24" t="n">
        <v>0.244565217391304</v>
      </c>
      <c r="O418" s="3" t="s">
        <v>772</v>
      </c>
      <c r="P418" s="30" t="n">
        <f aca="false">IF(AND(ISNUMBER(M418),ISNUMBER(N418)),M418*N418/7,"")</f>
        <v>6.42857142857143</v>
      </c>
      <c r="Q418" s="23" t="n">
        <f aca="false">IF(ISNUMBER(P418),I418*P418,"")</f>
        <v>12053.5714285714</v>
      </c>
      <c r="R418" s="23" t="n">
        <f aca="false">IF(ISNUMBER(Q418),MAX(0,MIN(L418,Q418-I418*K418)),L418)</f>
        <v>925.273080552413</v>
      </c>
      <c r="S418" s="23" t="n">
        <f aca="false">R418+I418*K418</f>
        <v>2800.27308055241</v>
      </c>
      <c r="T418" s="23" t="n">
        <v>10278</v>
      </c>
      <c r="U418" s="23" t="n">
        <v>0</v>
      </c>
      <c r="V418" s="23" t="n">
        <f aca="false">T418+U418</f>
        <v>10278</v>
      </c>
      <c r="W418" s="30" t="n">
        <f aca="false">IF(I418&gt;0,V418/I418,"")</f>
        <v>5.4816</v>
      </c>
      <c r="X418" s="3" t="str">
        <f aca="false">IF(I418&lt;=0,"SIN FCST",IF(V418&lt;R418,"BAJO SS",IF(T418&lt;R418,"BAJO SS (XLIB CUBRE)",IF(V418&lt;S418,"BAJO P.REORDEN",IF(AND(ISNUMBER(Q418),V418&gt;Q418),"SOBRE MAX VENDIBLE","OK")))))</f>
        <v>OK</v>
      </c>
    </row>
    <row r="419" customFormat="false" ht="15" hidden="false" customHeight="false" outlineLevel="0" collapsed="false">
      <c r="A419" s="3" t="n">
        <v>30000173</v>
      </c>
      <c r="B419" s="3" t="s">
        <v>1035</v>
      </c>
      <c r="C419" s="3" t="s">
        <v>144</v>
      </c>
      <c r="D419" s="3" t="s">
        <v>753</v>
      </c>
      <c r="E419" s="3" t="s">
        <v>745</v>
      </c>
      <c r="F419" s="3" t="str">
        <f aca="false">IFERROR(INDEX(ABC_XYZ!$L$5:$L$494,MATCH(A419,ABC_XYZ!$A$5:$A$494,0)),"SIN HIST")</f>
        <v>CX</v>
      </c>
      <c r="G419" s="24" t="n">
        <f aca="false">IF(LEFT(F419,1)="A",Parametros!$B$8,IF(LEFT(F419,1)="B",Parametros!$B$9,IF(LEFT(F419,1)="C",Parametros!$B$10,Parametros!$B$11)))</f>
        <v>0.9</v>
      </c>
      <c r="H419" s="27" t="n">
        <f aca="false">NORMSINV(G419)</f>
        <v>1.2815515655446</v>
      </c>
      <c r="I419" s="23" t="n">
        <v>1868.6</v>
      </c>
      <c r="J419" s="23" t="n">
        <f aca="false">IFERROR(INDEX(ABC_XYZ!$R$5:$R$494,MATCH(A419,ABC_XYZ!$A$5:$A$494,0)),I419*Parametros!$B$13)</f>
        <v>1208.11652859592</v>
      </c>
      <c r="K419" s="27" t="n">
        <f aca="false">IFERROR(VLOOKUP(C419,Parametros!$A$36:$B$66,2,FALSE()),Parametros!$B$12)</f>
        <v>1</v>
      </c>
      <c r="L419" s="23" t="n">
        <f aca="false">H419*J419*SQRT(K419)</f>
        <v>1548.26362858242</v>
      </c>
      <c r="M419" s="29" t="n">
        <v>184</v>
      </c>
      <c r="N419" s="24" t="n">
        <v>0.190217391304348</v>
      </c>
      <c r="O419" s="3" t="s">
        <v>746</v>
      </c>
      <c r="P419" s="30" t="n">
        <f aca="false">IF(AND(ISNUMBER(M419),ISNUMBER(N419)),M419*N419/7,"")</f>
        <v>5</v>
      </c>
      <c r="Q419" s="23" t="n">
        <f aca="false">IF(ISNUMBER(P419),I419*P419,"")</f>
        <v>9343</v>
      </c>
      <c r="R419" s="23" t="n">
        <f aca="false">IF(ISNUMBER(Q419),MAX(0,MIN(L419,Q419-I419*K419)),L419)</f>
        <v>1548.26362858242</v>
      </c>
      <c r="S419" s="23" t="n">
        <f aca="false">R419+I419*K419</f>
        <v>3416.86362858242</v>
      </c>
      <c r="T419" s="23" t="n">
        <v>3229.8</v>
      </c>
      <c r="U419" s="23" t="n">
        <v>0</v>
      </c>
      <c r="V419" s="23" t="n">
        <f aca="false">T419+U419</f>
        <v>3229.8</v>
      </c>
      <c r="W419" s="30" t="n">
        <f aca="false">IF(I419&gt;0,V419/I419,"")</f>
        <v>1.72845980948304</v>
      </c>
      <c r="X419" s="3" t="str">
        <f aca="false">IF(I419&lt;=0,"SIN FCST",IF(V419&lt;R419,"BAJO SS",IF(T419&lt;R419,"BAJO SS (XLIB CUBRE)",IF(V419&lt;S419,"BAJO P.REORDEN",IF(AND(ISNUMBER(Q419),V419&gt;Q419),"SOBRE MAX VENDIBLE","OK")))))</f>
        <v>BAJO P.REORDEN</v>
      </c>
    </row>
    <row r="420" customFormat="false" ht="15" hidden="false" customHeight="false" outlineLevel="0" collapsed="false">
      <c r="A420" s="3" t="n">
        <v>30000201</v>
      </c>
      <c r="B420" s="3" t="s">
        <v>1036</v>
      </c>
      <c r="C420" s="3" t="s">
        <v>134</v>
      </c>
      <c r="D420" s="3" t="s">
        <v>753</v>
      </c>
      <c r="E420" s="3" t="s">
        <v>745</v>
      </c>
      <c r="F420" s="3" t="str">
        <f aca="false">IFERROR(INDEX(ABC_XYZ!$L$5:$L$494,MATCH(A420,ABC_XYZ!$A$5:$A$494,0)),"SIN HIST")</f>
        <v>SIN HIST</v>
      </c>
      <c r="G420" s="24" t="n">
        <f aca="false">IF(LEFT(F420,1)="A",Parametros!$B$8,IF(LEFT(F420,1)="B",Parametros!$B$9,IF(LEFT(F420,1)="C",Parametros!$B$10,Parametros!$B$11)))</f>
        <v>0.95</v>
      </c>
      <c r="H420" s="27" t="n">
        <f aca="false">NORMSINV(G420)</f>
        <v>1.64485362695147</v>
      </c>
      <c r="I420" s="23" t="n">
        <v>1860.5</v>
      </c>
      <c r="J420" s="23" t="n">
        <f aca="false">IFERROR(INDEX(ABC_XYZ!$R$5:$R$494,MATCH(A420,ABC_XYZ!$A$5:$A$494,0)),I420*Parametros!$B$13)</f>
        <v>558.15</v>
      </c>
      <c r="K420" s="27" t="n">
        <f aca="false">IFERROR(VLOOKUP(C420,Parametros!$A$36:$B$66,2,FALSE()),Parametros!$B$12)</f>
        <v>1</v>
      </c>
      <c r="L420" s="23" t="n">
        <f aca="false">H420*J420*SQRT(K420)</f>
        <v>918.075051882964</v>
      </c>
      <c r="M420" s="29" t="n">
        <v>245</v>
      </c>
      <c r="N420" s="24" t="n">
        <v>0.236734693877551</v>
      </c>
      <c r="O420" s="3" t="s">
        <v>746</v>
      </c>
      <c r="P420" s="30" t="n">
        <f aca="false">IF(AND(ISNUMBER(M420),ISNUMBER(N420)),M420*N420/7,"")</f>
        <v>8.28571428571429</v>
      </c>
      <c r="Q420" s="23" t="n">
        <f aca="false">IF(ISNUMBER(P420),I420*P420,"")</f>
        <v>15415.5714285714</v>
      </c>
      <c r="R420" s="23" t="n">
        <f aca="false">IF(ISNUMBER(Q420),MAX(0,MIN(L420,Q420-I420*K420)),L420)</f>
        <v>918.075051882964</v>
      </c>
      <c r="S420" s="23" t="n">
        <f aca="false">R420+I420*K420</f>
        <v>2778.57505188296</v>
      </c>
      <c r="T420" s="23" t="n">
        <v>6120</v>
      </c>
      <c r="U420" s="23" t="n">
        <v>0</v>
      </c>
      <c r="V420" s="23" t="n">
        <f aca="false">T420+U420</f>
        <v>6120</v>
      </c>
      <c r="W420" s="30" t="n">
        <f aca="false">IF(I420&gt;0,V420/I420,"")</f>
        <v>3.28943832303144</v>
      </c>
      <c r="X420" s="3" t="str">
        <f aca="false">IF(I420&lt;=0,"SIN FCST",IF(V420&lt;R420,"BAJO SS",IF(T420&lt;R420,"BAJO SS (XLIB CUBRE)",IF(V420&lt;S420,"BAJO P.REORDEN",IF(AND(ISNUMBER(Q420),V420&gt;Q420),"SOBRE MAX VENDIBLE","OK")))))</f>
        <v>OK</v>
      </c>
    </row>
    <row r="421" customFormat="false" ht="15" hidden="false" customHeight="false" outlineLevel="0" collapsed="false">
      <c r="A421" s="3" t="n">
        <v>30001915</v>
      </c>
      <c r="B421" s="3" t="s">
        <v>1037</v>
      </c>
      <c r="C421" s="3" t="s">
        <v>148</v>
      </c>
      <c r="D421" s="3" t="s">
        <v>753</v>
      </c>
      <c r="E421" s="3"/>
      <c r="F421" s="3" t="str">
        <f aca="false">IFERROR(INDEX(ABC_XYZ!$L$5:$L$494,MATCH(A421,ABC_XYZ!$A$5:$A$494,0)),"SIN HIST")</f>
        <v>SIN HIST</v>
      </c>
      <c r="G421" s="24" t="n">
        <f aca="false">IF(LEFT(F421,1)="A",Parametros!$B$8,IF(LEFT(F421,1)="B",Parametros!$B$9,IF(LEFT(F421,1)="C",Parametros!$B$10,Parametros!$B$11)))</f>
        <v>0.95</v>
      </c>
      <c r="H421" s="27" t="n">
        <f aca="false">NORMSINV(G421)</f>
        <v>1.64485362695147</v>
      </c>
      <c r="I421" s="23" t="n">
        <v>1860.5</v>
      </c>
      <c r="J421" s="23" t="n">
        <f aca="false">IFERROR(INDEX(ABC_XYZ!$R$5:$R$494,MATCH(A421,ABC_XYZ!$A$5:$A$494,0)),I421*Parametros!$B$13)</f>
        <v>558.15</v>
      </c>
      <c r="K421" s="27" t="n">
        <f aca="false">IFERROR(VLOOKUP(C421,Parametros!$A$36:$B$66,2,FALSE()),Parametros!$B$12)</f>
        <v>1</v>
      </c>
      <c r="L421" s="23" t="n">
        <f aca="false">H421*J421*SQRT(K421)</f>
        <v>918.075051882964</v>
      </c>
      <c r="M421" s="29" t="n">
        <v>245</v>
      </c>
      <c r="N421" s="24" t="n">
        <v>0.26</v>
      </c>
      <c r="O421" s="3" t="s">
        <v>754</v>
      </c>
      <c r="P421" s="30" t="n">
        <f aca="false">IF(AND(ISNUMBER(M421),ISNUMBER(N421)),M421*N421/7,"")</f>
        <v>9.1</v>
      </c>
      <c r="Q421" s="23" t="n">
        <f aca="false">IF(ISNUMBER(P421),I421*P421,"")</f>
        <v>16930.55</v>
      </c>
      <c r="R421" s="23" t="n">
        <f aca="false">IF(ISNUMBER(Q421),MAX(0,MIN(L421,Q421-I421*K421)),L421)</f>
        <v>918.075051882964</v>
      </c>
      <c r="S421" s="23" t="n">
        <f aca="false">R421+I421*K421</f>
        <v>2778.57505188296</v>
      </c>
      <c r="T421" s="23" t="n">
        <v>12240</v>
      </c>
      <c r="U421" s="23" t="n">
        <v>0</v>
      </c>
      <c r="V421" s="23" t="n">
        <f aca="false">T421+U421</f>
        <v>12240</v>
      </c>
      <c r="W421" s="30" t="n">
        <f aca="false">IF(I421&gt;0,V421/I421,"")</f>
        <v>6.57887664606289</v>
      </c>
      <c r="X421" s="3" t="str">
        <f aca="false">IF(I421&lt;=0,"SIN FCST",IF(V421&lt;R421,"BAJO SS",IF(T421&lt;R421,"BAJO SS (XLIB CUBRE)",IF(V421&lt;S421,"BAJO P.REORDEN",IF(AND(ISNUMBER(Q421),V421&gt;Q421),"SOBRE MAX VENDIBLE","OK")))))</f>
        <v>OK</v>
      </c>
    </row>
    <row r="422" customFormat="false" ht="15" hidden="false" customHeight="false" outlineLevel="0" collapsed="false">
      <c r="A422" s="3" t="n">
        <v>30000603</v>
      </c>
      <c r="B422" s="3" t="s">
        <v>1038</v>
      </c>
      <c r="C422" s="3" t="s">
        <v>129</v>
      </c>
      <c r="D422" s="3" t="s">
        <v>769</v>
      </c>
      <c r="E422" s="3" t="s">
        <v>745</v>
      </c>
      <c r="F422" s="3" t="str">
        <f aca="false">IFERROR(INDEX(ABC_XYZ!$L$5:$L$494,MATCH(A422,ABC_XYZ!$A$5:$A$494,0)),"SIN HIST")</f>
        <v>SIN HIST</v>
      </c>
      <c r="G422" s="24" t="n">
        <f aca="false">IF(LEFT(F422,1)="A",Parametros!$B$8,IF(LEFT(F422,1)="B",Parametros!$B$9,IF(LEFT(F422,1)="C",Parametros!$B$10,Parametros!$B$11)))</f>
        <v>0.95</v>
      </c>
      <c r="H422" s="27" t="n">
        <f aca="false">NORMSINV(G422)</f>
        <v>1.64485362695147</v>
      </c>
      <c r="I422" s="23" t="n">
        <v>1860.5</v>
      </c>
      <c r="J422" s="23" t="n">
        <f aca="false">IFERROR(INDEX(ABC_XYZ!$R$5:$R$494,MATCH(A422,ABC_XYZ!$A$5:$A$494,0)),I422*Parametros!$B$13)</f>
        <v>558.15</v>
      </c>
      <c r="K422" s="27" t="n">
        <f aca="false">IFERROR(VLOOKUP(C422,Parametros!$A$36:$B$66,2,FALSE()),Parametros!$B$12)</f>
        <v>1</v>
      </c>
      <c r="L422" s="23" t="n">
        <f aca="false">H422*J422*SQRT(K422)</f>
        <v>918.075051882964</v>
      </c>
      <c r="M422" s="29" t="n">
        <v>1460</v>
      </c>
      <c r="N422" s="24" t="n">
        <v>0.49041095890411</v>
      </c>
      <c r="O422" s="3" t="s">
        <v>763</v>
      </c>
      <c r="P422" s="30" t="n">
        <f aca="false">IF(AND(ISNUMBER(M422),ISNUMBER(N422)),M422*N422/7,"")</f>
        <v>102.285714285714</v>
      </c>
      <c r="Q422" s="23" t="n">
        <f aca="false">IF(ISNUMBER(P422),I422*P422,"")</f>
        <v>190302.571428571</v>
      </c>
      <c r="R422" s="23" t="n">
        <f aca="false">IF(ISNUMBER(Q422),MAX(0,MIN(L422,Q422-I422*K422)),L422)</f>
        <v>918.075051882964</v>
      </c>
      <c r="S422" s="23" t="n">
        <f aca="false">R422+I422*K422</f>
        <v>2778.57505188296</v>
      </c>
      <c r="T422" s="23" t="n">
        <v>34182</v>
      </c>
      <c r="U422" s="23" t="n">
        <v>0</v>
      </c>
      <c r="V422" s="23" t="n">
        <f aca="false">T422+U422</f>
        <v>34182</v>
      </c>
      <c r="W422" s="30" t="n">
        <f aca="false">IF(I422&gt;0,V422/I422,"")</f>
        <v>18.3724805159903</v>
      </c>
      <c r="X422" s="3" t="str">
        <f aca="false">IF(I422&lt;=0,"SIN FCST",IF(V422&lt;R422,"BAJO SS",IF(T422&lt;R422,"BAJO SS (XLIB CUBRE)",IF(V422&lt;S422,"BAJO P.REORDEN",IF(AND(ISNUMBER(Q422),V422&gt;Q422),"SOBRE MAX VENDIBLE","OK")))))</f>
        <v>OK</v>
      </c>
    </row>
    <row r="423" customFormat="false" ht="15" hidden="false" customHeight="false" outlineLevel="0" collapsed="false">
      <c r="A423" s="3" t="n">
        <v>30001920</v>
      </c>
      <c r="B423" s="3" t="s">
        <v>1039</v>
      </c>
      <c r="C423" s="3" t="s">
        <v>136</v>
      </c>
      <c r="D423" s="3" t="s">
        <v>769</v>
      </c>
      <c r="E423" s="3" t="s">
        <v>745</v>
      </c>
      <c r="F423" s="3" t="str">
        <f aca="false">IFERROR(INDEX(ABC_XYZ!$L$5:$L$494,MATCH(A423,ABC_XYZ!$A$5:$A$494,0)),"SIN HIST")</f>
        <v>SIN HIST</v>
      </c>
      <c r="G423" s="24" t="n">
        <f aca="false">IF(LEFT(F423,1)="A",Parametros!$B$8,IF(LEFT(F423,1)="B",Parametros!$B$9,IF(LEFT(F423,1)="C",Parametros!$B$10,Parametros!$B$11)))</f>
        <v>0.95</v>
      </c>
      <c r="H423" s="27" t="n">
        <f aca="false">NORMSINV(G423)</f>
        <v>1.64485362695147</v>
      </c>
      <c r="I423" s="23" t="n">
        <v>1860.5</v>
      </c>
      <c r="J423" s="23" t="n">
        <f aca="false">IFERROR(INDEX(ABC_XYZ!$R$5:$R$494,MATCH(A423,ABC_XYZ!$A$5:$A$494,0)),I423*Parametros!$B$13)</f>
        <v>558.15</v>
      </c>
      <c r="K423" s="27" t="n">
        <f aca="false">IFERROR(VLOOKUP(C423,Parametros!$A$36:$B$66,2,FALSE()),Parametros!$B$12)</f>
        <v>1</v>
      </c>
      <c r="L423" s="23" t="n">
        <f aca="false">H423*J423*SQRT(K423)</f>
        <v>918.075051882964</v>
      </c>
      <c r="M423" s="29" t="n">
        <v>210</v>
      </c>
      <c r="N423" s="24" t="n">
        <v>0.485714285714286</v>
      </c>
      <c r="O423" s="3" t="s">
        <v>754</v>
      </c>
      <c r="P423" s="30" t="n">
        <f aca="false">IF(AND(ISNUMBER(M423),ISNUMBER(N423)),M423*N423/7,"")</f>
        <v>14.5714285714286</v>
      </c>
      <c r="Q423" s="23" t="n">
        <f aca="false">IF(ISNUMBER(P423),I423*P423,"")</f>
        <v>27110.1428571429</v>
      </c>
      <c r="R423" s="23" t="n">
        <f aca="false">IF(ISNUMBER(Q423),MAX(0,MIN(L423,Q423-I423*K423)),L423)</f>
        <v>918.075051882964</v>
      </c>
      <c r="S423" s="23" t="n">
        <f aca="false">R423+I423*K423</f>
        <v>2778.57505188296</v>
      </c>
      <c r="T423" s="23" t="n">
        <v>14440</v>
      </c>
      <c r="U423" s="23" t="n">
        <v>0</v>
      </c>
      <c r="V423" s="23" t="n">
        <f aca="false">T423+U423</f>
        <v>14440</v>
      </c>
      <c r="W423" s="30" t="n">
        <f aca="false">IF(I423&gt;0,V423/I423,"")</f>
        <v>7.7613544746036</v>
      </c>
      <c r="X423" s="3" t="str">
        <f aca="false">IF(I423&lt;=0,"SIN FCST",IF(V423&lt;R423,"BAJO SS",IF(T423&lt;R423,"BAJO SS (XLIB CUBRE)",IF(V423&lt;S423,"BAJO P.REORDEN",IF(AND(ISNUMBER(Q423),V423&gt;Q423),"SOBRE MAX VENDIBLE","OK")))))</f>
        <v>OK</v>
      </c>
    </row>
    <row r="424" customFormat="false" ht="15" hidden="false" customHeight="false" outlineLevel="0" collapsed="false">
      <c r="A424" s="3" t="n">
        <v>30000747</v>
      </c>
      <c r="B424" s="3" t="s">
        <v>1040</v>
      </c>
      <c r="C424" s="3" t="s">
        <v>133</v>
      </c>
      <c r="D424" s="3" t="s">
        <v>758</v>
      </c>
      <c r="E424" s="3"/>
      <c r="F424" s="3" t="str">
        <f aca="false">IFERROR(INDEX(ABC_XYZ!$L$5:$L$494,MATCH(A424,ABC_XYZ!$A$5:$A$494,0)),"SIN HIST")</f>
        <v>SIN HIST</v>
      </c>
      <c r="G424" s="24" t="n">
        <f aca="false">IF(LEFT(F424,1)="A",Parametros!$B$8,IF(LEFT(F424,1)="B",Parametros!$B$9,IF(LEFT(F424,1)="C",Parametros!$B$10,Parametros!$B$11)))</f>
        <v>0.95</v>
      </c>
      <c r="H424" s="27" t="n">
        <f aca="false">NORMSINV(G424)</f>
        <v>1.64485362695147</v>
      </c>
      <c r="I424" s="23" t="n">
        <v>1860.5</v>
      </c>
      <c r="J424" s="23" t="n">
        <f aca="false">IFERROR(INDEX(ABC_XYZ!$R$5:$R$494,MATCH(A424,ABC_XYZ!$A$5:$A$494,0)),I424*Parametros!$B$13)</f>
        <v>558.15</v>
      </c>
      <c r="K424" s="27" t="n">
        <f aca="false">IFERROR(VLOOKUP(C424,Parametros!$A$36:$B$66,2,FALSE()),Parametros!$B$12)</f>
        <v>1</v>
      </c>
      <c r="L424" s="23" t="n">
        <f aca="false">H424*J424*SQRT(K424)</f>
        <v>918.075051882964</v>
      </c>
      <c r="M424" s="29"/>
      <c r="N424" s="24"/>
      <c r="O424" s="3"/>
      <c r="P424" s="30" t="str">
        <f aca="false">IF(AND(ISNUMBER(M424),ISNUMBER(N424)),M424*N424/7,"")</f>
        <v/>
      </c>
      <c r="Q424" s="23" t="str">
        <f aca="false">IF(ISNUMBER(P424),I424*P424,"")</f>
        <v/>
      </c>
      <c r="R424" s="23" t="n">
        <f aca="false">IF(ISNUMBER(Q424),MAX(0,MIN(L424,Q424-I424*K424)),L424)</f>
        <v>918.075051882964</v>
      </c>
      <c r="S424" s="23" t="n">
        <f aca="false">R424+I424*K424</f>
        <v>2778.57505188296</v>
      </c>
      <c r="T424" s="23" t="n">
        <v>24836</v>
      </c>
      <c r="U424" s="23" t="n">
        <v>0</v>
      </c>
      <c r="V424" s="23" t="n">
        <f aca="false">T424+U424</f>
        <v>24836</v>
      </c>
      <c r="W424" s="30" t="n">
        <f aca="false">IF(I424&gt;0,V424/I424,"")</f>
        <v>13.3490997043805</v>
      </c>
      <c r="X424" s="3" t="str">
        <f aca="false">IF(I424&lt;=0,"SIN FCST",IF(V424&lt;R424,"BAJO SS",IF(T424&lt;R424,"BAJO SS (XLIB CUBRE)",IF(V424&lt;S424,"BAJO P.REORDEN",IF(AND(ISNUMBER(Q424),V424&gt;Q424),"SOBRE MAX VENDIBLE","OK")))))</f>
        <v>OK</v>
      </c>
    </row>
    <row r="425" customFormat="false" ht="15" hidden="false" customHeight="false" outlineLevel="0" collapsed="false">
      <c r="A425" s="3" t="n">
        <v>30000315</v>
      </c>
      <c r="B425" s="3" t="s">
        <v>1041</v>
      </c>
      <c r="C425" s="3" t="s">
        <v>149</v>
      </c>
      <c r="D425" s="3" t="s">
        <v>744</v>
      </c>
      <c r="E425" s="3" t="s">
        <v>762</v>
      </c>
      <c r="F425" s="3" t="str">
        <f aca="false">IFERROR(INDEX(ABC_XYZ!$L$5:$L$494,MATCH(A425,ABC_XYZ!$A$5:$A$494,0)),"SIN HIST")</f>
        <v>SIN HIST</v>
      </c>
      <c r="G425" s="24" t="n">
        <f aca="false">IF(LEFT(F425,1)="A",Parametros!$B$8,IF(LEFT(F425,1)="B",Parametros!$B$9,IF(LEFT(F425,1)="C",Parametros!$B$10,Parametros!$B$11)))</f>
        <v>0.95</v>
      </c>
      <c r="H425" s="27" t="n">
        <f aca="false">NORMSINV(G425)</f>
        <v>1.64485362695147</v>
      </c>
      <c r="I425" s="23" t="n">
        <v>1860.5</v>
      </c>
      <c r="J425" s="23" t="n">
        <f aca="false">IFERROR(INDEX(ABC_XYZ!$R$5:$R$494,MATCH(A425,ABC_XYZ!$A$5:$A$494,0)),I425*Parametros!$B$13)</f>
        <v>558.15</v>
      </c>
      <c r="K425" s="27" t="n">
        <f aca="false">IFERROR(VLOOKUP(C425,Parametros!$A$36:$B$66,2,FALSE()),Parametros!$B$12)</f>
        <v>1</v>
      </c>
      <c r="L425" s="23" t="n">
        <f aca="false">H425*J425*SQRT(K425)</f>
        <v>918.075051882964</v>
      </c>
      <c r="M425" s="29" t="n">
        <v>153</v>
      </c>
      <c r="N425" s="24" t="n">
        <v>0.215686274509804</v>
      </c>
      <c r="O425" s="3" t="s">
        <v>754</v>
      </c>
      <c r="P425" s="30" t="n">
        <f aca="false">IF(AND(ISNUMBER(M425),ISNUMBER(N425)),M425*N425/7,"")</f>
        <v>4.71428571428571</v>
      </c>
      <c r="Q425" s="23" t="n">
        <f aca="false">IF(ISNUMBER(P425),I425*P425,"")</f>
        <v>8770.92857142857</v>
      </c>
      <c r="R425" s="23" t="n">
        <f aca="false">IF(ISNUMBER(Q425),MAX(0,MIN(L425,Q425-I425*K425)),L425)</f>
        <v>918.075051882964</v>
      </c>
      <c r="S425" s="23" t="n">
        <f aca="false">R425+I425*K425</f>
        <v>2778.57505188296</v>
      </c>
      <c r="T425" s="23" t="n">
        <v>798</v>
      </c>
      <c r="U425" s="23" t="n">
        <v>0</v>
      </c>
      <c r="V425" s="23" t="n">
        <f aca="false">T425+U425</f>
        <v>798</v>
      </c>
      <c r="W425" s="30" t="n">
        <f aca="false">IF(I425&gt;0,V425/I425,"")</f>
        <v>0.428916957807041</v>
      </c>
      <c r="X425" s="3" t="str">
        <f aca="false">IF(I425&lt;=0,"SIN FCST",IF(V425&lt;R425,"BAJO SS",IF(T425&lt;R425,"BAJO SS (XLIB CUBRE)",IF(V425&lt;S425,"BAJO P.REORDEN",IF(AND(ISNUMBER(Q425),V425&gt;Q425),"SOBRE MAX VENDIBLE","OK")))))</f>
        <v>BAJO SS</v>
      </c>
    </row>
    <row r="426" customFormat="false" ht="15" hidden="false" customHeight="false" outlineLevel="0" collapsed="false">
      <c r="A426" s="3" t="n">
        <v>30000792</v>
      </c>
      <c r="B426" s="3" t="s">
        <v>1042</v>
      </c>
      <c r="C426" s="3" t="s">
        <v>133</v>
      </c>
      <c r="D426" s="3" t="s">
        <v>758</v>
      </c>
      <c r="E426" s="3"/>
      <c r="F426" s="3" t="str">
        <f aca="false">IFERROR(INDEX(ABC_XYZ!$L$5:$L$494,MATCH(A426,ABC_XYZ!$A$5:$A$494,0)),"SIN HIST")</f>
        <v>SIN HIST</v>
      </c>
      <c r="G426" s="24" t="n">
        <f aca="false">IF(LEFT(F426,1)="A",Parametros!$B$8,IF(LEFT(F426,1)="B",Parametros!$B$9,IF(LEFT(F426,1)="C",Parametros!$B$10,Parametros!$B$11)))</f>
        <v>0.95</v>
      </c>
      <c r="H426" s="27" t="n">
        <f aca="false">NORMSINV(G426)</f>
        <v>1.64485362695147</v>
      </c>
      <c r="I426" s="23" t="n">
        <v>1849.3</v>
      </c>
      <c r="J426" s="23" t="n">
        <f aca="false">IFERROR(INDEX(ABC_XYZ!$R$5:$R$494,MATCH(A426,ABC_XYZ!$A$5:$A$494,0)),I426*Parametros!$B$13)</f>
        <v>554.79</v>
      </c>
      <c r="K426" s="27" t="n">
        <f aca="false">IFERROR(VLOOKUP(C426,Parametros!$A$36:$B$66,2,FALSE()),Parametros!$B$12)</f>
        <v>1</v>
      </c>
      <c r="L426" s="23" t="n">
        <f aca="false">H426*J426*SQRT(K426)</f>
        <v>912.548343696407</v>
      </c>
      <c r="M426" s="29"/>
      <c r="N426" s="24"/>
      <c r="O426" s="3"/>
      <c r="P426" s="30" t="str">
        <f aca="false">IF(AND(ISNUMBER(M426),ISNUMBER(N426)),M426*N426/7,"")</f>
        <v/>
      </c>
      <c r="Q426" s="23" t="str">
        <f aca="false">IF(ISNUMBER(P426),I426*P426,"")</f>
        <v/>
      </c>
      <c r="R426" s="23" t="n">
        <f aca="false">IF(ISNUMBER(Q426),MAX(0,MIN(L426,Q426-I426*K426)),L426)</f>
        <v>912.548343696407</v>
      </c>
      <c r="S426" s="23" t="n">
        <f aca="false">R426+I426*K426</f>
        <v>2761.84834369641</v>
      </c>
      <c r="T426" s="23" t="n">
        <v>9804</v>
      </c>
      <c r="U426" s="23" t="n">
        <v>0</v>
      </c>
      <c r="V426" s="23" t="n">
        <f aca="false">T426+U426</f>
        <v>9804</v>
      </c>
      <c r="W426" s="30" t="n">
        <f aca="false">IF(I426&gt;0,V426/I426,"")</f>
        <v>5.30146541934786</v>
      </c>
      <c r="X426" s="3" t="str">
        <f aca="false">IF(I426&lt;=0,"SIN FCST",IF(V426&lt;R426,"BAJO SS",IF(T426&lt;R426,"BAJO SS (XLIB CUBRE)",IF(V426&lt;S426,"BAJO P.REORDEN",IF(AND(ISNUMBER(Q426),V426&gt;Q426),"SOBRE MAX VENDIBLE","OK")))))</f>
        <v>OK</v>
      </c>
    </row>
    <row r="427" customFormat="false" ht="15" hidden="false" customHeight="false" outlineLevel="0" collapsed="false">
      <c r="A427" s="3" t="n">
        <v>30000641</v>
      </c>
      <c r="B427" s="3" t="s">
        <v>524</v>
      </c>
      <c r="C427" s="3" t="s">
        <v>129</v>
      </c>
      <c r="D427" s="3" t="s">
        <v>753</v>
      </c>
      <c r="E427" s="3" t="s">
        <v>745</v>
      </c>
      <c r="F427" s="3" t="str">
        <f aca="false">IFERROR(INDEX(ABC_XYZ!$L$5:$L$494,MATCH(A427,ABC_XYZ!$A$5:$A$494,0)),"SIN HIST")</f>
        <v>CY</v>
      </c>
      <c r="G427" s="24" t="n">
        <f aca="false">IF(LEFT(F427,1)="A",Parametros!$B$8,IF(LEFT(F427,1)="B",Parametros!$B$9,IF(LEFT(F427,1)="C",Parametros!$B$10,Parametros!$B$11)))</f>
        <v>0.9</v>
      </c>
      <c r="H427" s="27" t="n">
        <f aca="false">NORMSINV(G427)</f>
        <v>1.2815515655446</v>
      </c>
      <c r="I427" s="23" t="n">
        <v>1832.3</v>
      </c>
      <c r="J427" s="23" t="n">
        <f aca="false">IFERROR(INDEX(ABC_XYZ!$R$5:$R$494,MATCH(A427,ABC_XYZ!$A$5:$A$494,0)),I427*Parametros!$B$13)</f>
        <v>992.213214720842</v>
      </c>
      <c r="K427" s="27" t="n">
        <f aca="false">IFERROR(VLOOKUP(C427,Parametros!$A$36:$B$66,2,FALSE()),Parametros!$B$12)</f>
        <v>1</v>
      </c>
      <c r="L427" s="23" t="n">
        <f aca="false">H427*J427*SQRT(K427)</f>
        <v>1271.57239867954</v>
      </c>
      <c r="M427" s="29" t="n">
        <v>730</v>
      </c>
      <c r="N427" s="24" t="n">
        <v>0.328767123287671</v>
      </c>
      <c r="O427" s="3" t="s">
        <v>772</v>
      </c>
      <c r="P427" s="30" t="n">
        <f aca="false">IF(AND(ISNUMBER(M427),ISNUMBER(N427)),M427*N427/7,"")</f>
        <v>34.2857142857143</v>
      </c>
      <c r="Q427" s="23" t="n">
        <f aca="false">IF(ISNUMBER(P427),I427*P427,"")</f>
        <v>62821.7142857143</v>
      </c>
      <c r="R427" s="23" t="n">
        <f aca="false">IF(ISNUMBER(Q427),MAX(0,MIN(L427,Q427-I427*K427)),L427)</f>
        <v>1271.57239867954</v>
      </c>
      <c r="S427" s="23" t="n">
        <f aca="false">R427+I427*K427</f>
        <v>3103.87239867954</v>
      </c>
      <c r="T427" s="23" t="n">
        <v>18300.8</v>
      </c>
      <c r="U427" s="23" t="n">
        <v>0</v>
      </c>
      <c r="V427" s="23" t="n">
        <f aca="false">T427+U427</f>
        <v>18300.8</v>
      </c>
      <c r="W427" s="30" t="n">
        <f aca="false">IF(I427&gt;0,V427/I427,"")</f>
        <v>9.98788408011789</v>
      </c>
      <c r="X427" s="3" t="str">
        <f aca="false">IF(I427&lt;=0,"SIN FCST",IF(V427&lt;R427,"BAJO SS",IF(T427&lt;R427,"BAJO SS (XLIB CUBRE)",IF(V427&lt;S427,"BAJO P.REORDEN",IF(AND(ISNUMBER(Q427),V427&gt;Q427),"SOBRE MAX VENDIBLE","OK")))))</f>
        <v>OK</v>
      </c>
    </row>
    <row r="428" customFormat="false" ht="15" hidden="false" customHeight="false" outlineLevel="0" collapsed="false">
      <c r="A428" s="3" t="n">
        <v>30001886</v>
      </c>
      <c r="B428" s="3" t="s">
        <v>500</v>
      </c>
      <c r="C428" s="3" t="s">
        <v>129</v>
      </c>
      <c r="D428" s="3" t="s">
        <v>753</v>
      </c>
      <c r="E428" s="3" t="s">
        <v>745</v>
      </c>
      <c r="F428" s="3" t="str">
        <f aca="false">IFERROR(INDEX(ABC_XYZ!$L$5:$L$494,MATCH(A428,ABC_XYZ!$A$5:$A$494,0)),"SIN HIST")</f>
        <v>CY</v>
      </c>
      <c r="G428" s="24" t="n">
        <f aca="false">IF(LEFT(F428,1)="A",Parametros!$B$8,IF(LEFT(F428,1)="B",Parametros!$B$9,IF(LEFT(F428,1)="C",Parametros!$B$10,Parametros!$B$11)))</f>
        <v>0.9</v>
      </c>
      <c r="H428" s="27" t="n">
        <f aca="false">NORMSINV(G428)</f>
        <v>1.2815515655446</v>
      </c>
      <c r="I428" s="23" t="n">
        <v>1827.6</v>
      </c>
      <c r="J428" s="23" t="n">
        <f aca="false">IFERROR(INDEX(ABC_XYZ!$R$5:$R$494,MATCH(A428,ABC_XYZ!$A$5:$A$494,0)),I428*Parametros!$B$13)</f>
        <v>781.964844904595</v>
      </c>
      <c r="K428" s="27" t="n">
        <f aca="false">IFERROR(VLOOKUP(C428,Parametros!$A$36:$B$66,2,FALSE()),Parametros!$B$12)</f>
        <v>1</v>
      </c>
      <c r="L428" s="23" t="n">
        <f aca="false">H428*J428*SQRT(K428)</f>
        <v>1002.12827118832</v>
      </c>
      <c r="M428" s="29" t="n">
        <v>730</v>
      </c>
      <c r="N428" s="24" t="n">
        <v>0.328767123287671</v>
      </c>
      <c r="O428" s="3" t="s">
        <v>772</v>
      </c>
      <c r="P428" s="30" t="n">
        <f aca="false">IF(AND(ISNUMBER(M428),ISNUMBER(N428)),M428*N428/7,"")</f>
        <v>34.2857142857143</v>
      </c>
      <c r="Q428" s="23" t="n">
        <f aca="false">IF(ISNUMBER(P428),I428*P428,"")</f>
        <v>62660.5714285714</v>
      </c>
      <c r="R428" s="23" t="n">
        <f aca="false">IF(ISNUMBER(Q428),MAX(0,MIN(L428,Q428-I428*K428)),L428)</f>
        <v>1002.12827118832</v>
      </c>
      <c r="S428" s="23" t="n">
        <f aca="false">R428+I428*K428</f>
        <v>2829.72827118832</v>
      </c>
      <c r="T428" s="23" t="n">
        <v>27505.9</v>
      </c>
      <c r="U428" s="23" t="n">
        <v>820.8</v>
      </c>
      <c r="V428" s="23" t="n">
        <f aca="false">T428+U428</f>
        <v>28326.7</v>
      </c>
      <c r="W428" s="30" t="n">
        <f aca="false">IF(I428&gt;0,V428/I428,"")</f>
        <v>15.4993981177501</v>
      </c>
      <c r="X428" s="3" t="str">
        <f aca="false">IF(I428&lt;=0,"SIN FCST",IF(V428&lt;R428,"BAJO SS",IF(T428&lt;R428,"BAJO SS (XLIB CUBRE)",IF(V428&lt;S428,"BAJO P.REORDEN",IF(AND(ISNUMBER(Q428),V428&gt;Q428),"SOBRE MAX VENDIBLE","OK")))))</f>
        <v>OK</v>
      </c>
    </row>
    <row r="429" customFormat="false" ht="15" hidden="false" customHeight="false" outlineLevel="0" collapsed="false">
      <c r="A429" s="3" t="n">
        <v>30000383</v>
      </c>
      <c r="B429" s="3" t="s">
        <v>578</v>
      </c>
      <c r="C429" s="3" t="s">
        <v>130</v>
      </c>
      <c r="D429" s="3" t="s">
        <v>744</v>
      </c>
      <c r="E429" s="3" t="s">
        <v>745</v>
      </c>
      <c r="F429" s="3" t="str">
        <f aca="false">IFERROR(INDEX(ABC_XYZ!$L$5:$L$494,MATCH(A429,ABC_XYZ!$A$5:$A$494,0)),"SIN HIST")</f>
        <v>CX</v>
      </c>
      <c r="G429" s="24" t="n">
        <f aca="false">IF(LEFT(F429,1)="A",Parametros!$B$8,IF(LEFT(F429,1)="B",Parametros!$B$9,IF(LEFT(F429,1)="C",Parametros!$B$10,Parametros!$B$11)))</f>
        <v>0.9</v>
      </c>
      <c r="H429" s="27" t="n">
        <f aca="false">NORMSINV(G429)</f>
        <v>1.2815515655446</v>
      </c>
      <c r="I429" s="23" t="n">
        <v>1825.5</v>
      </c>
      <c r="J429" s="23" t="n">
        <f aca="false">IFERROR(INDEX(ABC_XYZ!$R$5:$R$494,MATCH(A429,ABC_XYZ!$A$5:$A$494,0)),I429*Parametros!$B$13)</f>
        <v>807.051791793196</v>
      </c>
      <c r="K429" s="27" t="n">
        <f aca="false">IFERROR(VLOOKUP(C429,Parametros!$A$36:$B$66,2,FALSE()),Parametros!$B$12)</f>
        <v>1</v>
      </c>
      <c r="L429" s="23" t="n">
        <f aca="false">H429*J429*SQRT(K429)</f>
        <v>1034.27848724815</v>
      </c>
      <c r="M429" s="29" t="n">
        <v>189</v>
      </c>
      <c r="N429" s="24" t="n">
        <v>0.259259259259259</v>
      </c>
      <c r="O429" s="3" t="s">
        <v>746</v>
      </c>
      <c r="P429" s="30" t="n">
        <f aca="false">IF(AND(ISNUMBER(M429),ISNUMBER(N429)),M429*N429/7,"")</f>
        <v>7</v>
      </c>
      <c r="Q429" s="23" t="n">
        <f aca="false">IF(ISNUMBER(P429),I429*P429,"")</f>
        <v>12778.5</v>
      </c>
      <c r="R429" s="23" t="n">
        <f aca="false">IF(ISNUMBER(Q429),MAX(0,MIN(L429,Q429-I429*K429)),L429)</f>
        <v>1034.27848724815</v>
      </c>
      <c r="S429" s="23" t="n">
        <f aca="false">R429+I429*K429</f>
        <v>2859.77848724815</v>
      </c>
      <c r="T429" s="23" t="n">
        <v>12516</v>
      </c>
      <c r="U429" s="23" t="n">
        <v>0</v>
      </c>
      <c r="V429" s="23" t="n">
        <f aca="false">T429+U429</f>
        <v>12516</v>
      </c>
      <c r="W429" s="30" t="n">
        <f aca="false">IF(I429&gt;0,V429/I429,"")</f>
        <v>6.85620377978636</v>
      </c>
      <c r="X429" s="3" t="str">
        <f aca="false">IF(I429&lt;=0,"SIN FCST",IF(V429&lt;R429,"BAJO SS",IF(T429&lt;R429,"BAJO SS (XLIB CUBRE)",IF(V429&lt;S429,"BAJO P.REORDEN",IF(AND(ISNUMBER(Q429),V429&gt;Q429),"SOBRE MAX VENDIBLE","OK")))))</f>
        <v>OK</v>
      </c>
    </row>
    <row r="430" customFormat="false" ht="15" hidden="false" customHeight="false" outlineLevel="0" collapsed="false">
      <c r="A430" s="3" t="n">
        <v>30000169</v>
      </c>
      <c r="B430" s="3" t="s">
        <v>1043</v>
      </c>
      <c r="C430" s="3" t="s">
        <v>144</v>
      </c>
      <c r="D430" s="3" t="s">
        <v>753</v>
      </c>
      <c r="E430" s="3" t="s">
        <v>745</v>
      </c>
      <c r="F430" s="3" t="str">
        <f aca="false">IFERROR(INDEX(ABC_XYZ!$L$5:$L$494,MATCH(A430,ABC_XYZ!$A$5:$A$494,0)),"SIN HIST")</f>
        <v>CX</v>
      </c>
      <c r="G430" s="24" t="n">
        <f aca="false">IF(LEFT(F430,1)="A",Parametros!$B$8,IF(LEFT(F430,1)="B",Parametros!$B$9,IF(LEFT(F430,1)="C",Parametros!$B$10,Parametros!$B$11)))</f>
        <v>0.9</v>
      </c>
      <c r="H430" s="27" t="n">
        <f aca="false">NORMSINV(G430)</f>
        <v>1.2815515655446</v>
      </c>
      <c r="I430" s="23" t="n">
        <v>1821.2</v>
      </c>
      <c r="J430" s="23" t="n">
        <f aca="false">IFERROR(INDEX(ABC_XYZ!$R$5:$R$494,MATCH(A430,ABC_XYZ!$A$5:$A$494,0)),I430*Parametros!$B$13)</f>
        <v>479.577093837255</v>
      </c>
      <c r="K430" s="27" t="n">
        <f aca="false">IFERROR(VLOOKUP(C430,Parametros!$A$36:$B$66,2,FALSE()),Parametros!$B$12)</f>
        <v>1</v>
      </c>
      <c r="L430" s="23" t="n">
        <f aca="false">H430*J430*SQRT(K430)</f>
        <v>614.602775406464</v>
      </c>
      <c r="M430" s="29" t="n">
        <v>184</v>
      </c>
      <c r="N430" s="24" t="n">
        <v>0.28804347826087</v>
      </c>
      <c r="O430" s="3" t="s">
        <v>746</v>
      </c>
      <c r="P430" s="30" t="n">
        <f aca="false">IF(AND(ISNUMBER(M430),ISNUMBER(N430)),M430*N430/7,"")</f>
        <v>7.57142857142857</v>
      </c>
      <c r="Q430" s="23" t="n">
        <f aca="false">IF(ISNUMBER(P430),I430*P430,"")</f>
        <v>13789.0857142857</v>
      </c>
      <c r="R430" s="23" t="n">
        <f aca="false">IF(ISNUMBER(Q430),MAX(0,MIN(L430,Q430-I430*K430)),L430)</f>
        <v>614.602775406464</v>
      </c>
      <c r="S430" s="23" t="n">
        <f aca="false">R430+I430*K430</f>
        <v>2435.80277540646</v>
      </c>
      <c r="T430" s="23" t="n">
        <v>6187.2</v>
      </c>
      <c r="U430" s="23" t="n">
        <v>0</v>
      </c>
      <c r="V430" s="23" t="n">
        <f aca="false">T430+U430</f>
        <v>6187.2</v>
      </c>
      <c r="W430" s="30" t="n">
        <f aca="false">IF(I430&gt;0,V430/I430,"")</f>
        <v>3.39732044805623</v>
      </c>
      <c r="X430" s="3" t="str">
        <f aca="false">IF(I430&lt;=0,"SIN FCST",IF(V430&lt;R430,"BAJO SS",IF(T430&lt;R430,"BAJO SS (XLIB CUBRE)",IF(V430&lt;S430,"BAJO P.REORDEN",IF(AND(ISNUMBER(Q430),V430&gt;Q430),"SOBRE MAX VENDIBLE","OK")))))</f>
        <v>OK</v>
      </c>
    </row>
    <row r="431" customFormat="false" ht="15" hidden="false" customHeight="false" outlineLevel="0" collapsed="false">
      <c r="A431" s="3" t="n">
        <v>30001474</v>
      </c>
      <c r="B431" s="3" t="s">
        <v>1044</v>
      </c>
      <c r="C431" s="3" t="s">
        <v>139</v>
      </c>
      <c r="D431" s="3" t="s">
        <v>761</v>
      </c>
      <c r="E431" s="3" t="s">
        <v>762</v>
      </c>
      <c r="F431" s="3" t="str">
        <f aca="false">IFERROR(INDEX(ABC_XYZ!$L$5:$L$494,MATCH(A431,ABC_XYZ!$A$5:$A$494,0)),"SIN HIST")</f>
        <v>CX</v>
      </c>
      <c r="G431" s="24" t="n">
        <f aca="false">IF(LEFT(F431,1)="A",Parametros!$B$8,IF(LEFT(F431,1)="B",Parametros!$B$9,IF(LEFT(F431,1)="C",Parametros!$B$10,Parametros!$B$11)))</f>
        <v>0.9</v>
      </c>
      <c r="H431" s="27" t="n">
        <f aca="false">NORMSINV(G431)</f>
        <v>1.2815515655446</v>
      </c>
      <c r="I431" s="23" t="n">
        <v>1818.8</v>
      </c>
      <c r="J431" s="23" t="n">
        <f aca="false">IFERROR(INDEX(ABC_XYZ!$R$5:$R$494,MATCH(A431,ABC_XYZ!$A$5:$A$494,0)),I431*Parametros!$B$13)</f>
        <v>1119.25017570477</v>
      </c>
      <c r="K431" s="27" t="n">
        <f aca="false">IFERROR(VLOOKUP(C431,Parametros!$A$36:$B$66,2,FALSE()),Parametros!$B$12)</f>
        <v>1</v>
      </c>
      <c r="L431" s="23" t="n">
        <f aca="false">H431*J431*SQRT(K431)</f>
        <v>1434.37681491051</v>
      </c>
      <c r="M431" s="29" t="n">
        <v>60</v>
      </c>
      <c r="N431" s="24" t="n">
        <v>0.3</v>
      </c>
      <c r="O431" s="3" t="s">
        <v>774</v>
      </c>
      <c r="P431" s="30" t="n">
        <f aca="false">IF(AND(ISNUMBER(M431),ISNUMBER(N431)),M431*N431/7,"")</f>
        <v>2.57142857142857</v>
      </c>
      <c r="Q431" s="23" t="n">
        <f aca="false">IF(ISNUMBER(P431),I431*P431,"")</f>
        <v>4676.91428571429</v>
      </c>
      <c r="R431" s="23" t="n">
        <f aca="false">IF(ISNUMBER(Q431),MAX(0,MIN(L431,Q431-I431*K431)),L431)</f>
        <v>1434.37681491051</v>
      </c>
      <c r="S431" s="23" t="n">
        <f aca="false">R431+I431*K431</f>
        <v>3253.17681491051</v>
      </c>
      <c r="T431" s="23" t="n">
        <v>459</v>
      </c>
      <c r="U431" s="23" t="n">
        <v>0</v>
      </c>
      <c r="V431" s="23" t="n">
        <f aca="false">T431+U431</f>
        <v>459</v>
      </c>
      <c r="W431" s="30" t="n">
        <f aca="false">IF(I431&gt;0,V431/I431,"")</f>
        <v>0.252364196173301</v>
      </c>
      <c r="X431" s="3" t="str">
        <f aca="false">IF(I431&lt;=0,"SIN FCST",IF(V431&lt;R431,"BAJO SS",IF(T431&lt;R431,"BAJO SS (XLIB CUBRE)",IF(V431&lt;S431,"BAJO P.REORDEN",IF(AND(ISNUMBER(Q431),V431&gt;Q431),"SOBRE MAX VENDIBLE","OK")))))</f>
        <v>BAJO SS</v>
      </c>
    </row>
    <row r="432" customFormat="false" ht="15" hidden="false" customHeight="false" outlineLevel="0" collapsed="false">
      <c r="A432" s="3" t="n">
        <v>30002302</v>
      </c>
      <c r="B432" s="3" t="s">
        <v>634</v>
      </c>
      <c r="C432" s="3" t="s">
        <v>152</v>
      </c>
      <c r="D432" s="3" t="s">
        <v>753</v>
      </c>
      <c r="E432" s="3"/>
      <c r="F432" s="3" t="str">
        <f aca="false">IFERROR(INDEX(ABC_XYZ!$L$5:$L$494,MATCH(A432,ABC_XYZ!$A$5:$A$494,0)),"SIN HIST")</f>
        <v>CZ</v>
      </c>
      <c r="G432" s="24" t="n">
        <f aca="false">IF(LEFT(F432,1)="A",Parametros!$B$8,IF(LEFT(F432,1)="B",Parametros!$B$9,IF(LEFT(F432,1)="C",Parametros!$B$10,Parametros!$B$11)))</f>
        <v>0.9</v>
      </c>
      <c r="H432" s="27" t="n">
        <f aca="false">NORMSINV(G432)</f>
        <v>1.2815515655446</v>
      </c>
      <c r="I432" s="23" t="n">
        <v>1812.5</v>
      </c>
      <c r="J432" s="23" t="n">
        <f aca="false">IFERROR(INDEX(ABC_XYZ!$R$5:$R$494,MATCH(A432,ABC_XYZ!$A$5:$A$494,0)),I432*Parametros!$B$13)</f>
        <v>1124.88980201025</v>
      </c>
      <c r="K432" s="27" t="n">
        <f aca="false">IFERROR(VLOOKUP(C432,Parametros!$A$36:$B$66,2,FALSE()),Parametros!$B$12)</f>
        <v>1</v>
      </c>
      <c r="L432" s="23" t="n">
        <f aca="false">H432*J432*SQRT(K432)</f>
        <v>1441.6042868314</v>
      </c>
      <c r="M432" s="29"/>
      <c r="N432" s="24"/>
      <c r="O432" s="3"/>
      <c r="P432" s="30" t="str">
        <f aca="false">IF(AND(ISNUMBER(M432),ISNUMBER(N432)),M432*N432/7,"")</f>
        <v/>
      </c>
      <c r="Q432" s="23" t="str">
        <f aca="false">IF(ISNUMBER(P432),I432*P432,"")</f>
        <v/>
      </c>
      <c r="R432" s="23" t="n">
        <f aca="false">IF(ISNUMBER(Q432),MAX(0,MIN(L432,Q432-I432*K432)),L432)</f>
        <v>1441.6042868314</v>
      </c>
      <c r="S432" s="23" t="n">
        <f aca="false">R432+I432*K432</f>
        <v>3254.1042868314</v>
      </c>
      <c r="T432" s="23" t="n">
        <v>18681.6</v>
      </c>
      <c r="U432" s="23" t="n">
        <v>0</v>
      </c>
      <c r="V432" s="23" t="n">
        <f aca="false">T432+U432</f>
        <v>18681.6</v>
      </c>
      <c r="W432" s="30" t="n">
        <f aca="false">IF(I432&gt;0,V432/I432,"")</f>
        <v>10.3070896551724</v>
      </c>
      <c r="X432" s="3" t="str">
        <f aca="false">IF(I432&lt;=0,"SIN FCST",IF(V432&lt;R432,"BAJO SS",IF(T432&lt;R432,"BAJO SS (XLIB CUBRE)",IF(V432&lt;S432,"BAJO P.REORDEN",IF(AND(ISNUMBER(Q432),V432&gt;Q432),"SOBRE MAX VENDIBLE","OK")))))</f>
        <v>OK</v>
      </c>
    </row>
    <row r="433" customFormat="false" ht="15" hidden="false" customHeight="false" outlineLevel="0" collapsed="false">
      <c r="A433" s="3" t="n">
        <v>30002262</v>
      </c>
      <c r="B433" s="3" t="s">
        <v>1045</v>
      </c>
      <c r="C433" s="3" t="s">
        <v>135</v>
      </c>
      <c r="D433" s="3" t="s">
        <v>753</v>
      </c>
      <c r="E433" s="3"/>
      <c r="F433" s="3" t="str">
        <f aca="false">IFERROR(INDEX(ABC_XYZ!$L$5:$L$494,MATCH(A433,ABC_XYZ!$A$5:$A$494,0)),"SIN HIST")</f>
        <v>CY</v>
      </c>
      <c r="G433" s="24" t="n">
        <f aca="false">IF(LEFT(F433,1)="A",Parametros!$B$8,IF(LEFT(F433,1)="B",Parametros!$B$9,IF(LEFT(F433,1)="C",Parametros!$B$10,Parametros!$B$11)))</f>
        <v>0.9</v>
      </c>
      <c r="H433" s="27" t="n">
        <f aca="false">NORMSINV(G433)</f>
        <v>1.2815515655446</v>
      </c>
      <c r="I433" s="23" t="n">
        <v>1781.8</v>
      </c>
      <c r="J433" s="23" t="n">
        <f aca="false">IFERROR(INDEX(ABC_XYZ!$R$5:$R$494,MATCH(A433,ABC_XYZ!$A$5:$A$494,0)),I433*Parametros!$B$13)</f>
        <v>2021.79395398608</v>
      </c>
      <c r="K433" s="27" t="n">
        <f aca="false">IFERROR(VLOOKUP(C433,Parametros!$A$36:$B$66,2,FALSE()),Parametros!$B$12)</f>
        <v>1</v>
      </c>
      <c r="L433" s="23" t="n">
        <f aca="false">H433*J433*SQRT(K433)</f>
        <v>2591.03320693947</v>
      </c>
      <c r="M433" s="29" t="n">
        <v>153</v>
      </c>
      <c r="N433" s="24" t="n">
        <v>0.196078431372549</v>
      </c>
      <c r="O433" s="3" t="s">
        <v>754</v>
      </c>
      <c r="P433" s="30" t="n">
        <f aca="false">IF(AND(ISNUMBER(M433),ISNUMBER(N433)),M433*N433/7,"")</f>
        <v>4.28571428571429</v>
      </c>
      <c r="Q433" s="23" t="n">
        <f aca="false">IF(ISNUMBER(P433),I433*P433,"")</f>
        <v>7636.28571428571</v>
      </c>
      <c r="R433" s="23" t="n">
        <f aca="false">IF(ISNUMBER(Q433),MAX(0,MIN(L433,Q433-I433*K433)),L433)</f>
        <v>2591.03320693947</v>
      </c>
      <c r="S433" s="23" t="n">
        <f aca="false">R433+I433*K433</f>
        <v>4372.83320693947</v>
      </c>
      <c r="T433" s="23" t="n">
        <v>6510.1</v>
      </c>
      <c r="U433" s="23" t="n">
        <v>0</v>
      </c>
      <c r="V433" s="23" t="n">
        <f aca="false">T433+U433</f>
        <v>6510.1</v>
      </c>
      <c r="W433" s="30" t="n">
        <f aca="false">IF(I433&gt;0,V433/I433,"")</f>
        <v>3.65366483331463</v>
      </c>
      <c r="X433" s="3" t="str">
        <f aca="false">IF(I433&lt;=0,"SIN FCST",IF(V433&lt;R433,"BAJO SS",IF(T433&lt;R433,"BAJO SS (XLIB CUBRE)",IF(V433&lt;S433,"BAJO P.REORDEN",IF(AND(ISNUMBER(Q433),V433&gt;Q433),"SOBRE MAX VENDIBLE","OK")))))</f>
        <v>OK</v>
      </c>
    </row>
    <row r="434" customFormat="false" ht="15" hidden="false" customHeight="false" outlineLevel="0" collapsed="false">
      <c r="A434" s="3" t="n">
        <v>30002276</v>
      </c>
      <c r="B434" s="3" t="s">
        <v>523</v>
      </c>
      <c r="C434" s="3" t="s">
        <v>138</v>
      </c>
      <c r="D434" s="3" t="s">
        <v>744</v>
      </c>
      <c r="E434" s="3"/>
      <c r="F434" s="3" t="str">
        <f aca="false">IFERROR(INDEX(ABC_XYZ!$L$5:$L$494,MATCH(A434,ABC_XYZ!$A$5:$A$494,0)),"SIN HIST")</f>
        <v>CY</v>
      </c>
      <c r="G434" s="24" t="n">
        <f aca="false">IF(LEFT(F434,1)="A",Parametros!$B$8,IF(LEFT(F434,1)="B",Parametros!$B$9,IF(LEFT(F434,1)="C",Parametros!$B$10,Parametros!$B$11)))</f>
        <v>0.9</v>
      </c>
      <c r="H434" s="27" t="n">
        <f aca="false">NORMSINV(G434)</f>
        <v>1.2815515655446</v>
      </c>
      <c r="I434" s="23" t="n">
        <v>1770.7</v>
      </c>
      <c r="J434" s="23" t="n">
        <f aca="false">IFERROR(INDEX(ABC_XYZ!$R$5:$R$494,MATCH(A434,ABC_XYZ!$A$5:$A$494,0)),I434*Parametros!$B$13)</f>
        <v>1293.29626623076</v>
      </c>
      <c r="K434" s="27" t="n">
        <f aca="false">IFERROR(VLOOKUP(C434,Parametros!$A$36:$B$66,2,FALSE()),Parametros!$B$12)</f>
        <v>1</v>
      </c>
      <c r="L434" s="23" t="n">
        <f aca="false">H434*J434*SQRT(K434)</f>
        <v>1657.42585470101</v>
      </c>
      <c r="M434" s="29"/>
      <c r="N434" s="24"/>
      <c r="O434" s="3"/>
      <c r="P434" s="30" t="str">
        <f aca="false">IF(AND(ISNUMBER(M434),ISNUMBER(N434)),M434*N434/7,"")</f>
        <v/>
      </c>
      <c r="Q434" s="23" t="str">
        <f aca="false">IF(ISNUMBER(P434),I434*P434,"")</f>
        <v/>
      </c>
      <c r="R434" s="23" t="n">
        <f aca="false">IF(ISNUMBER(Q434),MAX(0,MIN(L434,Q434-I434*K434)),L434)</f>
        <v>1657.42585470101</v>
      </c>
      <c r="S434" s="23" t="n">
        <f aca="false">R434+I434*K434</f>
        <v>3428.12585470101</v>
      </c>
      <c r="T434" s="23" t="n">
        <v>7416</v>
      </c>
      <c r="U434" s="23" t="n">
        <v>0</v>
      </c>
      <c r="V434" s="23" t="n">
        <f aca="false">T434+U434</f>
        <v>7416</v>
      </c>
      <c r="W434" s="30" t="n">
        <f aca="false">IF(I434&gt;0,V434/I434,"")</f>
        <v>4.18817416840797</v>
      </c>
      <c r="X434" s="3" t="str">
        <f aca="false">IF(I434&lt;=0,"SIN FCST",IF(V434&lt;R434,"BAJO SS",IF(T434&lt;R434,"BAJO SS (XLIB CUBRE)",IF(V434&lt;S434,"BAJO P.REORDEN",IF(AND(ISNUMBER(Q434),V434&gt;Q434),"SOBRE MAX VENDIBLE","OK")))))</f>
        <v>OK</v>
      </c>
    </row>
    <row r="435" customFormat="false" ht="15" hidden="false" customHeight="false" outlineLevel="0" collapsed="false">
      <c r="A435" s="3" t="n">
        <v>30001983</v>
      </c>
      <c r="B435" s="3" t="s">
        <v>458</v>
      </c>
      <c r="C435" s="3" t="s">
        <v>155</v>
      </c>
      <c r="D435" s="3" t="s">
        <v>761</v>
      </c>
      <c r="E435" s="3" t="s">
        <v>762</v>
      </c>
      <c r="F435" s="3" t="str">
        <f aca="false">IFERROR(INDEX(ABC_XYZ!$L$5:$L$494,MATCH(A435,ABC_XYZ!$A$5:$A$494,0)),"SIN HIST")</f>
        <v>BX</v>
      </c>
      <c r="G435" s="24" t="n">
        <f aca="false">IF(LEFT(F435,1)="A",Parametros!$B$8,IF(LEFT(F435,1)="B",Parametros!$B$9,IF(LEFT(F435,1)="C",Parametros!$B$10,Parametros!$B$11)))</f>
        <v>0.95</v>
      </c>
      <c r="H435" s="27" t="n">
        <f aca="false">NORMSINV(G435)</f>
        <v>1.64485362695147</v>
      </c>
      <c r="I435" s="23" t="n">
        <v>1758.6</v>
      </c>
      <c r="J435" s="23" t="n">
        <f aca="false">IFERROR(INDEX(ABC_XYZ!$R$5:$R$494,MATCH(A435,ABC_XYZ!$A$5:$A$494,0)),I435*Parametros!$B$13)</f>
        <v>852.286728453268</v>
      </c>
      <c r="K435" s="27" t="n">
        <f aca="false">IFERROR(VLOOKUP(C435,Parametros!$A$36:$B$66,2,FALSE()),Parametros!$B$12)</f>
        <v>1</v>
      </c>
      <c r="L435" s="23" t="n">
        <f aca="false">H435*J435*SQRT(K435)</f>
        <v>1401.88691649896</v>
      </c>
      <c r="M435" s="29" t="n">
        <v>57</v>
      </c>
      <c r="N435" s="24" t="n">
        <v>0.228070175438597</v>
      </c>
      <c r="O435" s="3" t="s">
        <v>754</v>
      </c>
      <c r="P435" s="30" t="n">
        <f aca="false">IF(AND(ISNUMBER(M435),ISNUMBER(N435)),M435*N435/7,"")</f>
        <v>1.85714285714286</v>
      </c>
      <c r="Q435" s="23" t="n">
        <f aca="false">IF(ISNUMBER(P435),I435*P435,"")</f>
        <v>3265.97142857143</v>
      </c>
      <c r="R435" s="23" t="n">
        <f aca="false">IF(ISNUMBER(Q435),MAX(0,MIN(L435,Q435-I435*K435)),L435)</f>
        <v>1401.88691649896</v>
      </c>
      <c r="S435" s="23" t="n">
        <f aca="false">R435+I435*K435</f>
        <v>3160.48691649896</v>
      </c>
      <c r="T435" s="23" t="n">
        <v>3215.4</v>
      </c>
      <c r="U435" s="23" t="n">
        <v>1963</v>
      </c>
      <c r="V435" s="23" t="n">
        <f aca="false">T435+U435</f>
        <v>5178.4</v>
      </c>
      <c r="W435" s="30" t="n">
        <f aca="false">IF(I435&gt;0,V435/I435,"")</f>
        <v>2.94461503468668</v>
      </c>
      <c r="X435" s="3" t="str">
        <f aca="false">IF(I435&lt;=0,"SIN FCST",IF(V435&lt;R435,"BAJO SS",IF(T435&lt;R435,"BAJO SS (XLIB CUBRE)",IF(V435&lt;S435,"BAJO P.REORDEN",IF(AND(ISNUMBER(Q435),V435&gt;Q435),"SOBRE MAX VENDIBLE","OK")))))</f>
        <v>SOBRE MAX VENDIBLE</v>
      </c>
    </row>
    <row r="436" customFormat="false" ht="15" hidden="false" customHeight="false" outlineLevel="0" collapsed="false">
      <c r="A436" s="3" t="n">
        <v>30002261</v>
      </c>
      <c r="B436" s="3" t="s">
        <v>1046</v>
      </c>
      <c r="C436" s="3" t="s">
        <v>135</v>
      </c>
      <c r="D436" s="3" t="s">
        <v>753</v>
      </c>
      <c r="E436" s="3"/>
      <c r="F436" s="3" t="str">
        <f aca="false">IFERROR(INDEX(ABC_XYZ!$L$5:$L$494,MATCH(A436,ABC_XYZ!$A$5:$A$494,0)),"SIN HIST")</f>
        <v>CZ</v>
      </c>
      <c r="G436" s="24" t="n">
        <f aca="false">IF(LEFT(F436,1)="A",Parametros!$B$8,IF(LEFT(F436,1)="B",Parametros!$B$9,IF(LEFT(F436,1)="C",Parametros!$B$10,Parametros!$B$11)))</f>
        <v>0.9</v>
      </c>
      <c r="H436" s="27" t="n">
        <f aca="false">NORMSINV(G436)</f>
        <v>1.2815515655446</v>
      </c>
      <c r="I436" s="23" t="n">
        <v>1744.6</v>
      </c>
      <c r="J436" s="23" t="n">
        <f aca="false">IFERROR(INDEX(ABC_XYZ!$R$5:$R$494,MATCH(A436,ABC_XYZ!$A$5:$A$494,0)),I436*Parametros!$B$13)</f>
        <v>1926.2109675181</v>
      </c>
      <c r="K436" s="27" t="n">
        <f aca="false">IFERROR(VLOOKUP(C436,Parametros!$A$36:$B$66,2,FALSE()),Parametros!$B$12)</f>
        <v>1</v>
      </c>
      <c r="L436" s="23" t="n">
        <f aca="false">H436*J436*SQRT(K436)</f>
        <v>2468.538680992</v>
      </c>
      <c r="M436" s="29" t="n">
        <v>153</v>
      </c>
      <c r="N436" s="24" t="n">
        <v>0.196078431372549</v>
      </c>
      <c r="O436" s="3" t="s">
        <v>754</v>
      </c>
      <c r="P436" s="30" t="n">
        <f aca="false">IF(AND(ISNUMBER(M436),ISNUMBER(N436)),M436*N436/7,"")</f>
        <v>4.28571428571429</v>
      </c>
      <c r="Q436" s="23" t="n">
        <f aca="false">IF(ISNUMBER(P436),I436*P436,"")</f>
        <v>7476.85714285714</v>
      </c>
      <c r="R436" s="23" t="n">
        <f aca="false">IF(ISNUMBER(Q436),MAX(0,MIN(L436,Q436-I436*K436)),L436)</f>
        <v>2468.538680992</v>
      </c>
      <c r="S436" s="23" t="n">
        <f aca="false">R436+I436*K436</f>
        <v>4213.138680992</v>
      </c>
      <c r="T436" s="23" t="n">
        <v>3329.2</v>
      </c>
      <c r="U436" s="23" t="n">
        <v>0</v>
      </c>
      <c r="V436" s="23" t="n">
        <f aca="false">T436+U436</f>
        <v>3329.2</v>
      </c>
      <c r="W436" s="30" t="n">
        <f aca="false">IF(I436&gt;0,V436/I436,"")</f>
        <v>1.9082884328786</v>
      </c>
      <c r="X436" s="3" t="str">
        <f aca="false">IF(I436&lt;=0,"SIN FCST",IF(V436&lt;R436,"BAJO SS",IF(T436&lt;R436,"BAJO SS (XLIB CUBRE)",IF(V436&lt;S436,"BAJO P.REORDEN",IF(AND(ISNUMBER(Q436),V436&gt;Q436),"SOBRE MAX VENDIBLE","OK")))))</f>
        <v>BAJO P.REORDEN</v>
      </c>
    </row>
    <row r="437" customFormat="false" ht="15" hidden="false" customHeight="false" outlineLevel="0" collapsed="false">
      <c r="A437" s="3" t="n">
        <v>30001885</v>
      </c>
      <c r="B437" s="3" t="s">
        <v>1047</v>
      </c>
      <c r="C437" s="3" t="s">
        <v>144</v>
      </c>
      <c r="D437" s="3" t="s">
        <v>753</v>
      </c>
      <c r="E437" s="3" t="s">
        <v>745</v>
      </c>
      <c r="F437" s="3" t="str">
        <f aca="false">IFERROR(INDEX(ABC_XYZ!$L$5:$L$494,MATCH(A437,ABC_XYZ!$A$5:$A$494,0)),"SIN HIST")</f>
        <v>CX</v>
      </c>
      <c r="G437" s="24" t="n">
        <f aca="false">IF(LEFT(F437,1)="A",Parametros!$B$8,IF(LEFT(F437,1)="B",Parametros!$B$9,IF(LEFT(F437,1)="C",Parametros!$B$10,Parametros!$B$11)))</f>
        <v>0.9</v>
      </c>
      <c r="H437" s="27" t="n">
        <f aca="false">NORMSINV(G437)</f>
        <v>1.2815515655446</v>
      </c>
      <c r="I437" s="23" t="n">
        <v>1730.1</v>
      </c>
      <c r="J437" s="23" t="n">
        <f aca="false">IFERROR(INDEX(ABC_XYZ!$R$5:$R$494,MATCH(A437,ABC_XYZ!$A$5:$A$494,0)),I437*Parametros!$B$13)</f>
        <v>438.011707589232</v>
      </c>
      <c r="K437" s="27" t="n">
        <f aca="false">IFERROR(VLOOKUP(C437,Parametros!$A$36:$B$66,2,FALSE()),Parametros!$B$12)</f>
        <v>1</v>
      </c>
      <c r="L437" s="23" t="n">
        <f aca="false">H437*J437*SQRT(K437)</f>
        <v>561.334589587845</v>
      </c>
      <c r="M437" s="29" t="n">
        <v>184</v>
      </c>
      <c r="N437" s="24" t="n">
        <v>0.190217391304348</v>
      </c>
      <c r="O437" s="3" t="s">
        <v>746</v>
      </c>
      <c r="P437" s="30" t="n">
        <f aca="false">IF(AND(ISNUMBER(M437),ISNUMBER(N437)),M437*N437/7,"")</f>
        <v>5</v>
      </c>
      <c r="Q437" s="23" t="n">
        <f aca="false">IF(ISNUMBER(P437),I437*P437,"")</f>
        <v>8650.5</v>
      </c>
      <c r="R437" s="23" t="n">
        <f aca="false">IF(ISNUMBER(Q437),MAX(0,MIN(L437,Q437-I437*K437)),L437)</f>
        <v>561.334589587845</v>
      </c>
      <c r="S437" s="23" t="n">
        <f aca="false">R437+I437*K437</f>
        <v>2291.43458958784</v>
      </c>
      <c r="T437" s="23" t="n">
        <v>7608</v>
      </c>
      <c r="U437" s="23" t="n">
        <v>0</v>
      </c>
      <c r="V437" s="23" t="n">
        <f aca="false">T437+U437</f>
        <v>7608</v>
      </c>
      <c r="W437" s="30" t="n">
        <f aca="false">IF(I437&gt;0,V437/I437,"")</f>
        <v>4.39743367435408</v>
      </c>
      <c r="X437" s="3" t="str">
        <f aca="false">IF(I437&lt;=0,"SIN FCST",IF(V437&lt;R437,"BAJO SS",IF(T437&lt;R437,"BAJO SS (XLIB CUBRE)",IF(V437&lt;S437,"BAJO P.REORDEN",IF(AND(ISNUMBER(Q437),V437&gt;Q437),"SOBRE MAX VENDIBLE","OK")))))</f>
        <v>OK</v>
      </c>
    </row>
    <row r="438" customFormat="false" ht="15" hidden="false" customHeight="false" outlineLevel="0" collapsed="false">
      <c r="A438" s="3" t="n">
        <v>30002274</v>
      </c>
      <c r="B438" s="3" t="s">
        <v>576</v>
      </c>
      <c r="C438" s="3" t="s">
        <v>138</v>
      </c>
      <c r="D438" s="3" t="s">
        <v>744</v>
      </c>
      <c r="E438" s="3"/>
      <c r="F438" s="3" t="str">
        <f aca="false">IFERROR(INDEX(ABC_XYZ!$L$5:$L$494,MATCH(A438,ABC_XYZ!$A$5:$A$494,0)),"SIN HIST")</f>
        <v>CX</v>
      </c>
      <c r="G438" s="24" t="n">
        <f aca="false">IF(LEFT(F438,1)="A",Parametros!$B$8,IF(LEFT(F438,1)="B",Parametros!$B$9,IF(LEFT(F438,1)="C",Parametros!$B$10,Parametros!$B$11)))</f>
        <v>0.9</v>
      </c>
      <c r="H438" s="27" t="n">
        <f aca="false">NORMSINV(G438)</f>
        <v>1.2815515655446</v>
      </c>
      <c r="I438" s="23" t="n">
        <v>1721.9</v>
      </c>
      <c r="J438" s="23" t="n">
        <f aca="false">IFERROR(INDEX(ABC_XYZ!$R$5:$R$494,MATCH(A438,ABC_XYZ!$A$5:$A$494,0)),I438*Parametros!$B$13)</f>
        <v>575.764425591174</v>
      </c>
      <c r="K438" s="27" t="n">
        <f aca="false">IFERROR(VLOOKUP(C438,Parametros!$A$36:$B$66,2,FALSE()),Parametros!$B$12)</f>
        <v>1</v>
      </c>
      <c r="L438" s="23" t="n">
        <f aca="false">H438*J438*SQRT(K438)</f>
        <v>737.871801001257</v>
      </c>
      <c r="M438" s="29"/>
      <c r="N438" s="24"/>
      <c r="O438" s="3"/>
      <c r="P438" s="30" t="str">
        <f aca="false">IF(AND(ISNUMBER(M438),ISNUMBER(N438)),M438*N438/7,"")</f>
        <v/>
      </c>
      <c r="Q438" s="23" t="str">
        <f aca="false">IF(ISNUMBER(P438),I438*P438,"")</f>
        <v/>
      </c>
      <c r="R438" s="23" t="n">
        <f aca="false">IF(ISNUMBER(Q438),MAX(0,MIN(L438,Q438-I438*K438)),L438)</f>
        <v>737.871801001257</v>
      </c>
      <c r="S438" s="23" t="n">
        <f aca="false">R438+I438*K438</f>
        <v>2459.77180100126</v>
      </c>
      <c r="T438" s="23" t="n">
        <v>7670.7</v>
      </c>
      <c r="U438" s="23" t="n">
        <v>0</v>
      </c>
      <c r="V438" s="23" t="n">
        <f aca="false">T438+U438</f>
        <v>7670.7</v>
      </c>
      <c r="W438" s="30" t="n">
        <f aca="false">IF(I438&gt;0,V438/I438,"")</f>
        <v>4.45478831523317</v>
      </c>
      <c r="X438" s="3" t="str">
        <f aca="false">IF(I438&lt;=0,"SIN FCST",IF(V438&lt;R438,"BAJO SS",IF(T438&lt;R438,"BAJO SS (XLIB CUBRE)",IF(V438&lt;S438,"BAJO P.REORDEN",IF(AND(ISNUMBER(Q438),V438&gt;Q438),"SOBRE MAX VENDIBLE","OK")))))</f>
        <v>OK</v>
      </c>
    </row>
    <row r="439" customFormat="false" ht="15" hidden="false" customHeight="false" outlineLevel="0" collapsed="false">
      <c r="A439" s="3" t="n">
        <v>30000749</v>
      </c>
      <c r="B439" s="3" t="s">
        <v>1048</v>
      </c>
      <c r="C439" s="3" t="s">
        <v>133</v>
      </c>
      <c r="D439" s="3" t="s">
        <v>758</v>
      </c>
      <c r="E439" s="3"/>
      <c r="F439" s="3" t="str">
        <f aca="false">IFERROR(INDEX(ABC_XYZ!$L$5:$L$494,MATCH(A439,ABC_XYZ!$A$5:$A$494,0)),"SIN HIST")</f>
        <v>SIN HIST</v>
      </c>
      <c r="G439" s="24" t="n">
        <f aca="false">IF(LEFT(F439,1)="A",Parametros!$B$8,IF(LEFT(F439,1)="B",Parametros!$B$9,IF(LEFT(F439,1)="C",Parametros!$B$10,Parametros!$B$11)))</f>
        <v>0.95</v>
      </c>
      <c r="H439" s="27" t="n">
        <f aca="false">NORMSINV(G439)</f>
        <v>1.64485362695147</v>
      </c>
      <c r="I439" s="23" t="n">
        <v>1718.1</v>
      </c>
      <c r="J439" s="23" t="n">
        <f aca="false">IFERROR(INDEX(ABC_XYZ!$R$5:$R$494,MATCH(A439,ABC_XYZ!$A$5:$A$494,0)),I439*Parametros!$B$13)</f>
        <v>515.43</v>
      </c>
      <c r="K439" s="27" t="n">
        <f aca="false">IFERROR(VLOOKUP(C439,Parametros!$A$36:$B$66,2,FALSE()),Parametros!$B$12)</f>
        <v>1</v>
      </c>
      <c r="L439" s="23" t="n">
        <f aca="false">H439*J439*SQRT(K439)</f>
        <v>847.806904939597</v>
      </c>
      <c r="M439" s="29"/>
      <c r="N439" s="24"/>
      <c r="O439" s="3"/>
      <c r="P439" s="30" t="str">
        <f aca="false">IF(AND(ISNUMBER(M439),ISNUMBER(N439)),M439*N439/7,"")</f>
        <v/>
      </c>
      <c r="Q439" s="23" t="str">
        <f aca="false">IF(ISNUMBER(P439),I439*P439,"")</f>
        <v/>
      </c>
      <c r="R439" s="23" t="n">
        <f aca="false">IF(ISNUMBER(Q439),MAX(0,MIN(L439,Q439-I439*K439)),L439)</f>
        <v>847.806904939597</v>
      </c>
      <c r="S439" s="23" t="n">
        <f aca="false">R439+I439*K439</f>
        <v>2565.9069049396</v>
      </c>
      <c r="T439" s="23" t="n">
        <v>7266.6</v>
      </c>
      <c r="U439" s="23" t="n">
        <v>0</v>
      </c>
      <c r="V439" s="23" t="n">
        <f aca="false">T439+U439</f>
        <v>7266.6</v>
      </c>
      <c r="W439" s="30" t="n">
        <f aca="false">IF(I439&gt;0,V439/I439,"")</f>
        <v>4.22943949711891</v>
      </c>
      <c r="X439" s="3" t="str">
        <f aca="false">IF(I439&lt;=0,"SIN FCST",IF(V439&lt;R439,"BAJO SS",IF(T439&lt;R439,"BAJO SS (XLIB CUBRE)",IF(V439&lt;S439,"BAJO P.REORDEN",IF(AND(ISNUMBER(Q439),V439&gt;Q439),"SOBRE MAX VENDIBLE","OK")))))</f>
        <v>OK</v>
      </c>
    </row>
    <row r="440" customFormat="false" ht="15" hidden="false" customHeight="false" outlineLevel="0" collapsed="false">
      <c r="A440" s="3" t="n">
        <v>30000782</v>
      </c>
      <c r="B440" s="3" t="s">
        <v>1049</v>
      </c>
      <c r="C440" s="3" t="s">
        <v>133</v>
      </c>
      <c r="D440" s="3" t="s">
        <v>758</v>
      </c>
      <c r="E440" s="3"/>
      <c r="F440" s="3" t="str">
        <f aca="false">IFERROR(INDEX(ABC_XYZ!$L$5:$L$494,MATCH(A440,ABC_XYZ!$A$5:$A$494,0)),"SIN HIST")</f>
        <v>SIN HIST</v>
      </c>
      <c r="G440" s="24" t="n">
        <f aca="false">IF(LEFT(F440,1)="A",Parametros!$B$8,IF(LEFT(F440,1)="B",Parametros!$B$9,IF(LEFT(F440,1)="C",Parametros!$B$10,Parametros!$B$11)))</f>
        <v>0.95</v>
      </c>
      <c r="H440" s="27" t="n">
        <f aca="false">NORMSINV(G440)</f>
        <v>1.64485362695147</v>
      </c>
      <c r="I440" s="23" t="n">
        <v>1714.1</v>
      </c>
      <c r="J440" s="23" t="n">
        <f aca="false">IFERROR(INDEX(ABC_XYZ!$R$5:$R$494,MATCH(A440,ABC_XYZ!$A$5:$A$494,0)),I440*Parametros!$B$13)</f>
        <v>514.23</v>
      </c>
      <c r="K440" s="27" t="n">
        <f aca="false">IFERROR(VLOOKUP(C440,Parametros!$A$36:$B$66,2,FALSE()),Parametros!$B$12)</f>
        <v>1</v>
      </c>
      <c r="L440" s="23" t="n">
        <f aca="false">H440*J440*SQRT(K440)</f>
        <v>845.833080587255</v>
      </c>
      <c r="M440" s="29"/>
      <c r="N440" s="24"/>
      <c r="O440" s="3"/>
      <c r="P440" s="30" t="str">
        <f aca="false">IF(AND(ISNUMBER(M440),ISNUMBER(N440)),M440*N440/7,"")</f>
        <v/>
      </c>
      <c r="Q440" s="23" t="str">
        <f aca="false">IF(ISNUMBER(P440),I440*P440,"")</f>
        <v/>
      </c>
      <c r="R440" s="23" t="n">
        <f aca="false">IF(ISNUMBER(Q440),MAX(0,MIN(L440,Q440-I440*K440)),L440)</f>
        <v>845.833080587255</v>
      </c>
      <c r="S440" s="23" t="n">
        <f aca="false">R440+I440*K440</f>
        <v>2559.93308058726</v>
      </c>
      <c r="T440" s="23" t="n">
        <v>5376</v>
      </c>
      <c r="U440" s="23" t="n">
        <v>0</v>
      </c>
      <c r="V440" s="23" t="n">
        <f aca="false">T440+U440</f>
        <v>5376</v>
      </c>
      <c r="W440" s="30" t="n">
        <f aca="false">IF(I440&gt;0,V440/I440,"")</f>
        <v>3.13633977014177</v>
      </c>
      <c r="X440" s="3" t="str">
        <f aca="false">IF(I440&lt;=0,"SIN FCST",IF(V440&lt;R440,"BAJO SS",IF(T440&lt;R440,"BAJO SS (XLIB CUBRE)",IF(V440&lt;S440,"BAJO P.REORDEN",IF(AND(ISNUMBER(Q440),V440&gt;Q440),"SOBRE MAX VENDIBLE","OK")))))</f>
        <v>OK</v>
      </c>
    </row>
    <row r="441" customFormat="false" ht="15" hidden="false" customHeight="false" outlineLevel="0" collapsed="false">
      <c r="A441" s="3" t="n">
        <v>30000500</v>
      </c>
      <c r="B441" s="3" t="s">
        <v>1050</v>
      </c>
      <c r="C441" s="3" t="s">
        <v>139</v>
      </c>
      <c r="D441" s="3" t="s">
        <v>761</v>
      </c>
      <c r="E441" s="3" t="s">
        <v>762</v>
      </c>
      <c r="F441" s="3" t="str">
        <f aca="false">IFERROR(INDEX(ABC_XYZ!$L$5:$L$494,MATCH(A441,ABC_XYZ!$A$5:$A$494,0)),"SIN HIST")</f>
        <v>CX</v>
      </c>
      <c r="G441" s="24" t="n">
        <f aca="false">IF(LEFT(F441,1)="A",Parametros!$B$8,IF(LEFT(F441,1)="B",Parametros!$B$9,IF(LEFT(F441,1)="C",Parametros!$B$10,Parametros!$B$11)))</f>
        <v>0.9</v>
      </c>
      <c r="H441" s="27" t="n">
        <f aca="false">NORMSINV(G441)</f>
        <v>1.2815515655446</v>
      </c>
      <c r="I441" s="23" t="n">
        <v>1686.3</v>
      </c>
      <c r="J441" s="23" t="n">
        <f aca="false">IFERROR(INDEX(ABC_XYZ!$R$5:$R$494,MATCH(A441,ABC_XYZ!$A$5:$A$494,0)),I441*Parametros!$B$13)</f>
        <v>576.950178258067</v>
      </c>
      <c r="K441" s="27" t="n">
        <f aca="false">IFERROR(VLOOKUP(C441,Parametros!$A$36:$B$66,2,FALSE()),Parametros!$B$12)</f>
        <v>1</v>
      </c>
      <c r="L441" s="23" t="n">
        <f aca="false">H441*J441*SQRT(K441)</f>
        <v>739.391404187863</v>
      </c>
      <c r="M441" s="29" t="n">
        <v>71</v>
      </c>
      <c r="N441" s="24" t="n">
        <v>0.23943661971831</v>
      </c>
      <c r="O441" s="3" t="s">
        <v>772</v>
      </c>
      <c r="P441" s="30" t="n">
        <f aca="false">IF(AND(ISNUMBER(M441),ISNUMBER(N441)),M441*N441/7,"")</f>
        <v>2.42857142857143</v>
      </c>
      <c r="Q441" s="23" t="n">
        <f aca="false">IF(ISNUMBER(P441),I441*P441,"")</f>
        <v>4095.3</v>
      </c>
      <c r="R441" s="23" t="n">
        <f aca="false">IF(ISNUMBER(Q441),MAX(0,MIN(L441,Q441-I441*K441)),L441)</f>
        <v>739.391404187863</v>
      </c>
      <c r="S441" s="23" t="n">
        <f aca="false">R441+I441*K441</f>
        <v>2425.69140418786</v>
      </c>
      <c r="T441" s="23" t="n">
        <v>307.8</v>
      </c>
      <c r="U441" s="23" t="n">
        <v>0</v>
      </c>
      <c r="V441" s="23" t="n">
        <f aca="false">T441+U441</f>
        <v>307.8</v>
      </c>
      <c r="W441" s="30" t="n">
        <f aca="false">IF(I441&gt;0,V441/I441,"")</f>
        <v>0.182529798968155</v>
      </c>
      <c r="X441" s="3" t="str">
        <f aca="false">IF(I441&lt;=0,"SIN FCST",IF(V441&lt;R441,"BAJO SS",IF(T441&lt;R441,"BAJO SS (XLIB CUBRE)",IF(V441&lt;S441,"BAJO P.REORDEN",IF(AND(ISNUMBER(Q441),V441&gt;Q441),"SOBRE MAX VENDIBLE","OK")))))</f>
        <v>BAJO SS</v>
      </c>
    </row>
    <row r="442" customFormat="false" ht="15" hidden="false" customHeight="false" outlineLevel="0" collapsed="false">
      <c r="A442" s="3" t="n">
        <v>30001588</v>
      </c>
      <c r="B442" s="3" t="s">
        <v>1051</v>
      </c>
      <c r="C442" s="3" t="s">
        <v>141</v>
      </c>
      <c r="D442" s="3" t="s">
        <v>750</v>
      </c>
      <c r="E442" s="3" t="s">
        <v>762</v>
      </c>
      <c r="F442" s="3" t="str">
        <f aca="false">IFERROR(INDEX(ABC_XYZ!$L$5:$L$494,MATCH(A442,ABC_XYZ!$A$5:$A$494,0)),"SIN HIST")</f>
        <v>SIN HIST</v>
      </c>
      <c r="G442" s="24" t="n">
        <f aca="false">IF(LEFT(F442,1)="A",Parametros!$B$8,IF(LEFT(F442,1)="B",Parametros!$B$9,IF(LEFT(F442,1)="C",Parametros!$B$10,Parametros!$B$11)))</f>
        <v>0.95</v>
      </c>
      <c r="H442" s="27" t="n">
        <f aca="false">NORMSINV(G442)</f>
        <v>1.64485362695147</v>
      </c>
      <c r="I442" s="23" t="n">
        <v>1677.1</v>
      </c>
      <c r="J442" s="23" t="n">
        <f aca="false">IFERROR(INDEX(ABC_XYZ!$R$5:$R$494,MATCH(A442,ABC_XYZ!$A$5:$A$494,0)),I442*Parametros!$B$13)</f>
        <v>503.13</v>
      </c>
      <c r="K442" s="27" t="n">
        <f aca="false">IFERROR(VLOOKUP(C442,Parametros!$A$36:$B$66,2,FALSE()),Parametros!$B$12)</f>
        <v>1</v>
      </c>
      <c r="L442" s="23" t="n">
        <f aca="false">H442*J442*SQRT(K442)</f>
        <v>827.575205328094</v>
      </c>
      <c r="M442" s="29" t="n">
        <v>184</v>
      </c>
      <c r="N442" s="24" t="n">
        <v>0.211956521739131</v>
      </c>
      <c r="O442" s="3" t="s">
        <v>754</v>
      </c>
      <c r="P442" s="30" t="n">
        <f aca="false">IF(AND(ISNUMBER(M442),ISNUMBER(N442)),M442*N442/7,"")</f>
        <v>5.57142857142857</v>
      </c>
      <c r="Q442" s="23" t="n">
        <f aca="false">IF(ISNUMBER(P442),I442*P442,"")</f>
        <v>9343.84285714286</v>
      </c>
      <c r="R442" s="23" t="n">
        <f aca="false">IF(ISNUMBER(Q442),MAX(0,MIN(L442,Q442-I442*K442)),L442)</f>
        <v>827.575205328094</v>
      </c>
      <c r="S442" s="23" t="n">
        <f aca="false">R442+I442*K442</f>
        <v>2504.67520532809</v>
      </c>
      <c r="T442" s="23" t="n">
        <v>15350</v>
      </c>
      <c r="U442" s="23" t="n">
        <v>760</v>
      </c>
      <c r="V442" s="23" t="n">
        <f aca="false">T442+U442</f>
        <v>16110</v>
      </c>
      <c r="W442" s="30" t="n">
        <f aca="false">IF(I442&gt;0,V442/I442,"")</f>
        <v>9.60586727088426</v>
      </c>
      <c r="X442" s="3" t="str">
        <f aca="false">IF(I442&lt;=0,"SIN FCST",IF(V442&lt;R442,"BAJO SS",IF(T442&lt;R442,"BAJO SS (XLIB CUBRE)",IF(V442&lt;S442,"BAJO P.REORDEN",IF(AND(ISNUMBER(Q442),V442&gt;Q442),"SOBRE MAX VENDIBLE","OK")))))</f>
        <v>SOBRE MAX VENDIBLE</v>
      </c>
    </row>
    <row r="443" customFormat="false" ht="15" hidden="false" customHeight="false" outlineLevel="0" collapsed="false">
      <c r="A443" s="3" t="n">
        <v>30000043</v>
      </c>
      <c r="B443" s="3" t="s">
        <v>546</v>
      </c>
      <c r="C443" s="3" t="s">
        <v>124</v>
      </c>
      <c r="D443" s="3" t="s">
        <v>750</v>
      </c>
      <c r="E443" s="3" t="s">
        <v>745</v>
      </c>
      <c r="F443" s="3" t="str">
        <f aca="false">IFERROR(INDEX(ABC_XYZ!$L$5:$L$494,MATCH(A443,ABC_XYZ!$A$5:$A$494,0)),"SIN HIST")</f>
        <v>CX</v>
      </c>
      <c r="G443" s="24" t="n">
        <f aca="false">IF(LEFT(F443,1)="A",Parametros!$B$8,IF(LEFT(F443,1)="B",Parametros!$B$9,IF(LEFT(F443,1)="C",Parametros!$B$10,Parametros!$B$11)))</f>
        <v>0.9</v>
      </c>
      <c r="H443" s="27" t="n">
        <f aca="false">NORMSINV(G443)</f>
        <v>1.2815515655446</v>
      </c>
      <c r="I443" s="23" t="n">
        <v>1672.3</v>
      </c>
      <c r="J443" s="23" t="n">
        <f aca="false">IFERROR(INDEX(ABC_XYZ!$R$5:$R$494,MATCH(A443,ABC_XYZ!$A$5:$A$494,0)),I443*Parametros!$B$13)</f>
        <v>431.486756845831</v>
      </c>
      <c r="K443" s="27" t="n">
        <f aca="false">IFERROR(VLOOKUP(C443,Parametros!$A$36:$B$66,2,FALSE()),Parametros!$B$12)</f>
        <v>1</v>
      </c>
      <c r="L443" s="23" t="n">
        <f aca="false">H443*J443*SQRT(K443)</f>
        <v>552.972528747538</v>
      </c>
      <c r="M443" s="29" t="n">
        <v>365</v>
      </c>
      <c r="N443" s="24" t="n">
        <v>0.194520547945206</v>
      </c>
      <c r="O443" s="3" t="s">
        <v>746</v>
      </c>
      <c r="P443" s="30" t="n">
        <f aca="false">IF(AND(ISNUMBER(M443),ISNUMBER(N443)),M443*N443/7,"")</f>
        <v>10.1428571428571</v>
      </c>
      <c r="Q443" s="23" t="n">
        <f aca="false">IF(ISNUMBER(P443),I443*P443,"")</f>
        <v>16961.9</v>
      </c>
      <c r="R443" s="23" t="n">
        <f aca="false">IF(ISNUMBER(Q443),MAX(0,MIN(L443,Q443-I443*K443)),L443)</f>
        <v>552.972528747538</v>
      </c>
      <c r="S443" s="23" t="n">
        <f aca="false">R443+I443*K443</f>
        <v>2225.27252874754</v>
      </c>
      <c r="T443" s="23" t="n">
        <v>14462.4</v>
      </c>
      <c r="U443" s="23" t="n">
        <v>0</v>
      </c>
      <c r="V443" s="23" t="n">
        <f aca="false">T443+U443</f>
        <v>14462.4</v>
      </c>
      <c r="W443" s="30" t="n">
        <f aca="false">IF(I443&gt;0,V443/I443,"")</f>
        <v>8.64820905339951</v>
      </c>
      <c r="X443" s="3" t="str">
        <f aca="false">IF(I443&lt;=0,"SIN FCST",IF(V443&lt;R443,"BAJO SS",IF(T443&lt;R443,"BAJO SS (XLIB CUBRE)",IF(V443&lt;S443,"BAJO P.REORDEN",IF(AND(ISNUMBER(Q443),V443&gt;Q443),"SOBRE MAX VENDIBLE","OK")))))</f>
        <v>OK</v>
      </c>
    </row>
    <row r="444" customFormat="false" ht="15" hidden="false" customHeight="false" outlineLevel="0" collapsed="false">
      <c r="A444" s="3" t="n">
        <v>30001142</v>
      </c>
      <c r="B444" s="3" t="s">
        <v>1052</v>
      </c>
      <c r="C444" s="3" t="s">
        <v>144</v>
      </c>
      <c r="D444" s="3" t="s">
        <v>753</v>
      </c>
      <c r="E444" s="3" t="s">
        <v>745</v>
      </c>
      <c r="F444" s="3" t="str">
        <f aca="false">IFERROR(INDEX(ABC_XYZ!$L$5:$L$494,MATCH(A444,ABC_XYZ!$A$5:$A$494,0)),"SIN HIST")</f>
        <v>CX</v>
      </c>
      <c r="G444" s="24" t="n">
        <f aca="false">IF(LEFT(F444,1)="A",Parametros!$B$8,IF(LEFT(F444,1)="B",Parametros!$B$9,IF(LEFT(F444,1)="C",Parametros!$B$10,Parametros!$B$11)))</f>
        <v>0.9</v>
      </c>
      <c r="H444" s="27" t="n">
        <f aca="false">NORMSINV(G444)</f>
        <v>1.2815515655446</v>
      </c>
      <c r="I444" s="23" t="n">
        <v>1647.5</v>
      </c>
      <c r="J444" s="23" t="n">
        <f aca="false">IFERROR(INDEX(ABC_XYZ!$R$5:$R$494,MATCH(A444,ABC_XYZ!$A$5:$A$494,0)),I444*Parametros!$B$13)</f>
        <v>285.525830705385</v>
      </c>
      <c r="K444" s="27" t="n">
        <f aca="false">IFERROR(VLOOKUP(C444,Parametros!$A$36:$B$66,2,FALSE()),Parametros!$B$12)</f>
        <v>1</v>
      </c>
      <c r="L444" s="23" t="n">
        <f aca="false">H444*J444*SQRT(K444)</f>
        <v>365.916075343908</v>
      </c>
      <c r="M444" s="29" t="n">
        <v>365</v>
      </c>
      <c r="N444" s="24" t="n">
        <v>0.194520547945206</v>
      </c>
      <c r="O444" s="3" t="s">
        <v>746</v>
      </c>
      <c r="P444" s="30" t="n">
        <f aca="false">IF(AND(ISNUMBER(M444),ISNUMBER(N444)),M444*N444/7,"")</f>
        <v>10.1428571428571</v>
      </c>
      <c r="Q444" s="23" t="n">
        <f aca="false">IF(ISNUMBER(P444),I444*P444,"")</f>
        <v>16710.3571428571</v>
      </c>
      <c r="R444" s="23" t="n">
        <f aca="false">IF(ISNUMBER(Q444),MAX(0,MIN(L444,Q444-I444*K444)),L444)</f>
        <v>365.916075343908</v>
      </c>
      <c r="S444" s="23" t="n">
        <f aca="false">R444+I444*K444</f>
        <v>2013.41607534391</v>
      </c>
      <c r="T444" s="23" t="n">
        <v>3835</v>
      </c>
      <c r="U444" s="23" t="n">
        <v>0</v>
      </c>
      <c r="V444" s="23" t="n">
        <f aca="false">T444+U444</f>
        <v>3835</v>
      </c>
      <c r="W444" s="30" t="n">
        <f aca="false">IF(I444&gt;0,V444/I444,"")</f>
        <v>2.32776934749621</v>
      </c>
      <c r="X444" s="3" t="str">
        <f aca="false">IF(I444&lt;=0,"SIN FCST",IF(V444&lt;R444,"BAJO SS",IF(T444&lt;R444,"BAJO SS (XLIB CUBRE)",IF(V444&lt;S444,"BAJO P.REORDEN",IF(AND(ISNUMBER(Q444),V444&gt;Q444),"SOBRE MAX VENDIBLE","OK")))))</f>
        <v>OK</v>
      </c>
    </row>
    <row r="445" customFormat="false" ht="15" hidden="false" customHeight="false" outlineLevel="0" collapsed="false">
      <c r="A445" s="3" t="n">
        <v>30000816</v>
      </c>
      <c r="B445" s="3" t="s">
        <v>1053</v>
      </c>
      <c r="C445" s="3" t="s">
        <v>133</v>
      </c>
      <c r="D445" s="3" t="s">
        <v>758</v>
      </c>
      <c r="E445" s="3"/>
      <c r="F445" s="3" t="str">
        <f aca="false">IFERROR(INDEX(ABC_XYZ!$L$5:$L$494,MATCH(A445,ABC_XYZ!$A$5:$A$494,0)),"SIN HIST")</f>
        <v>SIN HIST</v>
      </c>
      <c r="G445" s="24" t="n">
        <f aca="false">IF(LEFT(F445,1)="A",Parametros!$B$8,IF(LEFT(F445,1)="B",Parametros!$B$9,IF(LEFT(F445,1)="C",Parametros!$B$10,Parametros!$B$11)))</f>
        <v>0.95</v>
      </c>
      <c r="H445" s="27" t="n">
        <f aca="false">NORMSINV(G445)</f>
        <v>1.64485362695147</v>
      </c>
      <c r="I445" s="23" t="n">
        <v>1627.9</v>
      </c>
      <c r="J445" s="23" t="n">
        <f aca="false">IFERROR(INDEX(ABC_XYZ!$R$5:$R$494,MATCH(A445,ABC_XYZ!$A$5:$A$494,0)),I445*Parametros!$B$13)</f>
        <v>488.37</v>
      </c>
      <c r="K445" s="27" t="n">
        <f aca="false">IFERROR(VLOOKUP(C445,Parametros!$A$36:$B$66,2,FALSE()),Parametros!$B$12)</f>
        <v>1</v>
      </c>
      <c r="L445" s="23" t="n">
        <f aca="false">H445*J445*SQRT(K445)</f>
        <v>803.29716579429</v>
      </c>
      <c r="M445" s="29"/>
      <c r="N445" s="24"/>
      <c r="O445" s="3"/>
      <c r="P445" s="30" t="str">
        <f aca="false">IF(AND(ISNUMBER(M445),ISNUMBER(N445)),M445*N445/7,"")</f>
        <v/>
      </c>
      <c r="Q445" s="23" t="str">
        <f aca="false">IF(ISNUMBER(P445),I445*P445,"")</f>
        <v/>
      </c>
      <c r="R445" s="23" t="n">
        <f aca="false">IF(ISNUMBER(Q445),MAX(0,MIN(L445,Q445-I445*K445)),L445)</f>
        <v>803.29716579429</v>
      </c>
      <c r="S445" s="23" t="n">
        <f aca="false">R445+I445*K445</f>
        <v>2431.19716579429</v>
      </c>
      <c r="T445" s="23" t="n">
        <v>14416</v>
      </c>
      <c r="U445" s="23" t="n">
        <v>0</v>
      </c>
      <c r="V445" s="23" t="n">
        <f aca="false">T445+U445</f>
        <v>14416</v>
      </c>
      <c r="W445" s="30" t="n">
        <f aca="false">IF(I445&gt;0,V445/I445,"")</f>
        <v>8.85558080963204</v>
      </c>
      <c r="X445" s="3" t="str">
        <f aca="false">IF(I445&lt;=0,"SIN FCST",IF(V445&lt;R445,"BAJO SS",IF(T445&lt;R445,"BAJO SS (XLIB CUBRE)",IF(V445&lt;S445,"BAJO P.REORDEN",IF(AND(ISNUMBER(Q445),V445&gt;Q445),"SOBRE MAX VENDIBLE","OK")))))</f>
        <v>OK</v>
      </c>
    </row>
    <row r="446" customFormat="false" ht="15" hidden="false" customHeight="false" outlineLevel="0" collapsed="false">
      <c r="A446" s="3" t="n">
        <v>30000048</v>
      </c>
      <c r="B446" s="3" t="s">
        <v>1054</v>
      </c>
      <c r="C446" s="3" t="s">
        <v>124</v>
      </c>
      <c r="D446" s="3" t="s">
        <v>750</v>
      </c>
      <c r="E446" s="3" t="s">
        <v>745</v>
      </c>
      <c r="F446" s="3" t="str">
        <f aca="false">IFERROR(INDEX(ABC_XYZ!$L$5:$L$494,MATCH(A446,ABC_XYZ!$A$5:$A$494,0)),"SIN HIST")</f>
        <v>SIN HIST</v>
      </c>
      <c r="G446" s="24" t="n">
        <f aca="false">IF(LEFT(F446,1)="A",Parametros!$B$8,IF(LEFT(F446,1)="B",Parametros!$B$9,IF(LEFT(F446,1)="C",Parametros!$B$10,Parametros!$B$11)))</f>
        <v>0.95</v>
      </c>
      <c r="H446" s="27" t="n">
        <f aca="false">NORMSINV(G446)</f>
        <v>1.64485362695147</v>
      </c>
      <c r="I446" s="23" t="n">
        <v>1627.9</v>
      </c>
      <c r="J446" s="23" t="n">
        <f aca="false">IFERROR(INDEX(ABC_XYZ!$R$5:$R$494,MATCH(A446,ABC_XYZ!$A$5:$A$494,0)),I446*Parametros!$B$13)</f>
        <v>488.37</v>
      </c>
      <c r="K446" s="27" t="n">
        <f aca="false">IFERROR(VLOOKUP(C446,Parametros!$A$36:$B$66,2,FALSE()),Parametros!$B$12)</f>
        <v>1</v>
      </c>
      <c r="L446" s="23" t="n">
        <f aca="false">H446*J446*SQRT(K446)</f>
        <v>803.29716579429</v>
      </c>
      <c r="M446" s="29" t="n">
        <v>305</v>
      </c>
      <c r="N446" s="24" t="n">
        <v>0.272131147540984</v>
      </c>
      <c r="O446" s="3" t="s">
        <v>746</v>
      </c>
      <c r="P446" s="30" t="n">
        <f aca="false">IF(AND(ISNUMBER(M446),ISNUMBER(N446)),M446*N446/7,"")</f>
        <v>11.8571428571429</v>
      </c>
      <c r="Q446" s="23" t="n">
        <f aca="false">IF(ISNUMBER(P446),I446*P446,"")</f>
        <v>19302.2428571429</v>
      </c>
      <c r="R446" s="23" t="n">
        <f aca="false">IF(ISNUMBER(Q446),MAX(0,MIN(L446,Q446-I446*K446)),L446)</f>
        <v>803.29716579429</v>
      </c>
      <c r="S446" s="23" t="n">
        <f aca="false">R446+I446*K446</f>
        <v>2431.19716579429</v>
      </c>
      <c r="T446" s="23" t="n">
        <v>938.4</v>
      </c>
      <c r="U446" s="23" t="n">
        <v>5612</v>
      </c>
      <c r="V446" s="23" t="n">
        <f aca="false">T446+U446</f>
        <v>6550.4</v>
      </c>
      <c r="W446" s="30" t="n">
        <f aca="false">IF(I446&gt;0,V446/I446,"")</f>
        <v>4.02383438786166</v>
      </c>
      <c r="X446" s="3" t="str">
        <f aca="false">IF(I446&lt;=0,"SIN FCST",IF(V446&lt;R446,"BAJO SS",IF(T446&lt;R446,"BAJO SS (XLIB CUBRE)",IF(V446&lt;S446,"BAJO P.REORDEN",IF(AND(ISNUMBER(Q446),V446&gt;Q446),"SOBRE MAX VENDIBLE","OK")))))</f>
        <v>OK</v>
      </c>
    </row>
    <row r="447" customFormat="false" ht="15" hidden="false" customHeight="false" outlineLevel="0" collapsed="false">
      <c r="A447" s="3" t="n">
        <v>30000951</v>
      </c>
      <c r="B447" s="3" t="s">
        <v>1055</v>
      </c>
      <c r="C447" s="3" t="s">
        <v>133</v>
      </c>
      <c r="D447" s="3" t="s">
        <v>758</v>
      </c>
      <c r="E447" s="3"/>
      <c r="F447" s="3" t="str">
        <f aca="false">IFERROR(INDEX(ABC_XYZ!$L$5:$L$494,MATCH(A447,ABC_XYZ!$A$5:$A$494,0)),"SIN HIST")</f>
        <v>SIN HIST</v>
      </c>
      <c r="G447" s="24" t="n">
        <f aca="false">IF(LEFT(F447,1)="A",Parametros!$B$8,IF(LEFT(F447,1)="B",Parametros!$B$9,IF(LEFT(F447,1)="C",Parametros!$B$10,Parametros!$B$11)))</f>
        <v>0.95</v>
      </c>
      <c r="H447" s="27" t="n">
        <f aca="false">NORMSINV(G447)</f>
        <v>1.64485362695147</v>
      </c>
      <c r="I447" s="23" t="n">
        <v>1627.9</v>
      </c>
      <c r="J447" s="23" t="n">
        <f aca="false">IFERROR(INDEX(ABC_XYZ!$R$5:$R$494,MATCH(A447,ABC_XYZ!$A$5:$A$494,0)),I447*Parametros!$B$13)</f>
        <v>488.37</v>
      </c>
      <c r="K447" s="27" t="n">
        <f aca="false">IFERROR(VLOOKUP(C447,Parametros!$A$36:$B$66,2,FALSE()),Parametros!$B$12)</f>
        <v>1</v>
      </c>
      <c r="L447" s="23" t="n">
        <f aca="false">H447*J447*SQRT(K447)</f>
        <v>803.29716579429</v>
      </c>
      <c r="M447" s="29"/>
      <c r="N447" s="24"/>
      <c r="O447" s="3"/>
      <c r="P447" s="30" t="str">
        <f aca="false">IF(AND(ISNUMBER(M447),ISNUMBER(N447)),M447*N447/7,"")</f>
        <v/>
      </c>
      <c r="Q447" s="23" t="str">
        <f aca="false">IF(ISNUMBER(P447),I447*P447,"")</f>
        <v/>
      </c>
      <c r="R447" s="23" t="n">
        <f aca="false">IF(ISNUMBER(Q447),MAX(0,MIN(L447,Q447-I447*K447)),L447)</f>
        <v>803.29716579429</v>
      </c>
      <c r="S447" s="23" t="n">
        <f aca="false">R447+I447*K447</f>
        <v>2431.19716579429</v>
      </c>
      <c r="T447" s="23" t="n">
        <v>0</v>
      </c>
      <c r="U447" s="23" t="n">
        <v>0</v>
      </c>
      <c r="V447" s="23" t="n">
        <f aca="false">T447+U447</f>
        <v>0</v>
      </c>
      <c r="W447" s="30" t="n">
        <f aca="false">IF(I447&gt;0,V447/I447,"")</f>
        <v>0</v>
      </c>
      <c r="X447" s="3" t="str">
        <f aca="false">IF(I447&lt;=0,"SIN FCST",IF(V447&lt;R447,"BAJO SS",IF(T447&lt;R447,"BAJO SS (XLIB CUBRE)",IF(V447&lt;S447,"BAJO P.REORDEN",IF(AND(ISNUMBER(Q447),V447&gt;Q447),"SOBRE MAX VENDIBLE","OK")))))</f>
        <v>BAJO SS</v>
      </c>
    </row>
    <row r="448" customFormat="false" ht="15" hidden="false" customHeight="false" outlineLevel="0" collapsed="false">
      <c r="A448" s="3" t="n">
        <v>30000185</v>
      </c>
      <c r="B448" s="3" t="s">
        <v>1056</v>
      </c>
      <c r="C448" s="3" t="s">
        <v>144</v>
      </c>
      <c r="D448" s="3" t="s">
        <v>753</v>
      </c>
      <c r="E448" s="3" t="s">
        <v>745</v>
      </c>
      <c r="F448" s="3" t="str">
        <f aca="false">IFERROR(INDEX(ABC_XYZ!$L$5:$L$494,MATCH(A448,ABC_XYZ!$A$5:$A$494,0)),"SIN HIST")</f>
        <v>SIN HIST</v>
      </c>
      <c r="G448" s="24" t="n">
        <f aca="false">IF(LEFT(F448,1)="A",Parametros!$B$8,IF(LEFT(F448,1)="B",Parametros!$B$9,IF(LEFT(F448,1)="C",Parametros!$B$10,Parametros!$B$11)))</f>
        <v>0.95</v>
      </c>
      <c r="H448" s="27" t="n">
        <f aca="false">NORMSINV(G448)</f>
        <v>1.64485362695147</v>
      </c>
      <c r="I448" s="23" t="n">
        <v>1627.9</v>
      </c>
      <c r="J448" s="23" t="n">
        <f aca="false">IFERROR(INDEX(ABC_XYZ!$R$5:$R$494,MATCH(A448,ABC_XYZ!$A$5:$A$494,0)),I448*Parametros!$B$13)</f>
        <v>488.37</v>
      </c>
      <c r="K448" s="27" t="n">
        <f aca="false">IFERROR(VLOOKUP(C448,Parametros!$A$36:$B$66,2,FALSE()),Parametros!$B$12)</f>
        <v>1</v>
      </c>
      <c r="L448" s="23" t="n">
        <f aca="false">H448*J448*SQRT(K448)</f>
        <v>803.29716579429</v>
      </c>
      <c r="M448" s="29" t="n">
        <v>245</v>
      </c>
      <c r="N448" s="24" t="n">
        <v>0.253061224489796</v>
      </c>
      <c r="O448" s="3" t="s">
        <v>754</v>
      </c>
      <c r="P448" s="30" t="n">
        <f aca="false">IF(AND(ISNUMBER(M448),ISNUMBER(N448)),M448*N448/7,"")</f>
        <v>8.85714285714286</v>
      </c>
      <c r="Q448" s="23" t="n">
        <f aca="false">IF(ISNUMBER(P448),I448*P448,"")</f>
        <v>14418.5428571429</v>
      </c>
      <c r="R448" s="23" t="n">
        <f aca="false">IF(ISNUMBER(Q448),MAX(0,MIN(L448,Q448-I448*K448)),L448)</f>
        <v>803.29716579429</v>
      </c>
      <c r="S448" s="23" t="n">
        <f aca="false">R448+I448*K448</f>
        <v>2431.19716579429</v>
      </c>
      <c r="T448" s="23" t="n">
        <v>6855</v>
      </c>
      <c r="U448" s="23" t="n">
        <v>0</v>
      </c>
      <c r="V448" s="23" t="n">
        <f aca="false">T448+U448</f>
        <v>6855</v>
      </c>
      <c r="W448" s="30" t="n">
        <f aca="false">IF(I448&gt;0,V448/I448,"")</f>
        <v>4.21094661834265</v>
      </c>
      <c r="X448" s="3" t="str">
        <f aca="false">IF(I448&lt;=0,"SIN FCST",IF(V448&lt;R448,"BAJO SS",IF(T448&lt;R448,"BAJO SS (XLIB CUBRE)",IF(V448&lt;S448,"BAJO P.REORDEN",IF(AND(ISNUMBER(Q448),V448&gt;Q448),"SOBRE MAX VENDIBLE","OK")))))</f>
        <v>OK</v>
      </c>
    </row>
    <row r="449" customFormat="false" ht="15" hidden="false" customHeight="false" outlineLevel="0" collapsed="false">
      <c r="A449" s="3" t="n">
        <v>30000250</v>
      </c>
      <c r="B449" s="3" t="s">
        <v>544</v>
      </c>
      <c r="C449" s="3" t="s">
        <v>135</v>
      </c>
      <c r="D449" s="3" t="s">
        <v>753</v>
      </c>
      <c r="E449" s="3" t="s">
        <v>762</v>
      </c>
      <c r="F449" s="3" t="str">
        <f aca="false">IFERROR(INDEX(ABC_XYZ!$L$5:$L$494,MATCH(A449,ABC_XYZ!$A$5:$A$494,0)),"SIN HIST")</f>
        <v>CX</v>
      </c>
      <c r="G449" s="24" t="n">
        <f aca="false">IF(LEFT(F449,1)="A",Parametros!$B$8,IF(LEFT(F449,1)="B",Parametros!$B$9,IF(LEFT(F449,1)="C",Parametros!$B$10,Parametros!$B$11)))</f>
        <v>0.9</v>
      </c>
      <c r="H449" s="27" t="n">
        <f aca="false">NORMSINV(G449)</f>
        <v>1.2815515655446</v>
      </c>
      <c r="I449" s="23" t="n">
        <v>1600</v>
      </c>
      <c r="J449" s="23" t="n">
        <f aca="false">IFERROR(INDEX(ABC_XYZ!$R$5:$R$494,MATCH(A449,ABC_XYZ!$A$5:$A$494,0)),I449*Parametros!$B$13)</f>
        <v>417.598007386152</v>
      </c>
      <c r="K449" s="27" t="n">
        <f aca="false">IFERROR(VLOOKUP(C449,Parametros!$A$36:$B$66,2,FALSE()),Parametros!$B$12)</f>
        <v>1</v>
      </c>
      <c r="L449" s="23" t="n">
        <f aca="false">H449*J449*SQRT(K449)</f>
        <v>535.17338013403</v>
      </c>
      <c r="M449" s="29" t="n">
        <v>70</v>
      </c>
      <c r="N449" s="24" t="n">
        <v>0.328571428571429</v>
      </c>
      <c r="O449" s="3" t="s">
        <v>774</v>
      </c>
      <c r="P449" s="30" t="n">
        <f aca="false">IF(AND(ISNUMBER(M449),ISNUMBER(N449)),M449*N449/7,"")</f>
        <v>3.28571428571429</v>
      </c>
      <c r="Q449" s="23" t="n">
        <f aca="false">IF(ISNUMBER(P449),I449*P449,"")</f>
        <v>5257.14285714286</v>
      </c>
      <c r="R449" s="23" t="n">
        <f aca="false">IF(ISNUMBER(Q449),MAX(0,MIN(L449,Q449-I449*K449)),L449)</f>
        <v>535.17338013403</v>
      </c>
      <c r="S449" s="23" t="n">
        <f aca="false">R449+I449*K449</f>
        <v>2135.17338013403</v>
      </c>
      <c r="T449" s="23" t="n">
        <v>2376</v>
      </c>
      <c r="U449" s="23" t="n">
        <v>0</v>
      </c>
      <c r="V449" s="23" t="n">
        <f aca="false">T449+U449</f>
        <v>2376</v>
      </c>
      <c r="W449" s="30" t="n">
        <f aca="false">IF(I449&gt;0,V449/I449,"")</f>
        <v>1.485</v>
      </c>
      <c r="X449" s="3" t="str">
        <f aca="false">IF(I449&lt;=0,"SIN FCST",IF(V449&lt;R449,"BAJO SS",IF(T449&lt;R449,"BAJO SS (XLIB CUBRE)",IF(V449&lt;S449,"BAJO P.REORDEN",IF(AND(ISNUMBER(Q449),V449&gt;Q449),"SOBRE MAX VENDIBLE","OK")))))</f>
        <v>OK</v>
      </c>
    </row>
    <row r="450" customFormat="false" ht="15" hidden="false" customHeight="false" outlineLevel="0" collapsed="false">
      <c r="A450" s="3" t="n">
        <v>30001537</v>
      </c>
      <c r="B450" s="3" t="s">
        <v>1057</v>
      </c>
      <c r="C450" s="3" t="s">
        <v>155</v>
      </c>
      <c r="D450" s="3" t="s">
        <v>761</v>
      </c>
      <c r="E450" s="3" t="s">
        <v>762</v>
      </c>
      <c r="F450" s="3" t="str">
        <f aca="false">IFERROR(INDEX(ABC_XYZ!$L$5:$L$494,MATCH(A450,ABC_XYZ!$A$5:$A$494,0)),"SIN HIST")</f>
        <v>CY</v>
      </c>
      <c r="G450" s="24" t="n">
        <f aca="false">IF(LEFT(F450,1)="A",Parametros!$B$8,IF(LEFT(F450,1)="B",Parametros!$B$9,IF(LEFT(F450,1)="C",Parametros!$B$10,Parametros!$B$11)))</f>
        <v>0.9</v>
      </c>
      <c r="H450" s="27" t="n">
        <f aca="false">NORMSINV(G450)</f>
        <v>1.2815515655446</v>
      </c>
      <c r="I450" s="23" t="n">
        <v>1588.7</v>
      </c>
      <c r="J450" s="23" t="n">
        <f aca="false">IFERROR(INDEX(ABC_XYZ!$R$5:$R$494,MATCH(A450,ABC_XYZ!$A$5:$A$494,0)),I450*Parametros!$B$13)</f>
        <v>625.990095765963</v>
      </c>
      <c r="K450" s="27" t="n">
        <f aca="false">IFERROR(VLOOKUP(C450,Parametros!$A$36:$B$66,2,FALSE()),Parametros!$B$12)</f>
        <v>1</v>
      </c>
      <c r="L450" s="23" t="n">
        <f aca="false">H450*J450*SQRT(K450)</f>
        <v>802.238587244284</v>
      </c>
      <c r="M450" s="29" t="n">
        <v>65</v>
      </c>
      <c r="N450" s="24" t="n">
        <v>0.323076923076923</v>
      </c>
      <c r="O450" s="3" t="s">
        <v>774</v>
      </c>
      <c r="P450" s="30" t="n">
        <f aca="false">IF(AND(ISNUMBER(M450),ISNUMBER(N450)),M450*N450/7,"")</f>
        <v>3</v>
      </c>
      <c r="Q450" s="23" t="n">
        <f aca="false">IF(ISNUMBER(P450),I450*P450,"")</f>
        <v>4766.1</v>
      </c>
      <c r="R450" s="23" t="n">
        <f aca="false">IF(ISNUMBER(Q450),MAX(0,MIN(L450,Q450-I450*K450)),L450)</f>
        <v>802.238587244284</v>
      </c>
      <c r="S450" s="23" t="n">
        <f aca="false">R450+I450*K450</f>
        <v>2390.93858724428</v>
      </c>
      <c r="T450" s="23" t="n">
        <v>2509.1</v>
      </c>
      <c r="U450" s="23" t="n">
        <v>0</v>
      </c>
      <c r="V450" s="23" t="n">
        <f aca="false">T450+U450</f>
        <v>2509.1</v>
      </c>
      <c r="W450" s="30" t="n">
        <f aca="false">IF(I450&gt;0,V450/I450,"")</f>
        <v>1.57934160005036</v>
      </c>
      <c r="X450" s="3" t="str">
        <f aca="false">IF(I450&lt;=0,"SIN FCST",IF(V450&lt;R450,"BAJO SS",IF(T450&lt;R450,"BAJO SS (XLIB CUBRE)",IF(V450&lt;S450,"BAJO P.REORDEN",IF(AND(ISNUMBER(Q450),V450&gt;Q450),"SOBRE MAX VENDIBLE","OK")))))</f>
        <v>OK</v>
      </c>
    </row>
    <row r="451" customFormat="false" ht="15" hidden="false" customHeight="false" outlineLevel="0" collapsed="false">
      <c r="A451" s="3" t="n">
        <v>30000750</v>
      </c>
      <c r="B451" s="3" t="s">
        <v>1058</v>
      </c>
      <c r="C451" s="3" t="s">
        <v>133</v>
      </c>
      <c r="D451" s="3" t="s">
        <v>758</v>
      </c>
      <c r="E451" s="3"/>
      <c r="F451" s="3" t="str">
        <f aca="false">IFERROR(INDEX(ABC_XYZ!$L$5:$L$494,MATCH(A451,ABC_XYZ!$A$5:$A$494,0)),"SIN HIST")</f>
        <v>SIN HIST</v>
      </c>
      <c r="G451" s="24" t="n">
        <f aca="false">IF(LEFT(F451,1)="A",Parametros!$B$8,IF(LEFT(F451,1)="B",Parametros!$B$9,IF(LEFT(F451,1)="C",Parametros!$B$10,Parametros!$B$11)))</f>
        <v>0.95</v>
      </c>
      <c r="H451" s="27" t="n">
        <f aca="false">NORMSINV(G451)</f>
        <v>1.64485362695147</v>
      </c>
      <c r="I451" s="23" t="n">
        <v>1582.9</v>
      </c>
      <c r="J451" s="23" t="n">
        <f aca="false">IFERROR(INDEX(ABC_XYZ!$R$5:$R$494,MATCH(A451,ABC_XYZ!$A$5:$A$494,0)),I451*Parametros!$B$13)</f>
        <v>474.87</v>
      </c>
      <c r="K451" s="27" t="n">
        <f aca="false">IFERROR(VLOOKUP(C451,Parametros!$A$36:$B$66,2,FALSE()),Parametros!$B$12)</f>
        <v>1</v>
      </c>
      <c r="L451" s="23" t="n">
        <f aca="false">H451*J451*SQRT(K451)</f>
        <v>781.091641830445</v>
      </c>
      <c r="M451" s="29"/>
      <c r="N451" s="24"/>
      <c r="O451" s="3"/>
      <c r="P451" s="30" t="str">
        <f aca="false">IF(AND(ISNUMBER(M451),ISNUMBER(N451)),M451*N451/7,"")</f>
        <v/>
      </c>
      <c r="Q451" s="23" t="str">
        <f aca="false">IF(ISNUMBER(P451),I451*P451,"")</f>
        <v/>
      </c>
      <c r="R451" s="23" t="n">
        <f aca="false">IF(ISNUMBER(Q451),MAX(0,MIN(L451,Q451-I451*K451)),L451)</f>
        <v>781.091641830445</v>
      </c>
      <c r="S451" s="23" t="n">
        <f aca="false">R451+I451*K451</f>
        <v>2363.99164183045</v>
      </c>
      <c r="T451" s="23" t="n">
        <v>5733</v>
      </c>
      <c r="U451" s="23" t="n">
        <v>0</v>
      </c>
      <c r="V451" s="23" t="n">
        <f aca="false">T451+U451</f>
        <v>5733</v>
      </c>
      <c r="W451" s="30" t="n">
        <f aca="false">IF(I451&gt;0,V451/I451,"")</f>
        <v>3.62183334386253</v>
      </c>
      <c r="X451" s="3" t="str">
        <f aca="false">IF(I451&lt;=0,"SIN FCST",IF(V451&lt;R451,"BAJO SS",IF(T451&lt;R451,"BAJO SS (XLIB CUBRE)",IF(V451&lt;S451,"BAJO P.REORDEN",IF(AND(ISNUMBER(Q451),V451&gt;Q451),"SOBRE MAX VENDIBLE","OK")))))</f>
        <v>OK</v>
      </c>
    </row>
    <row r="452" customFormat="false" ht="15" hidden="false" customHeight="false" outlineLevel="0" collapsed="false">
      <c r="A452" s="3" t="n">
        <v>30000613</v>
      </c>
      <c r="B452" s="3" t="s">
        <v>529</v>
      </c>
      <c r="C452" s="3" t="s">
        <v>129</v>
      </c>
      <c r="D452" s="3" t="s">
        <v>769</v>
      </c>
      <c r="E452" s="3" t="s">
        <v>745</v>
      </c>
      <c r="F452" s="3" t="str">
        <f aca="false">IFERROR(INDEX(ABC_XYZ!$L$5:$L$494,MATCH(A452,ABC_XYZ!$A$5:$A$494,0)),"SIN HIST")</f>
        <v>CX</v>
      </c>
      <c r="G452" s="24" t="n">
        <f aca="false">IF(LEFT(F452,1)="A",Parametros!$B$8,IF(LEFT(F452,1)="B",Parametros!$B$9,IF(LEFT(F452,1)="C",Parametros!$B$10,Parametros!$B$11)))</f>
        <v>0.9</v>
      </c>
      <c r="H452" s="27" t="n">
        <f aca="false">NORMSINV(G452)</f>
        <v>1.2815515655446</v>
      </c>
      <c r="I452" s="23" t="n">
        <v>1574.5</v>
      </c>
      <c r="J452" s="23" t="n">
        <f aca="false">IFERROR(INDEX(ABC_XYZ!$R$5:$R$494,MATCH(A452,ABC_XYZ!$A$5:$A$494,0)),I452*Parametros!$B$13)</f>
        <v>555.647106234404</v>
      </c>
      <c r="K452" s="27" t="n">
        <f aca="false">IFERROR(VLOOKUP(C452,Parametros!$A$36:$B$66,2,FALSE()),Parametros!$B$12)</f>
        <v>1</v>
      </c>
      <c r="L452" s="23" t="n">
        <f aca="false">H452*J452*SQRT(K452)</f>
        <v>712.090418885027</v>
      </c>
      <c r="M452" s="29" t="n">
        <v>1095</v>
      </c>
      <c r="N452" s="24" t="n">
        <v>0.461187214611872</v>
      </c>
      <c r="O452" s="3" t="s">
        <v>763</v>
      </c>
      <c r="P452" s="30" t="n">
        <f aca="false">IF(AND(ISNUMBER(M452),ISNUMBER(N452)),M452*N452/7,"")</f>
        <v>72.1428571428572</v>
      </c>
      <c r="Q452" s="23" t="n">
        <f aca="false">IF(ISNUMBER(P452),I452*P452,"")</f>
        <v>113588.928571429</v>
      </c>
      <c r="R452" s="23" t="n">
        <f aca="false">IF(ISNUMBER(Q452),MAX(0,MIN(L452,Q452-I452*K452)),L452)</f>
        <v>712.090418885027</v>
      </c>
      <c r="S452" s="23" t="n">
        <f aca="false">R452+I452*K452</f>
        <v>2286.59041888503</v>
      </c>
      <c r="T452" s="23" t="n">
        <v>37881.6</v>
      </c>
      <c r="U452" s="23" t="n">
        <v>0</v>
      </c>
      <c r="V452" s="23" t="n">
        <f aca="false">T452+U452</f>
        <v>37881.6</v>
      </c>
      <c r="W452" s="30" t="n">
        <f aca="false">IF(I452&gt;0,V452/I452,"")</f>
        <v>24.0594474436329</v>
      </c>
      <c r="X452" s="3" t="str">
        <f aca="false">IF(I452&lt;=0,"SIN FCST",IF(V452&lt;R452,"BAJO SS",IF(T452&lt;R452,"BAJO SS (XLIB CUBRE)",IF(V452&lt;S452,"BAJO P.REORDEN",IF(AND(ISNUMBER(Q452),V452&gt;Q452),"SOBRE MAX VENDIBLE","OK")))))</f>
        <v>OK</v>
      </c>
    </row>
    <row r="453" customFormat="false" ht="15" hidden="false" customHeight="false" outlineLevel="0" collapsed="false">
      <c r="A453" s="3" t="n">
        <v>30001700</v>
      </c>
      <c r="B453" s="3" t="s">
        <v>1059</v>
      </c>
      <c r="C453" s="3" t="s">
        <v>133</v>
      </c>
      <c r="D453" s="3" t="s">
        <v>758</v>
      </c>
      <c r="E453" s="3"/>
      <c r="F453" s="3" t="str">
        <f aca="false">IFERROR(INDEX(ABC_XYZ!$L$5:$L$494,MATCH(A453,ABC_XYZ!$A$5:$A$494,0)),"SIN HIST")</f>
        <v>SIN HIST</v>
      </c>
      <c r="G453" s="24" t="n">
        <f aca="false">IF(LEFT(F453,1)="A",Parametros!$B$8,IF(LEFT(F453,1)="B",Parametros!$B$9,IF(LEFT(F453,1)="C",Parametros!$B$10,Parametros!$B$11)))</f>
        <v>0.95</v>
      </c>
      <c r="H453" s="27" t="n">
        <f aca="false">NORMSINV(G453)</f>
        <v>1.64485362695147</v>
      </c>
      <c r="I453" s="23" t="n">
        <v>1560.2</v>
      </c>
      <c r="J453" s="23" t="n">
        <f aca="false">IFERROR(INDEX(ABC_XYZ!$R$5:$R$494,MATCH(A453,ABC_XYZ!$A$5:$A$494,0)),I453*Parametros!$B$13)</f>
        <v>468.06</v>
      </c>
      <c r="K453" s="27" t="n">
        <f aca="false">IFERROR(VLOOKUP(C453,Parametros!$A$36:$B$66,2,FALSE()),Parametros!$B$12)</f>
        <v>1</v>
      </c>
      <c r="L453" s="23" t="n">
        <f aca="false">H453*J453*SQRT(K453)</f>
        <v>769.890188630906</v>
      </c>
      <c r="M453" s="29"/>
      <c r="N453" s="24"/>
      <c r="O453" s="3"/>
      <c r="P453" s="30" t="str">
        <f aca="false">IF(AND(ISNUMBER(M453),ISNUMBER(N453)),M453*N453/7,"")</f>
        <v/>
      </c>
      <c r="Q453" s="23" t="str">
        <f aca="false">IF(ISNUMBER(P453),I453*P453,"")</f>
        <v/>
      </c>
      <c r="R453" s="23" t="n">
        <f aca="false">IF(ISNUMBER(Q453),MAX(0,MIN(L453,Q453-I453*K453)),L453)</f>
        <v>769.890188630906</v>
      </c>
      <c r="S453" s="23" t="n">
        <f aca="false">R453+I453*K453</f>
        <v>2330.09018863091</v>
      </c>
      <c r="T453" s="23" t="n">
        <v>1866</v>
      </c>
      <c r="U453" s="23" t="n">
        <v>2790</v>
      </c>
      <c r="V453" s="23" t="n">
        <f aca="false">T453+U453</f>
        <v>4656</v>
      </c>
      <c r="W453" s="30" t="n">
        <f aca="false">IF(I453&gt;0,V453/I453,"")</f>
        <v>2.98423279066786</v>
      </c>
      <c r="X453" s="3" t="str">
        <f aca="false">IF(I453&lt;=0,"SIN FCST",IF(V453&lt;R453,"BAJO SS",IF(T453&lt;R453,"BAJO SS (XLIB CUBRE)",IF(V453&lt;S453,"BAJO P.REORDEN",IF(AND(ISNUMBER(Q453),V453&gt;Q453),"SOBRE MAX VENDIBLE","OK")))))</f>
        <v>OK</v>
      </c>
    </row>
    <row r="454" customFormat="false" ht="15" hidden="false" customHeight="false" outlineLevel="0" collapsed="false">
      <c r="A454" s="3" t="n">
        <v>30000946</v>
      </c>
      <c r="B454" s="3" t="s">
        <v>1060</v>
      </c>
      <c r="C454" s="3" t="s">
        <v>133</v>
      </c>
      <c r="D454" s="3" t="s">
        <v>758</v>
      </c>
      <c r="E454" s="3"/>
      <c r="F454" s="3" t="str">
        <f aca="false">IFERROR(INDEX(ABC_XYZ!$L$5:$L$494,MATCH(A454,ABC_XYZ!$A$5:$A$494,0)),"SIN HIST")</f>
        <v>SIN HIST</v>
      </c>
      <c r="G454" s="24" t="n">
        <f aca="false">IF(LEFT(F454,1)="A",Parametros!$B$8,IF(LEFT(F454,1)="B",Parametros!$B$9,IF(LEFT(F454,1)="C",Parametros!$B$10,Parametros!$B$11)))</f>
        <v>0.95</v>
      </c>
      <c r="H454" s="27" t="n">
        <f aca="false">NORMSINV(G454)</f>
        <v>1.64485362695147</v>
      </c>
      <c r="I454" s="23" t="n">
        <v>1556.3</v>
      </c>
      <c r="J454" s="23" t="n">
        <f aca="false">IFERROR(INDEX(ABC_XYZ!$R$5:$R$494,MATCH(A454,ABC_XYZ!$A$5:$A$494,0)),I454*Parametros!$B$13)</f>
        <v>466.89</v>
      </c>
      <c r="K454" s="27" t="n">
        <f aca="false">IFERROR(VLOOKUP(C454,Parametros!$A$36:$B$66,2,FALSE()),Parametros!$B$12)</f>
        <v>1</v>
      </c>
      <c r="L454" s="23" t="n">
        <f aca="false">H454*J454*SQRT(K454)</f>
        <v>767.965709887373</v>
      </c>
      <c r="M454" s="29"/>
      <c r="N454" s="24"/>
      <c r="O454" s="3"/>
      <c r="P454" s="30" t="str">
        <f aca="false">IF(AND(ISNUMBER(M454),ISNUMBER(N454)),M454*N454/7,"")</f>
        <v/>
      </c>
      <c r="Q454" s="23" t="str">
        <f aca="false">IF(ISNUMBER(P454),I454*P454,"")</f>
        <v/>
      </c>
      <c r="R454" s="23" t="n">
        <f aca="false">IF(ISNUMBER(Q454),MAX(0,MIN(L454,Q454-I454*K454)),L454)</f>
        <v>767.965709887373</v>
      </c>
      <c r="S454" s="23" t="n">
        <f aca="false">R454+I454*K454</f>
        <v>2324.26570988737</v>
      </c>
      <c r="T454" s="23" t="n">
        <v>12612</v>
      </c>
      <c r="U454" s="23" t="n">
        <v>0</v>
      </c>
      <c r="V454" s="23" t="n">
        <f aca="false">T454+U454</f>
        <v>12612</v>
      </c>
      <c r="W454" s="30" t="n">
        <f aca="false">IF(I454&gt;0,V454/I454,"")</f>
        <v>8.10383602133265</v>
      </c>
      <c r="X454" s="3" t="str">
        <f aca="false">IF(I454&lt;=0,"SIN FCST",IF(V454&lt;R454,"BAJO SS",IF(T454&lt;R454,"BAJO SS (XLIB CUBRE)",IF(V454&lt;S454,"BAJO P.REORDEN",IF(AND(ISNUMBER(Q454),V454&gt;Q454),"SOBRE MAX VENDIBLE","OK")))))</f>
        <v>OK</v>
      </c>
    </row>
    <row r="455" customFormat="false" ht="15" hidden="false" customHeight="false" outlineLevel="0" collapsed="false">
      <c r="A455" s="3" t="n">
        <v>30000927</v>
      </c>
      <c r="B455" s="3" t="s">
        <v>1061</v>
      </c>
      <c r="C455" s="3" t="s">
        <v>133</v>
      </c>
      <c r="D455" s="3" t="s">
        <v>758</v>
      </c>
      <c r="E455" s="3"/>
      <c r="F455" s="3" t="str">
        <f aca="false">IFERROR(INDEX(ABC_XYZ!$L$5:$L$494,MATCH(A455,ABC_XYZ!$A$5:$A$494,0)),"SIN HIST")</f>
        <v>SIN HIST</v>
      </c>
      <c r="G455" s="24" t="n">
        <f aca="false">IF(LEFT(F455,1)="A",Parametros!$B$8,IF(LEFT(F455,1)="B",Parametros!$B$9,IF(LEFT(F455,1)="C",Parametros!$B$10,Parametros!$B$11)))</f>
        <v>0.95</v>
      </c>
      <c r="H455" s="27" t="n">
        <f aca="false">NORMSINV(G455)</f>
        <v>1.64485362695147</v>
      </c>
      <c r="I455" s="23" t="n">
        <v>1549.8</v>
      </c>
      <c r="J455" s="23" t="n">
        <f aca="false">IFERROR(INDEX(ABC_XYZ!$R$5:$R$494,MATCH(A455,ABC_XYZ!$A$5:$A$494,0)),I455*Parametros!$B$13)</f>
        <v>464.94</v>
      </c>
      <c r="K455" s="27" t="n">
        <f aca="false">IFERROR(VLOOKUP(C455,Parametros!$A$36:$B$66,2,FALSE()),Parametros!$B$12)</f>
        <v>1</v>
      </c>
      <c r="L455" s="23" t="n">
        <f aca="false">H455*J455*SQRT(K455)</f>
        <v>764.758245314817</v>
      </c>
      <c r="M455" s="29"/>
      <c r="N455" s="24"/>
      <c r="O455" s="3"/>
      <c r="P455" s="30" t="str">
        <f aca="false">IF(AND(ISNUMBER(M455),ISNUMBER(N455)),M455*N455/7,"")</f>
        <v/>
      </c>
      <c r="Q455" s="23" t="str">
        <f aca="false">IF(ISNUMBER(P455),I455*P455,"")</f>
        <v/>
      </c>
      <c r="R455" s="23" t="n">
        <f aca="false">IF(ISNUMBER(Q455),MAX(0,MIN(L455,Q455-I455*K455)),L455)</f>
        <v>764.758245314817</v>
      </c>
      <c r="S455" s="23" t="n">
        <f aca="false">R455+I455*K455</f>
        <v>2314.55824531482</v>
      </c>
      <c r="T455" s="23" t="n">
        <v>14413</v>
      </c>
      <c r="U455" s="23" t="n">
        <v>0</v>
      </c>
      <c r="V455" s="23" t="n">
        <f aca="false">T455+U455</f>
        <v>14413</v>
      </c>
      <c r="W455" s="30" t="n">
        <f aca="false">IF(I455&gt;0,V455/I455,"")</f>
        <v>9.29990966576333</v>
      </c>
      <c r="X455" s="3" t="str">
        <f aca="false">IF(I455&lt;=0,"SIN FCST",IF(V455&lt;R455,"BAJO SS",IF(T455&lt;R455,"BAJO SS (XLIB CUBRE)",IF(V455&lt;S455,"BAJO P.REORDEN",IF(AND(ISNUMBER(Q455),V455&gt;Q455),"SOBRE MAX VENDIBLE","OK")))))</f>
        <v>OK</v>
      </c>
    </row>
    <row r="456" customFormat="false" ht="15" hidden="false" customHeight="false" outlineLevel="0" collapsed="false">
      <c r="A456" s="3" t="n">
        <v>30001149</v>
      </c>
      <c r="B456" s="3" t="s">
        <v>536</v>
      </c>
      <c r="C456" s="3" t="s">
        <v>137</v>
      </c>
      <c r="D456" s="3" t="s">
        <v>753</v>
      </c>
      <c r="E456" s="3" t="s">
        <v>745</v>
      </c>
      <c r="F456" s="3" t="str">
        <f aca="false">IFERROR(INDEX(ABC_XYZ!$L$5:$L$494,MATCH(A456,ABC_XYZ!$A$5:$A$494,0)),"SIN HIST")</f>
        <v>CX</v>
      </c>
      <c r="G456" s="24" t="n">
        <f aca="false">IF(LEFT(F456,1)="A",Parametros!$B$8,IF(LEFT(F456,1)="B",Parametros!$B$9,IF(LEFT(F456,1)="C",Parametros!$B$10,Parametros!$B$11)))</f>
        <v>0.9</v>
      </c>
      <c r="H456" s="27" t="n">
        <f aca="false">NORMSINV(G456)</f>
        <v>1.2815515655446</v>
      </c>
      <c r="I456" s="23" t="n">
        <v>1549.5</v>
      </c>
      <c r="J456" s="23" t="n">
        <f aca="false">IFERROR(INDEX(ABC_XYZ!$R$5:$R$494,MATCH(A456,ABC_XYZ!$A$5:$A$494,0)),I456*Parametros!$B$13)</f>
        <v>535.577835708204</v>
      </c>
      <c r="K456" s="27" t="n">
        <f aca="false">IFERROR(VLOOKUP(C456,Parametros!$A$36:$B$66,2,FALSE()),Parametros!$B$12)</f>
        <v>1</v>
      </c>
      <c r="L456" s="23" t="n">
        <f aca="false">H456*J456*SQRT(K456)</f>
        <v>686.370613822838</v>
      </c>
      <c r="M456" s="29" t="n">
        <v>189</v>
      </c>
      <c r="N456" s="24" t="n">
        <v>0.211640211640212</v>
      </c>
      <c r="O456" s="3" t="s">
        <v>746</v>
      </c>
      <c r="P456" s="30" t="n">
        <f aca="false">IF(AND(ISNUMBER(M456),ISNUMBER(N456)),M456*N456/7,"")</f>
        <v>5.71428571428571</v>
      </c>
      <c r="Q456" s="23" t="n">
        <f aca="false">IF(ISNUMBER(P456),I456*P456,"")</f>
        <v>8854.28571428571</v>
      </c>
      <c r="R456" s="23" t="n">
        <f aca="false">IF(ISNUMBER(Q456),MAX(0,MIN(L456,Q456-I456*K456)),L456)</f>
        <v>686.370613822838</v>
      </c>
      <c r="S456" s="23" t="n">
        <f aca="false">R456+I456*K456</f>
        <v>2235.87061382284</v>
      </c>
      <c r="T456" s="23" t="n">
        <v>2370</v>
      </c>
      <c r="U456" s="23" t="n">
        <v>0</v>
      </c>
      <c r="V456" s="23" t="n">
        <f aca="false">T456+U456</f>
        <v>2370</v>
      </c>
      <c r="W456" s="30" t="n">
        <f aca="false">IF(I456&gt;0,V456/I456,"")</f>
        <v>1.52952565343659</v>
      </c>
      <c r="X456" s="3" t="str">
        <f aca="false">IF(I456&lt;=0,"SIN FCST",IF(V456&lt;R456,"BAJO SS",IF(T456&lt;R456,"BAJO SS (XLIB CUBRE)",IF(V456&lt;S456,"BAJO P.REORDEN",IF(AND(ISNUMBER(Q456),V456&gt;Q456),"SOBRE MAX VENDIBLE","OK")))))</f>
        <v>OK</v>
      </c>
    </row>
    <row r="457" customFormat="false" ht="15" hidden="false" customHeight="false" outlineLevel="0" collapsed="false">
      <c r="A457" s="3" t="n">
        <v>30002288</v>
      </c>
      <c r="B457" s="3" t="s">
        <v>455</v>
      </c>
      <c r="C457" s="3" t="s">
        <v>155</v>
      </c>
      <c r="D457" s="3" t="s">
        <v>761</v>
      </c>
      <c r="E457" s="3"/>
      <c r="F457" s="3" t="str">
        <f aca="false">IFERROR(INDEX(ABC_XYZ!$L$5:$L$494,MATCH(A457,ABC_XYZ!$A$5:$A$494,0)),"SIN HIST")</f>
        <v>BX</v>
      </c>
      <c r="G457" s="24" t="n">
        <f aca="false">IF(LEFT(F457,1)="A",Parametros!$B$8,IF(LEFT(F457,1)="B",Parametros!$B$9,IF(LEFT(F457,1)="C",Parametros!$B$10,Parametros!$B$11)))</f>
        <v>0.95</v>
      </c>
      <c r="H457" s="27" t="n">
        <f aca="false">NORMSINV(G457)</f>
        <v>1.64485362695147</v>
      </c>
      <c r="I457" s="23" t="n">
        <v>1540.2</v>
      </c>
      <c r="J457" s="23" t="n">
        <f aca="false">IFERROR(INDEX(ABC_XYZ!$R$5:$R$494,MATCH(A457,ABC_XYZ!$A$5:$A$494,0)),I457*Parametros!$B$13)</f>
        <v>1592.58311475344</v>
      </c>
      <c r="K457" s="27" t="n">
        <f aca="false">IFERROR(VLOOKUP(C457,Parametros!$A$36:$B$66,2,FALSE()),Parametros!$B$12)</f>
        <v>1</v>
      </c>
      <c r="L457" s="23" t="n">
        <f aca="false">H457*J457*SQRT(K457)</f>
        <v>2619.56611252386</v>
      </c>
      <c r="M457" s="29"/>
      <c r="N457" s="24"/>
      <c r="O457" s="3"/>
      <c r="P457" s="30" t="str">
        <f aca="false">IF(AND(ISNUMBER(M457),ISNUMBER(N457)),M457*N457/7,"")</f>
        <v/>
      </c>
      <c r="Q457" s="23" t="str">
        <f aca="false">IF(ISNUMBER(P457),I457*P457,"")</f>
        <v/>
      </c>
      <c r="R457" s="23" t="n">
        <f aca="false">IF(ISNUMBER(Q457),MAX(0,MIN(L457,Q457-I457*K457)),L457)</f>
        <v>2619.56611252386</v>
      </c>
      <c r="S457" s="23" t="n">
        <f aca="false">R457+I457*K457</f>
        <v>4159.76611252386</v>
      </c>
      <c r="T457" s="23" t="n">
        <v>554.4</v>
      </c>
      <c r="U457" s="23" t="n">
        <v>0</v>
      </c>
      <c r="V457" s="23" t="n">
        <f aca="false">T457+U457</f>
        <v>554.4</v>
      </c>
      <c r="W457" s="30" t="n">
        <f aca="false">IF(I457&gt;0,V457/I457,"")</f>
        <v>0.359953252824309</v>
      </c>
      <c r="X457" s="3" t="str">
        <f aca="false">IF(I457&lt;=0,"SIN FCST",IF(V457&lt;R457,"BAJO SS",IF(T457&lt;R457,"BAJO SS (XLIB CUBRE)",IF(V457&lt;S457,"BAJO P.REORDEN",IF(AND(ISNUMBER(Q457),V457&gt;Q457),"SOBRE MAX VENDIBLE","OK")))))</f>
        <v>BAJO SS</v>
      </c>
    </row>
    <row r="458" customFormat="false" ht="15" hidden="false" customHeight="false" outlineLevel="0" collapsed="false">
      <c r="A458" s="3" t="n">
        <v>30002076</v>
      </c>
      <c r="B458" s="3" t="s">
        <v>1062</v>
      </c>
      <c r="C458" s="3" t="s">
        <v>139</v>
      </c>
      <c r="D458" s="3" t="s">
        <v>753</v>
      </c>
      <c r="E458" s="3" t="s">
        <v>745</v>
      </c>
      <c r="F458" s="3" t="str">
        <f aca="false">IFERROR(INDEX(ABC_XYZ!$L$5:$L$494,MATCH(A458,ABC_XYZ!$A$5:$A$494,0)),"SIN HIST")</f>
        <v>CZ</v>
      </c>
      <c r="G458" s="24" t="n">
        <f aca="false">IF(LEFT(F458,1)="A",Parametros!$B$8,IF(LEFT(F458,1)="B",Parametros!$B$9,IF(LEFT(F458,1)="C",Parametros!$B$10,Parametros!$B$11)))</f>
        <v>0.9</v>
      </c>
      <c r="H458" s="27" t="n">
        <f aca="false">NORMSINV(G458)</f>
        <v>1.2815515655446</v>
      </c>
      <c r="I458" s="23" t="n">
        <v>1531.9</v>
      </c>
      <c r="J458" s="23" t="n">
        <f aca="false">IFERROR(INDEX(ABC_XYZ!$R$5:$R$494,MATCH(A458,ABC_XYZ!$A$5:$A$494,0)),I458*Parametros!$B$13)</f>
        <v>2401.56468956077</v>
      </c>
      <c r="K458" s="27" t="n">
        <f aca="false">IFERROR(VLOOKUP(C458,Parametros!$A$36:$B$66,2,FALSE()),Parametros!$B$12)</f>
        <v>1</v>
      </c>
      <c r="L458" s="23" t="n">
        <f aca="false">H458*J458*SQRT(K458)</f>
        <v>3077.72898766324</v>
      </c>
      <c r="M458" s="29" t="n">
        <v>184</v>
      </c>
      <c r="N458" s="24" t="n">
        <v>0.239130434782609</v>
      </c>
      <c r="O458" s="3" t="s">
        <v>746</v>
      </c>
      <c r="P458" s="30" t="n">
        <f aca="false">IF(AND(ISNUMBER(M458),ISNUMBER(N458)),M458*N458/7,"")</f>
        <v>6.28571428571428</v>
      </c>
      <c r="Q458" s="23" t="n">
        <f aca="false">IF(ISNUMBER(P458),I458*P458,"")</f>
        <v>9629.08571428571</v>
      </c>
      <c r="R458" s="23" t="n">
        <f aca="false">IF(ISNUMBER(Q458),MAX(0,MIN(L458,Q458-I458*K458)),L458)</f>
        <v>3077.72898766324</v>
      </c>
      <c r="S458" s="23" t="n">
        <f aca="false">R458+I458*K458</f>
        <v>4609.62898766324</v>
      </c>
      <c r="T458" s="23" t="n">
        <v>7776</v>
      </c>
      <c r="U458" s="23" t="n">
        <v>0</v>
      </c>
      <c r="V458" s="23" t="n">
        <f aca="false">T458+U458</f>
        <v>7776</v>
      </c>
      <c r="W458" s="30" t="n">
        <f aca="false">IF(I458&gt;0,V458/I458,"")</f>
        <v>5.0760493504798</v>
      </c>
      <c r="X458" s="3" t="str">
        <f aca="false">IF(I458&lt;=0,"SIN FCST",IF(V458&lt;R458,"BAJO SS",IF(T458&lt;R458,"BAJO SS (XLIB CUBRE)",IF(V458&lt;S458,"BAJO P.REORDEN",IF(AND(ISNUMBER(Q458),V458&gt;Q458),"SOBRE MAX VENDIBLE","OK")))))</f>
        <v>OK</v>
      </c>
    </row>
    <row r="459" customFormat="false" ht="15" hidden="false" customHeight="false" outlineLevel="0" collapsed="false">
      <c r="A459" s="3" t="n">
        <v>30000119</v>
      </c>
      <c r="B459" s="3" t="s">
        <v>528</v>
      </c>
      <c r="C459" s="3" t="s">
        <v>141</v>
      </c>
      <c r="D459" s="3" t="s">
        <v>750</v>
      </c>
      <c r="E459" s="3" t="s">
        <v>762</v>
      </c>
      <c r="F459" s="3" t="str">
        <f aca="false">IFERROR(INDEX(ABC_XYZ!$L$5:$L$494,MATCH(A459,ABC_XYZ!$A$5:$A$494,0)),"SIN HIST")</f>
        <v>CX</v>
      </c>
      <c r="G459" s="24" t="n">
        <f aca="false">IF(LEFT(F459,1)="A",Parametros!$B$8,IF(LEFT(F459,1)="B",Parametros!$B$9,IF(LEFT(F459,1)="C",Parametros!$B$10,Parametros!$B$11)))</f>
        <v>0.9</v>
      </c>
      <c r="H459" s="27" t="n">
        <f aca="false">NORMSINV(G459)</f>
        <v>1.2815515655446</v>
      </c>
      <c r="I459" s="23" t="n">
        <v>1500</v>
      </c>
      <c r="J459" s="23" t="n">
        <f aca="false">IFERROR(INDEX(ABC_XYZ!$R$5:$R$494,MATCH(A459,ABC_XYZ!$A$5:$A$494,0)),I459*Parametros!$B$13)</f>
        <v>1797.80649544504</v>
      </c>
      <c r="K459" s="27" t="n">
        <f aca="false">IFERROR(VLOOKUP(C459,Parametros!$A$36:$B$66,2,FALSE()),Parametros!$B$12)</f>
        <v>1</v>
      </c>
      <c r="L459" s="23" t="n">
        <f aca="false">H459*J459*SQRT(K459)</f>
        <v>2303.98172878384</v>
      </c>
      <c r="M459" s="29" t="n">
        <v>184</v>
      </c>
      <c r="N459" s="24" t="n">
        <v>0.244565217391304</v>
      </c>
      <c r="O459" s="3" t="s">
        <v>772</v>
      </c>
      <c r="P459" s="30" t="n">
        <f aca="false">IF(AND(ISNUMBER(M459),ISNUMBER(N459)),M459*N459/7,"")</f>
        <v>6.42857142857143</v>
      </c>
      <c r="Q459" s="23" t="n">
        <f aca="false">IF(ISNUMBER(P459),I459*P459,"")</f>
        <v>9642.85714285714</v>
      </c>
      <c r="R459" s="23" t="n">
        <f aca="false">IF(ISNUMBER(Q459),MAX(0,MIN(L459,Q459-I459*K459)),L459)</f>
        <v>2303.98172878384</v>
      </c>
      <c r="S459" s="23" t="n">
        <f aca="false">R459+I459*K459</f>
        <v>3803.98172878384</v>
      </c>
      <c r="T459" s="23" t="n">
        <v>9806.4</v>
      </c>
      <c r="U459" s="23" t="n">
        <v>0</v>
      </c>
      <c r="V459" s="23" t="n">
        <f aca="false">T459+U459</f>
        <v>9806.4</v>
      </c>
      <c r="W459" s="30" t="n">
        <f aca="false">IF(I459&gt;0,V459/I459,"")</f>
        <v>6.5376</v>
      </c>
      <c r="X459" s="3" t="str">
        <f aca="false">IF(I459&lt;=0,"SIN FCST",IF(V459&lt;R459,"BAJO SS",IF(T459&lt;R459,"BAJO SS (XLIB CUBRE)",IF(V459&lt;S459,"BAJO P.REORDEN",IF(AND(ISNUMBER(Q459),V459&gt;Q459),"SOBRE MAX VENDIBLE","OK")))))</f>
        <v>SOBRE MAX VENDIBLE</v>
      </c>
    </row>
    <row r="460" customFormat="false" ht="15" hidden="false" customHeight="false" outlineLevel="0" collapsed="false">
      <c r="A460" s="3" t="n">
        <v>30001541</v>
      </c>
      <c r="B460" s="3" t="s">
        <v>591</v>
      </c>
      <c r="C460" s="3" t="s">
        <v>149</v>
      </c>
      <c r="D460" s="3" t="s">
        <v>744</v>
      </c>
      <c r="E460" s="3" t="s">
        <v>762</v>
      </c>
      <c r="F460" s="3" t="str">
        <f aca="false">IFERROR(INDEX(ABC_XYZ!$L$5:$L$494,MATCH(A460,ABC_XYZ!$A$5:$A$494,0)),"SIN HIST")</f>
        <v>CX</v>
      </c>
      <c r="G460" s="24" t="n">
        <f aca="false">IF(LEFT(F460,1)="A",Parametros!$B$8,IF(LEFT(F460,1)="B",Parametros!$B$9,IF(LEFT(F460,1)="C",Parametros!$B$10,Parametros!$B$11)))</f>
        <v>0.9</v>
      </c>
      <c r="H460" s="27" t="n">
        <f aca="false">NORMSINV(G460)</f>
        <v>1.2815515655446</v>
      </c>
      <c r="I460" s="23" t="n">
        <v>1500</v>
      </c>
      <c r="J460" s="23" t="n">
        <f aca="false">IFERROR(INDEX(ABC_XYZ!$R$5:$R$494,MATCH(A460,ABC_XYZ!$A$5:$A$494,0)),I460*Parametros!$B$13)</f>
        <v>869.543349594523</v>
      </c>
      <c r="K460" s="27" t="n">
        <f aca="false">IFERROR(VLOOKUP(C460,Parametros!$A$36:$B$66,2,FALSE()),Parametros!$B$12)</f>
        <v>1</v>
      </c>
      <c r="L460" s="23" t="n">
        <f aca="false">H460*J460*SQRT(K460)</f>
        <v>1114.36464098176</v>
      </c>
      <c r="M460" s="29" t="n">
        <v>184</v>
      </c>
      <c r="N460" s="24" t="n">
        <v>0.217391304347826</v>
      </c>
      <c r="O460" s="3" t="s">
        <v>754</v>
      </c>
      <c r="P460" s="30" t="n">
        <f aca="false">IF(AND(ISNUMBER(M460),ISNUMBER(N460)),M460*N460/7,"")</f>
        <v>5.71428571428572</v>
      </c>
      <c r="Q460" s="23" t="n">
        <f aca="false">IF(ISNUMBER(P460),I460*P460,"")</f>
        <v>8571.42857142857</v>
      </c>
      <c r="R460" s="23" t="n">
        <f aca="false">IF(ISNUMBER(Q460),MAX(0,MIN(L460,Q460-I460*K460)),L460)</f>
        <v>1114.36464098176</v>
      </c>
      <c r="S460" s="23" t="n">
        <f aca="false">R460+I460*K460</f>
        <v>2614.36464098176</v>
      </c>
      <c r="T460" s="23" t="n">
        <v>4884</v>
      </c>
      <c r="U460" s="23" t="n">
        <v>1212</v>
      </c>
      <c r="V460" s="23" t="n">
        <f aca="false">T460+U460</f>
        <v>6096</v>
      </c>
      <c r="W460" s="30" t="n">
        <f aca="false">IF(I460&gt;0,V460/I460,"")</f>
        <v>4.064</v>
      </c>
      <c r="X460" s="3" t="str">
        <f aca="false">IF(I460&lt;=0,"SIN FCST",IF(V460&lt;R460,"BAJO SS",IF(T460&lt;R460,"BAJO SS (XLIB CUBRE)",IF(V460&lt;S460,"BAJO P.REORDEN",IF(AND(ISNUMBER(Q460),V460&gt;Q460),"SOBRE MAX VENDIBLE","OK")))))</f>
        <v>OK</v>
      </c>
    </row>
    <row r="461" customFormat="false" ht="15" hidden="false" customHeight="false" outlineLevel="0" collapsed="false">
      <c r="A461" s="3" t="n">
        <v>30000053</v>
      </c>
      <c r="B461" s="3" t="s">
        <v>525</v>
      </c>
      <c r="C461" s="3" t="s">
        <v>124</v>
      </c>
      <c r="D461" s="3" t="s">
        <v>750</v>
      </c>
      <c r="E461" s="3" t="s">
        <v>745</v>
      </c>
      <c r="F461" s="3" t="str">
        <f aca="false">IFERROR(INDEX(ABC_XYZ!$L$5:$L$494,MATCH(A461,ABC_XYZ!$A$5:$A$494,0)),"SIN HIST")</f>
        <v>CY</v>
      </c>
      <c r="G461" s="24" t="n">
        <f aca="false">IF(LEFT(F461,1)="A",Parametros!$B$8,IF(LEFT(F461,1)="B",Parametros!$B$9,IF(LEFT(F461,1)="C",Parametros!$B$10,Parametros!$B$11)))</f>
        <v>0.9</v>
      </c>
      <c r="H461" s="27" t="n">
        <f aca="false">NORMSINV(G461)</f>
        <v>1.2815515655446</v>
      </c>
      <c r="I461" s="23" t="n">
        <v>1473.3</v>
      </c>
      <c r="J461" s="23" t="n">
        <f aca="false">IFERROR(INDEX(ABC_XYZ!$R$5:$R$494,MATCH(A461,ABC_XYZ!$A$5:$A$494,0)),I461*Parametros!$B$13)</f>
        <v>1204.23445668469</v>
      </c>
      <c r="K461" s="27" t="n">
        <f aca="false">IFERROR(VLOOKUP(C461,Parametros!$A$36:$B$66,2,FALSE()),Parametros!$B$12)</f>
        <v>1</v>
      </c>
      <c r="L461" s="23" t="n">
        <f aca="false">H461*J461*SQRT(K461)</f>
        <v>1543.28855324701</v>
      </c>
      <c r="M461" s="29" t="n">
        <v>548</v>
      </c>
      <c r="N461" s="24" t="n">
        <v>0.197080291970803</v>
      </c>
      <c r="O461" s="3" t="s">
        <v>746</v>
      </c>
      <c r="P461" s="30" t="n">
        <f aca="false">IF(AND(ISNUMBER(M461),ISNUMBER(N461)),M461*N461/7,"")</f>
        <v>15.4285714285714</v>
      </c>
      <c r="Q461" s="23" t="n">
        <f aca="false">IF(ISNUMBER(P461),I461*P461,"")</f>
        <v>22730.9142857143</v>
      </c>
      <c r="R461" s="23" t="n">
        <f aca="false">IF(ISNUMBER(Q461),MAX(0,MIN(L461,Q461-I461*K461)),L461)</f>
        <v>1543.28855324701</v>
      </c>
      <c r="S461" s="23" t="n">
        <f aca="false">R461+I461*K461</f>
        <v>3016.58855324701</v>
      </c>
      <c r="T461" s="23" t="n">
        <v>10323</v>
      </c>
      <c r="U461" s="23" t="n">
        <v>0</v>
      </c>
      <c r="V461" s="23" t="n">
        <f aca="false">T461+U461</f>
        <v>10323</v>
      </c>
      <c r="W461" s="30" t="n">
        <f aca="false">IF(I461&gt;0,V461/I461,"")</f>
        <v>7.00671960904093</v>
      </c>
      <c r="X461" s="3" t="str">
        <f aca="false">IF(I461&lt;=0,"SIN FCST",IF(V461&lt;R461,"BAJO SS",IF(T461&lt;R461,"BAJO SS (XLIB CUBRE)",IF(V461&lt;S461,"BAJO P.REORDEN",IF(AND(ISNUMBER(Q461),V461&gt;Q461),"SOBRE MAX VENDIBLE","OK")))))</f>
        <v>OK</v>
      </c>
    </row>
    <row r="462" customFormat="false" ht="15" hidden="false" customHeight="false" outlineLevel="0" collapsed="false">
      <c r="A462" s="3" t="n">
        <v>30002107</v>
      </c>
      <c r="B462" s="3" t="s">
        <v>1063</v>
      </c>
      <c r="C462" s="3" t="s">
        <v>133</v>
      </c>
      <c r="D462" s="3" t="s">
        <v>758</v>
      </c>
      <c r="E462" s="3"/>
      <c r="F462" s="3" t="str">
        <f aca="false">IFERROR(INDEX(ABC_XYZ!$L$5:$L$494,MATCH(A462,ABC_XYZ!$A$5:$A$494,0)),"SIN HIST")</f>
        <v>SIN HIST</v>
      </c>
      <c r="G462" s="24" t="n">
        <f aca="false">IF(LEFT(F462,1)="A",Parametros!$B$8,IF(LEFT(F462,1)="B",Parametros!$B$9,IF(LEFT(F462,1)="C",Parametros!$B$10,Parametros!$B$11)))</f>
        <v>0.95</v>
      </c>
      <c r="H462" s="27" t="n">
        <f aca="false">NORMSINV(G462)</f>
        <v>1.64485362695147</v>
      </c>
      <c r="I462" s="23" t="n">
        <v>1468.1</v>
      </c>
      <c r="J462" s="23" t="n">
        <f aca="false">IFERROR(INDEX(ABC_XYZ!$R$5:$R$494,MATCH(A462,ABC_XYZ!$A$5:$A$494,0)),I462*Parametros!$B$13)</f>
        <v>440.43</v>
      </c>
      <c r="K462" s="27" t="n">
        <f aca="false">IFERROR(VLOOKUP(C462,Parametros!$A$36:$B$66,2,FALSE()),Parametros!$B$12)</f>
        <v>1</v>
      </c>
      <c r="L462" s="23" t="n">
        <f aca="false">H462*J462*SQRT(K462)</f>
        <v>724.442882918237</v>
      </c>
      <c r="M462" s="29"/>
      <c r="N462" s="24"/>
      <c r="O462" s="3"/>
      <c r="P462" s="30" t="str">
        <f aca="false">IF(AND(ISNUMBER(M462),ISNUMBER(N462)),M462*N462/7,"")</f>
        <v/>
      </c>
      <c r="Q462" s="23" t="str">
        <f aca="false">IF(ISNUMBER(P462),I462*P462,"")</f>
        <v/>
      </c>
      <c r="R462" s="23" t="n">
        <f aca="false">IF(ISNUMBER(Q462),MAX(0,MIN(L462,Q462-I462*K462)),L462)</f>
        <v>724.442882918237</v>
      </c>
      <c r="S462" s="23" t="n">
        <f aca="false">R462+I462*K462</f>
        <v>2192.54288291824</v>
      </c>
      <c r="T462" s="23" t="n">
        <v>8904</v>
      </c>
      <c r="U462" s="23" t="n">
        <v>0</v>
      </c>
      <c r="V462" s="23" t="n">
        <f aca="false">T462+U462</f>
        <v>8904</v>
      </c>
      <c r="W462" s="30" t="n">
        <f aca="false">IF(I462&gt;0,V462/I462,"")</f>
        <v>6.06498194945848</v>
      </c>
      <c r="X462" s="3" t="str">
        <f aca="false">IF(I462&lt;=0,"SIN FCST",IF(V462&lt;R462,"BAJO SS",IF(T462&lt;R462,"BAJO SS (XLIB CUBRE)",IF(V462&lt;S462,"BAJO P.REORDEN",IF(AND(ISNUMBER(Q462),V462&gt;Q462),"SOBRE MAX VENDIBLE","OK")))))</f>
        <v>OK</v>
      </c>
    </row>
    <row r="463" customFormat="false" ht="15" hidden="false" customHeight="false" outlineLevel="0" collapsed="false">
      <c r="A463" s="3" t="n">
        <v>30000985</v>
      </c>
      <c r="B463" s="3" t="s">
        <v>1064</v>
      </c>
      <c r="C463" s="3" t="s">
        <v>133</v>
      </c>
      <c r="D463" s="3" t="s">
        <v>758</v>
      </c>
      <c r="E463" s="3"/>
      <c r="F463" s="3" t="str">
        <f aca="false">IFERROR(INDEX(ABC_XYZ!$L$5:$L$494,MATCH(A463,ABC_XYZ!$A$5:$A$494,0)),"SIN HIST")</f>
        <v>SIN HIST</v>
      </c>
      <c r="G463" s="24" t="n">
        <f aca="false">IF(LEFT(F463,1)="A",Parametros!$B$8,IF(LEFT(F463,1)="B",Parametros!$B$9,IF(LEFT(F463,1)="C",Parametros!$B$10,Parametros!$B$11)))</f>
        <v>0.95</v>
      </c>
      <c r="H463" s="27" t="n">
        <f aca="false">NORMSINV(G463)</f>
        <v>1.64485362695147</v>
      </c>
      <c r="I463" s="23" t="n">
        <v>1465.6</v>
      </c>
      <c r="J463" s="23" t="n">
        <f aca="false">IFERROR(INDEX(ABC_XYZ!$R$5:$R$494,MATCH(A463,ABC_XYZ!$A$5:$A$494,0)),I463*Parametros!$B$13)</f>
        <v>439.68</v>
      </c>
      <c r="K463" s="27" t="n">
        <f aca="false">IFERROR(VLOOKUP(C463,Parametros!$A$36:$B$66,2,FALSE()),Parametros!$B$12)</f>
        <v>1</v>
      </c>
      <c r="L463" s="23" t="n">
        <f aca="false">H463*J463*SQRT(K463)</f>
        <v>723.209242698023</v>
      </c>
      <c r="M463" s="29"/>
      <c r="N463" s="24"/>
      <c r="O463" s="3"/>
      <c r="P463" s="30" t="str">
        <f aca="false">IF(AND(ISNUMBER(M463),ISNUMBER(N463)),M463*N463/7,"")</f>
        <v/>
      </c>
      <c r="Q463" s="23" t="str">
        <f aca="false">IF(ISNUMBER(P463),I463*P463,"")</f>
        <v/>
      </c>
      <c r="R463" s="23" t="n">
        <f aca="false">IF(ISNUMBER(Q463),MAX(0,MIN(L463,Q463-I463*K463)),L463)</f>
        <v>723.209242698023</v>
      </c>
      <c r="S463" s="23" t="n">
        <f aca="false">R463+I463*K463</f>
        <v>2188.80924269802</v>
      </c>
      <c r="T463" s="23" t="n">
        <v>7821</v>
      </c>
      <c r="U463" s="23" t="n">
        <v>0</v>
      </c>
      <c r="V463" s="23" t="n">
        <f aca="false">T463+U463</f>
        <v>7821</v>
      </c>
      <c r="W463" s="30" t="n">
        <f aca="false">IF(I463&gt;0,V463/I463,"")</f>
        <v>5.33638100436681</v>
      </c>
      <c r="X463" s="3" t="str">
        <f aca="false">IF(I463&lt;=0,"SIN FCST",IF(V463&lt;R463,"BAJO SS",IF(T463&lt;R463,"BAJO SS (XLIB CUBRE)",IF(V463&lt;S463,"BAJO P.REORDEN",IF(AND(ISNUMBER(Q463),V463&gt;Q463),"SOBRE MAX VENDIBLE","OK")))))</f>
        <v>OK</v>
      </c>
    </row>
    <row r="464" customFormat="false" ht="15" hidden="false" customHeight="false" outlineLevel="0" collapsed="false">
      <c r="A464" s="3" t="n">
        <v>30001448</v>
      </c>
      <c r="B464" s="3" t="s">
        <v>1065</v>
      </c>
      <c r="C464" s="3" t="s">
        <v>141</v>
      </c>
      <c r="D464" s="3" t="s">
        <v>750</v>
      </c>
      <c r="E464" s="3" t="s">
        <v>762</v>
      </c>
      <c r="F464" s="3" t="str">
        <f aca="false">IFERROR(INDEX(ABC_XYZ!$L$5:$L$494,MATCH(A464,ABC_XYZ!$A$5:$A$494,0)),"SIN HIST")</f>
        <v>SIN HIST</v>
      </c>
      <c r="G464" s="24" t="n">
        <f aca="false">IF(LEFT(F464,1)="A",Parametros!$B$8,IF(LEFT(F464,1)="B",Parametros!$B$9,IF(LEFT(F464,1)="C",Parametros!$B$10,Parametros!$B$11)))</f>
        <v>0.95</v>
      </c>
      <c r="H464" s="27" t="n">
        <f aca="false">NORMSINV(G464)</f>
        <v>1.64485362695147</v>
      </c>
      <c r="I464" s="23" t="n">
        <v>1454.7</v>
      </c>
      <c r="J464" s="23" t="n">
        <f aca="false">IFERROR(INDEX(ABC_XYZ!$R$5:$R$494,MATCH(A464,ABC_XYZ!$A$5:$A$494,0)),I464*Parametros!$B$13)</f>
        <v>436.41</v>
      </c>
      <c r="K464" s="27" t="n">
        <f aca="false">IFERROR(VLOOKUP(C464,Parametros!$A$36:$B$66,2,FALSE()),Parametros!$B$12)</f>
        <v>1</v>
      </c>
      <c r="L464" s="23" t="n">
        <f aca="false">H464*J464*SQRT(K464)</f>
        <v>717.830571337892</v>
      </c>
      <c r="M464" s="29" t="n">
        <v>365</v>
      </c>
      <c r="N464" s="24" t="n">
        <v>0.210958904109589</v>
      </c>
      <c r="O464" s="3" t="s">
        <v>754</v>
      </c>
      <c r="P464" s="30" t="n">
        <f aca="false">IF(AND(ISNUMBER(M464),ISNUMBER(N464)),M464*N464/7,"")</f>
        <v>11</v>
      </c>
      <c r="Q464" s="23" t="n">
        <f aca="false">IF(ISNUMBER(P464),I464*P464,"")</f>
        <v>16001.7</v>
      </c>
      <c r="R464" s="23" t="n">
        <f aca="false">IF(ISNUMBER(Q464),MAX(0,MIN(L464,Q464-I464*K464)),L464)</f>
        <v>717.830571337892</v>
      </c>
      <c r="S464" s="23" t="n">
        <f aca="false">R464+I464*K464</f>
        <v>2172.53057133789</v>
      </c>
      <c r="T464" s="23" t="n">
        <v>8892</v>
      </c>
      <c r="U464" s="23" t="n">
        <v>0</v>
      </c>
      <c r="V464" s="23" t="n">
        <f aca="false">T464+U464</f>
        <v>8892</v>
      </c>
      <c r="W464" s="30" t="n">
        <f aca="false">IF(I464&gt;0,V464/I464,"")</f>
        <v>6.11260053619303</v>
      </c>
      <c r="X464" s="3" t="str">
        <f aca="false">IF(I464&lt;=0,"SIN FCST",IF(V464&lt;R464,"BAJO SS",IF(T464&lt;R464,"BAJO SS (XLIB CUBRE)",IF(V464&lt;S464,"BAJO P.REORDEN",IF(AND(ISNUMBER(Q464),V464&gt;Q464),"SOBRE MAX VENDIBLE","OK")))))</f>
        <v>OK</v>
      </c>
    </row>
    <row r="465" customFormat="false" ht="15" hidden="false" customHeight="false" outlineLevel="0" collapsed="false">
      <c r="A465" s="3" t="n">
        <v>30000253</v>
      </c>
      <c r="B465" s="3" t="s">
        <v>1066</v>
      </c>
      <c r="C465" s="3" t="s">
        <v>135</v>
      </c>
      <c r="D465" s="3" t="s">
        <v>753</v>
      </c>
      <c r="E465" s="3" t="s">
        <v>762</v>
      </c>
      <c r="F465" s="3" t="str">
        <f aca="false">IFERROR(INDEX(ABC_XYZ!$L$5:$L$494,MATCH(A465,ABC_XYZ!$A$5:$A$494,0)),"SIN HIST")</f>
        <v>CX</v>
      </c>
      <c r="G465" s="24" t="n">
        <f aca="false">IF(LEFT(F465,1)="A",Parametros!$B$8,IF(LEFT(F465,1)="B",Parametros!$B$9,IF(LEFT(F465,1)="C",Parametros!$B$10,Parametros!$B$11)))</f>
        <v>0.9</v>
      </c>
      <c r="H465" s="27" t="n">
        <f aca="false">NORMSINV(G465)</f>
        <v>1.2815515655446</v>
      </c>
      <c r="I465" s="23" t="n">
        <v>1438</v>
      </c>
      <c r="J465" s="23" t="n">
        <f aca="false">IFERROR(INDEX(ABC_XYZ!$R$5:$R$494,MATCH(A465,ABC_XYZ!$A$5:$A$494,0)),I465*Parametros!$B$13)</f>
        <v>672.254197158318</v>
      </c>
      <c r="K465" s="27" t="n">
        <f aca="false">IFERROR(VLOOKUP(C465,Parametros!$A$36:$B$66,2,FALSE()),Parametros!$B$12)</f>
        <v>1</v>
      </c>
      <c r="L465" s="23" t="n">
        <f aca="false">H465*J465*SQRT(K465)</f>
        <v>861.528418812171</v>
      </c>
      <c r="M465" s="29" t="n">
        <v>90</v>
      </c>
      <c r="N465" s="24" t="n">
        <v>0.333333333333333</v>
      </c>
      <c r="O465" s="3" t="s">
        <v>774</v>
      </c>
      <c r="P465" s="30" t="n">
        <f aca="false">IF(AND(ISNUMBER(M465),ISNUMBER(N465)),M465*N465/7,"")</f>
        <v>4.28571428571429</v>
      </c>
      <c r="Q465" s="23" t="n">
        <f aca="false">IF(ISNUMBER(P465),I465*P465,"")</f>
        <v>6162.85714285714</v>
      </c>
      <c r="R465" s="23" t="n">
        <f aca="false">IF(ISNUMBER(Q465),MAX(0,MIN(L465,Q465-I465*K465)),L465)</f>
        <v>861.528418812171</v>
      </c>
      <c r="S465" s="23" t="n">
        <f aca="false">R465+I465*K465</f>
        <v>2299.52841881217</v>
      </c>
      <c r="T465" s="23" t="n">
        <v>2508</v>
      </c>
      <c r="U465" s="23" t="n">
        <v>0</v>
      </c>
      <c r="V465" s="23" t="n">
        <f aca="false">T465+U465</f>
        <v>2508</v>
      </c>
      <c r="W465" s="30" t="n">
        <f aca="false">IF(I465&gt;0,V465/I465,"")</f>
        <v>1.74408901251739</v>
      </c>
      <c r="X465" s="3" t="str">
        <f aca="false">IF(I465&lt;=0,"SIN FCST",IF(V465&lt;R465,"BAJO SS",IF(T465&lt;R465,"BAJO SS (XLIB CUBRE)",IF(V465&lt;S465,"BAJO P.REORDEN",IF(AND(ISNUMBER(Q465),V465&gt;Q465),"SOBRE MAX VENDIBLE","OK")))))</f>
        <v>OK</v>
      </c>
    </row>
    <row r="466" customFormat="false" ht="15" hidden="false" customHeight="false" outlineLevel="0" collapsed="false">
      <c r="A466" s="3" t="n">
        <v>30002093</v>
      </c>
      <c r="B466" s="3" t="s">
        <v>1067</v>
      </c>
      <c r="C466" s="3" t="s">
        <v>147</v>
      </c>
      <c r="D466" s="3" t="s">
        <v>761</v>
      </c>
      <c r="E466" s="3" t="s">
        <v>762</v>
      </c>
      <c r="F466" s="3" t="str">
        <f aca="false">IFERROR(INDEX(ABC_XYZ!$L$5:$L$494,MATCH(A466,ABC_XYZ!$A$5:$A$494,0)),"SIN HIST")</f>
        <v>CX</v>
      </c>
      <c r="G466" s="24" t="n">
        <f aca="false">IF(LEFT(F466,1)="A",Parametros!$B$8,IF(LEFT(F466,1)="B",Parametros!$B$9,IF(LEFT(F466,1)="C",Parametros!$B$10,Parametros!$B$11)))</f>
        <v>0.9</v>
      </c>
      <c r="H466" s="27" t="n">
        <f aca="false">NORMSINV(G466)</f>
        <v>1.2815515655446</v>
      </c>
      <c r="I466" s="23" t="n">
        <v>1427.8</v>
      </c>
      <c r="J466" s="23" t="n">
        <f aca="false">IFERROR(INDEX(ABC_XYZ!$R$5:$R$494,MATCH(A466,ABC_XYZ!$A$5:$A$494,0)),I466*Parametros!$B$13)</f>
        <v>647.901457760929</v>
      </c>
      <c r="K466" s="27" t="n">
        <f aca="false">IFERROR(VLOOKUP(C466,Parametros!$A$36:$B$66,2,FALSE()),Parametros!$B$12)</f>
        <v>1</v>
      </c>
      <c r="L466" s="23" t="n">
        <f aca="false">H466*J466*SQRT(K466)</f>
        <v>830.319127512147</v>
      </c>
      <c r="M466" s="29" t="n">
        <v>57</v>
      </c>
      <c r="N466" s="24" t="n">
        <v>0.228070175438597</v>
      </c>
      <c r="O466" s="3" t="s">
        <v>754</v>
      </c>
      <c r="P466" s="30" t="n">
        <f aca="false">IF(AND(ISNUMBER(M466),ISNUMBER(N466)),M466*N466/7,"")</f>
        <v>1.85714285714286</v>
      </c>
      <c r="Q466" s="23" t="n">
        <f aca="false">IF(ISNUMBER(P466),I466*P466,"")</f>
        <v>2651.62857142857</v>
      </c>
      <c r="R466" s="23" t="n">
        <f aca="false">IF(ISNUMBER(Q466),MAX(0,MIN(L466,Q466-I466*K466)),L466)</f>
        <v>830.319127512147</v>
      </c>
      <c r="S466" s="23" t="n">
        <f aca="false">R466+I466*K466</f>
        <v>2258.11912751215</v>
      </c>
      <c r="T466" s="23" t="n">
        <v>3316.9</v>
      </c>
      <c r="U466" s="23" t="n">
        <v>0</v>
      </c>
      <c r="V466" s="23" t="n">
        <f aca="false">T466+U466</f>
        <v>3316.9</v>
      </c>
      <c r="W466" s="30" t="n">
        <f aca="false">IF(I466&gt;0,V466/I466,"")</f>
        <v>2.32308446561143</v>
      </c>
      <c r="X466" s="3" t="str">
        <f aca="false">IF(I466&lt;=0,"SIN FCST",IF(V466&lt;R466,"BAJO SS",IF(T466&lt;R466,"BAJO SS (XLIB CUBRE)",IF(V466&lt;S466,"BAJO P.REORDEN",IF(AND(ISNUMBER(Q466),V466&gt;Q466),"SOBRE MAX VENDIBLE","OK")))))</f>
        <v>SOBRE MAX VENDIBLE</v>
      </c>
    </row>
    <row r="467" customFormat="false" ht="15" hidden="false" customHeight="false" outlineLevel="0" collapsed="false">
      <c r="A467" s="3" t="n">
        <v>30000308</v>
      </c>
      <c r="B467" s="3" t="s">
        <v>513</v>
      </c>
      <c r="C467" s="3" t="s">
        <v>139</v>
      </c>
      <c r="D467" s="3" t="s">
        <v>753</v>
      </c>
      <c r="E467" s="3" t="s">
        <v>745</v>
      </c>
      <c r="F467" s="3" t="str">
        <f aca="false">IFERROR(INDEX(ABC_XYZ!$L$5:$L$494,MATCH(A467,ABC_XYZ!$A$5:$A$494,0)),"SIN HIST")</f>
        <v>CX</v>
      </c>
      <c r="G467" s="24" t="n">
        <f aca="false">IF(LEFT(F467,1)="A",Parametros!$B$8,IF(LEFT(F467,1)="B",Parametros!$B$9,IF(LEFT(F467,1)="C",Parametros!$B$10,Parametros!$B$11)))</f>
        <v>0.9</v>
      </c>
      <c r="H467" s="27" t="n">
        <f aca="false">NORMSINV(G467)</f>
        <v>1.2815515655446</v>
      </c>
      <c r="I467" s="23" t="n">
        <v>1419.1</v>
      </c>
      <c r="J467" s="23" t="n">
        <f aca="false">IFERROR(INDEX(ABC_XYZ!$R$5:$R$494,MATCH(A467,ABC_XYZ!$A$5:$A$494,0)),I467*Parametros!$B$13)</f>
        <v>806.247333674135</v>
      </c>
      <c r="K467" s="27" t="n">
        <f aca="false">IFERROR(VLOOKUP(C467,Parametros!$A$36:$B$66,2,FALSE()),Parametros!$B$12)</f>
        <v>1</v>
      </c>
      <c r="L467" s="23" t="n">
        <f aca="false">H467*J467*SQRT(K467)</f>
        <v>1033.24753268625</v>
      </c>
      <c r="M467" s="29" t="n">
        <v>245</v>
      </c>
      <c r="N467" s="24" t="n">
        <v>0.240816326530612</v>
      </c>
      <c r="O467" s="3" t="s">
        <v>746</v>
      </c>
      <c r="P467" s="30" t="n">
        <f aca="false">IF(AND(ISNUMBER(M467),ISNUMBER(N467)),M467*N467/7,"")</f>
        <v>8.42857142857143</v>
      </c>
      <c r="Q467" s="23" t="n">
        <f aca="false">IF(ISNUMBER(P467),I467*P467,"")</f>
        <v>11960.9857142857</v>
      </c>
      <c r="R467" s="23" t="n">
        <f aca="false">IF(ISNUMBER(Q467),MAX(0,MIN(L467,Q467-I467*K467)),L467)</f>
        <v>1033.24753268625</v>
      </c>
      <c r="S467" s="23" t="n">
        <f aca="false">R467+I467*K467</f>
        <v>2452.34753268625</v>
      </c>
      <c r="T467" s="23" t="n">
        <v>6180</v>
      </c>
      <c r="U467" s="23" t="n">
        <v>0</v>
      </c>
      <c r="V467" s="23" t="n">
        <f aca="false">T467+U467</f>
        <v>6180</v>
      </c>
      <c r="W467" s="30" t="n">
        <f aca="false">IF(I467&gt;0,V467/I467,"")</f>
        <v>4.35487280670848</v>
      </c>
      <c r="X467" s="3" t="str">
        <f aca="false">IF(I467&lt;=0,"SIN FCST",IF(V467&lt;R467,"BAJO SS",IF(T467&lt;R467,"BAJO SS (XLIB CUBRE)",IF(V467&lt;S467,"BAJO P.REORDEN",IF(AND(ISNUMBER(Q467),V467&gt;Q467),"SOBRE MAX VENDIBLE","OK")))))</f>
        <v>OK</v>
      </c>
    </row>
    <row r="468" customFormat="false" ht="15" hidden="false" customHeight="false" outlineLevel="0" collapsed="false">
      <c r="A468" s="3" t="n">
        <v>30000983</v>
      </c>
      <c r="B468" s="3" t="s">
        <v>1068</v>
      </c>
      <c r="C468" s="3" t="s">
        <v>133</v>
      </c>
      <c r="D468" s="3" t="s">
        <v>758</v>
      </c>
      <c r="E468" s="3"/>
      <c r="F468" s="3" t="str">
        <f aca="false">IFERROR(INDEX(ABC_XYZ!$L$5:$L$494,MATCH(A468,ABC_XYZ!$A$5:$A$494,0)),"SIN HIST")</f>
        <v>SIN HIST</v>
      </c>
      <c r="G468" s="24" t="n">
        <f aca="false">IF(LEFT(F468,1)="A",Parametros!$B$8,IF(LEFT(F468,1)="B",Parametros!$B$9,IF(LEFT(F468,1)="C",Parametros!$B$10,Parametros!$B$11)))</f>
        <v>0.95</v>
      </c>
      <c r="H468" s="27" t="n">
        <f aca="false">NORMSINV(G468)</f>
        <v>1.64485362695147</v>
      </c>
      <c r="I468" s="23" t="n">
        <v>1410.7</v>
      </c>
      <c r="J468" s="23" t="n">
        <f aca="false">IFERROR(INDEX(ABC_XYZ!$R$5:$R$494,MATCH(A468,ABC_XYZ!$A$5:$A$494,0)),I468*Parametros!$B$13)</f>
        <v>423.21</v>
      </c>
      <c r="K468" s="27" t="n">
        <f aca="false">IFERROR(VLOOKUP(C468,Parametros!$A$36:$B$66,2,FALSE()),Parametros!$B$12)</f>
        <v>1</v>
      </c>
      <c r="L468" s="23" t="n">
        <f aca="false">H468*J468*SQRT(K468)</f>
        <v>696.118503462132</v>
      </c>
      <c r="M468" s="29"/>
      <c r="N468" s="24"/>
      <c r="O468" s="3"/>
      <c r="P468" s="30" t="str">
        <f aca="false">IF(AND(ISNUMBER(M468),ISNUMBER(N468)),M468*N468/7,"")</f>
        <v/>
      </c>
      <c r="Q468" s="23" t="str">
        <f aca="false">IF(ISNUMBER(P468),I468*P468,"")</f>
        <v/>
      </c>
      <c r="R468" s="23" t="n">
        <f aca="false">IF(ISNUMBER(Q468),MAX(0,MIN(L468,Q468-I468*K468)),L468)</f>
        <v>696.118503462132</v>
      </c>
      <c r="S468" s="23" t="n">
        <f aca="false">R468+I468*K468</f>
        <v>2106.81850346213</v>
      </c>
      <c r="T468" s="23" t="n">
        <v>6156</v>
      </c>
      <c r="U468" s="23" t="n">
        <v>0</v>
      </c>
      <c r="V468" s="23" t="n">
        <f aca="false">T468+U468</f>
        <v>6156</v>
      </c>
      <c r="W468" s="30" t="n">
        <f aca="false">IF(I468&gt;0,V468/I468,"")</f>
        <v>4.36379102573191</v>
      </c>
      <c r="X468" s="3" t="str">
        <f aca="false">IF(I468&lt;=0,"SIN FCST",IF(V468&lt;R468,"BAJO SS",IF(T468&lt;R468,"BAJO SS (XLIB CUBRE)",IF(V468&lt;S468,"BAJO P.REORDEN",IF(AND(ISNUMBER(Q468),V468&gt;Q468),"SOBRE MAX VENDIBLE","OK")))))</f>
        <v>OK</v>
      </c>
    </row>
    <row r="469" customFormat="false" ht="15" hidden="false" customHeight="false" outlineLevel="0" collapsed="false">
      <c r="A469" s="3" t="n">
        <v>30000869</v>
      </c>
      <c r="B469" s="3" t="s">
        <v>1069</v>
      </c>
      <c r="C469" s="3" t="s">
        <v>133</v>
      </c>
      <c r="D469" s="3" t="s">
        <v>758</v>
      </c>
      <c r="E469" s="3"/>
      <c r="F469" s="3" t="str">
        <f aca="false">IFERROR(INDEX(ABC_XYZ!$L$5:$L$494,MATCH(A469,ABC_XYZ!$A$5:$A$494,0)),"SIN HIST")</f>
        <v>SIN HIST</v>
      </c>
      <c r="G469" s="24" t="n">
        <f aca="false">IF(LEFT(F469,1)="A",Parametros!$B$8,IF(LEFT(F469,1)="B",Parametros!$B$9,IF(LEFT(F469,1)="C",Parametros!$B$10,Parametros!$B$11)))</f>
        <v>0.95</v>
      </c>
      <c r="H469" s="27" t="n">
        <f aca="false">NORMSINV(G469)</f>
        <v>1.64485362695147</v>
      </c>
      <c r="I469" s="23" t="n">
        <v>1410.3</v>
      </c>
      <c r="J469" s="23" t="n">
        <f aca="false">IFERROR(INDEX(ABC_XYZ!$R$5:$R$494,MATCH(A469,ABC_XYZ!$A$5:$A$494,0)),I469*Parametros!$B$13)</f>
        <v>423.09</v>
      </c>
      <c r="K469" s="27" t="n">
        <f aca="false">IFERROR(VLOOKUP(C469,Parametros!$A$36:$B$66,2,FALSE()),Parametros!$B$12)</f>
        <v>1</v>
      </c>
      <c r="L469" s="23" t="n">
        <f aca="false">H469*J469*SQRT(K469)</f>
        <v>695.921121026898</v>
      </c>
      <c r="M469" s="29"/>
      <c r="N469" s="24"/>
      <c r="O469" s="3"/>
      <c r="P469" s="30" t="str">
        <f aca="false">IF(AND(ISNUMBER(M469),ISNUMBER(N469)),M469*N469/7,"")</f>
        <v/>
      </c>
      <c r="Q469" s="23" t="str">
        <f aca="false">IF(ISNUMBER(P469),I469*P469,"")</f>
        <v/>
      </c>
      <c r="R469" s="23" t="n">
        <f aca="false">IF(ISNUMBER(Q469),MAX(0,MIN(L469,Q469-I469*K469)),L469)</f>
        <v>695.921121026898</v>
      </c>
      <c r="S469" s="23" t="n">
        <f aca="false">R469+I469*K469</f>
        <v>2106.2211210269</v>
      </c>
      <c r="T469" s="23" t="n">
        <v>4200</v>
      </c>
      <c r="U469" s="23" t="n">
        <v>960</v>
      </c>
      <c r="V469" s="23" t="n">
        <f aca="false">T469+U469</f>
        <v>5160</v>
      </c>
      <c r="W469" s="30" t="n">
        <f aca="false">IF(I469&gt;0,V469/I469,"")</f>
        <v>3.65879600085088</v>
      </c>
      <c r="X469" s="3" t="str">
        <f aca="false">IF(I469&lt;=0,"SIN FCST",IF(V469&lt;R469,"BAJO SS",IF(T469&lt;R469,"BAJO SS (XLIB CUBRE)",IF(V469&lt;S469,"BAJO P.REORDEN",IF(AND(ISNUMBER(Q469),V469&gt;Q469),"SOBRE MAX VENDIBLE","OK")))))</f>
        <v>OK</v>
      </c>
    </row>
    <row r="470" customFormat="false" ht="15" hidden="false" customHeight="false" outlineLevel="0" collapsed="false">
      <c r="A470" s="3" t="n">
        <v>30000162</v>
      </c>
      <c r="B470" s="3" t="s">
        <v>1070</v>
      </c>
      <c r="C470" s="3" t="s">
        <v>144</v>
      </c>
      <c r="D470" s="3" t="s">
        <v>753</v>
      </c>
      <c r="E470" s="3" t="s">
        <v>745</v>
      </c>
      <c r="F470" s="3" t="str">
        <f aca="false">IFERROR(INDEX(ABC_XYZ!$L$5:$L$494,MATCH(A470,ABC_XYZ!$A$5:$A$494,0)),"SIN HIST")</f>
        <v>SIN HIST</v>
      </c>
      <c r="G470" s="24" t="n">
        <f aca="false">IF(LEFT(F470,1)="A",Parametros!$B$8,IF(LEFT(F470,1)="B",Parametros!$B$9,IF(LEFT(F470,1)="C",Parametros!$B$10,Parametros!$B$11)))</f>
        <v>0.95</v>
      </c>
      <c r="H470" s="27" t="n">
        <f aca="false">NORMSINV(G470)</f>
        <v>1.64485362695147</v>
      </c>
      <c r="I470" s="23" t="n">
        <v>1395.4</v>
      </c>
      <c r="J470" s="23" t="n">
        <f aca="false">IFERROR(INDEX(ABC_XYZ!$R$5:$R$494,MATCH(A470,ABC_XYZ!$A$5:$A$494,0)),I470*Parametros!$B$13)</f>
        <v>418.62</v>
      </c>
      <c r="K470" s="27" t="n">
        <f aca="false">IFERROR(VLOOKUP(C470,Parametros!$A$36:$B$66,2,FALSE()),Parametros!$B$12)</f>
        <v>1</v>
      </c>
      <c r="L470" s="23" t="n">
        <f aca="false">H470*J470*SQRT(K470)</f>
        <v>688.568625314425</v>
      </c>
      <c r="M470" s="29" t="n">
        <v>365</v>
      </c>
      <c r="N470" s="24" t="n">
        <v>0.273972602739726</v>
      </c>
      <c r="O470" s="3" t="s">
        <v>746</v>
      </c>
      <c r="P470" s="30" t="n">
        <f aca="false">IF(AND(ISNUMBER(M470),ISNUMBER(N470)),M470*N470/7,"")</f>
        <v>14.2857142857143</v>
      </c>
      <c r="Q470" s="23" t="n">
        <f aca="false">IF(ISNUMBER(P470),I470*P470,"")</f>
        <v>19934.2857142857</v>
      </c>
      <c r="R470" s="23" t="n">
        <f aca="false">IF(ISNUMBER(Q470),MAX(0,MIN(L470,Q470-I470*K470)),L470)</f>
        <v>688.568625314425</v>
      </c>
      <c r="S470" s="23" t="n">
        <f aca="false">R470+I470*K470</f>
        <v>2083.96862531443</v>
      </c>
      <c r="T470" s="23" t="n">
        <v>2580</v>
      </c>
      <c r="U470" s="23" t="n">
        <v>0</v>
      </c>
      <c r="V470" s="23" t="n">
        <f aca="false">T470+U470</f>
        <v>2580</v>
      </c>
      <c r="W470" s="30" t="n">
        <f aca="false">IF(I470&gt;0,V470/I470,"")</f>
        <v>1.84893220581912</v>
      </c>
      <c r="X470" s="3" t="str">
        <f aca="false">IF(I470&lt;=0,"SIN FCST",IF(V470&lt;R470,"BAJO SS",IF(T470&lt;R470,"BAJO SS (XLIB CUBRE)",IF(V470&lt;S470,"BAJO P.REORDEN",IF(AND(ISNUMBER(Q470),V470&gt;Q470),"SOBRE MAX VENDIBLE","OK")))))</f>
        <v>OK</v>
      </c>
    </row>
    <row r="471" customFormat="false" ht="15" hidden="false" customHeight="false" outlineLevel="0" collapsed="false">
      <c r="A471" s="3" t="n">
        <v>30001962</v>
      </c>
      <c r="B471" s="3" t="s">
        <v>1071</v>
      </c>
      <c r="C471" s="3" t="s">
        <v>153</v>
      </c>
      <c r="D471" s="3" t="s">
        <v>744</v>
      </c>
      <c r="E471" s="3" t="s">
        <v>745</v>
      </c>
      <c r="F471" s="3" t="str">
        <f aca="false">IFERROR(INDEX(ABC_XYZ!$L$5:$L$494,MATCH(A471,ABC_XYZ!$A$5:$A$494,0)),"SIN HIST")</f>
        <v>SIN HIST</v>
      </c>
      <c r="G471" s="24" t="n">
        <f aca="false">IF(LEFT(F471,1)="A",Parametros!$B$8,IF(LEFT(F471,1)="B",Parametros!$B$9,IF(LEFT(F471,1)="C",Parametros!$B$10,Parametros!$B$11)))</f>
        <v>0.95</v>
      </c>
      <c r="H471" s="27" t="n">
        <f aca="false">NORMSINV(G471)</f>
        <v>1.64485362695147</v>
      </c>
      <c r="I471" s="23" t="n">
        <v>1395.3</v>
      </c>
      <c r="J471" s="23" t="n">
        <f aca="false">IFERROR(INDEX(ABC_XYZ!$R$5:$R$494,MATCH(A471,ABC_XYZ!$A$5:$A$494,0)),I471*Parametros!$B$13)</f>
        <v>418.59</v>
      </c>
      <c r="K471" s="27" t="n">
        <f aca="false">IFERROR(VLOOKUP(C471,Parametros!$A$36:$B$66,2,FALSE()),Parametros!$B$12)</f>
        <v>1</v>
      </c>
      <c r="L471" s="23" t="n">
        <f aca="false">H471*J471*SQRT(K471)</f>
        <v>688.519279705616</v>
      </c>
      <c r="M471" s="29" t="n">
        <v>184</v>
      </c>
      <c r="N471" s="24" t="n">
        <v>0.271739130434783</v>
      </c>
      <c r="O471" s="3" t="s">
        <v>746</v>
      </c>
      <c r="P471" s="30" t="n">
        <f aca="false">IF(AND(ISNUMBER(M471),ISNUMBER(N471)),M471*N471/7,"")</f>
        <v>7.14285714285714</v>
      </c>
      <c r="Q471" s="23" t="n">
        <f aca="false">IF(ISNUMBER(P471),I471*P471,"")</f>
        <v>9966.42857142857</v>
      </c>
      <c r="R471" s="23" t="n">
        <f aca="false">IF(ISNUMBER(Q471),MAX(0,MIN(L471,Q471-I471*K471)),L471)</f>
        <v>688.519279705616</v>
      </c>
      <c r="S471" s="23" t="n">
        <f aca="false">R471+I471*K471</f>
        <v>2083.81927970562</v>
      </c>
      <c r="T471" s="23" t="n">
        <v>4932</v>
      </c>
      <c r="U471" s="23" t="n">
        <v>0</v>
      </c>
      <c r="V471" s="23" t="n">
        <f aca="false">T471+U471</f>
        <v>4932</v>
      </c>
      <c r="W471" s="30" t="n">
        <f aca="false">IF(I471&gt;0,V471/I471,"")</f>
        <v>3.53472371533004</v>
      </c>
      <c r="X471" s="3" t="str">
        <f aca="false">IF(I471&lt;=0,"SIN FCST",IF(V471&lt;R471,"BAJO SS",IF(T471&lt;R471,"BAJO SS (XLIB CUBRE)",IF(V471&lt;S471,"BAJO P.REORDEN",IF(AND(ISNUMBER(Q471),V471&gt;Q471),"SOBRE MAX VENDIBLE","OK")))))</f>
        <v>OK</v>
      </c>
    </row>
    <row r="472" customFormat="false" ht="15" hidden="false" customHeight="false" outlineLevel="0" collapsed="false">
      <c r="A472" s="3" t="n">
        <v>30000066</v>
      </c>
      <c r="B472" s="3" t="s">
        <v>442</v>
      </c>
      <c r="C472" s="3" t="s">
        <v>143</v>
      </c>
      <c r="D472" s="3" t="s">
        <v>750</v>
      </c>
      <c r="E472" s="3" t="s">
        <v>762</v>
      </c>
      <c r="F472" s="3" t="str">
        <f aca="false">IFERROR(INDEX(ABC_XYZ!$L$5:$L$494,MATCH(A472,ABC_XYZ!$A$5:$A$494,0)),"SIN HIST")</f>
        <v>BX</v>
      </c>
      <c r="G472" s="24" t="n">
        <f aca="false">IF(LEFT(F472,1)="A",Parametros!$B$8,IF(LEFT(F472,1)="B",Parametros!$B$9,IF(LEFT(F472,1)="C",Parametros!$B$10,Parametros!$B$11)))</f>
        <v>0.95</v>
      </c>
      <c r="H472" s="27" t="n">
        <f aca="false">NORMSINV(G472)</f>
        <v>1.64485362695147</v>
      </c>
      <c r="I472" s="23" t="n">
        <v>1390</v>
      </c>
      <c r="J472" s="23" t="n">
        <f aca="false">IFERROR(INDEX(ABC_XYZ!$R$5:$R$494,MATCH(A472,ABC_XYZ!$A$5:$A$494,0)),I472*Parametros!$B$13)</f>
        <v>1638.81847081084</v>
      </c>
      <c r="K472" s="27" t="n">
        <f aca="false">IFERROR(VLOOKUP(C472,Parametros!$A$36:$B$66,2,FALSE()),Parametros!$B$12)</f>
        <v>1</v>
      </c>
      <c r="L472" s="23" t="n">
        <f aca="false">H472*J472*SQRT(K472)</f>
        <v>2695.61650562828</v>
      </c>
      <c r="M472" s="29" t="n">
        <v>184</v>
      </c>
      <c r="N472" s="24" t="n">
        <v>0.217391304347826</v>
      </c>
      <c r="O472" s="3" t="s">
        <v>754</v>
      </c>
      <c r="P472" s="30" t="n">
        <f aca="false">IF(AND(ISNUMBER(M472),ISNUMBER(N472)),M472*N472/7,"")</f>
        <v>5.71428571428572</v>
      </c>
      <c r="Q472" s="23" t="n">
        <f aca="false">IF(ISNUMBER(P472),I472*P472,"")</f>
        <v>7942.85714285714</v>
      </c>
      <c r="R472" s="23" t="n">
        <f aca="false">IF(ISNUMBER(Q472),MAX(0,MIN(L472,Q472-I472*K472)),L472)</f>
        <v>2695.61650562828</v>
      </c>
      <c r="S472" s="23" t="n">
        <f aca="false">R472+I472*K472</f>
        <v>4085.61650562828</v>
      </c>
      <c r="T472" s="23" t="n">
        <v>1785.6</v>
      </c>
      <c r="U472" s="23" t="n">
        <v>5104.8</v>
      </c>
      <c r="V472" s="23" t="n">
        <f aca="false">T472+U472</f>
        <v>6890.4</v>
      </c>
      <c r="W472" s="30" t="n">
        <f aca="false">IF(I472&gt;0,V472/I472,"")</f>
        <v>4.95712230215827</v>
      </c>
      <c r="X472" s="3" t="str">
        <f aca="false">IF(I472&lt;=0,"SIN FCST",IF(V472&lt;R472,"BAJO SS",IF(T472&lt;R472,"BAJO SS (XLIB CUBRE)",IF(V472&lt;S472,"BAJO P.REORDEN",IF(AND(ISNUMBER(Q472),V472&gt;Q472),"SOBRE MAX VENDIBLE","OK")))))</f>
        <v>BAJO SS (XLIB CUBRE)</v>
      </c>
    </row>
    <row r="473" customFormat="false" ht="15" hidden="false" customHeight="false" outlineLevel="0" collapsed="false">
      <c r="A473" s="3" t="n">
        <v>30001716</v>
      </c>
      <c r="B473" s="3" t="s">
        <v>609</v>
      </c>
      <c r="C473" s="3" t="s">
        <v>130</v>
      </c>
      <c r="D473" s="3" t="s">
        <v>753</v>
      </c>
      <c r="E473" s="3" t="s">
        <v>745</v>
      </c>
      <c r="F473" s="3" t="str">
        <f aca="false">IFERROR(INDEX(ABC_XYZ!$L$5:$L$494,MATCH(A473,ABC_XYZ!$A$5:$A$494,0)),"SIN HIST")</f>
        <v>CY</v>
      </c>
      <c r="G473" s="24" t="n">
        <f aca="false">IF(LEFT(F473,1)="A",Parametros!$B$8,IF(LEFT(F473,1)="B",Parametros!$B$9,IF(LEFT(F473,1)="C",Parametros!$B$10,Parametros!$B$11)))</f>
        <v>0.9</v>
      </c>
      <c r="H473" s="27" t="n">
        <f aca="false">NORMSINV(G473)</f>
        <v>1.2815515655446</v>
      </c>
      <c r="I473" s="23" t="n">
        <v>1374.2</v>
      </c>
      <c r="J473" s="23" t="n">
        <f aca="false">IFERROR(INDEX(ABC_XYZ!$R$5:$R$494,MATCH(A473,ABC_XYZ!$A$5:$A$494,0)),I473*Parametros!$B$13)</f>
        <v>751.634315130223</v>
      </c>
      <c r="K473" s="27" t="n">
        <f aca="false">IFERROR(VLOOKUP(C473,Parametros!$A$36:$B$66,2,FALSE()),Parametros!$B$12)</f>
        <v>1</v>
      </c>
      <c r="L473" s="23" t="n">
        <f aca="false">H473*J473*SQRT(K473)</f>
        <v>963.258133272181</v>
      </c>
      <c r="M473" s="29" t="n">
        <v>184</v>
      </c>
      <c r="N473" s="24" t="n">
        <v>0.239130434782609</v>
      </c>
      <c r="O473" s="3" t="s">
        <v>746</v>
      </c>
      <c r="P473" s="30" t="n">
        <f aca="false">IF(AND(ISNUMBER(M473),ISNUMBER(N473)),M473*N473/7,"")</f>
        <v>6.28571428571428</v>
      </c>
      <c r="Q473" s="23" t="n">
        <f aca="false">IF(ISNUMBER(P473),I473*P473,"")</f>
        <v>8637.82857142857</v>
      </c>
      <c r="R473" s="23" t="n">
        <f aca="false">IF(ISNUMBER(Q473),MAX(0,MIN(L473,Q473-I473*K473)),L473)</f>
        <v>963.258133272181</v>
      </c>
      <c r="S473" s="23" t="n">
        <f aca="false">R473+I473*K473</f>
        <v>2337.45813327218</v>
      </c>
      <c r="T473" s="23" t="n">
        <v>7078.5</v>
      </c>
      <c r="U473" s="23" t="n">
        <v>10219.5</v>
      </c>
      <c r="V473" s="23" t="n">
        <f aca="false">T473+U473</f>
        <v>17298</v>
      </c>
      <c r="W473" s="30" t="n">
        <f aca="false">IF(I473&gt;0,V473/I473,"")</f>
        <v>12.5876873817494</v>
      </c>
      <c r="X473" s="3" t="str">
        <f aca="false">IF(I473&lt;=0,"SIN FCST",IF(V473&lt;R473,"BAJO SS",IF(T473&lt;R473,"BAJO SS (XLIB CUBRE)",IF(V473&lt;S473,"BAJO P.REORDEN",IF(AND(ISNUMBER(Q473),V473&gt;Q473),"SOBRE MAX VENDIBLE","OK")))))</f>
        <v>SOBRE MAX VENDIBLE</v>
      </c>
    </row>
    <row r="474" customFormat="false" ht="15" hidden="false" customHeight="false" outlineLevel="0" collapsed="false">
      <c r="A474" s="3" t="n">
        <v>30002138</v>
      </c>
      <c r="B474" s="3" t="s">
        <v>494</v>
      </c>
      <c r="C474" s="3" t="s">
        <v>129</v>
      </c>
      <c r="D474" s="3" t="s">
        <v>753</v>
      </c>
      <c r="E474" s="3" t="s">
        <v>745</v>
      </c>
      <c r="F474" s="3" t="str">
        <f aca="false">IFERROR(INDEX(ABC_XYZ!$L$5:$L$494,MATCH(A474,ABC_XYZ!$A$5:$A$494,0)),"SIN HIST")</f>
        <v>CY</v>
      </c>
      <c r="G474" s="24" t="n">
        <f aca="false">IF(LEFT(F474,1)="A",Parametros!$B$8,IF(LEFT(F474,1)="B",Parametros!$B$9,IF(LEFT(F474,1)="C",Parametros!$B$10,Parametros!$B$11)))</f>
        <v>0.9</v>
      </c>
      <c r="H474" s="27" t="n">
        <f aca="false">NORMSINV(G474)</f>
        <v>1.2815515655446</v>
      </c>
      <c r="I474" s="23" t="n">
        <v>1351.9</v>
      </c>
      <c r="J474" s="23" t="n">
        <f aca="false">IFERROR(INDEX(ABC_XYZ!$R$5:$R$494,MATCH(A474,ABC_XYZ!$A$5:$A$494,0)),I474*Parametros!$B$13)</f>
        <v>550.202387005606</v>
      </c>
      <c r="K474" s="27" t="n">
        <f aca="false">IFERROR(VLOOKUP(C474,Parametros!$A$36:$B$66,2,FALSE()),Parametros!$B$12)</f>
        <v>1</v>
      </c>
      <c r="L474" s="23" t="n">
        <f aca="false">H474*J474*SQRT(K474)</f>
        <v>705.112730433411</v>
      </c>
      <c r="M474" s="29" t="n">
        <v>365</v>
      </c>
      <c r="N474" s="24" t="n">
        <v>0.32054794520548</v>
      </c>
      <c r="O474" s="3" t="s">
        <v>754</v>
      </c>
      <c r="P474" s="30" t="n">
        <f aca="false">IF(AND(ISNUMBER(M474),ISNUMBER(N474)),M474*N474/7,"")</f>
        <v>16.7142857142857</v>
      </c>
      <c r="Q474" s="23" t="n">
        <f aca="false">IF(ISNUMBER(P474),I474*P474,"")</f>
        <v>22596.0428571429</v>
      </c>
      <c r="R474" s="23" t="n">
        <f aca="false">IF(ISNUMBER(Q474),MAX(0,MIN(L474,Q474-I474*K474)),L474)</f>
        <v>705.112730433411</v>
      </c>
      <c r="S474" s="23" t="n">
        <f aca="false">R474+I474*K474</f>
        <v>2057.01273043341</v>
      </c>
      <c r="T474" s="23" t="n">
        <v>6872</v>
      </c>
      <c r="U474" s="23" t="n">
        <v>0</v>
      </c>
      <c r="V474" s="23" t="n">
        <f aca="false">T474+U474</f>
        <v>6872</v>
      </c>
      <c r="W474" s="30" t="n">
        <f aca="false">IF(I474&gt;0,V474/I474,"")</f>
        <v>5.08321621421703</v>
      </c>
      <c r="X474" s="3" t="str">
        <f aca="false">IF(I474&lt;=0,"SIN FCST",IF(V474&lt;R474,"BAJO SS",IF(T474&lt;R474,"BAJO SS (XLIB CUBRE)",IF(V474&lt;S474,"BAJO P.REORDEN",IF(AND(ISNUMBER(Q474),V474&gt;Q474),"SOBRE MAX VENDIBLE","OK")))))</f>
        <v>OK</v>
      </c>
    </row>
    <row r="475" customFormat="false" ht="15" hidden="false" customHeight="false" outlineLevel="0" collapsed="false">
      <c r="A475" s="3" t="n">
        <v>30001595</v>
      </c>
      <c r="B475" s="3" t="s">
        <v>1072</v>
      </c>
      <c r="C475" s="3" t="s">
        <v>133</v>
      </c>
      <c r="D475" s="3" t="s">
        <v>758</v>
      </c>
      <c r="E475" s="3"/>
      <c r="F475" s="3" t="str">
        <f aca="false">IFERROR(INDEX(ABC_XYZ!$L$5:$L$494,MATCH(A475,ABC_XYZ!$A$5:$A$494,0)),"SIN HIST")</f>
        <v>SIN HIST</v>
      </c>
      <c r="G475" s="24" t="n">
        <f aca="false">IF(LEFT(F475,1)="A",Parametros!$B$8,IF(LEFT(F475,1)="B",Parametros!$B$9,IF(LEFT(F475,1)="C",Parametros!$B$10,Parametros!$B$11)))</f>
        <v>0.95</v>
      </c>
      <c r="H475" s="27" t="n">
        <f aca="false">NORMSINV(G475)</f>
        <v>1.64485362695147</v>
      </c>
      <c r="I475" s="23" t="n">
        <v>1339.5</v>
      </c>
      <c r="J475" s="23" t="n">
        <f aca="false">IFERROR(INDEX(ABC_XYZ!$R$5:$R$494,MATCH(A475,ABC_XYZ!$A$5:$A$494,0)),I475*Parametros!$B$13)</f>
        <v>401.85</v>
      </c>
      <c r="K475" s="27" t="n">
        <f aca="false">IFERROR(VLOOKUP(C475,Parametros!$A$36:$B$66,2,FALSE()),Parametros!$B$12)</f>
        <v>1</v>
      </c>
      <c r="L475" s="23" t="n">
        <f aca="false">H475*J475*SQRT(K475)</f>
        <v>660.984429990449</v>
      </c>
      <c r="M475" s="29"/>
      <c r="N475" s="24"/>
      <c r="O475" s="3"/>
      <c r="P475" s="30" t="str">
        <f aca="false">IF(AND(ISNUMBER(M475),ISNUMBER(N475)),M475*N475/7,"")</f>
        <v/>
      </c>
      <c r="Q475" s="23" t="str">
        <f aca="false">IF(ISNUMBER(P475),I475*P475,"")</f>
        <v/>
      </c>
      <c r="R475" s="23" t="n">
        <f aca="false">IF(ISNUMBER(Q475),MAX(0,MIN(L475,Q475-I475*K475)),L475)</f>
        <v>660.984429990449</v>
      </c>
      <c r="S475" s="23" t="n">
        <f aca="false">R475+I475*K475</f>
        <v>2000.48442999045</v>
      </c>
      <c r="T475" s="23" t="n">
        <v>13300</v>
      </c>
      <c r="U475" s="23" t="n">
        <v>0</v>
      </c>
      <c r="V475" s="23" t="n">
        <f aca="false">T475+U475</f>
        <v>13300</v>
      </c>
      <c r="W475" s="30" t="n">
        <f aca="false">IF(I475&gt;0,V475/I475,"")</f>
        <v>9.9290780141844</v>
      </c>
      <c r="X475" s="3" t="str">
        <f aca="false">IF(I475&lt;=0,"SIN FCST",IF(V475&lt;R475,"BAJO SS",IF(T475&lt;R475,"BAJO SS (XLIB CUBRE)",IF(V475&lt;S475,"BAJO P.REORDEN",IF(AND(ISNUMBER(Q475),V475&gt;Q475),"SOBRE MAX VENDIBLE","OK")))))</f>
        <v>OK</v>
      </c>
    </row>
    <row r="476" customFormat="false" ht="15" hidden="false" customHeight="false" outlineLevel="0" collapsed="false">
      <c r="A476" s="3" t="n">
        <v>30000776</v>
      </c>
      <c r="B476" s="3" t="s">
        <v>1073</v>
      </c>
      <c r="C476" s="3" t="s">
        <v>133</v>
      </c>
      <c r="D476" s="3" t="s">
        <v>758</v>
      </c>
      <c r="E476" s="3"/>
      <c r="F476" s="3" t="str">
        <f aca="false">IFERROR(INDEX(ABC_XYZ!$L$5:$L$494,MATCH(A476,ABC_XYZ!$A$5:$A$494,0)),"SIN HIST")</f>
        <v>SIN HIST</v>
      </c>
      <c r="G476" s="24" t="n">
        <f aca="false">IF(LEFT(F476,1)="A",Parametros!$B$8,IF(LEFT(F476,1)="B",Parametros!$B$9,IF(LEFT(F476,1)="C",Parametros!$B$10,Parametros!$B$11)))</f>
        <v>0.95</v>
      </c>
      <c r="H476" s="27" t="n">
        <f aca="false">NORMSINV(G476)</f>
        <v>1.64485362695147</v>
      </c>
      <c r="I476" s="23" t="n">
        <v>1338</v>
      </c>
      <c r="J476" s="23" t="n">
        <f aca="false">IFERROR(INDEX(ABC_XYZ!$R$5:$R$494,MATCH(A476,ABC_XYZ!$A$5:$A$494,0)),I476*Parametros!$B$13)</f>
        <v>401.4</v>
      </c>
      <c r="K476" s="27" t="n">
        <f aca="false">IFERROR(VLOOKUP(C476,Parametros!$A$36:$B$66,2,FALSE()),Parametros!$B$12)</f>
        <v>1</v>
      </c>
      <c r="L476" s="23" t="n">
        <f aca="false">H476*J476*SQRT(K476)</f>
        <v>660.244245858321</v>
      </c>
      <c r="M476" s="29"/>
      <c r="N476" s="24"/>
      <c r="O476" s="3"/>
      <c r="P476" s="30" t="str">
        <f aca="false">IF(AND(ISNUMBER(M476),ISNUMBER(N476)),M476*N476/7,"")</f>
        <v/>
      </c>
      <c r="Q476" s="23" t="str">
        <f aca="false">IF(ISNUMBER(P476),I476*P476,"")</f>
        <v/>
      </c>
      <c r="R476" s="23" t="n">
        <f aca="false">IF(ISNUMBER(Q476),MAX(0,MIN(L476,Q476-I476*K476)),L476)</f>
        <v>660.244245858321</v>
      </c>
      <c r="S476" s="23" t="n">
        <f aca="false">R476+I476*K476</f>
        <v>1998.24424585832</v>
      </c>
      <c r="T476" s="23" t="n">
        <v>7943</v>
      </c>
      <c r="U476" s="23" t="n">
        <v>0</v>
      </c>
      <c r="V476" s="23" t="n">
        <f aca="false">T476+U476</f>
        <v>7943</v>
      </c>
      <c r="W476" s="30" t="n">
        <f aca="false">IF(I476&gt;0,V476/I476,"")</f>
        <v>5.93647234678625</v>
      </c>
      <c r="X476" s="3" t="str">
        <f aca="false">IF(I476&lt;=0,"SIN FCST",IF(V476&lt;R476,"BAJO SS",IF(T476&lt;R476,"BAJO SS (XLIB CUBRE)",IF(V476&lt;S476,"BAJO P.REORDEN",IF(AND(ISNUMBER(Q476),V476&gt;Q476),"SOBRE MAX VENDIBLE","OK")))))</f>
        <v>OK</v>
      </c>
    </row>
    <row r="477" customFormat="false" ht="15" hidden="false" customHeight="false" outlineLevel="0" collapsed="false">
      <c r="A477" s="3" t="n">
        <v>30002081</v>
      </c>
      <c r="B477" s="3" t="s">
        <v>579</v>
      </c>
      <c r="C477" s="3" t="s">
        <v>129</v>
      </c>
      <c r="D477" s="3" t="s">
        <v>753</v>
      </c>
      <c r="E477" s="3" t="s">
        <v>745</v>
      </c>
      <c r="F477" s="3" t="str">
        <f aca="false">IFERROR(INDEX(ABC_XYZ!$L$5:$L$494,MATCH(A477,ABC_XYZ!$A$5:$A$494,0)),"SIN HIST")</f>
        <v>CX</v>
      </c>
      <c r="G477" s="24" t="n">
        <f aca="false">IF(LEFT(F477,1)="A",Parametros!$B$8,IF(LEFT(F477,1)="B",Parametros!$B$9,IF(LEFT(F477,1)="C",Parametros!$B$10,Parametros!$B$11)))</f>
        <v>0.9</v>
      </c>
      <c r="H477" s="27" t="n">
        <f aca="false">NORMSINV(G477)</f>
        <v>1.2815515655446</v>
      </c>
      <c r="I477" s="23" t="n">
        <v>1330.3</v>
      </c>
      <c r="J477" s="23" t="n">
        <f aca="false">IFERROR(INDEX(ABC_XYZ!$R$5:$R$494,MATCH(A477,ABC_XYZ!$A$5:$A$494,0)),I477*Parametros!$B$13)</f>
        <v>408.592029290832</v>
      </c>
      <c r="K477" s="27" t="n">
        <f aca="false">IFERROR(VLOOKUP(C477,Parametros!$A$36:$B$66,2,FALSE()),Parametros!$B$12)</f>
        <v>1</v>
      </c>
      <c r="L477" s="23" t="n">
        <f aca="false">H477*J477*SQRT(K477)</f>
        <v>523.631754806711</v>
      </c>
      <c r="M477" s="29" t="n">
        <v>730</v>
      </c>
      <c r="N477" s="24" t="n">
        <v>0.2</v>
      </c>
      <c r="O477" s="3" t="s">
        <v>746</v>
      </c>
      <c r="P477" s="30" t="n">
        <f aca="false">IF(AND(ISNUMBER(M477),ISNUMBER(N477)),M477*N477/7,"")</f>
        <v>20.8571428571429</v>
      </c>
      <c r="Q477" s="23" t="n">
        <f aca="false">IF(ISNUMBER(P477),I477*P477,"")</f>
        <v>27746.2571428571</v>
      </c>
      <c r="R477" s="23" t="n">
        <f aca="false">IF(ISNUMBER(Q477),MAX(0,MIN(L477,Q477-I477*K477)),L477)</f>
        <v>523.631754806711</v>
      </c>
      <c r="S477" s="23" t="n">
        <f aca="false">R477+I477*K477</f>
        <v>1853.93175480671</v>
      </c>
      <c r="T477" s="23" t="n">
        <v>10956.2</v>
      </c>
      <c r="U477" s="23" t="n">
        <v>10038.1</v>
      </c>
      <c r="V477" s="23" t="n">
        <f aca="false">T477+U477</f>
        <v>20994.3</v>
      </c>
      <c r="W477" s="30" t="n">
        <f aca="false">IF(I477&gt;0,V477/I477,"")</f>
        <v>15.7816282041645</v>
      </c>
      <c r="X477" s="3" t="str">
        <f aca="false">IF(I477&lt;=0,"SIN FCST",IF(V477&lt;R477,"BAJO SS",IF(T477&lt;R477,"BAJO SS (XLIB CUBRE)",IF(V477&lt;S477,"BAJO P.REORDEN",IF(AND(ISNUMBER(Q477),V477&gt;Q477),"SOBRE MAX VENDIBLE","OK")))))</f>
        <v>OK</v>
      </c>
    </row>
    <row r="478" customFormat="false" ht="15" hidden="false" customHeight="false" outlineLevel="0" collapsed="false">
      <c r="A478" s="3" t="n">
        <v>30000355</v>
      </c>
      <c r="B478" s="3" t="s">
        <v>583</v>
      </c>
      <c r="C478" s="3" t="s">
        <v>139</v>
      </c>
      <c r="D478" s="3" t="s">
        <v>753</v>
      </c>
      <c r="E478" s="3" t="s">
        <v>745</v>
      </c>
      <c r="F478" s="3" t="str">
        <f aca="false">IFERROR(INDEX(ABC_XYZ!$L$5:$L$494,MATCH(A478,ABC_XYZ!$A$5:$A$494,0)),"SIN HIST")</f>
        <v>CX</v>
      </c>
      <c r="G478" s="24" t="n">
        <f aca="false">IF(LEFT(F478,1)="A",Parametros!$B$8,IF(LEFT(F478,1)="B",Parametros!$B$9,IF(LEFT(F478,1)="C",Parametros!$B$10,Parametros!$B$11)))</f>
        <v>0.9</v>
      </c>
      <c r="H478" s="27" t="n">
        <f aca="false">NORMSINV(G478)</f>
        <v>1.2815515655446</v>
      </c>
      <c r="I478" s="23" t="n">
        <v>1330</v>
      </c>
      <c r="J478" s="23" t="n">
        <f aca="false">IFERROR(INDEX(ABC_XYZ!$R$5:$R$494,MATCH(A478,ABC_XYZ!$A$5:$A$494,0)),I478*Parametros!$B$13)</f>
        <v>960.429436299569</v>
      </c>
      <c r="K478" s="27" t="n">
        <f aca="false">IFERROR(VLOOKUP(C478,Parametros!$A$36:$B$66,2,FALSE()),Parametros!$B$12)</f>
        <v>1</v>
      </c>
      <c r="L478" s="23" t="n">
        <f aca="false">H478*J478*SQRT(K478)</f>
        <v>1230.83984768483</v>
      </c>
      <c r="M478" s="29" t="n">
        <v>184</v>
      </c>
      <c r="N478" s="24" t="n">
        <v>0.239130434782609</v>
      </c>
      <c r="O478" s="3" t="s">
        <v>746</v>
      </c>
      <c r="P478" s="30" t="n">
        <f aca="false">IF(AND(ISNUMBER(M478),ISNUMBER(N478)),M478*N478/7,"")</f>
        <v>6.28571428571428</v>
      </c>
      <c r="Q478" s="23" t="n">
        <f aca="false">IF(ISNUMBER(P478),I478*P478,"")</f>
        <v>8360</v>
      </c>
      <c r="R478" s="23" t="n">
        <f aca="false">IF(ISNUMBER(Q478),MAX(0,MIN(L478,Q478-I478*K478)),L478)</f>
        <v>1230.83984768483</v>
      </c>
      <c r="S478" s="23" t="n">
        <f aca="false">R478+I478*K478</f>
        <v>2560.83984768483</v>
      </c>
      <c r="T478" s="23" t="n">
        <v>6648</v>
      </c>
      <c r="U478" s="23" t="n">
        <v>0</v>
      </c>
      <c r="V478" s="23" t="n">
        <f aca="false">T478+U478</f>
        <v>6648</v>
      </c>
      <c r="W478" s="30" t="n">
        <f aca="false">IF(I478&gt;0,V478/I478,"")</f>
        <v>4.9984962406015</v>
      </c>
      <c r="X478" s="3" t="str">
        <f aca="false">IF(I478&lt;=0,"SIN FCST",IF(V478&lt;R478,"BAJO SS",IF(T478&lt;R478,"BAJO SS (XLIB CUBRE)",IF(V478&lt;S478,"BAJO P.REORDEN",IF(AND(ISNUMBER(Q478),V478&gt;Q478),"SOBRE MAX VENDIBLE","OK")))))</f>
        <v>OK</v>
      </c>
    </row>
    <row r="479" customFormat="false" ht="15" hidden="false" customHeight="false" outlineLevel="0" collapsed="false">
      <c r="A479" s="3" t="n">
        <v>30002255</v>
      </c>
      <c r="B479" s="3" t="s">
        <v>538</v>
      </c>
      <c r="C479" s="3" t="s">
        <v>139</v>
      </c>
      <c r="D479" s="3" t="s">
        <v>753</v>
      </c>
      <c r="E479" s="3" t="s">
        <v>1074</v>
      </c>
      <c r="F479" s="3" t="str">
        <f aca="false">IFERROR(INDEX(ABC_XYZ!$L$5:$L$494,MATCH(A479,ABC_XYZ!$A$5:$A$494,0)),"SIN HIST")</f>
        <v>CX</v>
      </c>
      <c r="G479" s="24" t="n">
        <f aca="false">IF(LEFT(F479,1)="A",Parametros!$B$8,IF(LEFT(F479,1)="B",Parametros!$B$9,IF(LEFT(F479,1)="C",Parametros!$B$10,Parametros!$B$11)))</f>
        <v>0.9</v>
      </c>
      <c r="H479" s="27" t="n">
        <f aca="false">NORMSINV(G479)</f>
        <v>1.2815515655446</v>
      </c>
      <c r="I479" s="23" t="n">
        <v>1313</v>
      </c>
      <c r="J479" s="23" t="n">
        <f aca="false">IFERROR(INDEX(ABC_XYZ!$R$5:$R$494,MATCH(A479,ABC_XYZ!$A$5:$A$494,0)),I479*Parametros!$B$13)</f>
        <v>355.155736163509</v>
      </c>
      <c r="K479" s="27" t="n">
        <f aca="false">IFERROR(VLOOKUP(C479,Parametros!$A$36:$B$66,2,FALSE()),Parametros!$B$12)</f>
        <v>1</v>
      </c>
      <c r="L479" s="23" t="n">
        <f aca="false">H479*J479*SQRT(K479)</f>
        <v>455.15038969249</v>
      </c>
      <c r="M479" s="29" t="n">
        <v>73</v>
      </c>
      <c r="N479" s="24" t="n">
        <v>0.23</v>
      </c>
      <c r="O479" s="3" t="s">
        <v>754</v>
      </c>
      <c r="P479" s="30" t="n">
        <f aca="false">IF(AND(ISNUMBER(M479),ISNUMBER(N479)),M479*N479/7,"")</f>
        <v>2.39857142857143</v>
      </c>
      <c r="Q479" s="23" t="n">
        <f aca="false">IF(ISNUMBER(P479),I479*P479,"")</f>
        <v>3149.32428571429</v>
      </c>
      <c r="R479" s="23" t="n">
        <f aca="false">IF(ISNUMBER(Q479),MAX(0,MIN(L479,Q479-I479*K479)),L479)</f>
        <v>455.15038969249</v>
      </c>
      <c r="S479" s="23" t="n">
        <f aca="false">R479+I479*K479</f>
        <v>1768.15038969249</v>
      </c>
      <c r="T479" s="23" t="n">
        <v>2201.1</v>
      </c>
      <c r="U479" s="23" t="n">
        <v>1780.2</v>
      </c>
      <c r="V479" s="23" t="n">
        <f aca="false">T479+U479</f>
        <v>3981.3</v>
      </c>
      <c r="W479" s="30" t="n">
        <f aca="false">IF(I479&gt;0,V479/I479,"")</f>
        <v>3.03221629855293</v>
      </c>
      <c r="X479" s="3" t="str">
        <f aca="false">IF(I479&lt;=0,"SIN FCST",IF(V479&lt;R479,"BAJO SS",IF(T479&lt;R479,"BAJO SS (XLIB CUBRE)",IF(V479&lt;S479,"BAJO P.REORDEN",IF(AND(ISNUMBER(Q479),V479&gt;Q479),"SOBRE MAX VENDIBLE","OK")))))</f>
        <v>SOBRE MAX VENDIBLE</v>
      </c>
    </row>
    <row r="480" customFormat="false" ht="15" hidden="false" customHeight="false" outlineLevel="0" collapsed="false">
      <c r="A480" s="3" t="n">
        <v>30001829</v>
      </c>
      <c r="B480" s="3" t="s">
        <v>1075</v>
      </c>
      <c r="C480" s="3" t="s">
        <v>155</v>
      </c>
      <c r="D480" s="3" t="s">
        <v>761</v>
      </c>
      <c r="E480" s="3" t="s">
        <v>762</v>
      </c>
      <c r="F480" s="3" t="str">
        <f aca="false">IFERROR(INDEX(ABC_XYZ!$L$5:$L$494,MATCH(A480,ABC_XYZ!$A$5:$A$494,0)),"SIN HIST")</f>
        <v>CX</v>
      </c>
      <c r="G480" s="24" t="n">
        <f aca="false">IF(LEFT(F480,1)="A",Parametros!$B$8,IF(LEFT(F480,1)="B",Parametros!$B$9,IF(LEFT(F480,1)="C",Parametros!$B$10,Parametros!$B$11)))</f>
        <v>0.9</v>
      </c>
      <c r="H480" s="27" t="n">
        <f aca="false">NORMSINV(G480)</f>
        <v>1.2815515655446</v>
      </c>
      <c r="I480" s="23" t="n">
        <v>1310.1</v>
      </c>
      <c r="J480" s="23" t="n">
        <f aca="false">IFERROR(INDEX(ABC_XYZ!$R$5:$R$494,MATCH(A480,ABC_XYZ!$A$5:$A$494,0)),I480*Parametros!$B$13)</f>
        <v>781.341520002126</v>
      </c>
      <c r="K480" s="27" t="n">
        <f aca="false">IFERROR(VLOOKUP(C480,Parametros!$A$36:$B$66,2,FALSE()),Parametros!$B$12)</f>
        <v>1</v>
      </c>
      <c r="L480" s="23" t="n">
        <f aca="false">H480*J480*SQRT(K480)</f>
        <v>1001.32944818372</v>
      </c>
      <c r="M480" s="29" t="n">
        <v>71</v>
      </c>
      <c r="N480" s="24" t="n">
        <v>0.323943661971831</v>
      </c>
      <c r="O480" s="3" t="s">
        <v>774</v>
      </c>
      <c r="P480" s="30" t="n">
        <f aca="false">IF(AND(ISNUMBER(M480),ISNUMBER(N480)),M480*N480/7,"")</f>
        <v>3.28571428571429</v>
      </c>
      <c r="Q480" s="23" t="n">
        <f aca="false">IF(ISNUMBER(P480),I480*P480,"")</f>
        <v>4304.61428571429</v>
      </c>
      <c r="R480" s="23" t="n">
        <f aca="false">IF(ISNUMBER(Q480),MAX(0,MIN(L480,Q480-I480*K480)),L480)</f>
        <v>1001.32944818372</v>
      </c>
      <c r="S480" s="23" t="n">
        <f aca="false">R480+I480*K480</f>
        <v>2311.42944818372</v>
      </c>
      <c r="T480" s="23" t="n">
        <v>3193.3</v>
      </c>
      <c r="U480" s="23" t="n">
        <v>0</v>
      </c>
      <c r="V480" s="23" t="n">
        <f aca="false">T480+U480</f>
        <v>3193.3</v>
      </c>
      <c r="W480" s="30" t="n">
        <f aca="false">IF(I480&gt;0,V480/I480,"")</f>
        <v>2.43744752308984</v>
      </c>
      <c r="X480" s="3" t="str">
        <f aca="false">IF(I480&lt;=0,"SIN FCST",IF(V480&lt;R480,"BAJO SS",IF(T480&lt;R480,"BAJO SS (XLIB CUBRE)",IF(V480&lt;S480,"BAJO P.REORDEN",IF(AND(ISNUMBER(Q480),V480&gt;Q480),"SOBRE MAX VENDIBLE","OK")))))</f>
        <v>OK</v>
      </c>
    </row>
    <row r="481" customFormat="false" ht="15" hidden="false" customHeight="false" outlineLevel="0" collapsed="false">
      <c r="A481" s="3" t="n">
        <v>30000436</v>
      </c>
      <c r="B481" s="3" t="s">
        <v>559</v>
      </c>
      <c r="C481" s="3" t="s">
        <v>139</v>
      </c>
      <c r="D481" s="3" t="s">
        <v>753</v>
      </c>
      <c r="E481" s="3" t="s">
        <v>762</v>
      </c>
      <c r="F481" s="3" t="str">
        <f aca="false">IFERROR(INDEX(ABC_XYZ!$L$5:$L$494,MATCH(A481,ABC_XYZ!$A$5:$A$494,0)),"SIN HIST")</f>
        <v>CX</v>
      </c>
      <c r="G481" s="24" t="n">
        <f aca="false">IF(LEFT(F481,1)="A",Parametros!$B$8,IF(LEFT(F481,1)="B",Parametros!$B$9,IF(LEFT(F481,1)="C",Parametros!$B$10,Parametros!$B$11)))</f>
        <v>0.9</v>
      </c>
      <c r="H481" s="27" t="n">
        <f aca="false">NORMSINV(G481)</f>
        <v>1.2815515655446</v>
      </c>
      <c r="I481" s="23" t="n">
        <v>1300</v>
      </c>
      <c r="J481" s="23" t="n">
        <f aca="false">IFERROR(INDEX(ABC_XYZ!$R$5:$R$494,MATCH(A481,ABC_XYZ!$A$5:$A$494,0)),I481*Parametros!$B$13)</f>
        <v>488.502542616276</v>
      </c>
      <c r="K481" s="27" t="n">
        <f aca="false">IFERROR(VLOOKUP(C481,Parametros!$A$36:$B$66,2,FALSE()),Parametros!$B$12)</f>
        <v>1</v>
      </c>
      <c r="L481" s="23" t="n">
        <f aca="false">H481*J481*SQRT(K481)</f>
        <v>626.041198262407</v>
      </c>
      <c r="M481" s="29" t="n">
        <v>78</v>
      </c>
      <c r="N481" s="24" t="n">
        <v>0.346153846153846</v>
      </c>
      <c r="O481" s="3" t="s">
        <v>774</v>
      </c>
      <c r="P481" s="30" t="n">
        <f aca="false">IF(AND(ISNUMBER(M481),ISNUMBER(N481)),M481*N481/7,"")</f>
        <v>3.85714285714286</v>
      </c>
      <c r="Q481" s="23" t="n">
        <f aca="false">IF(ISNUMBER(P481),I481*P481,"")</f>
        <v>5014.28571428571</v>
      </c>
      <c r="R481" s="23" t="n">
        <f aca="false">IF(ISNUMBER(Q481),MAX(0,MIN(L481,Q481-I481*K481)),L481)</f>
        <v>626.041198262407</v>
      </c>
      <c r="S481" s="23" t="n">
        <f aca="false">R481+I481*K481</f>
        <v>1926.04119826241</v>
      </c>
      <c r="T481" s="23" t="n">
        <v>3031</v>
      </c>
      <c r="U481" s="23" t="n">
        <v>0</v>
      </c>
      <c r="V481" s="23" t="n">
        <f aca="false">T481+U481</f>
        <v>3031</v>
      </c>
      <c r="W481" s="30" t="n">
        <f aca="false">IF(I481&gt;0,V481/I481,"")</f>
        <v>2.33153846153846</v>
      </c>
      <c r="X481" s="3" t="str">
        <f aca="false">IF(I481&lt;=0,"SIN FCST",IF(V481&lt;R481,"BAJO SS",IF(T481&lt;R481,"BAJO SS (XLIB CUBRE)",IF(V481&lt;S481,"BAJO P.REORDEN",IF(AND(ISNUMBER(Q481),V481&gt;Q481),"SOBRE MAX VENDIBLE","OK")))))</f>
        <v>OK</v>
      </c>
    </row>
    <row r="482" customFormat="false" ht="15" hidden="false" customHeight="false" outlineLevel="0" collapsed="false">
      <c r="A482" s="3" t="n">
        <v>30002291</v>
      </c>
      <c r="B482" s="3" t="s">
        <v>1076</v>
      </c>
      <c r="C482" s="3" t="s">
        <v>135</v>
      </c>
      <c r="D482" s="3" t="s">
        <v>753</v>
      </c>
      <c r="E482" s="3"/>
      <c r="F482" s="3" t="str">
        <f aca="false">IFERROR(INDEX(ABC_XYZ!$L$5:$L$494,MATCH(A482,ABC_XYZ!$A$5:$A$494,0)),"SIN HIST")</f>
        <v>BX</v>
      </c>
      <c r="G482" s="24" t="n">
        <f aca="false">IF(LEFT(F482,1)="A",Parametros!$B$8,IF(LEFT(F482,1)="B",Parametros!$B$9,IF(LEFT(F482,1)="C",Parametros!$B$10,Parametros!$B$11)))</f>
        <v>0.95</v>
      </c>
      <c r="H482" s="27" t="n">
        <f aca="false">NORMSINV(G482)</f>
        <v>1.64485362695147</v>
      </c>
      <c r="I482" s="23" t="n">
        <v>1296.4</v>
      </c>
      <c r="J482" s="23" t="n">
        <f aca="false">IFERROR(INDEX(ABC_XYZ!$R$5:$R$494,MATCH(A482,ABC_XYZ!$A$5:$A$494,0)),I482*Parametros!$B$13)</f>
        <v>1606.13798703738</v>
      </c>
      <c r="K482" s="27" t="n">
        <f aca="false">IFERROR(VLOOKUP(C482,Parametros!$A$36:$B$66,2,FALSE()),Parametros!$B$12)</f>
        <v>1</v>
      </c>
      <c r="L482" s="23" t="n">
        <f aca="false">H482*J482*SQRT(K482)</f>
        <v>2641.86189336296</v>
      </c>
      <c r="M482" s="29"/>
      <c r="N482" s="24"/>
      <c r="O482" s="3"/>
      <c r="P482" s="30" t="str">
        <f aca="false">IF(AND(ISNUMBER(M482),ISNUMBER(N482)),M482*N482/7,"")</f>
        <v/>
      </c>
      <c r="Q482" s="23" t="str">
        <f aca="false">IF(ISNUMBER(P482),I482*P482,"")</f>
        <v/>
      </c>
      <c r="R482" s="23" t="n">
        <f aca="false">IF(ISNUMBER(Q482),MAX(0,MIN(L482,Q482-I482*K482)),L482)</f>
        <v>2641.86189336296</v>
      </c>
      <c r="S482" s="23" t="n">
        <f aca="false">R482+I482*K482</f>
        <v>3938.26189336296</v>
      </c>
      <c r="T482" s="23" t="n">
        <v>6637.5</v>
      </c>
      <c r="U482" s="23" t="n">
        <v>0</v>
      </c>
      <c r="V482" s="23" t="n">
        <f aca="false">T482+U482</f>
        <v>6637.5</v>
      </c>
      <c r="W482" s="30" t="n">
        <f aca="false">IF(I482&gt;0,V482/I482,"")</f>
        <v>5.11994754705338</v>
      </c>
      <c r="X482" s="3" t="str">
        <f aca="false">IF(I482&lt;=0,"SIN FCST",IF(V482&lt;R482,"BAJO SS",IF(T482&lt;R482,"BAJO SS (XLIB CUBRE)",IF(V482&lt;S482,"BAJO P.REORDEN",IF(AND(ISNUMBER(Q482),V482&gt;Q482),"SOBRE MAX VENDIBLE","OK")))))</f>
        <v>OK</v>
      </c>
    </row>
    <row r="483" customFormat="false" ht="15" hidden="false" customHeight="false" outlineLevel="0" collapsed="false">
      <c r="A483" s="3" t="n">
        <v>30000788</v>
      </c>
      <c r="B483" s="3" t="s">
        <v>1077</v>
      </c>
      <c r="C483" s="3" t="s">
        <v>133</v>
      </c>
      <c r="D483" s="3" t="s">
        <v>758</v>
      </c>
      <c r="E483" s="3"/>
      <c r="F483" s="3" t="str">
        <f aca="false">IFERROR(INDEX(ABC_XYZ!$L$5:$L$494,MATCH(A483,ABC_XYZ!$A$5:$A$494,0)),"SIN HIST")</f>
        <v>SIN HIST</v>
      </c>
      <c r="G483" s="24" t="n">
        <f aca="false">IF(LEFT(F483,1)="A",Parametros!$B$8,IF(LEFT(F483,1)="B",Parametros!$B$9,IF(LEFT(F483,1)="C",Parametros!$B$10,Parametros!$B$11)))</f>
        <v>0.95</v>
      </c>
      <c r="H483" s="27" t="n">
        <f aca="false">NORMSINV(G483)</f>
        <v>1.64485362695147</v>
      </c>
      <c r="I483" s="23" t="n">
        <v>1281.9</v>
      </c>
      <c r="J483" s="23" t="n">
        <f aca="false">IFERROR(INDEX(ABC_XYZ!$R$5:$R$494,MATCH(A483,ABC_XYZ!$A$5:$A$494,0)),I483*Parametros!$B$13)</f>
        <v>384.57</v>
      </c>
      <c r="K483" s="27" t="n">
        <f aca="false">IFERROR(VLOOKUP(C483,Parametros!$A$36:$B$66,2,FALSE()),Parametros!$B$12)</f>
        <v>1</v>
      </c>
      <c r="L483" s="23" t="n">
        <f aca="false">H483*J483*SQRT(K483)</f>
        <v>632.561359316727</v>
      </c>
      <c r="M483" s="29"/>
      <c r="N483" s="24"/>
      <c r="O483" s="3"/>
      <c r="P483" s="30" t="str">
        <f aca="false">IF(AND(ISNUMBER(M483),ISNUMBER(N483)),M483*N483/7,"")</f>
        <v/>
      </c>
      <c r="Q483" s="23" t="str">
        <f aca="false">IF(ISNUMBER(P483),I483*P483,"")</f>
        <v/>
      </c>
      <c r="R483" s="23" t="n">
        <f aca="false">IF(ISNUMBER(Q483),MAX(0,MIN(L483,Q483-I483*K483)),L483)</f>
        <v>632.561359316727</v>
      </c>
      <c r="S483" s="23" t="n">
        <f aca="false">R483+I483*K483</f>
        <v>1914.46135931673</v>
      </c>
      <c r="T483" s="23" t="n">
        <v>11632</v>
      </c>
      <c r="U483" s="23" t="n">
        <v>0</v>
      </c>
      <c r="V483" s="23" t="n">
        <f aca="false">T483+U483</f>
        <v>11632</v>
      </c>
      <c r="W483" s="30" t="n">
        <f aca="false">IF(I483&gt;0,V483/I483,"")</f>
        <v>9.0740307356268</v>
      </c>
      <c r="X483" s="3" t="str">
        <f aca="false">IF(I483&lt;=0,"SIN FCST",IF(V483&lt;R483,"BAJO SS",IF(T483&lt;R483,"BAJO SS (XLIB CUBRE)",IF(V483&lt;S483,"BAJO P.REORDEN",IF(AND(ISNUMBER(Q483),V483&gt;Q483),"SOBRE MAX VENDIBLE","OK")))))</f>
        <v>OK</v>
      </c>
    </row>
    <row r="484" customFormat="false" ht="15" hidden="false" customHeight="false" outlineLevel="0" collapsed="false">
      <c r="A484" s="3" t="n">
        <v>30000635</v>
      </c>
      <c r="B484" s="3" t="s">
        <v>1078</v>
      </c>
      <c r="C484" s="3" t="s">
        <v>144</v>
      </c>
      <c r="D484" s="3" t="s">
        <v>753</v>
      </c>
      <c r="E484" s="3" t="s">
        <v>745</v>
      </c>
      <c r="F484" s="3" t="str">
        <f aca="false">IFERROR(INDEX(ABC_XYZ!$L$5:$L$494,MATCH(A484,ABC_XYZ!$A$5:$A$494,0)),"SIN HIST")</f>
        <v>CX</v>
      </c>
      <c r="G484" s="24" t="n">
        <f aca="false">IF(LEFT(F484,1)="A",Parametros!$B$8,IF(LEFT(F484,1)="B",Parametros!$B$9,IF(LEFT(F484,1)="C",Parametros!$B$10,Parametros!$B$11)))</f>
        <v>0.9</v>
      </c>
      <c r="H484" s="27" t="n">
        <f aca="false">NORMSINV(G484)</f>
        <v>1.2815515655446</v>
      </c>
      <c r="I484" s="23" t="n">
        <v>1277.9</v>
      </c>
      <c r="J484" s="23" t="n">
        <f aca="false">IFERROR(INDEX(ABC_XYZ!$R$5:$R$494,MATCH(A484,ABC_XYZ!$A$5:$A$494,0)),I484*Parametros!$B$13)</f>
        <v>299.783032653062</v>
      </c>
      <c r="K484" s="27" t="n">
        <f aca="false">IFERROR(VLOOKUP(C484,Parametros!$A$36:$B$66,2,FALSE()),Parametros!$B$12)</f>
        <v>1</v>
      </c>
      <c r="L484" s="23" t="n">
        <f aca="false">H484*J484*SQRT(K484)</f>
        <v>384.187414820239</v>
      </c>
      <c r="M484" s="29" t="n">
        <v>365</v>
      </c>
      <c r="N484" s="24" t="n">
        <v>0.32054794520548</v>
      </c>
      <c r="O484" s="3" t="s">
        <v>754</v>
      </c>
      <c r="P484" s="30" t="n">
        <f aca="false">IF(AND(ISNUMBER(M484),ISNUMBER(N484)),M484*N484/7,"")</f>
        <v>16.7142857142857</v>
      </c>
      <c r="Q484" s="23" t="n">
        <f aca="false">IF(ISNUMBER(P484),I484*P484,"")</f>
        <v>21359.1857142857</v>
      </c>
      <c r="R484" s="23" t="n">
        <f aca="false">IF(ISNUMBER(Q484),MAX(0,MIN(L484,Q484-I484*K484)),L484)</f>
        <v>384.187414820239</v>
      </c>
      <c r="S484" s="23" t="n">
        <f aca="false">R484+I484*K484</f>
        <v>1662.08741482024</v>
      </c>
      <c r="T484" s="23" t="n">
        <v>5203.2</v>
      </c>
      <c r="U484" s="23" t="n">
        <v>0</v>
      </c>
      <c r="V484" s="23" t="n">
        <f aca="false">T484+U484</f>
        <v>5203.2</v>
      </c>
      <c r="W484" s="30" t="n">
        <f aca="false">IF(I484&gt;0,V484/I484,"")</f>
        <v>4.07168010016433</v>
      </c>
      <c r="X484" s="3" t="str">
        <f aca="false">IF(I484&lt;=0,"SIN FCST",IF(V484&lt;R484,"BAJO SS",IF(T484&lt;R484,"BAJO SS (XLIB CUBRE)",IF(V484&lt;S484,"BAJO P.REORDEN",IF(AND(ISNUMBER(Q484),V484&gt;Q484),"SOBRE MAX VENDIBLE","OK")))))</f>
        <v>OK</v>
      </c>
    </row>
    <row r="485" customFormat="false" ht="15" hidden="false" customHeight="false" outlineLevel="0" collapsed="false">
      <c r="A485" s="3" t="n">
        <v>30002297</v>
      </c>
      <c r="B485" s="3" t="s">
        <v>567</v>
      </c>
      <c r="C485" s="3" t="s">
        <v>144</v>
      </c>
      <c r="D485" s="3" t="s">
        <v>753</v>
      </c>
      <c r="E485" s="3"/>
      <c r="F485" s="3" t="str">
        <f aca="false">IFERROR(INDEX(ABC_XYZ!$L$5:$L$494,MATCH(A485,ABC_XYZ!$A$5:$A$494,0)),"SIN HIST")</f>
        <v>CX</v>
      </c>
      <c r="G485" s="24" t="n">
        <f aca="false">IF(LEFT(F485,1)="A",Parametros!$B$8,IF(LEFT(F485,1)="B",Parametros!$B$9,IF(LEFT(F485,1)="C",Parametros!$B$10,Parametros!$B$11)))</f>
        <v>0.9</v>
      </c>
      <c r="H485" s="27" t="n">
        <f aca="false">NORMSINV(G485)</f>
        <v>1.2815515655446</v>
      </c>
      <c r="I485" s="23" t="n">
        <v>1275</v>
      </c>
      <c r="J485" s="23" t="n">
        <f aca="false">IFERROR(INDEX(ABC_XYZ!$R$5:$R$494,MATCH(A485,ABC_XYZ!$A$5:$A$494,0)),I485*Parametros!$B$13)</f>
        <v>764.875292667591</v>
      </c>
      <c r="K485" s="27" t="n">
        <f aca="false">IFERROR(VLOOKUP(C485,Parametros!$A$36:$B$66,2,FALSE()),Parametros!$B$12)</f>
        <v>1</v>
      </c>
      <c r="L485" s="23" t="n">
        <f aca="false">H485*J485*SQRT(K485)</f>
        <v>980.227128764536</v>
      </c>
      <c r="M485" s="29"/>
      <c r="N485" s="24"/>
      <c r="O485" s="3"/>
      <c r="P485" s="30" t="str">
        <f aca="false">IF(AND(ISNUMBER(M485),ISNUMBER(N485)),M485*N485/7,"")</f>
        <v/>
      </c>
      <c r="Q485" s="23" t="str">
        <f aca="false">IF(ISNUMBER(P485),I485*P485,"")</f>
        <v/>
      </c>
      <c r="R485" s="23" t="n">
        <f aca="false">IF(ISNUMBER(Q485),MAX(0,MIN(L485,Q485-I485*K485)),L485)</f>
        <v>980.227128764536</v>
      </c>
      <c r="S485" s="23" t="n">
        <f aca="false">R485+I485*K485</f>
        <v>2255.22712876454</v>
      </c>
      <c r="T485" s="23" t="n">
        <v>2462.4</v>
      </c>
      <c r="U485" s="23" t="n">
        <v>0</v>
      </c>
      <c r="V485" s="23" t="n">
        <f aca="false">T485+U485</f>
        <v>2462.4</v>
      </c>
      <c r="W485" s="30" t="n">
        <f aca="false">IF(I485&gt;0,V485/I485,"")</f>
        <v>1.93129411764706</v>
      </c>
      <c r="X485" s="3" t="str">
        <f aca="false">IF(I485&lt;=0,"SIN FCST",IF(V485&lt;R485,"BAJO SS",IF(T485&lt;R485,"BAJO SS (XLIB CUBRE)",IF(V485&lt;S485,"BAJO P.REORDEN",IF(AND(ISNUMBER(Q485),V485&gt;Q485),"SOBRE MAX VENDIBLE","OK")))))</f>
        <v>OK</v>
      </c>
    </row>
    <row r="486" customFormat="false" ht="15" hidden="false" customHeight="false" outlineLevel="0" collapsed="false">
      <c r="A486" s="3" t="n">
        <v>30002289</v>
      </c>
      <c r="B486" s="3" t="s">
        <v>585</v>
      </c>
      <c r="C486" s="3" t="s">
        <v>147</v>
      </c>
      <c r="D486" s="3" t="s">
        <v>753</v>
      </c>
      <c r="E486" s="3"/>
      <c r="F486" s="3" t="str">
        <f aca="false">IFERROR(INDEX(ABC_XYZ!$L$5:$L$494,MATCH(A486,ABC_XYZ!$A$5:$A$494,0)),"SIN HIST")</f>
        <v>CX</v>
      </c>
      <c r="G486" s="24" t="n">
        <f aca="false">IF(LEFT(F486,1)="A",Parametros!$B$8,IF(LEFT(F486,1)="B",Parametros!$B$9,IF(LEFT(F486,1)="C",Parametros!$B$10,Parametros!$B$11)))</f>
        <v>0.9</v>
      </c>
      <c r="H486" s="27" t="n">
        <f aca="false">NORMSINV(G486)</f>
        <v>1.2815515655446</v>
      </c>
      <c r="I486" s="23" t="n">
        <v>1250</v>
      </c>
      <c r="J486" s="23" t="n">
        <f aca="false">IFERROR(INDEX(ABC_XYZ!$R$5:$R$494,MATCH(A486,ABC_XYZ!$A$5:$A$494,0)),I486*Parametros!$B$13)</f>
        <v>375.685596074975</v>
      </c>
      <c r="K486" s="27" t="n">
        <f aca="false">IFERROR(VLOOKUP(C486,Parametros!$A$36:$B$66,2,FALSE()),Parametros!$B$12)</f>
        <v>1</v>
      </c>
      <c r="L486" s="23" t="n">
        <f aca="false">H486*J486*SQRT(K486)</f>
        <v>481.460463802441</v>
      </c>
      <c r="M486" s="29"/>
      <c r="N486" s="24"/>
      <c r="O486" s="3"/>
      <c r="P486" s="30" t="str">
        <f aca="false">IF(AND(ISNUMBER(M486),ISNUMBER(N486)),M486*N486/7,"")</f>
        <v/>
      </c>
      <c r="Q486" s="23" t="str">
        <f aca="false">IF(ISNUMBER(P486),I486*P486,"")</f>
        <v/>
      </c>
      <c r="R486" s="23" t="n">
        <f aca="false">IF(ISNUMBER(Q486),MAX(0,MIN(L486,Q486-I486*K486)),L486)</f>
        <v>481.460463802441</v>
      </c>
      <c r="S486" s="23" t="n">
        <f aca="false">R486+I486*K486</f>
        <v>1731.46046380244</v>
      </c>
      <c r="T486" s="23" t="n">
        <v>1461.6</v>
      </c>
      <c r="U486" s="23" t="n">
        <v>1485.6</v>
      </c>
      <c r="V486" s="23" t="n">
        <f aca="false">T486+U486</f>
        <v>2947.2</v>
      </c>
      <c r="W486" s="30" t="n">
        <f aca="false">IF(I486&gt;0,V486/I486,"")</f>
        <v>2.35776</v>
      </c>
      <c r="X486" s="3" t="str">
        <f aca="false">IF(I486&lt;=0,"SIN FCST",IF(V486&lt;R486,"BAJO SS",IF(T486&lt;R486,"BAJO SS (XLIB CUBRE)",IF(V486&lt;S486,"BAJO P.REORDEN",IF(AND(ISNUMBER(Q486),V486&gt;Q486),"SOBRE MAX VENDIBLE","OK")))))</f>
        <v>OK</v>
      </c>
    </row>
    <row r="487" customFormat="false" ht="15" hidden="false" customHeight="false" outlineLevel="0" collapsed="false">
      <c r="A487" s="3" t="n">
        <v>30001407</v>
      </c>
      <c r="B487" s="3" t="s">
        <v>1079</v>
      </c>
      <c r="C487" s="3" t="s">
        <v>139</v>
      </c>
      <c r="D487" s="3" t="s">
        <v>753</v>
      </c>
      <c r="E487" s="3" t="s">
        <v>745</v>
      </c>
      <c r="F487" s="3" t="str">
        <f aca="false">IFERROR(INDEX(ABC_XYZ!$L$5:$L$494,MATCH(A487,ABC_XYZ!$A$5:$A$494,0)),"SIN HIST")</f>
        <v>CX</v>
      </c>
      <c r="G487" s="24" t="n">
        <f aca="false">IF(LEFT(F487,1)="A",Parametros!$B$8,IF(LEFT(F487,1)="B",Parametros!$B$9,IF(LEFT(F487,1)="C",Parametros!$B$10,Parametros!$B$11)))</f>
        <v>0.9</v>
      </c>
      <c r="H487" s="27" t="n">
        <f aca="false">NORMSINV(G487)</f>
        <v>1.2815515655446</v>
      </c>
      <c r="I487" s="23" t="n">
        <v>1247.2</v>
      </c>
      <c r="J487" s="23" t="n">
        <f aca="false">IFERROR(INDEX(ABC_XYZ!$R$5:$R$494,MATCH(A487,ABC_XYZ!$A$5:$A$494,0)),I487*Parametros!$B$13)</f>
        <v>357.444070167049</v>
      </c>
      <c r="K487" s="27" t="n">
        <f aca="false">IFERROR(VLOOKUP(C487,Parametros!$A$36:$B$66,2,FALSE()),Parametros!$B$12)</f>
        <v>1</v>
      </c>
      <c r="L487" s="23" t="n">
        <f aca="false">H487*J487*SQRT(K487)</f>
        <v>458.083007717216</v>
      </c>
      <c r="M487" s="29" t="n">
        <v>250</v>
      </c>
      <c r="N487" s="24" t="n">
        <v>0.332</v>
      </c>
      <c r="O487" s="3" t="s">
        <v>780</v>
      </c>
      <c r="P487" s="30" t="n">
        <f aca="false">IF(AND(ISNUMBER(M487),ISNUMBER(N487)),M487*N487/7,"")</f>
        <v>11.8571428571429</v>
      </c>
      <c r="Q487" s="23" t="n">
        <f aca="false">IF(ISNUMBER(P487),I487*P487,"")</f>
        <v>14788.2285714286</v>
      </c>
      <c r="R487" s="23" t="n">
        <f aca="false">IF(ISNUMBER(Q487),MAX(0,MIN(L487,Q487-I487*K487)),L487)</f>
        <v>458.083007717216</v>
      </c>
      <c r="S487" s="23" t="n">
        <f aca="false">R487+I487*K487</f>
        <v>1705.28300771722</v>
      </c>
      <c r="T487" s="23" t="n">
        <v>9868.5</v>
      </c>
      <c r="U487" s="23" t="n">
        <v>0</v>
      </c>
      <c r="V487" s="23" t="n">
        <f aca="false">T487+U487</f>
        <v>9868.5</v>
      </c>
      <c r="W487" s="30" t="n">
        <f aca="false">IF(I487&gt;0,V487/I487,"")</f>
        <v>7.91252405388069</v>
      </c>
      <c r="X487" s="3" t="str">
        <f aca="false">IF(I487&lt;=0,"SIN FCST",IF(V487&lt;R487,"BAJO SS",IF(T487&lt;R487,"BAJO SS (XLIB CUBRE)",IF(V487&lt;S487,"BAJO P.REORDEN",IF(AND(ISNUMBER(Q487),V487&gt;Q487),"SOBRE MAX VENDIBLE","OK")))))</f>
        <v>OK</v>
      </c>
    </row>
    <row r="488" customFormat="false" ht="15" hidden="false" customHeight="false" outlineLevel="0" collapsed="false">
      <c r="A488" s="3" t="n">
        <v>30000815</v>
      </c>
      <c r="B488" s="3" t="s">
        <v>1080</v>
      </c>
      <c r="C488" s="3" t="s">
        <v>133</v>
      </c>
      <c r="D488" s="3" t="s">
        <v>758</v>
      </c>
      <c r="E488" s="3"/>
      <c r="F488" s="3" t="str">
        <f aca="false">IFERROR(INDEX(ABC_XYZ!$L$5:$L$494,MATCH(A488,ABC_XYZ!$A$5:$A$494,0)),"SIN HIST")</f>
        <v>SIN HIST</v>
      </c>
      <c r="G488" s="24" t="n">
        <f aca="false">IF(LEFT(F488,1)="A",Parametros!$B$8,IF(LEFT(F488,1)="B",Parametros!$B$9,IF(LEFT(F488,1)="C",Parametros!$B$10,Parametros!$B$11)))</f>
        <v>0.95</v>
      </c>
      <c r="H488" s="27" t="n">
        <f aca="false">NORMSINV(G488)</f>
        <v>1.64485362695147</v>
      </c>
      <c r="I488" s="23" t="n">
        <v>1243.4</v>
      </c>
      <c r="J488" s="23" t="n">
        <f aca="false">IFERROR(INDEX(ABC_XYZ!$R$5:$R$494,MATCH(A488,ABC_XYZ!$A$5:$A$494,0)),I488*Parametros!$B$13)</f>
        <v>373.02</v>
      </c>
      <c r="K488" s="27" t="n">
        <f aca="false">IFERROR(VLOOKUP(C488,Parametros!$A$36:$B$66,2,FALSE()),Parametros!$B$12)</f>
        <v>1</v>
      </c>
      <c r="L488" s="23" t="n">
        <f aca="false">H488*J488*SQRT(K488)</f>
        <v>613.563299925438</v>
      </c>
      <c r="M488" s="29"/>
      <c r="N488" s="24"/>
      <c r="O488" s="3"/>
      <c r="P488" s="30" t="str">
        <f aca="false">IF(AND(ISNUMBER(M488),ISNUMBER(N488)),M488*N488/7,"")</f>
        <v/>
      </c>
      <c r="Q488" s="23" t="str">
        <f aca="false">IF(ISNUMBER(P488),I488*P488,"")</f>
        <v/>
      </c>
      <c r="R488" s="23" t="n">
        <f aca="false">IF(ISNUMBER(Q488),MAX(0,MIN(L488,Q488-I488*K488)),L488)</f>
        <v>613.563299925438</v>
      </c>
      <c r="S488" s="23" t="n">
        <f aca="false">R488+I488*K488</f>
        <v>1856.96329992544</v>
      </c>
      <c r="T488" s="23" t="n">
        <v>14860</v>
      </c>
      <c r="U488" s="23" t="n">
        <v>0</v>
      </c>
      <c r="V488" s="23" t="n">
        <f aca="false">T488+U488</f>
        <v>14860</v>
      </c>
      <c r="W488" s="30" t="n">
        <f aca="false">IF(I488&gt;0,V488/I488,"")</f>
        <v>11.9511018175969</v>
      </c>
      <c r="X488" s="3" t="str">
        <f aca="false">IF(I488&lt;=0,"SIN FCST",IF(V488&lt;R488,"BAJO SS",IF(T488&lt;R488,"BAJO SS (XLIB CUBRE)",IF(V488&lt;S488,"BAJO P.REORDEN",IF(AND(ISNUMBER(Q488),V488&gt;Q488),"SOBRE MAX VENDIBLE","OK")))))</f>
        <v>OK</v>
      </c>
    </row>
    <row r="489" customFormat="false" ht="15" hidden="false" customHeight="false" outlineLevel="0" collapsed="false">
      <c r="A489" s="3" t="n">
        <v>30001708</v>
      </c>
      <c r="B489" s="3" t="s">
        <v>1081</v>
      </c>
      <c r="C489" s="3" t="s">
        <v>155</v>
      </c>
      <c r="D489" s="3" t="s">
        <v>761</v>
      </c>
      <c r="E489" s="3" t="s">
        <v>762</v>
      </c>
      <c r="F489" s="3" t="str">
        <f aca="false">IFERROR(INDEX(ABC_XYZ!$L$5:$L$494,MATCH(A489,ABC_XYZ!$A$5:$A$494,0)),"SIN HIST")</f>
        <v>CX</v>
      </c>
      <c r="G489" s="24" t="n">
        <f aca="false">IF(LEFT(F489,1)="A",Parametros!$B$8,IF(LEFT(F489,1)="B",Parametros!$B$9,IF(LEFT(F489,1)="C",Parametros!$B$10,Parametros!$B$11)))</f>
        <v>0.9</v>
      </c>
      <c r="H489" s="27" t="n">
        <f aca="false">NORMSINV(G489)</f>
        <v>1.2815515655446</v>
      </c>
      <c r="I489" s="23" t="n">
        <v>1239.9</v>
      </c>
      <c r="J489" s="23" t="n">
        <f aca="false">IFERROR(INDEX(ABC_XYZ!$R$5:$R$494,MATCH(A489,ABC_XYZ!$A$5:$A$494,0)),I489*Parametros!$B$13)</f>
        <v>585.844719447709</v>
      </c>
      <c r="K489" s="27" t="n">
        <f aca="false">IFERROR(VLOOKUP(C489,Parametros!$A$36:$B$66,2,FALSE()),Parametros!$B$12)</f>
        <v>1</v>
      </c>
      <c r="L489" s="23" t="n">
        <f aca="false">H489*J489*SQRT(K489)</f>
        <v>750.790217374249</v>
      </c>
      <c r="M489" s="29" t="n">
        <v>71</v>
      </c>
      <c r="N489" s="24" t="n">
        <v>0.295774647887324</v>
      </c>
      <c r="O489" s="3" t="s">
        <v>774</v>
      </c>
      <c r="P489" s="30" t="n">
        <f aca="false">IF(AND(ISNUMBER(M489),ISNUMBER(N489)),M489*N489/7,"")</f>
        <v>3</v>
      </c>
      <c r="Q489" s="23" t="n">
        <f aca="false">IF(ISNUMBER(P489),I489*P489,"")</f>
        <v>3719.7</v>
      </c>
      <c r="R489" s="23" t="n">
        <f aca="false">IF(ISNUMBER(Q489),MAX(0,MIN(L489,Q489-I489*K489)),L489)</f>
        <v>750.790217374249</v>
      </c>
      <c r="S489" s="23" t="n">
        <f aca="false">R489+I489*K489</f>
        <v>1990.69021737425</v>
      </c>
      <c r="T489" s="23" t="n">
        <v>2120.2</v>
      </c>
      <c r="U489" s="23" t="n">
        <v>0</v>
      </c>
      <c r="V489" s="23" t="n">
        <f aca="false">T489+U489</f>
        <v>2120.2</v>
      </c>
      <c r="W489" s="30" t="n">
        <f aca="false">IF(I489&gt;0,V489/I489,"")</f>
        <v>1.70997661101702</v>
      </c>
      <c r="X489" s="3" t="str">
        <f aca="false">IF(I489&lt;=0,"SIN FCST",IF(V489&lt;R489,"BAJO SS",IF(T489&lt;R489,"BAJO SS (XLIB CUBRE)",IF(V489&lt;S489,"BAJO P.REORDEN",IF(AND(ISNUMBER(Q489),V489&gt;Q489),"SOBRE MAX VENDIBLE","OK")))))</f>
        <v>OK</v>
      </c>
    </row>
    <row r="490" customFormat="false" ht="15" hidden="false" customHeight="false" outlineLevel="0" collapsed="false">
      <c r="A490" s="3" t="n">
        <v>30000867</v>
      </c>
      <c r="B490" s="3" t="s">
        <v>1082</v>
      </c>
      <c r="C490" s="3" t="s">
        <v>133</v>
      </c>
      <c r="D490" s="3" t="s">
        <v>758</v>
      </c>
      <c r="E490" s="3"/>
      <c r="F490" s="3" t="str">
        <f aca="false">IFERROR(INDEX(ABC_XYZ!$L$5:$L$494,MATCH(A490,ABC_XYZ!$A$5:$A$494,0)),"SIN HIST")</f>
        <v>SIN HIST</v>
      </c>
      <c r="G490" s="24" t="n">
        <f aca="false">IF(LEFT(F490,1)="A",Parametros!$B$8,IF(LEFT(F490,1)="B",Parametros!$B$9,IF(LEFT(F490,1)="C",Parametros!$B$10,Parametros!$B$11)))</f>
        <v>0.95</v>
      </c>
      <c r="H490" s="27" t="n">
        <f aca="false">NORMSINV(G490)</f>
        <v>1.64485362695147</v>
      </c>
      <c r="I490" s="23" t="n">
        <v>1219.8</v>
      </c>
      <c r="J490" s="23" t="n">
        <f aca="false">IFERROR(INDEX(ABC_XYZ!$R$5:$R$494,MATCH(A490,ABC_XYZ!$A$5:$A$494,0)),I490*Parametros!$B$13)</f>
        <v>365.94</v>
      </c>
      <c r="K490" s="27" t="n">
        <f aca="false">IFERROR(VLOOKUP(C490,Parametros!$A$36:$B$66,2,FALSE()),Parametros!$B$12)</f>
        <v>1</v>
      </c>
      <c r="L490" s="23" t="n">
        <f aca="false">H490*J490*SQRT(K490)</f>
        <v>601.917736246622</v>
      </c>
      <c r="M490" s="29"/>
      <c r="N490" s="24"/>
      <c r="O490" s="3"/>
      <c r="P490" s="30" t="str">
        <f aca="false">IF(AND(ISNUMBER(M490),ISNUMBER(N490)),M490*N490/7,"")</f>
        <v/>
      </c>
      <c r="Q490" s="23" t="str">
        <f aca="false">IF(ISNUMBER(P490),I490*P490,"")</f>
        <v/>
      </c>
      <c r="R490" s="23" t="n">
        <f aca="false">IF(ISNUMBER(Q490),MAX(0,MIN(L490,Q490-I490*K490)),L490)</f>
        <v>601.917736246622</v>
      </c>
      <c r="S490" s="23" t="n">
        <f aca="false">R490+I490*K490</f>
        <v>1821.71773624662</v>
      </c>
      <c r="T490" s="23" t="n">
        <v>2317.5</v>
      </c>
      <c r="U490" s="23" t="n">
        <v>0</v>
      </c>
      <c r="V490" s="23" t="n">
        <f aca="false">T490+U490</f>
        <v>2317.5</v>
      </c>
      <c r="W490" s="30" t="n">
        <f aca="false">IF(I490&gt;0,V490/I490,"")</f>
        <v>1.89990162321692</v>
      </c>
      <c r="X490" s="3" t="str">
        <f aca="false">IF(I490&lt;=0,"SIN FCST",IF(V490&lt;R490,"BAJO SS",IF(T490&lt;R490,"BAJO SS (XLIB CUBRE)",IF(V490&lt;S490,"BAJO P.REORDEN",IF(AND(ISNUMBER(Q490),V490&gt;Q490),"SOBRE MAX VENDIBLE","OK")))))</f>
        <v>OK</v>
      </c>
    </row>
    <row r="491" customFormat="false" ht="15" hidden="false" customHeight="false" outlineLevel="0" collapsed="false">
      <c r="A491" s="3" t="n">
        <v>30000628</v>
      </c>
      <c r="B491" s="3" t="s">
        <v>1083</v>
      </c>
      <c r="C491" s="3" t="s">
        <v>129</v>
      </c>
      <c r="D491" s="3" t="s">
        <v>753</v>
      </c>
      <c r="E491" s="3" t="s">
        <v>745</v>
      </c>
      <c r="F491" s="3" t="str">
        <f aca="false">IFERROR(INDEX(ABC_XYZ!$L$5:$L$494,MATCH(A491,ABC_XYZ!$A$5:$A$494,0)),"SIN HIST")</f>
        <v>CX</v>
      </c>
      <c r="G491" s="24" t="n">
        <f aca="false">IF(LEFT(F491,1)="A",Parametros!$B$8,IF(LEFT(F491,1)="B",Parametros!$B$9,IF(LEFT(F491,1)="C",Parametros!$B$10,Parametros!$B$11)))</f>
        <v>0.9</v>
      </c>
      <c r="H491" s="27" t="n">
        <f aca="false">NORMSINV(G491)</f>
        <v>1.2815515655446</v>
      </c>
      <c r="I491" s="23" t="n">
        <v>1215</v>
      </c>
      <c r="J491" s="23" t="n">
        <f aca="false">IFERROR(INDEX(ABC_XYZ!$R$5:$R$494,MATCH(A491,ABC_XYZ!$A$5:$A$494,0)),I491*Parametros!$B$13)</f>
        <v>670.115080266069</v>
      </c>
      <c r="K491" s="27" t="n">
        <f aca="false">IFERROR(VLOOKUP(C491,Parametros!$A$36:$B$66,2,FALSE()),Parametros!$B$12)</f>
        <v>1</v>
      </c>
      <c r="L491" s="23" t="n">
        <f aca="false">H491*J491*SQRT(K491)</f>
        <v>858.787030210027</v>
      </c>
      <c r="M491" s="29" t="n">
        <v>730</v>
      </c>
      <c r="N491" s="24" t="n">
        <v>0.197260273972603</v>
      </c>
      <c r="O491" s="3" t="s">
        <v>746</v>
      </c>
      <c r="P491" s="30" t="n">
        <f aca="false">IF(AND(ISNUMBER(M491),ISNUMBER(N491)),M491*N491/7,"")</f>
        <v>20.5714285714286</v>
      </c>
      <c r="Q491" s="23" t="n">
        <f aca="false">IF(ISNUMBER(P491),I491*P491,"")</f>
        <v>24994.2857142857</v>
      </c>
      <c r="R491" s="23" t="n">
        <f aca="false">IF(ISNUMBER(Q491),MAX(0,MIN(L491,Q491-I491*K491)),L491)</f>
        <v>858.787030210027</v>
      </c>
      <c r="S491" s="23" t="n">
        <f aca="false">R491+I491*K491</f>
        <v>2073.78703021003</v>
      </c>
      <c r="T491" s="23" t="n">
        <v>18251.2</v>
      </c>
      <c r="U491" s="23" t="n">
        <v>10009.6</v>
      </c>
      <c r="V491" s="23" t="n">
        <f aca="false">T491+U491</f>
        <v>28260.8</v>
      </c>
      <c r="W491" s="30" t="n">
        <f aca="false">IF(I491&gt;0,V491/I491,"")</f>
        <v>23.2599176954733</v>
      </c>
      <c r="X491" s="3" t="str">
        <f aca="false">IF(I491&lt;=0,"SIN FCST",IF(V491&lt;R491,"BAJO SS",IF(T491&lt;R491,"BAJO SS (XLIB CUBRE)",IF(V491&lt;S491,"BAJO P.REORDEN",IF(AND(ISNUMBER(Q491),V491&gt;Q491),"SOBRE MAX VENDIBLE","OK")))))</f>
        <v>SOBRE MAX VENDIBLE</v>
      </c>
    </row>
    <row r="492" customFormat="false" ht="15" hidden="false" customHeight="false" outlineLevel="0" collapsed="false">
      <c r="A492" s="3" t="n">
        <v>30002253</v>
      </c>
      <c r="B492" s="3" t="s">
        <v>555</v>
      </c>
      <c r="C492" s="3" t="s">
        <v>143</v>
      </c>
      <c r="D492" s="3" t="s">
        <v>750</v>
      </c>
      <c r="E492" s="3"/>
      <c r="F492" s="3" t="str">
        <f aca="false">IFERROR(INDEX(ABC_XYZ!$L$5:$L$494,MATCH(A492,ABC_XYZ!$A$5:$A$494,0)),"SIN HIST")</f>
        <v>CX</v>
      </c>
      <c r="G492" s="24" t="n">
        <f aca="false">IF(LEFT(F492,1)="A",Parametros!$B$8,IF(LEFT(F492,1)="B",Parametros!$B$9,IF(LEFT(F492,1)="C",Parametros!$B$10,Parametros!$B$11)))</f>
        <v>0.9</v>
      </c>
      <c r="H492" s="27" t="n">
        <f aca="false">NORMSINV(G492)</f>
        <v>1.2815515655446</v>
      </c>
      <c r="I492" s="23" t="n">
        <v>1200</v>
      </c>
      <c r="J492" s="23" t="n">
        <f aca="false">IFERROR(INDEX(ABC_XYZ!$R$5:$R$494,MATCH(A492,ABC_XYZ!$A$5:$A$494,0)),I492*Parametros!$B$13)</f>
        <v>516.38970268035</v>
      </c>
      <c r="K492" s="27" t="n">
        <f aca="false">IFERROR(VLOOKUP(C492,Parametros!$A$36:$B$66,2,FALSE()),Parametros!$B$12)</f>
        <v>1</v>
      </c>
      <c r="L492" s="23" t="n">
        <f aca="false">H492*J492*SQRT(K492)</f>
        <v>661.780031901113</v>
      </c>
      <c r="M492" s="29"/>
      <c r="N492" s="24"/>
      <c r="O492" s="3"/>
      <c r="P492" s="30" t="str">
        <f aca="false">IF(AND(ISNUMBER(M492),ISNUMBER(N492)),M492*N492/7,"")</f>
        <v/>
      </c>
      <c r="Q492" s="23" t="str">
        <f aca="false">IF(ISNUMBER(P492),I492*P492,"")</f>
        <v/>
      </c>
      <c r="R492" s="23" t="n">
        <f aca="false">IF(ISNUMBER(Q492),MAX(0,MIN(L492,Q492-I492*K492)),L492)</f>
        <v>661.780031901113</v>
      </c>
      <c r="S492" s="23" t="n">
        <f aca="false">R492+I492*K492</f>
        <v>1861.78003190111</v>
      </c>
      <c r="T492" s="23" t="n">
        <v>4314.6</v>
      </c>
      <c r="U492" s="23" t="n">
        <v>0</v>
      </c>
      <c r="V492" s="23" t="n">
        <f aca="false">T492+U492</f>
        <v>4314.6</v>
      </c>
      <c r="W492" s="30" t="n">
        <f aca="false">IF(I492&gt;0,V492/I492,"")</f>
        <v>3.5955</v>
      </c>
      <c r="X492" s="3" t="str">
        <f aca="false">IF(I492&lt;=0,"SIN FCST",IF(V492&lt;R492,"BAJO SS",IF(T492&lt;R492,"BAJO SS (XLIB CUBRE)",IF(V492&lt;S492,"BAJO P.REORDEN",IF(AND(ISNUMBER(Q492),V492&gt;Q492),"SOBRE MAX VENDIBLE","OK")))))</f>
        <v>OK</v>
      </c>
    </row>
    <row r="493" customFormat="false" ht="15" hidden="false" customHeight="false" outlineLevel="0" collapsed="false">
      <c r="A493" s="3" t="n">
        <v>30000090</v>
      </c>
      <c r="B493" s="3" t="s">
        <v>518</v>
      </c>
      <c r="C493" s="3" t="s">
        <v>141</v>
      </c>
      <c r="D493" s="3" t="s">
        <v>750</v>
      </c>
      <c r="E493" s="3" t="s">
        <v>762</v>
      </c>
      <c r="F493" s="3" t="str">
        <f aca="false">IFERROR(INDEX(ABC_XYZ!$L$5:$L$494,MATCH(A493,ABC_XYZ!$A$5:$A$494,0)),"SIN HIST")</f>
        <v>CX</v>
      </c>
      <c r="G493" s="24" t="n">
        <f aca="false">IF(LEFT(F493,1)="A",Parametros!$B$8,IF(LEFT(F493,1)="B",Parametros!$B$9,IF(LEFT(F493,1)="C",Parametros!$B$10,Parametros!$B$11)))</f>
        <v>0.9</v>
      </c>
      <c r="H493" s="27" t="n">
        <f aca="false">NORMSINV(G493)</f>
        <v>1.2815515655446</v>
      </c>
      <c r="I493" s="23" t="n">
        <v>1200</v>
      </c>
      <c r="J493" s="23" t="n">
        <f aca="false">IFERROR(INDEX(ABC_XYZ!$R$5:$R$494,MATCH(A493,ABC_XYZ!$A$5:$A$494,0)),I493*Parametros!$B$13)</f>
        <v>757.956779121246</v>
      </c>
      <c r="K493" s="27" t="n">
        <f aca="false">IFERROR(VLOOKUP(C493,Parametros!$A$36:$B$66,2,FALSE()),Parametros!$B$12)</f>
        <v>1</v>
      </c>
      <c r="L493" s="23" t="n">
        <f aca="false">H493*J493*SQRT(K493)</f>
        <v>971.360696897976</v>
      </c>
      <c r="M493" s="29" t="n">
        <v>184</v>
      </c>
      <c r="N493" s="24" t="n">
        <v>0.217391304347826</v>
      </c>
      <c r="O493" s="3" t="s">
        <v>754</v>
      </c>
      <c r="P493" s="30" t="n">
        <f aca="false">IF(AND(ISNUMBER(M493),ISNUMBER(N493)),M493*N493/7,"")</f>
        <v>5.71428571428572</v>
      </c>
      <c r="Q493" s="23" t="n">
        <f aca="false">IF(ISNUMBER(P493),I493*P493,"")</f>
        <v>6857.14285714286</v>
      </c>
      <c r="R493" s="23" t="n">
        <f aca="false">IF(ISNUMBER(Q493),MAX(0,MIN(L493,Q493-I493*K493)),L493)</f>
        <v>971.360696897976</v>
      </c>
      <c r="S493" s="23" t="n">
        <f aca="false">R493+I493*K493</f>
        <v>2171.36069689798</v>
      </c>
      <c r="T493" s="23" t="n">
        <v>6033.6</v>
      </c>
      <c r="U493" s="23" t="n">
        <v>0</v>
      </c>
      <c r="V493" s="23" t="n">
        <f aca="false">T493+U493</f>
        <v>6033.6</v>
      </c>
      <c r="W493" s="30" t="n">
        <f aca="false">IF(I493&gt;0,V493/I493,"")</f>
        <v>5.028</v>
      </c>
      <c r="X493" s="3" t="str">
        <f aca="false">IF(I493&lt;=0,"SIN FCST",IF(V493&lt;R493,"BAJO SS",IF(T493&lt;R493,"BAJO SS (XLIB CUBRE)",IF(V493&lt;S493,"BAJO P.REORDEN",IF(AND(ISNUMBER(Q493),V493&gt;Q493),"SOBRE MAX VENDIBLE","OK")))))</f>
        <v>OK</v>
      </c>
    </row>
    <row r="494" customFormat="false" ht="15" hidden="false" customHeight="false" outlineLevel="0" collapsed="false">
      <c r="A494" s="3" t="n">
        <v>30002176</v>
      </c>
      <c r="B494" s="3" t="s">
        <v>1084</v>
      </c>
      <c r="C494" s="3" t="s">
        <v>129</v>
      </c>
      <c r="D494" s="3" t="s">
        <v>753</v>
      </c>
      <c r="E494" s="3" t="s">
        <v>745</v>
      </c>
      <c r="F494" s="3" t="str">
        <f aca="false">IFERROR(INDEX(ABC_XYZ!$L$5:$L$494,MATCH(A494,ABC_XYZ!$A$5:$A$494,0)),"SIN HIST")</f>
        <v>CY</v>
      </c>
      <c r="G494" s="24" t="n">
        <f aca="false">IF(LEFT(F494,1)="A",Parametros!$B$8,IF(LEFT(F494,1)="B",Parametros!$B$9,IF(LEFT(F494,1)="C",Parametros!$B$10,Parametros!$B$11)))</f>
        <v>0.9</v>
      </c>
      <c r="H494" s="27" t="n">
        <f aca="false">NORMSINV(G494)</f>
        <v>1.2815515655446</v>
      </c>
      <c r="I494" s="23" t="n">
        <v>1199.8</v>
      </c>
      <c r="J494" s="23" t="n">
        <f aca="false">IFERROR(INDEX(ABC_XYZ!$R$5:$R$494,MATCH(A494,ABC_XYZ!$A$5:$A$494,0)),I494*Parametros!$B$13)</f>
        <v>982.778414632041</v>
      </c>
      <c r="K494" s="27" t="n">
        <f aca="false">IFERROR(VLOOKUP(C494,Parametros!$A$36:$B$66,2,FALSE()),Parametros!$B$12)</f>
        <v>1</v>
      </c>
      <c r="L494" s="23" t="n">
        <f aca="false">H494*J494*SQRT(K494)</f>
        <v>1259.48121585513</v>
      </c>
      <c r="M494" s="29" t="n">
        <v>365</v>
      </c>
      <c r="N494" s="24" t="n">
        <v>0.273972602739726</v>
      </c>
      <c r="O494" s="3" t="s">
        <v>746</v>
      </c>
      <c r="P494" s="30" t="n">
        <f aca="false">IF(AND(ISNUMBER(M494),ISNUMBER(N494)),M494*N494/7,"")</f>
        <v>14.2857142857143</v>
      </c>
      <c r="Q494" s="23" t="n">
        <f aca="false">IF(ISNUMBER(P494),I494*P494,"")</f>
        <v>17140</v>
      </c>
      <c r="R494" s="23" t="n">
        <f aca="false">IF(ISNUMBER(Q494),MAX(0,MIN(L494,Q494-I494*K494)),L494)</f>
        <v>1259.48121585513</v>
      </c>
      <c r="S494" s="23" t="n">
        <f aca="false">R494+I494*K494</f>
        <v>2459.28121585513</v>
      </c>
      <c r="T494" s="23" t="n">
        <v>20027.5</v>
      </c>
      <c r="U494" s="23" t="n">
        <v>0</v>
      </c>
      <c r="V494" s="23" t="n">
        <f aca="false">T494+U494</f>
        <v>20027.5</v>
      </c>
      <c r="W494" s="30" t="n">
        <f aca="false">IF(I494&gt;0,V494/I494,"")</f>
        <v>16.6923653942324</v>
      </c>
      <c r="X494" s="3" t="str">
        <f aca="false">IF(I494&lt;=0,"SIN FCST",IF(V494&lt;R494,"BAJO SS",IF(T494&lt;R494,"BAJO SS (XLIB CUBRE)",IF(V494&lt;S494,"BAJO P.REORDEN",IF(AND(ISNUMBER(Q494),V494&gt;Q494),"SOBRE MAX VENDIBLE","OK")))))</f>
        <v>SOBRE MAX VENDIBLE</v>
      </c>
    </row>
    <row r="495" customFormat="false" ht="15" hidden="false" customHeight="false" outlineLevel="0" collapsed="false">
      <c r="A495" s="3" t="n">
        <v>30000865</v>
      </c>
      <c r="B495" s="3" t="s">
        <v>1085</v>
      </c>
      <c r="C495" s="3" t="s">
        <v>133</v>
      </c>
      <c r="D495" s="3" t="s">
        <v>758</v>
      </c>
      <c r="E495" s="3"/>
      <c r="F495" s="3" t="str">
        <f aca="false">IFERROR(INDEX(ABC_XYZ!$L$5:$L$494,MATCH(A495,ABC_XYZ!$A$5:$A$494,0)),"SIN HIST")</f>
        <v>SIN HIST</v>
      </c>
      <c r="G495" s="24" t="n">
        <f aca="false">IF(LEFT(F495,1)="A",Parametros!$B$8,IF(LEFT(F495,1)="B",Parametros!$B$9,IF(LEFT(F495,1)="C",Parametros!$B$10,Parametros!$B$11)))</f>
        <v>0.95</v>
      </c>
      <c r="H495" s="27" t="n">
        <f aca="false">NORMSINV(G495)</f>
        <v>1.64485362695147</v>
      </c>
      <c r="I495" s="23" t="n">
        <v>1186.2</v>
      </c>
      <c r="J495" s="23" t="n">
        <f aca="false">IFERROR(INDEX(ABC_XYZ!$R$5:$R$494,MATCH(A495,ABC_XYZ!$A$5:$A$494,0)),I495*Parametros!$B$13)</f>
        <v>355.86</v>
      </c>
      <c r="K495" s="27" t="n">
        <f aca="false">IFERROR(VLOOKUP(C495,Parametros!$A$36:$B$66,2,FALSE()),Parametros!$B$12)</f>
        <v>1</v>
      </c>
      <c r="L495" s="23" t="n">
        <f aca="false">H495*J495*SQRT(K495)</f>
        <v>585.337611686951</v>
      </c>
      <c r="M495" s="29"/>
      <c r="N495" s="24"/>
      <c r="O495" s="3"/>
      <c r="P495" s="30" t="str">
        <f aca="false">IF(AND(ISNUMBER(M495),ISNUMBER(N495)),M495*N495/7,"")</f>
        <v/>
      </c>
      <c r="Q495" s="23" t="str">
        <f aca="false">IF(ISNUMBER(P495),I495*P495,"")</f>
        <v/>
      </c>
      <c r="R495" s="23" t="n">
        <f aca="false">IF(ISNUMBER(Q495),MAX(0,MIN(L495,Q495-I495*K495)),L495)</f>
        <v>585.337611686951</v>
      </c>
      <c r="S495" s="23" t="n">
        <f aca="false">R495+I495*K495</f>
        <v>1771.53761168695</v>
      </c>
      <c r="T495" s="23" t="n">
        <v>0</v>
      </c>
      <c r="U495" s="23" t="n">
        <v>537.6</v>
      </c>
      <c r="V495" s="23" t="n">
        <f aca="false">T495+U495</f>
        <v>537.6</v>
      </c>
      <c r="W495" s="30" t="n">
        <f aca="false">IF(I495&gt;0,V495/I495,"")</f>
        <v>0.453211937278705</v>
      </c>
      <c r="X495" s="3" t="str">
        <f aca="false">IF(I495&lt;=0,"SIN FCST",IF(V495&lt;R495,"BAJO SS",IF(T495&lt;R495,"BAJO SS (XLIB CUBRE)",IF(V495&lt;S495,"BAJO P.REORDEN",IF(AND(ISNUMBER(Q495),V495&gt;Q495),"SOBRE MAX VENDIBLE","OK")))))</f>
        <v>BAJO SS</v>
      </c>
    </row>
    <row r="496" customFormat="false" ht="15" hidden="false" customHeight="false" outlineLevel="0" collapsed="false">
      <c r="A496" s="3" t="n">
        <v>30000612</v>
      </c>
      <c r="B496" s="3" t="s">
        <v>580</v>
      </c>
      <c r="C496" s="3" t="s">
        <v>129</v>
      </c>
      <c r="D496" s="3" t="s">
        <v>769</v>
      </c>
      <c r="E496" s="3" t="s">
        <v>745</v>
      </c>
      <c r="F496" s="3" t="str">
        <f aca="false">IFERROR(INDEX(ABC_XYZ!$L$5:$L$494,MATCH(A496,ABC_XYZ!$A$5:$A$494,0)),"SIN HIST")</f>
        <v>CY</v>
      </c>
      <c r="G496" s="24" t="n">
        <f aca="false">IF(LEFT(F496,1)="A",Parametros!$B$8,IF(LEFT(F496,1)="B",Parametros!$B$9,IF(LEFT(F496,1)="C",Parametros!$B$10,Parametros!$B$11)))</f>
        <v>0.9</v>
      </c>
      <c r="H496" s="27" t="n">
        <f aca="false">NORMSINV(G496)</f>
        <v>1.2815515655446</v>
      </c>
      <c r="I496" s="23" t="n">
        <v>1183.8</v>
      </c>
      <c r="J496" s="23" t="n">
        <f aca="false">IFERROR(INDEX(ABC_XYZ!$R$5:$R$494,MATCH(A496,ABC_XYZ!$A$5:$A$494,0)),I496*Parametros!$B$13)</f>
        <v>984.539608141795</v>
      </c>
      <c r="K496" s="27" t="n">
        <f aca="false">IFERROR(VLOOKUP(C496,Parametros!$A$36:$B$66,2,FALSE()),Parametros!$B$12)</f>
        <v>1</v>
      </c>
      <c r="L496" s="23" t="n">
        <f aca="false">H496*J496*SQRT(K496)</f>
        <v>1261.73827615479</v>
      </c>
      <c r="M496" s="29" t="n">
        <v>1095</v>
      </c>
      <c r="N496" s="24" t="n">
        <v>0.480365296803653</v>
      </c>
      <c r="O496" s="3" t="s">
        <v>763</v>
      </c>
      <c r="P496" s="30" t="n">
        <f aca="false">IF(AND(ISNUMBER(M496),ISNUMBER(N496)),M496*N496/7,"")</f>
        <v>75.1428571428571</v>
      </c>
      <c r="Q496" s="23" t="n">
        <f aca="false">IF(ISNUMBER(P496),I496*P496,"")</f>
        <v>88954.1142857143</v>
      </c>
      <c r="R496" s="23" t="n">
        <f aca="false">IF(ISNUMBER(Q496),MAX(0,MIN(L496,Q496-I496*K496)),L496)</f>
        <v>1261.73827615479</v>
      </c>
      <c r="S496" s="23" t="n">
        <f aca="false">R496+I496*K496</f>
        <v>2445.53827615479</v>
      </c>
      <c r="T496" s="23" t="n">
        <v>50390.4</v>
      </c>
      <c r="U496" s="23" t="n">
        <v>0</v>
      </c>
      <c r="V496" s="23" t="n">
        <f aca="false">T496+U496</f>
        <v>50390.4</v>
      </c>
      <c r="W496" s="30" t="n">
        <f aca="false">IF(I496&gt;0,V496/I496,"")</f>
        <v>42.5666497719209</v>
      </c>
      <c r="X496" s="3" t="str">
        <f aca="false">IF(I496&lt;=0,"SIN FCST",IF(V496&lt;R496,"BAJO SS",IF(T496&lt;R496,"BAJO SS (XLIB CUBRE)",IF(V496&lt;S496,"BAJO P.REORDEN",IF(AND(ISNUMBER(Q496),V496&gt;Q496),"SOBRE MAX VENDIBLE","OK")))))</f>
        <v>OK</v>
      </c>
    </row>
    <row r="497" customFormat="false" ht="15" hidden="false" customHeight="false" outlineLevel="0" collapsed="false">
      <c r="A497" s="3" t="n">
        <v>30002367</v>
      </c>
      <c r="B497" s="3" t="s">
        <v>1086</v>
      </c>
      <c r="C497" s="3" t="s">
        <v>133</v>
      </c>
      <c r="D497" s="3" t="s">
        <v>758</v>
      </c>
      <c r="E497" s="3"/>
      <c r="F497" s="3" t="str">
        <f aca="false">IFERROR(INDEX(ABC_XYZ!$L$5:$L$494,MATCH(A497,ABC_XYZ!$A$5:$A$494,0)),"SIN HIST")</f>
        <v>SIN HIST</v>
      </c>
      <c r="G497" s="24" t="n">
        <f aca="false">IF(LEFT(F497,1)="A",Parametros!$B$8,IF(LEFT(F497,1)="B",Parametros!$B$9,IF(LEFT(F497,1)="C",Parametros!$B$10,Parametros!$B$11)))</f>
        <v>0.95</v>
      </c>
      <c r="H497" s="27" t="n">
        <f aca="false">NORMSINV(G497)</f>
        <v>1.64485362695147</v>
      </c>
      <c r="I497" s="23" t="n">
        <v>1183.7</v>
      </c>
      <c r="J497" s="23" t="n">
        <f aca="false">IFERROR(INDEX(ABC_XYZ!$R$5:$R$494,MATCH(A497,ABC_XYZ!$A$5:$A$494,0)),I497*Parametros!$B$13)</f>
        <v>355.11</v>
      </c>
      <c r="K497" s="27" t="n">
        <f aca="false">IFERROR(VLOOKUP(C497,Parametros!$A$36:$B$66,2,FALSE()),Parametros!$B$12)</f>
        <v>1</v>
      </c>
      <c r="L497" s="23" t="n">
        <f aca="false">H497*J497*SQRT(K497)</f>
        <v>584.103971466737</v>
      </c>
      <c r="M497" s="29"/>
      <c r="N497" s="24"/>
      <c r="O497" s="3"/>
      <c r="P497" s="30" t="str">
        <f aca="false">IF(AND(ISNUMBER(M497),ISNUMBER(N497)),M497*N497/7,"")</f>
        <v/>
      </c>
      <c r="Q497" s="23" t="str">
        <f aca="false">IF(ISNUMBER(P497),I497*P497,"")</f>
        <v/>
      </c>
      <c r="R497" s="23" t="n">
        <f aca="false">IF(ISNUMBER(Q497),MAX(0,MIN(L497,Q497-I497*K497)),L497)</f>
        <v>584.103971466737</v>
      </c>
      <c r="S497" s="23" t="n">
        <f aca="false">R497+I497*K497</f>
        <v>1767.80397146674</v>
      </c>
      <c r="T497" s="23" t="n">
        <v>16140</v>
      </c>
      <c r="U497" s="23" t="n">
        <v>0</v>
      </c>
      <c r="V497" s="23" t="n">
        <f aca="false">T497+U497</f>
        <v>16140</v>
      </c>
      <c r="W497" s="30" t="n">
        <f aca="false">IF(I497&gt;0,V497/I497,"")</f>
        <v>13.635211624567</v>
      </c>
      <c r="X497" s="3" t="str">
        <f aca="false">IF(I497&lt;=0,"SIN FCST",IF(V497&lt;R497,"BAJO SS",IF(T497&lt;R497,"BAJO SS (XLIB CUBRE)",IF(V497&lt;S497,"BAJO P.REORDEN",IF(AND(ISNUMBER(Q497),V497&gt;Q497),"SOBRE MAX VENDIBLE","OK")))))</f>
        <v>OK</v>
      </c>
    </row>
    <row r="498" customFormat="false" ht="15" hidden="false" customHeight="false" outlineLevel="0" collapsed="false">
      <c r="A498" s="3" t="n">
        <v>30001828</v>
      </c>
      <c r="B498" s="3" t="s">
        <v>1087</v>
      </c>
      <c r="C498" s="3" t="s">
        <v>155</v>
      </c>
      <c r="D498" s="3" t="s">
        <v>761</v>
      </c>
      <c r="E498" s="3" t="s">
        <v>762</v>
      </c>
      <c r="F498" s="3" t="str">
        <f aca="false">IFERROR(INDEX(ABC_XYZ!$L$5:$L$494,MATCH(A498,ABC_XYZ!$A$5:$A$494,0)),"SIN HIST")</f>
        <v>CX</v>
      </c>
      <c r="G498" s="24" t="n">
        <f aca="false">IF(LEFT(F498,1)="A",Parametros!$B$8,IF(LEFT(F498,1)="B",Parametros!$B$9,IF(LEFT(F498,1)="C",Parametros!$B$10,Parametros!$B$11)))</f>
        <v>0.9</v>
      </c>
      <c r="H498" s="27" t="n">
        <f aca="false">NORMSINV(G498)</f>
        <v>1.2815515655446</v>
      </c>
      <c r="I498" s="23" t="n">
        <v>1183.2</v>
      </c>
      <c r="J498" s="23" t="n">
        <f aca="false">IFERROR(INDEX(ABC_XYZ!$R$5:$R$494,MATCH(A498,ABC_XYZ!$A$5:$A$494,0)),I498*Parametros!$B$13)</f>
        <v>759.324982190979</v>
      </c>
      <c r="K498" s="27" t="n">
        <f aca="false">IFERROR(VLOOKUP(C498,Parametros!$A$36:$B$66,2,FALSE()),Parametros!$B$12)</f>
        <v>1</v>
      </c>
      <c r="L498" s="23" t="n">
        <f aca="false">H498*J498*SQRT(K498)</f>
        <v>973.114119683975</v>
      </c>
      <c r="M498" s="29" t="n">
        <v>71</v>
      </c>
      <c r="N498" s="24" t="n">
        <v>0.323943661971831</v>
      </c>
      <c r="O498" s="3" t="s">
        <v>774</v>
      </c>
      <c r="P498" s="30" t="n">
        <f aca="false">IF(AND(ISNUMBER(M498),ISNUMBER(N498)),M498*N498/7,"")</f>
        <v>3.28571428571429</v>
      </c>
      <c r="Q498" s="23" t="n">
        <f aca="false">IF(ISNUMBER(P498),I498*P498,"")</f>
        <v>3887.65714285714</v>
      </c>
      <c r="R498" s="23" t="n">
        <f aca="false">IF(ISNUMBER(Q498),MAX(0,MIN(L498,Q498-I498*K498)),L498)</f>
        <v>973.114119683975</v>
      </c>
      <c r="S498" s="23" t="n">
        <f aca="false">R498+I498*K498</f>
        <v>2156.31411968398</v>
      </c>
      <c r="T498" s="23" t="n">
        <v>608.4</v>
      </c>
      <c r="U498" s="23" t="n">
        <v>0</v>
      </c>
      <c r="V498" s="23" t="n">
        <f aca="false">T498+U498</f>
        <v>608.4</v>
      </c>
      <c r="W498" s="30" t="n">
        <f aca="false">IF(I498&gt;0,V498/I498,"")</f>
        <v>0.51419878296146</v>
      </c>
      <c r="X498" s="3" t="str">
        <f aca="false">IF(I498&lt;=0,"SIN FCST",IF(V498&lt;R498,"BAJO SS",IF(T498&lt;R498,"BAJO SS (XLIB CUBRE)",IF(V498&lt;S498,"BAJO P.REORDEN",IF(AND(ISNUMBER(Q498),V498&gt;Q498),"SOBRE MAX VENDIBLE","OK")))))</f>
        <v>BAJO SS</v>
      </c>
    </row>
    <row r="499" customFormat="false" ht="15" hidden="false" customHeight="false" outlineLevel="0" collapsed="false">
      <c r="A499" s="3" t="n">
        <v>30002217</v>
      </c>
      <c r="B499" s="3" t="s">
        <v>584</v>
      </c>
      <c r="C499" s="3" t="s">
        <v>139</v>
      </c>
      <c r="D499" s="3" t="s">
        <v>753</v>
      </c>
      <c r="E499" s="3"/>
      <c r="F499" s="3" t="str">
        <f aca="false">IFERROR(INDEX(ABC_XYZ!$L$5:$L$494,MATCH(A499,ABC_XYZ!$A$5:$A$494,0)),"SIN HIST")</f>
        <v>CZ</v>
      </c>
      <c r="G499" s="24" t="n">
        <f aca="false">IF(LEFT(F499,1)="A",Parametros!$B$8,IF(LEFT(F499,1)="B",Parametros!$B$9,IF(LEFT(F499,1)="C",Parametros!$B$10,Parametros!$B$11)))</f>
        <v>0.9</v>
      </c>
      <c r="H499" s="27" t="n">
        <f aca="false">NORMSINV(G499)</f>
        <v>1.2815515655446</v>
      </c>
      <c r="I499" s="23" t="n">
        <v>1176.8</v>
      </c>
      <c r="J499" s="23" t="n">
        <f aca="false">IFERROR(INDEX(ABC_XYZ!$R$5:$R$494,MATCH(A499,ABC_XYZ!$A$5:$A$494,0)),I499*Parametros!$B$13)</f>
        <v>1768.58643168209</v>
      </c>
      <c r="K499" s="27" t="n">
        <f aca="false">IFERROR(VLOOKUP(C499,Parametros!$A$36:$B$66,2,FALSE()),Parametros!$B$12)</f>
        <v>1</v>
      </c>
      <c r="L499" s="23" t="n">
        <f aca="false">H499*J499*SQRT(K499)</f>
        <v>2266.53471032312</v>
      </c>
      <c r="M499" s="29" t="n">
        <v>214</v>
      </c>
      <c r="N499" s="24" t="n">
        <v>0.266355140186916</v>
      </c>
      <c r="O499" s="3" t="s">
        <v>754</v>
      </c>
      <c r="P499" s="30" t="n">
        <f aca="false">IF(AND(ISNUMBER(M499),ISNUMBER(N499)),M499*N499/7,"")</f>
        <v>8.14285714285714</v>
      </c>
      <c r="Q499" s="23" t="n">
        <f aca="false">IF(ISNUMBER(P499),I499*P499,"")</f>
        <v>9582.51428571429</v>
      </c>
      <c r="R499" s="23" t="n">
        <f aca="false">IF(ISNUMBER(Q499),MAX(0,MIN(L499,Q499-I499*K499)),L499)</f>
        <v>2266.53471032312</v>
      </c>
      <c r="S499" s="23" t="n">
        <f aca="false">R499+I499*K499</f>
        <v>3443.33471032312</v>
      </c>
      <c r="T499" s="23" t="n">
        <v>14928.2</v>
      </c>
      <c r="U499" s="23" t="n">
        <v>0</v>
      </c>
      <c r="V499" s="23" t="n">
        <f aca="false">T499+U499</f>
        <v>14928.2</v>
      </c>
      <c r="W499" s="30" t="n">
        <f aca="false">IF(I499&gt;0,V499/I499,"")</f>
        <v>12.6854180829368</v>
      </c>
      <c r="X499" s="3" t="str">
        <f aca="false">IF(I499&lt;=0,"SIN FCST",IF(V499&lt;R499,"BAJO SS",IF(T499&lt;R499,"BAJO SS (XLIB CUBRE)",IF(V499&lt;S499,"BAJO P.REORDEN",IF(AND(ISNUMBER(Q499),V499&gt;Q499),"SOBRE MAX VENDIBLE","OK")))))</f>
        <v>SOBRE MAX VENDIBLE</v>
      </c>
    </row>
    <row r="500" customFormat="false" ht="15" hidden="false" customHeight="false" outlineLevel="0" collapsed="false">
      <c r="A500" s="3" t="n">
        <v>30000794</v>
      </c>
      <c r="B500" s="3" t="s">
        <v>1088</v>
      </c>
      <c r="C500" s="3" t="s">
        <v>133</v>
      </c>
      <c r="D500" s="3" t="s">
        <v>758</v>
      </c>
      <c r="E500" s="3"/>
      <c r="F500" s="3" t="str">
        <f aca="false">IFERROR(INDEX(ABC_XYZ!$L$5:$L$494,MATCH(A500,ABC_XYZ!$A$5:$A$494,0)),"SIN HIST")</f>
        <v>SIN HIST</v>
      </c>
      <c r="G500" s="24" t="n">
        <f aca="false">IF(LEFT(F500,1)="A",Parametros!$B$8,IF(LEFT(F500,1)="B",Parametros!$B$9,IF(LEFT(F500,1)="C",Parametros!$B$10,Parametros!$B$11)))</f>
        <v>0.95</v>
      </c>
      <c r="H500" s="27" t="n">
        <f aca="false">NORMSINV(G500)</f>
        <v>1.64485362695147</v>
      </c>
      <c r="I500" s="23" t="n">
        <v>1167.3</v>
      </c>
      <c r="J500" s="23" t="n">
        <f aca="false">IFERROR(INDEX(ABC_XYZ!$R$5:$R$494,MATCH(A500,ABC_XYZ!$A$5:$A$494,0)),I500*Parametros!$B$13)</f>
        <v>350.19</v>
      </c>
      <c r="K500" s="27" t="n">
        <f aca="false">IFERROR(VLOOKUP(C500,Parametros!$A$36:$B$66,2,FALSE()),Parametros!$B$12)</f>
        <v>1</v>
      </c>
      <c r="L500" s="23" t="n">
        <f aca="false">H500*J500*SQRT(K500)</f>
        <v>576.011291622136</v>
      </c>
      <c r="M500" s="29"/>
      <c r="N500" s="24"/>
      <c r="O500" s="3"/>
      <c r="P500" s="30" t="str">
        <f aca="false">IF(AND(ISNUMBER(M500),ISNUMBER(N500)),M500*N500/7,"")</f>
        <v/>
      </c>
      <c r="Q500" s="23" t="str">
        <f aca="false">IF(ISNUMBER(P500),I500*P500,"")</f>
        <v/>
      </c>
      <c r="R500" s="23" t="n">
        <f aca="false">IF(ISNUMBER(Q500),MAX(0,MIN(L500,Q500-I500*K500)),L500)</f>
        <v>576.011291622136</v>
      </c>
      <c r="S500" s="23" t="n">
        <f aca="false">R500+I500*K500</f>
        <v>1743.31129162214</v>
      </c>
      <c r="T500" s="23" t="n">
        <v>1717.2</v>
      </c>
      <c r="U500" s="23" t="n">
        <v>0</v>
      </c>
      <c r="V500" s="23" t="n">
        <f aca="false">T500+U500</f>
        <v>1717.2</v>
      </c>
      <c r="W500" s="30" t="n">
        <f aca="false">IF(I500&gt;0,V500/I500,"")</f>
        <v>1.47108712413261</v>
      </c>
      <c r="X500" s="3" t="str">
        <f aca="false">IF(I500&lt;=0,"SIN FCST",IF(V500&lt;R500,"BAJO SS",IF(T500&lt;R500,"BAJO SS (XLIB CUBRE)",IF(V500&lt;S500,"BAJO P.REORDEN",IF(AND(ISNUMBER(Q500),V500&gt;Q500),"SOBRE MAX VENDIBLE","OK")))))</f>
        <v>BAJO P.REORDEN</v>
      </c>
    </row>
    <row r="501" customFormat="false" ht="15" hidden="false" customHeight="false" outlineLevel="0" collapsed="false">
      <c r="A501" s="3" t="n">
        <v>30001665</v>
      </c>
      <c r="B501" s="3" t="s">
        <v>1089</v>
      </c>
      <c r="C501" s="3" t="s">
        <v>138</v>
      </c>
      <c r="D501" s="3" t="s">
        <v>744</v>
      </c>
      <c r="E501" s="3" t="s">
        <v>745</v>
      </c>
      <c r="F501" s="3" t="str">
        <f aca="false">IFERROR(INDEX(ABC_XYZ!$L$5:$L$494,MATCH(A501,ABC_XYZ!$A$5:$A$494,0)),"SIN HIST")</f>
        <v>CX</v>
      </c>
      <c r="G501" s="24" t="n">
        <f aca="false">IF(LEFT(F501,1)="A",Parametros!$B$8,IF(LEFT(F501,1)="B",Parametros!$B$9,IF(LEFT(F501,1)="C",Parametros!$B$10,Parametros!$B$11)))</f>
        <v>0.9</v>
      </c>
      <c r="H501" s="27" t="n">
        <f aca="false">NORMSINV(G501)</f>
        <v>1.2815515655446</v>
      </c>
      <c r="I501" s="23" t="n">
        <v>1166.2</v>
      </c>
      <c r="J501" s="23" t="n">
        <f aca="false">IFERROR(INDEX(ABC_XYZ!$R$5:$R$494,MATCH(A501,ABC_XYZ!$A$5:$A$494,0)),I501*Parametros!$B$13)</f>
        <v>284.872379703351</v>
      </c>
      <c r="K501" s="27" t="n">
        <f aca="false">IFERROR(VLOOKUP(C501,Parametros!$A$36:$B$66,2,FALSE()),Parametros!$B$12)</f>
        <v>1</v>
      </c>
      <c r="L501" s="23" t="n">
        <f aca="false">H501*J501*SQRT(K501)</f>
        <v>365.078644189246</v>
      </c>
      <c r="M501" s="29" t="n">
        <v>548</v>
      </c>
      <c r="N501" s="24" t="n">
        <v>0.328467153284672</v>
      </c>
      <c r="O501" s="3" t="s">
        <v>772</v>
      </c>
      <c r="P501" s="30" t="n">
        <f aca="false">IF(AND(ISNUMBER(M501),ISNUMBER(N501)),M501*N501/7,"")</f>
        <v>25.7142857142857</v>
      </c>
      <c r="Q501" s="23" t="n">
        <f aca="false">IF(ISNUMBER(P501),I501*P501,"")</f>
        <v>29988</v>
      </c>
      <c r="R501" s="23" t="n">
        <f aca="false">IF(ISNUMBER(Q501),MAX(0,MIN(L501,Q501-I501*K501)),L501)</f>
        <v>365.078644189246</v>
      </c>
      <c r="S501" s="23" t="n">
        <f aca="false">R501+I501*K501</f>
        <v>1531.27864418925</v>
      </c>
      <c r="T501" s="23" t="n">
        <v>4472</v>
      </c>
      <c r="U501" s="23" t="n">
        <v>0</v>
      </c>
      <c r="V501" s="23" t="n">
        <f aca="false">T501+U501</f>
        <v>4472</v>
      </c>
      <c r="W501" s="30" t="n">
        <f aca="false">IF(I501&gt;0,V501/I501,"")</f>
        <v>3.83467672783399</v>
      </c>
      <c r="X501" s="3" t="str">
        <f aca="false">IF(I501&lt;=0,"SIN FCST",IF(V501&lt;R501,"BAJO SS",IF(T501&lt;R501,"BAJO SS (XLIB CUBRE)",IF(V501&lt;S501,"BAJO P.REORDEN",IF(AND(ISNUMBER(Q501),V501&gt;Q501),"SOBRE MAX VENDIBLE","OK")))))</f>
        <v>OK</v>
      </c>
    </row>
    <row r="502" customFormat="false" ht="15" hidden="false" customHeight="false" outlineLevel="0" collapsed="false">
      <c r="A502" s="3" t="n">
        <v>30001568</v>
      </c>
      <c r="B502" s="3" t="s">
        <v>1090</v>
      </c>
      <c r="C502" s="3" t="s">
        <v>133</v>
      </c>
      <c r="D502" s="3" t="s">
        <v>769</v>
      </c>
      <c r="E502" s="3"/>
      <c r="F502" s="3" t="str">
        <f aca="false">IFERROR(INDEX(ABC_XYZ!$L$5:$L$494,MATCH(A502,ABC_XYZ!$A$5:$A$494,0)),"SIN HIST")</f>
        <v>SIN HIST</v>
      </c>
      <c r="G502" s="24" t="n">
        <f aca="false">IF(LEFT(F502,1)="A",Parametros!$B$8,IF(LEFT(F502,1)="B",Parametros!$B$9,IF(LEFT(F502,1)="C",Parametros!$B$10,Parametros!$B$11)))</f>
        <v>0.95</v>
      </c>
      <c r="H502" s="27" t="n">
        <f aca="false">NORMSINV(G502)</f>
        <v>1.64485362695147</v>
      </c>
      <c r="I502" s="23" t="n">
        <v>1165.8</v>
      </c>
      <c r="J502" s="23" t="n">
        <f aca="false">IFERROR(INDEX(ABC_XYZ!$R$5:$R$494,MATCH(A502,ABC_XYZ!$A$5:$A$494,0)),I502*Parametros!$B$13)</f>
        <v>349.74</v>
      </c>
      <c r="K502" s="27" t="n">
        <f aca="false">IFERROR(VLOOKUP(C502,Parametros!$A$36:$B$66,2,FALSE()),Parametros!$B$12)</f>
        <v>1</v>
      </c>
      <c r="L502" s="23" t="n">
        <f aca="false">H502*J502*SQRT(K502)</f>
        <v>575.271107490008</v>
      </c>
      <c r="M502" s="29"/>
      <c r="N502" s="24"/>
      <c r="O502" s="3"/>
      <c r="P502" s="30" t="str">
        <f aca="false">IF(AND(ISNUMBER(M502),ISNUMBER(N502)),M502*N502/7,"")</f>
        <v/>
      </c>
      <c r="Q502" s="23" t="str">
        <f aca="false">IF(ISNUMBER(P502),I502*P502,"")</f>
        <v/>
      </c>
      <c r="R502" s="23" t="n">
        <f aca="false">IF(ISNUMBER(Q502),MAX(0,MIN(L502,Q502-I502*K502)),L502)</f>
        <v>575.271107490008</v>
      </c>
      <c r="S502" s="23" t="n">
        <f aca="false">R502+I502*K502</f>
        <v>1741.07110749001</v>
      </c>
      <c r="T502" s="23" t="n">
        <v>4914</v>
      </c>
      <c r="U502" s="23" t="n">
        <v>0</v>
      </c>
      <c r="V502" s="23" t="n">
        <f aca="false">T502+U502</f>
        <v>4914</v>
      </c>
      <c r="W502" s="30" t="n">
        <f aca="false">IF(I502&gt;0,V502/I502,"")</f>
        <v>4.21513124034997</v>
      </c>
      <c r="X502" s="3" t="str">
        <f aca="false">IF(I502&lt;=0,"SIN FCST",IF(V502&lt;R502,"BAJO SS",IF(T502&lt;R502,"BAJO SS (XLIB CUBRE)",IF(V502&lt;S502,"BAJO P.REORDEN",IF(AND(ISNUMBER(Q502),V502&gt;Q502),"SOBRE MAX VENDIBLE","OK")))))</f>
        <v>OK</v>
      </c>
    </row>
    <row r="503" customFormat="false" ht="15" hidden="false" customHeight="false" outlineLevel="0" collapsed="false">
      <c r="A503" s="3" t="n">
        <v>30000106</v>
      </c>
      <c r="B503" s="3" t="s">
        <v>1091</v>
      </c>
      <c r="C503" s="3" t="s">
        <v>143</v>
      </c>
      <c r="D503" s="3" t="s">
        <v>750</v>
      </c>
      <c r="E503" s="3" t="s">
        <v>762</v>
      </c>
      <c r="F503" s="3" t="str">
        <f aca="false">IFERROR(INDEX(ABC_XYZ!$L$5:$L$494,MATCH(A503,ABC_XYZ!$A$5:$A$494,0)),"SIN HIST")</f>
        <v>SIN HIST</v>
      </c>
      <c r="G503" s="24" t="n">
        <f aca="false">IF(LEFT(F503,1)="A",Parametros!$B$8,IF(LEFT(F503,1)="B",Parametros!$B$9,IF(LEFT(F503,1)="C",Parametros!$B$10,Parametros!$B$11)))</f>
        <v>0.95</v>
      </c>
      <c r="H503" s="27" t="n">
        <f aca="false">NORMSINV(G503)</f>
        <v>1.64485362695147</v>
      </c>
      <c r="I503" s="23" t="n">
        <v>1162.8</v>
      </c>
      <c r="J503" s="23" t="n">
        <f aca="false">IFERROR(INDEX(ABC_XYZ!$R$5:$R$494,MATCH(A503,ABC_XYZ!$A$5:$A$494,0)),I503*Parametros!$B$13)</f>
        <v>348.84</v>
      </c>
      <c r="K503" s="27" t="n">
        <f aca="false">IFERROR(VLOOKUP(C503,Parametros!$A$36:$B$66,2,FALSE()),Parametros!$B$12)</f>
        <v>1</v>
      </c>
      <c r="L503" s="23" t="n">
        <f aca="false">H503*J503*SQRT(K503)</f>
        <v>573.790739225751</v>
      </c>
      <c r="M503" s="29" t="n">
        <v>245</v>
      </c>
      <c r="N503" s="24" t="n">
        <v>0.220408163265306</v>
      </c>
      <c r="O503" s="3" t="s">
        <v>754</v>
      </c>
      <c r="P503" s="30" t="n">
        <f aca="false">IF(AND(ISNUMBER(M503),ISNUMBER(N503)),M503*N503/7,"")</f>
        <v>7.71428571428571</v>
      </c>
      <c r="Q503" s="23" t="n">
        <f aca="false">IF(ISNUMBER(P503),I503*P503,"")</f>
        <v>8970.17142857143</v>
      </c>
      <c r="R503" s="23" t="n">
        <f aca="false">IF(ISNUMBER(Q503),MAX(0,MIN(L503,Q503-I503*K503)),L503)</f>
        <v>573.790739225751</v>
      </c>
      <c r="S503" s="23" t="n">
        <f aca="false">R503+I503*K503</f>
        <v>1736.59073922575</v>
      </c>
      <c r="T503" s="23" t="n">
        <v>11560</v>
      </c>
      <c r="U503" s="23" t="n">
        <v>0</v>
      </c>
      <c r="V503" s="23" t="n">
        <f aca="false">T503+U503</f>
        <v>11560</v>
      </c>
      <c r="W503" s="30" t="n">
        <f aca="false">IF(I503&gt;0,V503/I503,"")</f>
        <v>9.94152046783626</v>
      </c>
      <c r="X503" s="3" t="str">
        <f aca="false">IF(I503&lt;=0,"SIN FCST",IF(V503&lt;R503,"BAJO SS",IF(T503&lt;R503,"BAJO SS (XLIB CUBRE)",IF(V503&lt;S503,"BAJO P.REORDEN",IF(AND(ISNUMBER(Q503),V503&gt;Q503),"SOBRE MAX VENDIBLE","OK")))))</f>
        <v>SOBRE MAX VENDIBLE</v>
      </c>
    </row>
    <row r="504" customFormat="false" ht="15" hidden="false" customHeight="false" outlineLevel="0" collapsed="false">
      <c r="A504" s="3" t="n">
        <v>30002003</v>
      </c>
      <c r="B504" s="3" t="s">
        <v>1092</v>
      </c>
      <c r="C504" s="3" t="s">
        <v>133</v>
      </c>
      <c r="D504" s="3" t="s">
        <v>758</v>
      </c>
      <c r="E504" s="3"/>
      <c r="F504" s="3" t="str">
        <f aca="false">IFERROR(INDEX(ABC_XYZ!$L$5:$L$494,MATCH(A504,ABC_XYZ!$A$5:$A$494,0)),"SIN HIST")</f>
        <v>SIN HIST</v>
      </c>
      <c r="G504" s="24" t="n">
        <f aca="false">IF(LEFT(F504,1)="A",Parametros!$B$8,IF(LEFT(F504,1)="B",Parametros!$B$9,IF(LEFT(F504,1)="C",Parametros!$B$10,Parametros!$B$11)))</f>
        <v>0.95</v>
      </c>
      <c r="H504" s="27" t="n">
        <f aca="false">NORMSINV(G504)</f>
        <v>1.64485362695147</v>
      </c>
      <c r="I504" s="23" t="n">
        <v>1162.8</v>
      </c>
      <c r="J504" s="23" t="n">
        <f aca="false">IFERROR(INDEX(ABC_XYZ!$R$5:$R$494,MATCH(A504,ABC_XYZ!$A$5:$A$494,0)),I504*Parametros!$B$13)</f>
        <v>348.84</v>
      </c>
      <c r="K504" s="27" t="n">
        <f aca="false">IFERROR(VLOOKUP(C504,Parametros!$A$36:$B$66,2,FALSE()),Parametros!$B$12)</f>
        <v>1</v>
      </c>
      <c r="L504" s="23" t="n">
        <f aca="false">H504*J504*SQRT(K504)</f>
        <v>573.790739225751</v>
      </c>
      <c r="M504" s="29"/>
      <c r="N504" s="24"/>
      <c r="O504" s="3"/>
      <c r="P504" s="30" t="str">
        <f aca="false">IF(AND(ISNUMBER(M504),ISNUMBER(N504)),M504*N504/7,"")</f>
        <v/>
      </c>
      <c r="Q504" s="23" t="str">
        <f aca="false">IF(ISNUMBER(P504),I504*P504,"")</f>
        <v/>
      </c>
      <c r="R504" s="23" t="n">
        <f aca="false">IF(ISNUMBER(Q504),MAX(0,MIN(L504,Q504-I504*K504)),L504)</f>
        <v>573.790739225751</v>
      </c>
      <c r="S504" s="23" t="n">
        <f aca="false">R504+I504*K504</f>
        <v>1736.59073922575</v>
      </c>
      <c r="T504" s="23" t="n">
        <v>1364.5</v>
      </c>
      <c r="U504" s="23" t="n">
        <v>0</v>
      </c>
      <c r="V504" s="23" t="n">
        <f aca="false">T504+U504</f>
        <v>1364.5</v>
      </c>
      <c r="W504" s="30" t="n">
        <f aca="false">IF(I504&gt;0,V504/I504,"")</f>
        <v>1.1734606123151</v>
      </c>
      <c r="X504" s="3" t="str">
        <f aca="false">IF(I504&lt;=0,"SIN FCST",IF(V504&lt;R504,"BAJO SS",IF(T504&lt;R504,"BAJO SS (XLIB CUBRE)",IF(V504&lt;S504,"BAJO P.REORDEN",IF(AND(ISNUMBER(Q504),V504&gt;Q504),"SOBRE MAX VENDIBLE","OK")))))</f>
        <v>BAJO P.REORDEN</v>
      </c>
    </row>
    <row r="505" customFormat="false" ht="15" hidden="false" customHeight="false" outlineLevel="0" collapsed="false">
      <c r="A505" s="3" t="n">
        <v>30000885</v>
      </c>
      <c r="B505" s="3" t="s">
        <v>1093</v>
      </c>
      <c r="C505" s="3" t="s">
        <v>133</v>
      </c>
      <c r="D505" s="3" t="s">
        <v>769</v>
      </c>
      <c r="E505" s="3"/>
      <c r="F505" s="3" t="str">
        <f aca="false">IFERROR(INDEX(ABC_XYZ!$L$5:$L$494,MATCH(A505,ABC_XYZ!$A$5:$A$494,0)),"SIN HIST")</f>
        <v>SIN HIST</v>
      </c>
      <c r="G505" s="24" t="n">
        <f aca="false">IF(LEFT(F505,1)="A",Parametros!$B$8,IF(LEFT(F505,1)="B",Parametros!$B$9,IF(LEFT(F505,1)="C",Parametros!$B$10,Parametros!$B$11)))</f>
        <v>0.95</v>
      </c>
      <c r="H505" s="27" t="n">
        <f aca="false">NORMSINV(G505)</f>
        <v>1.64485362695147</v>
      </c>
      <c r="I505" s="23" t="n">
        <v>1162.8</v>
      </c>
      <c r="J505" s="23" t="n">
        <f aca="false">IFERROR(INDEX(ABC_XYZ!$R$5:$R$494,MATCH(A505,ABC_XYZ!$A$5:$A$494,0)),I505*Parametros!$B$13)</f>
        <v>348.84</v>
      </c>
      <c r="K505" s="27" t="n">
        <f aca="false">IFERROR(VLOOKUP(C505,Parametros!$A$36:$B$66,2,FALSE()),Parametros!$B$12)</f>
        <v>1</v>
      </c>
      <c r="L505" s="23" t="n">
        <f aca="false">H505*J505*SQRT(K505)</f>
        <v>573.790739225751</v>
      </c>
      <c r="M505" s="29"/>
      <c r="N505" s="24"/>
      <c r="O505" s="3"/>
      <c r="P505" s="30" t="str">
        <f aca="false">IF(AND(ISNUMBER(M505),ISNUMBER(N505)),M505*N505/7,"")</f>
        <v/>
      </c>
      <c r="Q505" s="23" t="str">
        <f aca="false">IF(ISNUMBER(P505),I505*P505,"")</f>
        <v/>
      </c>
      <c r="R505" s="23" t="n">
        <f aca="false">IF(ISNUMBER(Q505),MAX(0,MIN(L505,Q505-I505*K505)),L505)</f>
        <v>573.790739225751</v>
      </c>
      <c r="S505" s="23" t="n">
        <f aca="false">R505+I505*K505</f>
        <v>1736.59073922575</v>
      </c>
      <c r="T505" s="23" t="n">
        <v>1593</v>
      </c>
      <c r="U505" s="23" t="n">
        <v>0</v>
      </c>
      <c r="V505" s="23" t="n">
        <f aca="false">T505+U505</f>
        <v>1593</v>
      </c>
      <c r="W505" s="30" t="n">
        <f aca="false">IF(I505&gt;0,V505/I505,"")</f>
        <v>1.36996904024768</v>
      </c>
      <c r="X505" s="3" t="str">
        <f aca="false">IF(I505&lt;=0,"SIN FCST",IF(V505&lt;R505,"BAJO SS",IF(T505&lt;R505,"BAJO SS (XLIB CUBRE)",IF(V505&lt;S505,"BAJO P.REORDEN",IF(AND(ISNUMBER(Q505),V505&gt;Q505),"SOBRE MAX VENDIBLE","OK")))))</f>
        <v>BAJO P.REORDEN</v>
      </c>
    </row>
    <row r="506" customFormat="false" ht="15" hidden="false" customHeight="false" outlineLevel="0" collapsed="false">
      <c r="A506" s="3" t="n">
        <v>30002231</v>
      </c>
      <c r="B506" s="3" t="s">
        <v>1094</v>
      </c>
      <c r="C506" s="3" t="s">
        <v>149</v>
      </c>
      <c r="D506" s="3" t="s">
        <v>769</v>
      </c>
      <c r="E506" s="3"/>
      <c r="F506" s="3" t="str">
        <f aca="false">IFERROR(INDEX(ABC_XYZ!$L$5:$L$494,MATCH(A506,ABC_XYZ!$A$5:$A$494,0)),"SIN HIST")</f>
        <v>SIN HIST</v>
      </c>
      <c r="G506" s="24" t="n">
        <f aca="false">IF(LEFT(F506,1)="A",Parametros!$B$8,IF(LEFT(F506,1)="B",Parametros!$B$9,IF(LEFT(F506,1)="C",Parametros!$B$10,Parametros!$B$11)))</f>
        <v>0.95</v>
      </c>
      <c r="H506" s="27" t="n">
        <f aca="false">NORMSINV(G506)</f>
        <v>1.64485362695147</v>
      </c>
      <c r="I506" s="23" t="n">
        <v>1162.8</v>
      </c>
      <c r="J506" s="23" t="n">
        <f aca="false">IFERROR(INDEX(ABC_XYZ!$R$5:$R$494,MATCH(A506,ABC_XYZ!$A$5:$A$494,0)),I506*Parametros!$B$13)</f>
        <v>348.84</v>
      </c>
      <c r="K506" s="27" t="n">
        <f aca="false">IFERROR(VLOOKUP(C506,Parametros!$A$36:$B$66,2,FALSE()),Parametros!$B$12)</f>
        <v>1</v>
      </c>
      <c r="L506" s="23" t="n">
        <f aca="false">H506*J506*SQRT(K506)</f>
        <v>573.790739225751</v>
      </c>
      <c r="M506" s="29"/>
      <c r="N506" s="24"/>
      <c r="O506" s="3"/>
      <c r="P506" s="30" t="str">
        <f aca="false">IF(AND(ISNUMBER(M506),ISNUMBER(N506)),M506*N506/7,"")</f>
        <v/>
      </c>
      <c r="Q506" s="23" t="str">
        <f aca="false">IF(ISNUMBER(P506),I506*P506,"")</f>
        <v/>
      </c>
      <c r="R506" s="23" t="n">
        <f aca="false">IF(ISNUMBER(Q506),MAX(0,MIN(L506,Q506-I506*K506)),L506)</f>
        <v>573.790739225751</v>
      </c>
      <c r="S506" s="23" t="n">
        <f aca="false">R506+I506*K506</f>
        <v>1736.59073922575</v>
      </c>
      <c r="T506" s="23" t="n">
        <v>0</v>
      </c>
      <c r="U506" s="23" t="n">
        <v>0</v>
      </c>
      <c r="V506" s="23" t="n">
        <f aca="false">T506+U506</f>
        <v>0</v>
      </c>
      <c r="W506" s="30" t="n">
        <f aca="false">IF(I506&gt;0,V506/I506,"")</f>
        <v>0</v>
      </c>
      <c r="X506" s="3" t="str">
        <f aca="false">IF(I506&lt;=0,"SIN FCST",IF(V506&lt;R506,"BAJO SS",IF(T506&lt;R506,"BAJO SS (XLIB CUBRE)",IF(V506&lt;S506,"BAJO P.REORDEN",IF(AND(ISNUMBER(Q506),V506&gt;Q506),"SOBRE MAX VENDIBLE","OK")))))</f>
        <v>BAJO SS</v>
      </c>
    </row>
    <row r="507" customFormat="false" ht="15" hidden="false" customHeight="false" outlineLevel="0" collapsed="false">
      <c r="A507" s="3" t="n">
        <v>30000386</v>
      </c>
      <c r="B507" s="3" t="s">
        <v>1095</v>
      </c>
      <c r="C507" s="3" t="s">
        <v>153</v>
      </c>
      <c r="D507" s="3" t="s">
        <v>744</v>
      </c>
      <c r="E507" s="3" t="s">
        <v>745</v>
      </c>
      <c r="F507" s="3" t="str">
        <f aca="false">IFERROR(INDEX(ABC_XYZ!$L$5:$L$494,MATCH(A507,ABC_XYZ!$A$5:$A$494,0)),"SIN HIST")</f>
        <v>SIN HIST</v>
      </c>
      <c r="G507" s="24" t="n">
        <f aca="false">IF(LEFT(F507,1)="A",Parametros!$B$8,IF(LEFT(F507,1)="B",Parametros!$B$9,IF(LEFT(F507,1)="C",Parametros!$B$10,Parametros!$B$11)))</f>
        <v>0.95</v>
      </c>
      <c r="H507" s="27" t="n">
        <f aca="false">NORMSINV(G507)</f>
        <v>1.64485362695147</v>
      </c>
      <c r="I507" s="23" t="n">
        <v>1162.8</v>
      </c>
      <c r="J507" s="23" t="n">
        <f aca="false">IFERROR(INDEX(ABC_XYZ!$R$5:$R$494,MATCH(A507,ABC_XYZ!$A$5:$A$494,0)),I507*Parametros!$B$13)</f>
        <v>348.84</v>
      </c>
      <c r="K507" s="27" t="n">
        <f aca="false">IFERROR(VLOOKUP(C507,Parametros!$A$36:$B$66,2,FALSE()),Parametros!$B$12)</f>
        <v>1</v>
      </c>
      <c r="L507" s="23" t="n">
        <f aca="false">H507*J507*SQRT(K507)</f>
        <v>573.790739225751</v>
      </c>
      <c r="M507" s="29" t="n">
        <v>184</v>
      </c>
      <c r="N507" s="24" t="n">
        <v>0.271739130434783</v>
      </c>
      <c r="O507" s="3" t="s">
        <v>746</v>
      </c>
      <c r="P507" s="30" t="n">
        <f aca="false">IF(AND(ISNUMBER(M507),ISNUMBER(N507)),M507*N507/7,"")</f>
        <v>7.14285714285714</v>
      </c>
      <c r="Q507" s="23" t="n">
        <f aca="false">IF(ISNUMBER(P507),I507*P507,"")</f>
        <v>8305.71428571429</v>
      </c>
      <c r="R507" s="23" t="n">
        <f aca="false">IF(ISNUMBER(Q507),MAX(0,MIN(L507,Q507-I507*K507)),L507)</f>
        <v>573.790739225751</v>
      </c>
      <c r="S507" s="23" t="n">
        <f aca="false">R507+I507*K507</f>
        <v>1736.59073922575</v>
      </c>
      <c r="T507" s="23" t="n">
        <v>6850</v>
      </c>
      <c r="U507" s="23" t="n">
        <v>0</v>
      </c>
      <c r="V507" s="23" t="n">
        <f aca="false">T507+U507</f>
        <v>6850</v>
      </c>
      <c r="W507" s="30" t="n">
        <f aca="false">IF(I507&gt;0,V507/I507,"")</f>
        <v>5.89095287237702</v>
      </c>
      <c r="X507" s="3" t="str">
        <f aca="false">IF(I507&lt;=0,"SIN FCST",IF(V507&lt;R507,"BAJO SS",IF(T507&lt;R507,"BAJO SS (XLIB CUBRE)",IF(V507&lt;S507,"BAJO P.REORDEN",IF(AND(ISNUMBER(Q507),V507&gt;Q507),"SOBRE MAX VENDIBLE","OK")))))</f>
        <v>OK</v>
      </c>
    </row>
    <row r="508" customFormat="false" ht="15" hidden="false" customHeight="false" outlineLevel="0" collapsed="false">
      <c r="A508" s="3" t="n">
        <v>30000804</v>
      </c>
      <c r="B508" s="3" t="s">
        <v>1096</v>
      </c>
      <c r="C508" s="3" t="s">
        <v>133</v>
      </c>
      <c r="D508" s="3" t="s">
        <v>758</v>
      </c>
      <c r="E508" s="3"/>
      <c r="F508" s="3" t="str">
        <f aca="false">IFERROR(INDEX(ABC_XYZ!$L$5:$L$494,MATCH(A508,ABC_XYZ!$A$5:$A$494,0)),"SIN HIST")</f>
        <v>SIN HIST</v>
      </c>
      <c r="G508" s="24" t="n">
        <f aca="false">IF(LEFT(F508,1)="A",Parametros!$B$8,IF(LEFT(F508,1)="B",Parametros!$B$9,IF(LEFT(F508,1)="C",Parametros!$B$10,Parametros!$B$11)))</f>
        <v>0.95</v>
      </c>
      <c r="H508" s="27" t="n">
        <f aca="false">NORMSINV(G508)</f>
        <v>1.64485362695147</v>
      </c>
      <c r="I508" s="23" t="n">
        <v>1162.8</v>
      </c>
      <c r="J508" s="23" t="n">
        <f aca="false">IFERROR(INDEX(ABC_XYZ!$R$5:$R$494,MATCH(A508,ABC_XYZ!$A$5:$A$494,0)),I508*Parametros!$B$13)</f>
        <v>348.84</v>
      </c>
      <c r="K508" s="27" t="n">
        <f aca="false">IFERROR(VLOOKUP(C508,Parametros!$A$36:$B$66,2,FALSE()),Parametros!$B$12)</f>
        <v>1</v>
      </c>
      <c r="L508" s="23" t="n">
        <f aca="false">H508*J508*SQRT(K508)</f>
        <v>573.790739225751</v>
      </c>
      <c r="M508" s="29"/>
      <c r="N508" s="24"/>
      <c r="O508" s="3"/>
      <c r="P508" s="30" t="str">
        <f aca="false">IF(AND(ISNUMBER(M508),ISNUMBER(N508)),M508*N508/7,"")</f>
        <v/>
      </c>
      <c r="Q508" s="23" t="str">
        <f aca="false">IF(ISNUMBER(P508),I508*P508,"")</f>
        <v/>
      </c>
      <c r="R508" s="23" t="n">
        <f aca="false">IF(ISNUMBER(Q508),MAX(0,MIN(L508,Q508-I508*K508)),L508)</f>
        <v>573.790739225751</v>
      </c>
      <c r="S508" s="23" t="n">
        <f aca="false">R508+I508*K508</f>
        <v>1736.59073922575</v>
      </c>
      <c r="T508" s="23" t="n">
        <v>3972</v>
      </c>
      <c r="U508" s="23" t="n">
        <v>0</v>
      </c>
      <c r="V508" s="23" t="n">
        <f aca="false">T508+U508</f>
        <v>3972</v>
      </c>
      <c r="W508" s="30" t="n">
        <f aca="false">IF(I508&gt;0,V508/I508,"")</f>
        <v>3.41589267285862</v>
      </c>
      <c r="X508" s="3" t="str">
        <f aca="false">IF(I508&lt;=0,"SIN FCST",IF(V508&lt;R508,"BAJO SS",IF(T508&lt;R508,"BAJO SS (XLIB CUBRE)",IF(V508&lt;S508,"BAJO P.REORDEN",IF(AND(ISNUMBER(Q508),V508&gt;Q508),"SOBRE MAX VENDIBLE","OK")))))</f>
        <v>OK</v>
      </c>
    </row>
    <row r="509" customFormat="false" ht="15" hidden="false" customHeight="false" outlineLevel="0" collapsed="false">
      <c r="A509" s="3" t="n">
        <v>30002355</v>
      </c>
      <c r="B509" s="3" t="s">
        <v>1097</v>
      </c>
      <c r="C509" s="3" t="s">
        <v>149</v>
      </c>
      <c r="D509" s="3" t="s">
        <v>744</v>
      </c>
      <c r="E509" s="3"/>
      <c r="F509" s="3" t="str">
        <f aca="false">IFERROR(INDEX(ABC_XYZ!$L$5:$L$494,MATCH(A509,ABC_XYZ!$A$5:$A$494,0)),"SIN HIST")</f>
        <v>SIN HIST</v>
      </c>
      <c r="G509" s="24" t="n">
        <f aca="false">IF(LEFT(F509,1)="A",Parametros!$B$8,IF(LEFT(F509,1)="B",Parametros!$B$9,IF(LEFT(F509,1)="C",Parametros!$B$10,Parametros!$B$11)))</f>
        <v>0.95</v>
      </c>
      <c r="H509" s="27" t="n">
        <f aca="false">NORMSINV(G509)</f>
        <v>1.64485362695147</v>
      </c>
      <c r="I509" s="23" t="n">
        <v>1162.8</v>
      </c>
      <c r="J509" s="23" t="n">
        <f aca="false">IFERROR(INDEX(ABC_XYZ!$R$5:$R$494,MATCH(A509,ABC_XYZ!$A$5:$A$494,0)),I509*Parametros!$B$13)</f>
        <v>348.84</v>
      </c>
      <c r="K509" s="27" t="n">
        <f aca="false">IFERROR(VLOOKUP(C509,Parametros!$A$36:$B$66,2,FALSE()),Parametros!$B$12)</f>
        <v>1</v>
      </c>
      <c r="L509" s="23" t="n">
        <f aca="false">H509*J509*SQRT(K509)</f>
        <v>573.790739225751</v>
      </c>
      <c r="M509" s="29"/>
      <c r="N509" s="24"/>
      <c r="O509" s="3"/>
      <c r="P509" s="30" t="str">
        <f aca="false">IF(AND(ISNUMBER(M509),ISNUMBER(N509)),M509*N509/7,"")</f>
        <v/>
      </c>
      <c r="Q509" s="23" t="str">
        <f aca="false">IF(ISNUMBER(P509),I509*P509,"")</f>
        <v/>
      </c>
      <c r="R509" s="23" t="n">
        <f aca="false">IF(ISNUMBER(Q509),MAX(0,MIN(L509,Q509-I509*K509)),L509)</f>
        <v>573.790739225751</v>
      </c>
      <c r="S509" s="23" t="n">
        <f aca="false">R509+I509*K509</f>
        <v>1736.59073922575</v>
      </c>
      <c r="T509" s="23" t="n">
        <v>6905</v>
      </c>
      <c r="U509" s="23" t="n">
        <v>600</v>
      </c>
      <c r="V509" s="23" t="n">
        <f aca="false">T509+U509</f>
        <v>7505</v>
      </c>
      <c r="W509" s="30" t="n">
        <f aca="false">IF(I509&gt;0,V509/I509,"")</f>
        <v>6.45424836601307</v>
      </c>
      <c r="X509" s="3" t="str">
        <f aca="false">IF(I509&lt;=0,"SIN FCST",IF(V509&lt;R509,"BAJO SS",IF(T509&lt;R509,"BAJO SS (XLIB CUBRE)",IF(V509&lt;S509,"BAJO P.REORDEN",IF(AND(ISNUMBER(Q509),V509&gt;Q509),"SOBRE MAX VENDIBLE","OK")))))</f>
        <v>OK</v>
      </c>
    </row>
    <row r="510" customFormat="false" ht="15" hidden="false" customHeight="false" outlineLevel="0" collapsed="false">
      <c r="A510" s="3" t="n">
        <v>30000620</v>
      </c>
      <c r="B510" s="3" t="s">
        <v>1098</v>
      </c>
      <c r="C510" s="3" t="s">
        <v>129</v>
      </c>
      <c r="D510" s="3" t="s">
        <v>769</v>
      </c>
      <c r="E510" s="3" t="s">
        <v>745</v>
      </c>
      <c r="F510" s="3" t="str">
        <f aca="false">IFERROR(INDEX(ABC_XYZ!$L$5:$L$494,MATCH(A510,ABC_XYZ!$A$5:$A$494,0)),"SIN HIST")</f>
        <v>SIN HIST</v>
      </c>
      <c r="G510" s="24" t="n">
        <f aca="false">IF(LEFT(F510,1)="A",Parametros!$B$8,IF(LEFT(F510,1)="B",Parametros!$B$9,IF(LEFT(F510,1)="C",Parametros!$B$10,Parametros!$B$11)))</f>
        <v>0.95</v>
      </c>
      <c r="H510" s="27" t="n">
        <f aca="false">NORMSINV(G510)</f>
        <v>1.64485362695147</v>
      </c>
      <c r="I510" s="23" t="n">
        <v>1162.8</v>
      </c>
      <c r="J510" s="23" t="n">
        <f aca="false">IFERROR(INDEX(ABC_XYZ!$R$5:$R$494,MATCH(A510,ABC_XYZ!$A$5:$A$494,0)),I510*Parametros!$B$13)</f>
        <v>348.84</v>
      </c>
      <c r="K510" s="27" t="n">
        <f aca="false">IFERROR(VLOOKUP(C510,Parametros!$A$36:$B$66,2,FALSE()),Parametros!$B$12)</f>
        <v>1</v>
      </c>
      <c r="L510" s="23" t="n">
        <f aca="false">H510*J510*SQRT(K510)</f>
        <v>573.790739225751</v>
      </c>
      <c r="M510" s="29" t="n">
        <v>1095</v>
      </c>
      <c r="N510" s="24" t="n">
        <v>0.480365296803653</v>
      </c>
      <c r="O510" s="3" t="s">
        <v>763</v>
      </c>
      <c r="P510" s="30" t="n">
        <f aca="false">IF(AND(ISNUMBER(M510),ISNUMBER(N510)),M510*N510/7,"")</f>
        <v>75.1428571428571</v>
      </c>
      <c r="Q510" s="23" t="n">
        <f aca="false">IF(ISNUMBER(P510),I510*P510,"")</f>
        <v>87376.1142857143</v>
      </c>
      <c r="R510" s="23" t="n">
        <f aca="false">IF(ISNUMBER(Q510),MAX(0,MIN(L510,Q510-I510*K510)),L510)</f>
        <v>573.790739225751</v>
      </c>
      <c r="S510" s="23" t="n">
        <f aca="false">R510+I510*K510</f>
        <v>1736.59073922575</v>
      </c>
      <c r="T510" s="23" t="n">
        <v>14454</v>
      </c>
      <c r="U510" s="23" t="n">
        <v>0</v>
      </c>
      <c r="V510" s="23" t="n">
        <f aca="false">T510+U510</f>
        <v>14454</v>
      </c>
      <c r="W510" s="30" t="n">
        <f aca="false">IF(I510&gt;0,V510/I510,"")</f>
        <v>12.4303405572755</v>
      </c>
      <c r="X510" s="3" t="str">
        <f aca="false">IF(I510&lt;=0,"SIN FCST",IF(V510&lt;R510,"BAJO SS",IF(T510&lt;R510,"BAJO SS (XLIB CUBRE)",IF(V510&lt;S510,"BAJO P.REORDEN",IF(AND(ISNUMBER(Q510),V510&gt;Q510),"SOBRE MAX VENDIBLE","OK")))))</f>
        <v>OK</v>
      </c>
    </row>
    <row r="511" customFormat="false" ht="15" hidden="false" customHeight="false" outlineLevel="0" collapsed="false">
      <c r="A511" s="3" t="n">
        <v>30000607</v>
      </c>
      <c r="B511" s="3" t="s">
        <v>1099</v>
      </c>
      <c r="C511" s="3" t="s">
        <v>129</v>
      </c>
      <c r="D511" s="3" t="s">
        <v>769</v>
      </c>
      <c r="E511" s="3" t="s">
        <v>745</v>
      </c>
      <c r="F511" s="3" t="str">
        <f aca="false">IFERROR(INDEX(ABC_XYZ!$L$5:$L$494,MATCH(A511,ABC_XYZ!$A$5:$A$494,0)),"SIN HIST")</f>
        <v>SIN HIST</v>
      </c>
      <c r="G511" s="24" t="n">
        <f aca="false">IF(LEFT(F511,1)="A",Parametros!$B$8,IF(LEFT(F511,1)="B",Parametros!$B$9,IF(LEFT(F511,1)="C",Parametros!$B$10,Parametros!$B$11)))</f>
        <v>0.95</v>
      </c>
      <c r="H511" s="27" t="n">
        <f aca="false">NORMSINV(G511)</f>
        <v>1.64485362695147</v>
      </c>
      <c r="I511" s="23" t="n">
        <v>1162.8</v>
      </c>
      <c r="J511" s="23" t="n">
        <f aca="false">IFERROR(INDEX(ABC_XYZ!$R$5:$R$494,MATCH(A511,ABC_XYZ!$A$5:$A$494,0)),I511*Parametros!$B$13)</f>
        <v>348.84</v>
      </c>
      <c r="K511" s="27" t="n">
        <f aca="false">IFERROR(VLOOKUP(C511,Parametros!$A$36:$B$66,2,FALSE()),Parametros!$B$12)</f>
        <v>1</v>
      </c>
      <c r="L511" s="23" t="n">
        <f aca="false">H511*J511*SQRT(K511)</f>
        <v>573.790739225751</v>
      </c>
      <c r="M511" s="29" t="n">
        <v>1460</v>
      </c>
      <c r="N511" s="24" t="n">
        <v>0.49041095890411</v>
      </c>
      <c r="O511" s="3" t="s">
        <v>763</v>
      </c>
      <c r="P511" s="30" t="n">
        <f aca="false">IF(AND(ISNUMBER(M511),ISNUMBER(N511)),M511*N511/7,"")</f>
        <v>102.285714285714</v>
      </c>
      <c r="Q511" s="23" t="n">
        <f aca="false">IF(ISNUMBER(P511),I511*P511,"")</f>
        <v>118937.828571429</v>
      </c>
      <c r="R511" s="23" t="n">
        <f aca="false">IF(ISNUMBER(Q511),MAX(0,MIN(L511,Q511-I511*K511)),L511)</f>
        <v>573.790739225751</v>
      </c>
      <c r="S511" s="23" t="n">
        <f aca="false">R511+I511*K511</f>
        <v>1736.59073922575</v>
      </c>
      <c r="T511" s="23" t="n">
        <v>45450</v>
      </c>
      <c r="U511" s="23" t="n">
        <v>0</v>
      </c>
      <c r="V511" s="23" t="n">
        <f aca="false">T511+U511</f>
        <v>45450</v>
      </c>
      <c r="W511" s="30" t="n">
        <f aca="false">IF(I511&gt;0,V511/I511,"")</f>
        <v>39.0866873065016</v>
      </c>
      <c r="X511" s="3" t="str">
        <f aca="false">IF(I511&lt;=0,"SIN FCST",IF(V511&lt;R511,"BAJO SS",IF(T511&lt;R511,"BAJO SS (XLIB CUBRE)",IF(V511&lt;S511,"BAJO P.REORDEN",IF(AND(ISNUMBER(Q511),V511&gt;Q511),"SOBRE MAX VENDIBLE","OK")))))</f>
        <v>OK</v>
      </c>
    </row>
    <row r="512" customFormat="false" ht="15" hidden="false" customHeight="false" outlineLevel="0" collapsed="false">
      <c r="A512" s="3" t="n">
        <v>30001377</v>
      </c>
      <c r="B512" s="3" t="s">
        <v>1100</v>
      </c>
      <c r="C512" s="3" t="s">
        <v>130</v>
      </c>
      <c r="D512" s="3" t="s">
        <v>753</v>
      </c>
      <c r="E512" s="3" t="s">
        <v>745</v>
      </c>
      <c r="F512" s="3" t="str">
        <f aca="false">IFERROR(INDEX(ABC_XYZ!$L$5:$L$494,MATCH(A512,ABC_XYZ!$A$5:$A$494,0)),"SIN HIST")</f>
        <v>SIN HIST</v>
      </c>
      <c r="G512" s="24" t="n">
        <f aca="false">IF(LEFT(F512,1)="A",Parametros!$B$8,IF(LEFT(F512,1)="B",Parametros!$B$9,IF(LEFT(F512,1)="C",Parametros!$B$10,Parametros!$B$11)))</f>
        <v>0.95</v>
      </c>
      <c r="H512" s="27" t="n">
        <f aca="false">NORMSINV(G512)</f>
        <v>1.64485362695147</v>
      </c>
      <c r="I512" s="23" t="n">
        <v>1162.8</v>
      </c>
      <c r="J512" s="23" t="n">
        <f aca="false">IFERROR(INDEX(ABC_XYZ!$R$5:$R$494,MATCH(A512,ABC_XYZ!$A$5:$A$494,0)),I512*Parametros!$B$13)</f>
        <v>348.84</v>
      </c>
      <c r="K512" s="27" t="n">
        <f aca="false">IFERROR(VLOOKUP(C512,Parametros!$A$36:$B$66,2,FALSE()),Parametros!$B$12)</f>
        <v>1</v>
      </c>
      <c r="L512" s="23" t="n">
        <f aca="false">H512*J512*SQRT(K512)</f>
        <v>573.790739225751</v>
      </c>
      <c r="M512" s="29" t="n">
        <v>184</v>
      </c>
      <c r="N512" s="24" t="n">
        <v>0.271739130434783</v>
      </c>
      <c r="O512" s="3" t="s">
        <v>746</v>
      </c>
      <c r="P512" s="30" t="n">
        <f aca="false">IF(AND(ISNUMBER(M512),ISNUMBER(N512)),M512*N512/7,"")</f>
        <v>7.14285714285714</v>
      </c>
      <c r="Q512" s="23" t="n">
        <f aca="false">IF(ISNUMBER(P512),I512*P512,"")</f>
        <v>8305.71428571429</v>
      </c>
      <c r="R512" s="23" t="n">
        <f aca="false">IF(ISNUMBER(Q512),MAX(0,MIN(L512,Q512-I512*K512)),L512)</f>
        <v>573.790739225751</v>
      </c>
      <c r="S512" s="23" t="n">
        <f aca="false">R512+I512*K512</f>
        <v>1736.59073922575</v>
      </c>
      <c r="T512" s="23" t="n">
        <v>210</v>
      </c>
      <c r="U512" s="23" t="n">
        <v>0</v>
      </c>
      <c r="V512" s="23" t="n">
        <f aca="false">T512+U512</f>
        <v>210</v>
      </c>
      <c r="W512" s="30" t="n">
        <f aca="false">IF(I512&gt;0,V512/I512,"")</f>
        <v>0.180598555211558</v>
      </c>
      <c r="X512" s="3" t="str">
        <f aca="false">IF(I512&lt;=0,"SIN FCST",IF(V512&lt;R512,"BAJO SS",IF(T512&lt;R512,"BAJO SS (XLIB CUBRE)",IF(V512&lt;S512,"BAJO P.REORDEN",IF(AND(ISNUMBER(Q512),V512&gt;Q512),"SOBRE MAX VENDIBLE","OK")))))</f>
        <v>BAJO SS</v>
      </c>
    </row>
    <row r="513" customFormat="false" ht="15" hidden="false" customHeight="false" outlineLevel="0" collapsed="false">
      <c r="A513" s="3" t="n">
        <v>30000088</v>
      </c>
      <c r="B513" s="3" t="s">
        <v>1101</v>
      </c>
      <c r="C513" s="3" t="s">
        <v>143</v>
      </c>
      <c r="D513" s="3" t="s">
        <v>750</v>
      </c>
      <c r="E513" s="3" t="s">
        <v>762</v>
      </c>
      <c r="F513" s="3" t="str">
        <f aca="false">IFERROR(INDEX(ABC_XYZ!$L$5:$L$494,MATCH(A513,ABC_XYZ!$A$5:$A$494,0)),"SIN HIST")</f>
        <v>CX</v>
      </c>
      <c r="G513" s="24" t="n">
        <f aca="false">IF(LEFT(F513,1)="A",Parametros!$B$8,IF(LEFT(F513,1)="B",Parametros!$B$9,IF(LEFT(F513,1)="C",Parametros!$B$10,Parametros!$B$11)))</f>
        <v>0.9</v>
      </c>
      <c r="H513" s="27" t="n">
        <f aca="false">NORMSINV(G513)</f>
        <v>1.2815515655446</v>
      </c>
      <c r="I513" s="23" t="n">
        <v>1150</v>
      </c>
      <c r="J513" s="23" t="n">
        <f aca="false">IFERROR(INDEX(ABC_XYZ!$R$5:$R$494,MATCH(A513,ABC_XYZ!$A$5:$A$494,0)),I513*Parametros!$B$13)</f>
        <v>1252.75908843007</v>
      </c>
      <c r="K513" s="27" t="n">
        <f aca="false">IFERROR(VLOOKUP(C513,Parametros!$A$36:$B$66,2,FALSE()),Parametros!$B$12)</f>
        <v>1</v>
      </c>
      <c r="L513" s="23" t="n">
        <f aca="false">H513*J513*SQRT(K513)</f>
        <v>1605.47537102779</v>
      </c>
      <c r="M513" s="29" t="n">
        <v>184</v>
      </c>
      <c r="N513" s="24" t="n">
        <v>0.244565217391304</v>
      </c>
      <c r="O513" s="3" t="s">
        <v>772</v>
      </c>
      <c r="P513" s="30" t="n">
        <f aca="false">IF(AND(ISNUMBER(M513),ISNUMBER(N513)),M513*N513/7,"")</f>
        <v>6.42857142857143</v>
      </c>
      <c r="Q513" s="23" t="n">
        <f aca="false">IF(ISNUMBER(P513),I513*P513,"")</f>
        <v>7392.85714285714</v>
      </c>
      <c r="R513" s="23" t="n">
        <f aca="false">IF(ISNUMBER(Q513),MAX(0,MIN(L513,Q513-I513*K513)),L513)</f>
        <v>1605.47537102779</v>
      </c>
      <c r="S513" s="23" t="n">
        <f aca="false">R513+I513*K513</f>
        <v>2755.47537102779</v>
      </c>
      <c r="T513" s="23" t="n">
        <v>3186</v>
      </c>
      <c r="U513" s="23" t="n">
        <v>0</v>
      </c>
      <c r="V513" s="23" t="n">
        <f aca="false">T513+U513</f>
        <v>3186</v>
      </c>
      <c r="W513" s="30" t="n">
        <f aca="false">IF(I513&gt;0,V513/I513,"")</f>
        <v>2.7704347826087</v>
      </c>
      <c r="X513" s="3" t="str">
        <f aca="false">IF(I513&lt;=0,"SIN FCST",IF(V513&lt;R513,"BAJO SS",IF(T513&lt;R513,"BAJO SS (XLIB CUBRE)",IF(V513&lt;S513,"BAJO P.REORDEN",IF(AND(ISNUMBER(Q513),V513&gt;Q513),"SOBRE MAX VENDIBLE","OK")))))</f>
        <v>OK</v>
      </c>
    </row>
    <row r="514" customFormat="false" ht="15" hidden="false" customHeight="false" outlineLevel="0" collapsed="false">
      <c r="A514" s="3" t="n">
        <v>30001899</v>
      </c>
      <c r="B514" s="3" t="s">
        <v>582</v>
      </c>
      <c r="C514" s="3" t="s">
        <v>155</v>
      </c>
      <c r="D514" s="3" t="s">
        <v>761</v>
      </c>
      <c r="E514" s="3" t="s">
        <v>762</v>
      </c>
      <c r="F514" s="3" t="str">
        <f aca="false">IFERROR(INDEX(ABC_XYZ!$L$5:$L$494,MATCH(A514,ABC_XYZ!$A$5:$A$494,0)),"SIN HIST")</f>
        <v>CX</v>
      </c>
      <c r="G514" s="24" t="n">
        <f aca="false">IF(LEFT(F514,1)="A",Parametros!$B$8,IF(LEFT(F514,1)="B",Parametros!$B$9,IF(LEFT(F514,1)="C",Parametros!$B$10,Parametros!$B$11)))</f>
        <v>0.9</v>
      </c>
      <c r="H514" s="27" t="n">
        <f aca="false">NORMSINV(G514)</f>
        <v>1.2815515655446</v>
      </c>
      <c r="I514" s="23" t="n">
        <v>1145.5</v>
      </c>
      <c r="J514" s="23" t="n">
        <f aca="false">IFERROR(INDEX(ABC_XYZ!$R$5:$R$494,MATCH(A514,ABC_XYZ!$A$5:$A$494,0)),I514*Parametros!$B$13)</f>
        <v>711.206318457345</v>
      </c>
      <c r="K514" s="27" t="n">
        <f aca="false">IFERROR(VLOOKUP(C514,Parametros!$A$36:$B$66,2,FALSE()),Parametros!$B$12)</f>
        <v>1</v>
      </c>
      <c r="L514" s="23" t="n">
        <f aca="false">H514*J514*SQRT(K514)</f>
        <v>911.447570844222</v>
      </c>
      <c r="M514" s="29" t="n">
        <v>71</v>
      </c>
      <c r="N514" s="24" t="n">
        <v>0.295774647887324</v>
      </c>
      <c r="O514" s="3" t="s">
        <v>774</v>
      </c>
      <c r="P514" s="30" t="n">
        <f aca="false">IF(AND(ISNUMBER(M514),ISNUMBER(N514)),M514*N514/7,"")</f>
        <v>3</v>
      </c>
      <c r="Q514" s="23" t="n">
        <f aca="false">IF(ISNUMBER(P514),I514*P514,"")</f>
        <v>3436.5</v>
      </c>
      <c r="R514" s="23" t="n">
        <f aca="false">IF(ISNUMBER(Q514),MAX(0,MIN(L514,Q514-I514*K514)),L514)</f>
        <v>911.447570844222</v>
      </c>
      <c r="S514" s="23" t="n">
        <f aca="false">R514+I514*K514</f>
        <v>2056.94757084422</v>
      </c>
      <c r="T514" s="23" t="n">
        <v>2931.8</v>
      </c>
      <c r="U514" s="23" t="n">
        <v>0</v>
      </c>
      <c r="V514" s="23" t="n">
        <f aca="false">T514+U514</f>
        <v>2931.8</v>
      </c>
      <c r="W514" s="30" t="n">
        <f aca="false">IF(I514&gt;0,V514/I514,"")</f>
        <v>2.55940637276299</v>
      </c>
      <c r="X514" s="3" t="str">
        <f aca="false">IF(I514&lt;=0,"SIN FCST",IF(V514&lt;R514,"BAJO SS",IF(T514&lt;R514,"BAJO SS (XLIB CUBRE)",IF(V514&lt;S514,"BAJO P.REORDEN",IF(AND(ISNUMBER(Q514),V514&gt;Q514),"SOBRE MAX VENDIBLE","OK")))))</f>
        <v>OK</v>
      </c>
    </row>
    <row r="515" customFormat="false" ht="15" hidden="false" customHeight="false" outlineLevel="0" collapsed="false">
      <c r="A515" s="3" t="n">
        <v>30002362</v>
      </c>
      <c r="B515" s="3" t="s">
        <v>1102</v>
      </c>
      <c r="C515" s="3"/>
      <c r="D515" s="3"/>
      <c r="E515" s="3"/>
      <c r="F515" s="3" t="str">
        <f aca="false">IFERROR(INDEX(ABC_XYZ!$L$5:$L$494,MATCH(A515,ABC_XYZ!$A$5:$A$494,0)),"SIN HIST")</f>
        <v>SIN HIST</v>
      </c>
      <c r="G515" s="24" t="n">
        <f aca="false">IF(LEFT(F515,1)="A",Parametros!$B$8,IF(LEFT(F515,1)="B",Parametros!$B$9,IF(LEFT(F515,1)="C",Parametros!$B$10,Parametros!$B$11)))</f>
        <v>0.95</v>
      </c>
      <c r="H515" s="27" t="n">
        <f aca="false">NORMSINV(G515)</f>
        <v>1.64485362695147</v>
      </c>
      <c r="I515" s="23" t="n">
        <v>1125</v>
      </c>
      <c r="J515" s="23" t="n">
        <f aca="false">IFERROR(INDEX(ABC_XYZ!$R$5:$R$494,MATCH(A515,ABC_XYZ!$A$5:$A$494,0)),I515*Parametros!$B$13)</f>
        <v>337.5</v>
      </c>
      <c r="K515" s="27" t="n">
        <f aca="false">IFERROR(VLOOKUP(C515,Parametros!$A$36:$B$66,2,FALSE()),Parametros!$B$12)</f>
        <v>1</v>
      </c>
      <c r="L515" s="23" t="n">
        <f aca="false">H515*J515*SQRT(K515)</f>
        <v>555.138099096122</v>
      </c>
      <c r="M515" s="29"/>
      <c r="N515" s="24"/>
      <c r="O515" s="3"/>
      <c r="P515" s="30" t="str">
        <f aca="false">IF(AND(ISNUMBER(M515),ISNUMBER(N515)),M515*N515/7,"")</f>
        <v/>
      </c>
      <c r="Q515" s="23" t="str">
        <f aca="false">IF(ISNUMBER(P515),I515*P515,"")</f>
        <v/>
      </c>
      <c r="R515" s="23" t="n">
        <f aca="false">IF(ISNUMBER(Q515),MAX(0,MIN(L515,Q515-I515*K515)),L515)</f>
        <v>555.138099096122</v>
      </c>
      <c r="S515" s="23" t="n">
        <f aca="false">R515+I515*K515</f>
        <v>1680.13809909612</v>
      </c>
      <c r="T515" s="23" t="n">
        <v>0</v>
      </c>
      <c r="U515" s="23" t="n">
        <v>0</v>
      </c>
      <c r="V515" s="23" t="n">
        <f aca="false">T515+U515</f>
        <v>0</v>
      </c>
      <c r="W515" s="30" t="n">
        <f aca="false">IF(I515&gt;0,V515/I515,"")</f>
        <v>0</v>
      </c>
      <c r="X515" s="3" t="str">
        <f aca="false">IF(I515&lt;=0,"SIN FCST",IF(V515&lt;R515,"BAJO SS",IF(T515&lt;R515,"BAJO SS (XLIB CUBRE)",IF(V515&lt;S515,"BAJO P.REORDEN",IF(AND(ISNUMBER(Q515),V515&gt;Q515),"SOBRE MAX VENDIBLE","OK")))))</f>
        <v>BAJO SS</v>
      </c>
    </row>
    <row r="516" customFormat="false" ht="15" hidden="false" customHeight="false" outlineLevel="0" collapsed="false">
      <c r="A516" s="3" t="n">
        <v>30001988</v>
      </c>
      <c r="B516" s="3" t="s">
        <v>599</v>
      </c>
      <c r="C516" s="3" t="s">
        <v>139</v>
      </c>
      <c r="D516" s="3" t="s">
        <v>753</v>
      </c>
      <c r="E516" s="3" t="s">
        <v>745</v>
      </c>
      <c r="F516" s="3" t="str">
        <f aca="false">IFERROR(INDEX(ABC_XYZ!$L$5:$L$494,MATCH(A516,ABC_XYZ!$A$5:$A$494,0)),"SIN HIST")</f>
        <v>CY</v>
      </c>
      <c r="G516" s="24" t="n">
        <f aca="false">IF(LEFT(F516,1)="A",Parametros!$B$8,IF(LEFT(F516,1)="B",Parametros!$B$9,IF(LEFT(F516,1)="C",Parametros!$B$10,Parametros!$B$11)))</f>
        <v>0.9</v>
      </c>
      <c r="H516" s="27" t="n">
        <f aca="false">NORMSINV(G516)</f>
        <v>1.2815515655446</v>
      </c>
      <c r="I516" s="23" t="n">
        <v>1125</v>
      </c>
      <c r="J516" s="23" t="n">
        <f aca="false">IFERROR(INDEX(ABC_XYZ!$R$5:$R$494,MATCH(A516,ABC_XYZ!$A$5:$A$494,0)),I516*Parametros!$B$13)</f>
        <v>1542.36290114794</v>
      </c>
      <c r="K516" s="27" t="n">
        <f aca="false">IFERROR(VLOOKUP(C516,Parametros!$A$36:$B$66,2,FALSE()),Parametros!$B$12)</f>
        <v>1</v>
      </c>
      <c r="L516" s="23" t="n">
        <f aca="false">H516*J516*SQRT(K516)</f>
        <v>1976.61759060406</v>
      </c>
      <c r="M516" s="29" t="n">
        <v>214</v>
      </c>
      <c r="N516" s="24" t="n">
        <v>0.266355140186916</v>
      </c>
      <c r="O516" s="3" t="s">
        <v>754</v>
      </c>
      <c r="P516" s="30" t="n">
        <f aca="false">IF(AND(ISNUMBER(M516),ISNUMBER(N516)),M516*N516/7,"")</f>
        <v>8.14285714285714</v>
      </c>
      <c r="Q516" s="23" t="n">
        <f aca="false">IF(ISNUMBER(P516),I516*P516,"")</f>
        <v>9160.71428571429</v>
      </c>
      <c r="R516" s="23" t="n">
        <f aca="false">IF(ISNUMBER(Q516),MAX(0,MIN(L516,Q516-I516*K516)),L516)</f>
        <v>1976.61759060406</v>
      </c>
      <c r="S516" s="23" t="n">
        <f aca="false">R516+I516*K516</f>
        <v>3101.61759060406</v>
      </c>
      <c r="T516" s="23" t="n">
        <v>13103.1</v>
      </c>
      <c r="U516" s="23" t="n">
        <v>0</v>
      </c>
      <c r="V516" s="23" t="n">
        <f aca="false">T516+U516</f>
        <v>13103.1</v>
      </c>
      <c r="W516" s="30" t="n">
        <f aca="false">IF(I516&gt;0,V516/I516,"")</f>
        <v>11.6472</v>
      </c>
      <c r="X516" s="3" t="str">
        <f aca="false">IF(I516&lt;=0,"SIN FCST",IF(V516&lt;R516,"BAJO SS",IF(T516&lt;R516,"BAJO SS (XLIB CUBRE)",IF(V516&lt;S516,"BAJO P.REORDEN",IF(AND(ISNUMBER(Q516),V516&gt;Q516),"SOBRE MAX VENDIBLE","OK")))))</f>
        <v>SOBRE MAX VENDIBLE</v>
      </c>
    </row>
    <row r="517" customFormat="false" ht="15" hidden="false" customHeight="false" outlineLevel="0" collapsed="false">
      <c r="A517" s="3" t="n">
        <v>30000499</v>
      </c>
      <c r="B517" s="3" t="s">
        <v>1103</v>
      </c>
      <c r="C517" s="3" t="s">
        <v>139</v>
      </c>
      <c r="D517" s="3" t="s">
        <v>761</v>
      </c>
      <c r="E517" s="3" t="s">
        <v>762</v>
      </c>
      <c r="F517" s="3" t="str">
        <f aca="false">IFERROR(INDEX(ABC_XYZ!$L$5:$L$494,MATCH(A517,ABC_XYZ!$A$5:$A$494,0)),"SIN HIST")</f>
        <v>CX</v>
      </c>
      <c r="G517" s="24" t="n">
        <f aca="false">IF(LEFT(F517,1)="A",Parametros!$B$8,IF(LEFT(F517,1)="B",Parametros!$B$9,IF(LEFT(F517,1)="C",Parametros!$B$10,Parametros!$B$11)))</f>
        <v>0.9</v>
      </c>
      <c r="H517" s="27" t="n">
        <f aca="false">NORMSINV(G517)</f>
        <v>1.2815515655446</v>
      </c>
      <c r="I517" s="23" t="n">
        <v>1117.7</v>
      </c>
      <c r="J517" s="23" t="n">
        <f aca="false">IFERROR(INDEX(ABC_XYZ!$R$5:$R$494,MATCH(A517,ABC_XYZ!$A$5:$A$494,0)),I517*Parametros!$B$13)</f>
        <v>418.676734380127</v>
      </c>
      <c r="K517" s="27" t="n">
        <f aca="false">IFERROR(VLOOKUP(C517,Parametros!$A$36:$B$66,2,FALSE()),Parametros!$B$12)</f>
        <v>1</v>
      </c>
      <c r="L517" s="23" t="n">
        <f aca="false">H517*J517*SQRT(K517)</f>
        <v>536.555824401952</v>
      </c>
      <c r="M517" s="29" t="n">
        <v>71</v>
      </c>
      <c r="N517" s="24" t="n">
        <v>0.23943661971831</v>
      </c>
      <c r="O517" s="3" t="s">
        <v>772</v>
      </c>
      <c r="P517" s="30" t="n">
        <f aca="false">IF(AND(ISNUMBER(M517),ISNUMBER(N517)),M517*N517/7,"")</f>
        <v>2.42857142857143</v>
      </c>
      <c r="Q517" s="23" t="n">
        <f aca="false">IF(ISNUMBER(P517),I517*P517,"")</f>
        <v>2714.41428571429</v>
      </c>
      <c r="R517" s="23" t="n">
        <f aca="false">IF(ISNUMBER(Q517),MAX(0,MIN(L517,Q517-I517*K517)),L517)</f>
        <v>536.555824401952</v>
      </c>
      <c r="S517" s="23" t="n">
        <f aca="false">R517+I517*K517</f>
        <v>1654.25582440195</v>
      </c>
      <c r="T517" s="23" t="n">
        <v>1242</v>
      </c>
      <c r="U517" s="23" t="n">
        <v>0</v>
      </c>
      <c r="V517" s="23" t="n">
        <f aca="false">T517+U517</f>
        <v>1242</v>
      </c>
      <c r="W517" s="30" t="n">
        <f aca="false">IF(I517&gt;0,V517/I517,"")</f>
        <v>1.11121052160687</v>
      </c>
      <c r="X517" s="3" t="str">
        <f aca="false">IF(I517&lt;=0,"SIN FCST",IF(V517&lt;R517,"BAJO SS",IF(T517&lt;R517,"BAJO SS (XLIB CUBRE)",IF(V517&lt;S517,"BAJO P.REORDEN",IF(AND(ISNUMBER(Q517),V517&gt;Q517),"SOBRE MAX VENDIBLE","OK")))))</f>
        <v>BAJO P.REORDEN</v>
      </c>
    </row>
    <row r="518" customFormat="false" ht="15" hidden="false" customHeight="false" outlineLevel="0" collapsed="false">
      <c r="A518" s="3" t="n">
        <v>30001686</v>
      </c>
      <c r="B518" s="3" t="s">
        <v>1104</v>
      </c>
      <c r="C518" s="3" t="s">
        <v>133</v>
      </c>
      <c r="D518" s="3" t="s">
        <v>769</v>
      </c>
      <c r="E518" s="3"/>
      <c r="F518" s="3" t="str">
        <f aca="false">IFERROR(INDEX(ABC_XYZ!$L$5:$L$494,MATCH(A518,ABC_XYZ!$A$5:$A$494,0)),"SIN HIST")</f>
        <v>SIN HIST</v>
      </c>
      <c r="G518" s="24" t="n">
        <f aca="false">IF(LEFT(F518,1)="A",Parametros!$B$8,IF(LEFT(F518,1)="B",Parametros!$B$9,IF(LEFT(F518,1)="C",Parametros!$B$10,Parametros!$B$11)))</f>
        <v>0.95</v>
      </c>
      <c r="H518" s="27" t="n">
        <f aca="false">NORMSINV(G518)</f>
        <v>1.64485362695147</v>
      </c>
      <c r="I518" s="23" t="n">
        <v>1107.3</v>
      </c>
      <c r="J518" s="23" t="n">
        <f aca="false">IFERROR(INDEX(ABC_XYZ!$R$5:$R$494,MATCH(A518,ABC_XYZ!$A$5:$A$494,0)),I518*Parametros!$B$13)</f>
        <v>332.19</v>
      </c>
      <c r="K518" s="27" t="n">
        <f aca="false">IFERROR(VLOOKUP(C518,Parametros!$A$36:$B$66,2,FALSE()),Parametros!$B$12)</f>
        <v>1</v>
      </c>
      <c r="L518" s="23" t="n">
        <f aca="false">H518*J518*SQRT(K518)</f>
        <v>546.403926337009</v>
      </c>
      <c r="M518" s="29"/>
      <c r="N518" s="24"/>
      <c r="O518" s="3"/>
      <c r="P518" s="30" t="str">
        <f aca="false">IF(AND(ISNUMBER(M518),ISNUMBER(N518)),M518*N518/7,"")</f>
        <v/>
      </c>
      <c r="Q518" s="23" t="str">
        <f aca="false">IF(ISNUMBER(P518),I518*P518,"")</f>
        <v/>
      </c>
      <c r="R518" s="23" t="n">
        <f aca="false">IF(ISNUMBER(Q518),MAX(0,MIN(L518,Q518-I518*K518)),L518)</f>
        <v>546.403926337009</v>
      </c>
      <c r="S518" s="23" t="n">
        <f aca="false">R518+I518*K518</f>
        <v>1653.70392633701</v>
      </c>
      <c r="T518" s="23" t="n">
        <v>16228</v>
      </c>
      <c r="U518" s="23" t="n">
        <v>0</v>
      </c>
      <c r="V518" s="23" t="n">
        <f aca="false">T518+U518</f>
        <v>16228</v>
      </c>
      <c r="W518" s="30" t="n">
        <f aca="false">IF(I518&gt;0,V518/I518,"")</f>
        <v>14.6554682561185</v>
      </c>
      <c r="X518" s="3" t="str">
        <f aca="false">IF(I518&lt;=0,"SIN FCST",IF(V518&lt;R518,"BAJO SS",IF(T518&lt;R518,"BAJO SS (XLIB CUBRE)",IF(V518&lt;S518,"BAJO P.REORDEN",IF(AND(ISNUMBER(Q518),V518&gt;Q518),"SOBRE MAX VENDIBLE","OK")))))</f>
        <v>OK</v>
      </c>
    </row>
    <row r="519" customFormat="false" ht="15" hidden="false" customHeight="false" outlineLevel="0" collapsed="false">
      <c r="A519" s="3" t="n">
        <v>30000459</v>
      </c>
      <c r="B519" s="3" t="s">
        <v>666</v>
      </c>
      <c r="C519" s="3" t="s">
        <v>149</v>
      </c>
      <c r="D519" s="3" t="s">
        <v>744</v>
      </c>
      <c r="E519" s="3"/>
      <c r="F519" s="3" t="str">
        <f aca="false">IFERROR(INDEX(ABC_XYZ!$L$5:$L$494,MATCH(A519,ABC_XYZ!$A$5:$A$494,0)),"SIN HIST")</f>
        <v>CZ</v>
      </c>
      <c r="G519" s="24" t="n">
        <f aca="false">IF(LEFT(F519,1)="A",Parametros!$B$8,IF(LEFT(F519,1)="B",Parametros!$B$9,IF(LEFT(F519,1)="C",Parametros!$B$10,Parametros!$B$11)))</f>
        <v>0.9</v>
      </c>
      <c r="H519" s="27" t="n">
        <f aca="false">NORMSINV(G519)</f>
        <v>1.2815515655446</v>
      </c>
      <c r="I519" s="23" t="n">
        <v>1100</v>
      </c>
      <c r="J519" s="23" t="n">
        <f aca="false">IFERROR(INDEX(ABC_XYZ!$R$5:$R$494,MATCH(A519,ABC_XYZ!$A$5:$A$494,0)),I519*Parametros!$B$13)</f>
        <v>1220.70012162251</v>
      </c>
      <c r="K519" s="27" t="n">
        <f aca="false">IFERROR(VLOOKUP(C519,Parametros!$A$36:$B$66,2,FALSE()),Parametros!$B$12)</f>
        <v>1</v>
      </c>
      <c r="L519" s="23" t="n">
        <f aca="false">H519*J519*SQRT(K519)</f>
        <v>1564.39015192581</v>
      </c>
      <c r="M519" s="29"/>
      <c r="N519" s="24"/>
      <c r="O519" s="3"/>
      <c r="P519" s="30" t="str">
        <f aca="false">IF(AND(ISNUMBER(M519),ISNUMBER(N519)),M519*N519/7,"")</f>
        <v/>
      </c>
      <c r="Q519" s="23" t="str">
        <f aca="false">IF(ISNUMBER(P519),I519*P519,"")</f>
        <v/>
      </c>
      <c r="R519" s="23" t="n">
        <f aca="false">IF(ISNUMBER(Q519),MAX(0,MIN(L519,Q519-I519*K519)),L519)</f>
        <v>1564.39015192581</v>
      </c>
      <c r="S519" s="23" t="n">
        <f aca="false">R519+I519*K519</f>
        <v>2664.39015192581</v>
      </c>
      <c r="T519" s="23" t="n">
        <v>13541</v>
      </c>
      <c r="U519" s="23" t="n">
        <v>0</v>
      </c>
      <c r="V519" s="23" t="n">
        <f aca="false">T519+U519</f>
        <v>13541</v>
      </c>
      <c r="W519" s="30" t="n">
        <f aca="false">IF(I519&gt;0,V519/I519,"")</f>
        <v>12.31</v>
      </c>
      <c r="X519" s="3" t="str">
        <f aca="false">IF(I519&lt;=0,"SIN FCST",IF(V519&lt;R519,"BAJO SS",IF(T519&lt;R519,"BAJO SS (XLIB CUBRE)",IF(V519&lt;S519,"BAJO P.REORDEN",IF(AND(ISNUMBER(Q519),V519&gt;Q519),"SOBRE MAX VENDIBLE","OK")))))</f>
        <v>OK</v>
      </c>
    </row>
    <row r="520" customFormat="false" ht="15" hidden="false" customHeight="false" outlineLevel="0" collapsed="false">
      <c r="A520" s="3" t="n">
        <v>30001707</v>
      </c>
      <c r="B520" s="3" t="s">
        <v>1105</v>
      </c>
      <c r="C520" s="3" t="s">
        <v>155</v>
      </c>
      <c r="D520" s="3" t="s">
        <v>761</v>
      </c>
      <c r="E520" s="3" t="s">
        <v>762</v>
      </c>
      <c r="F520" s="3" t="str">
        <f aca="false">IFERROR(INDEX(ABC_XYZ!$L$5:$L$494,MATCH(A520,ABC_XYZ!$A$5:$A$494,0)),"SIN HIST")</f>
        <v>CX</v>
      </c>
      <c r="G520" s="24" t="n">
        <f aca="false">IF(LEFT(F520,1)="A",Parametros!$B$8,IF(LEFT(F520,1)="B",Parametros!$B$9,IF(LEFT(F520,1)="C",Parametros!$B$10,Parametros!$B$11)))</f>
        <v>0.9</v>
      </c>
      <c r="H520" s="27" t="n">
        <f aca="false">NORMSINV(G520)</f>
        <v>1.2815515655446</v>
      </c>
      <c r="I520" s="23" t="n">
        <v>1097.5</v>
      </c>
      <c r="J520" s="23" t="n">
        <f aca="false">IFERROR(INDEX(ABC_XYZ!$R$5:$R$494,MATCH(A520,ABC_XYZ!$A$5:$A$494,0)),I520*Parametros!$B$13)</f>
        <v>477.851366963909</v>
      </c>
      <c r="K520" s="27" t="n">
        <f aca="false">IFERROR(VLOOKUP(C520,Parametros!$A$36:$B$66,2,FALSE()),Parametros!$B$12)</f>
        <v>1</v>
      </c>
      <c r="L520" s="23" t="n">
        <f aca="false">H520*J520*SQRT(K520)</f>
        <v>612.391167430226</v>
      </c>
      <c r="M520" s="29" t="n">
        <v>71</v>
      </c>
      <c r="N520" s="24" t="n">
        <v>0.295774647887324</v>
      </c>
      <c r="O520" s="3" t="s">
        <v>774</v>
      </c>
      <c r="P520" s="30" t="n">
        <f aca="false">IF(AND(ISNUMBER(M520),ISNUMBER(N520)),M520*N520/7,"")</f>
        <v>3</v>
      </c>
      <c r="Q520" s="23" t="n">
        <f aca="false">IF(ISNUMBER(P520),I520*P520,"")</f>
        <v>3292.5</v>
      </c>
      <c r="R520" s="23" t="n">
        <f aca="false">IF(ISNUMBER(Q520),MAX(0,MIN(L520,Q520-I520*K520)),L520)</f>
        <v>612.391167430226</v>
      </c>
      <c r="S520" s="23" t="n">
        <f aca="false">R520+I520*K520</f>
        <v>1709.89116743023</v>
      </c>
      <c r="T520" s="23" t="n">
        <v>2056.3</v>
      </c>
      <c r="U520" s="23" t="n">
        <v>0</v>
      </c>
      <c r="V520" s="23" t="n">
        <f aca="false">T520+U520</f>
        <v>2056.3</v>
      </c>
      <c r="W520" s="30" t="n">
        <f aca="false">IF(I520&gt;0,V520/I520,"")</f>
        <v>1.87362186788155</v>
      </c>
      <c r="X520" s="3" t="str">
        <f aca="false">IF(I520&lt;=0,"SIN FCST",IF(V520&lt;R520,"BAJO SS",IF(T520&lt;R520,"BAJO SS (XLIB CUBRE)",IF(V520&lt;S520,"BAJO P.REORDEN",IF(AND(ISNUMBER(Q520),V520&gt;Q520),"SOBRE MAX VENDIBLE","OK")))))</f>
        <v>OK</v>
      </c>
    </row>
    <row r="521" customFormat="false" ht="15" hidden="false" customHeight="false" outlineLevel="0" collapsed="false">
      <c r="A521" s="3" t="n">
        <v>30001701</v>
      </c>
      <c r="B521" s="3" t="s">
        <v>1106</v>
      </c>
      <c r="C521" s="3" t="s">
        <v>133</v>
      </c>
      <c r="D521" s="3" t="s">
        <v>758</v>
      </c>
      <c r="E521" s="3"/>
      <c r="F521" s="3" t="str">
        <f aca="false">IFERROR(INDEX(ABC_XYZ!$L$5:$L$494,MATCH(A521,ABC_XYZ!$A$5:$A$494,0)),"SIN HIST")</f>
        <v>SIN HIST</v>
      </c>
      <c r="G521" s="24" t="n">
        <f aca="false">IF(LEFT(F521,1)="A",Parametros!$B$8,IF(LEFT(F521,1)="B",Parametros!$B$9,IF(LEFT(F521,1)="C",Parametros!$B$10,Parametros!$B$11)))</f>
        <v>0.95</v>
      </c>
      <c r="H521" s="27" t="n">
        <f aca="false">NORMSINV(G521)</f>
        <v>1.64485362695147</v>
      </c>
      <c r="I521" s="23" t="n">
        <v>1097</v>
      </c>
      <c r="J521" s="23" t="n">
        <f aca="false">IFERROR(INDEX(ABC_XYZ!$R$5:$R$494,MATCH(A521,ABC_XYZ!$A$5:$A$494,0)),I521*Parametros!$B$13)</f>
        <v>329.1</v>
      </c>
      <c r="K521" s="27" t="n">
        <f aca="false">IFERROR(VLOOKUP(C521,Parametros!$A$36:$B$66,2,FALSE()),Parametros!$B$12)</f>
        <v>1</v>
      </c>
      <c r="L521" s="23" t="n">
        <f aca="false">H521*J521*SQRT(K521)</f>
        <v>541.321328629729</v>
      </c>
      <c r="M521" s="29"/>
      <c r="N521" s="24"/>
      <c r="O521" s="3"/>
      <c r="P521" s="30" t="str">
        <f aca="false">IF(AND(ISNUMBER(M521),ISNUMBER(N521)),M521*N521/7,"")</f>
        <v/>
      </c>
      <c r="Q521" s="23" t="str">
        <f aca="false">IF(ISNUMBER(P521),I521*P521,"")</f>
        <v/>
      </c>
      <c r="R521" s="23" t="n">
        <f aca="false">IF(ISNUMBER(Q521),MAX(0,MIN(L521,Q521-I521*K521)),L521)</f>
        <v>541.321328629729</v>
      </c>
      <c r="S521" s="23" t="n">
        <f aca="false">R521+I521*K521</f>
        <v>1638.32132862973</v>
      </c>
      <c r="T521" s="23" t="n">
        <v>2592.8</v>
      </c>
      <c r="U521" s="23" t="n">
        <v>0</v>
      </c>
      <c r="V521" s="23" t="n">
        <f aca="false">T521+U521</f>
        <v>2592.8</v>
      </c>
      <c r="W521" s="30" t="n">
        <f aca="false">IF(I521&gt;0,V521/I521,"")</f>
        <v>2.36353691886964</v>
      </c>
      <c r="X521" s="3" t="str">
        <f aca="false">IF(I521&lt;=0,"SIN FCST",IF(V521&lt;R521,"BAJO SS",IF(T521&lt;R521,"BAJO SS (XLIB CUBRE)",IF(V521&lt;S521,"BAJO P.REORDEN",IF(AND(ISNUMBER(Q521),V521&gt;Q521),"SOBRE MAX VENDIBLE","OK")))))</f>
        <v>OK</v>
      </c>
    </row>
    <row r="522" customFormat="false" ht="15" hidden="false" customHeight="false" outlineLevel="0" collapsed="false">
      <c r="A522" s="3" t="n">
        <v>30000711</v>
      </c>
      <c r="B522" s="3" t="s">
        <v>1107</v>
      </c>
      <c r="C522" s="3" t="s">
        <v>133</v>
      </c>
      <c r="D522" s="3" t="s">
        <v>758</v>
      </c>
      <c r="E522" s="3"/>
      <c r="F522" s="3" t="str">
        <f aca="false">IFERROR(INDEX(ABC_XYZ!$L$5:$L$494,MATCH(A522,ABC_XYZ!$A$5:$A$494,0)),"SIN HIST")</f>
        <v>SIN HIST</v>
      </c>
      <c r="G522" s="24" t="n">
        <f aca="false">IF(LEFT(F522,1)="A",Parametros!$B$8,IF(LEFT(F522,1)="B",Parametros!$B$9,IF(LEFT(F522,1)="C",Parametros!$B$10,Parametros!$B$11)))</f>
        <v>0.95</v>
      </c>
      <c r="H522" s="27" t="n">
        <f aca="false">NORMSINV(G522)</f>
        <v>1.64485362695147</v>
      </c>
      <c r="I522" s="23" t="n">
        <v>1081.3</v>
      </c>
      <c r="J522" s="23" t="n">
        <f aca="false">IFERROR(INDEX(ABC_XYZ!$R$5:$R$494,MATCH(A522,ABC_XYZ!$A$5:$A$494,0)),I522*Parametros!$B$13)</f>
        <v>324.39</v>
      </c>
      <c r="K522" s="27" t="n">
        <f aca="false">IFERROR(VLOOKUP(C522,Parametros!$A$36:$B$66,2,FALSE()),Parametros!$B$12)</f>
        <v>1</v>
      </c>
      <c r="L522" s="23" t="n">
        <f aca="false">H522*J522*SQRT(K522)</f>
        <v>533.574068046788</v>
      </c>
      <c r="M522" s="29"/>
      <c r="N522" s="24"/>
      <c r="O522" s="3"/>
      <c r="P522" s="30" t="str">
        <f aca="false">IF(AND(ISNUMBER(M522),ISNUMBER(N522)),M522*N522/7,"")</f>
        <v/>
      </c>
      <c r="Q522" s="23" t="str">
        <f aca="false">IF(ISNUMBER(P522),I522*P522,"")</f>
        <v/>
      </c>
      <c r="R522" s="23" t="n">
        <f aca="false">IF(ISNUMBER(Q522),MAX(0,MIN(L522,Q522-I522*K522)),L522)</f>
        <v>533.574068046788</v>
      </c>
      <c r="S522" s="23" t="n">
        <f aca="false">R522+I522*K522</f>
        <v>1614.87406804679</v>
      </c>
      <c r="T522" s="23" t="n">
        <v>7188</v>
      </c>
      <c r="U522" s="23" t="n">
        <v>0</v>
      </c>
      <c r="V522" s="23" t="n">
        <f aca="false">T522+U522</f>
        <v>7188</v>
      </c>
      <c r="W522" s="30" t="n">
        <f aca="false">IF(I522&gt;0,V522/I522,"")</f>
        <v>6.64755387034126</v>
      </c>
      <c r="X522" s="3" t="str">
        <f aca="false">IF(I522&lt;=0,"SIN FCST",IF(V522&lt;R522,"BAJO SS",IF(T522&lt;R522,"BAJO SS (XLIB CUBRE)",IF(V522&lt;S522,"BAJO P.REORDEN",IF(AND(ISNUMBER(Q522),V522&gt;Q522),"SOBRE MAX VENDIBLE","OK")))))</f>
        <v>OK</v>
      </c>
    </row>
    <row r="523" customFormat="false" ht="15" hidden="false" customHeight="false" outlineLevel="0" collapsed="false">
      <c r="A523" s="3" t="n">
        <v>30002241</v>
      </c>
      <c r="B523" s="3" t="s">
        <v>1108</v>
      </c>
      <c r="C523" s="3" t="s">
        <v>133</v>
      </c>
      <c r="D523" s="3" t="s">
        <v>758</v>
      </c>
      <c r="E523" s="3"/>
      <c r="F523" s="3" t="str">
        <f aca="false">IFERROR(INDEX(ABC_XYZ!$L$5:$L$494,MATCH(A523,ABC_XYZ!$A$5:$A$494,0)),"SIN HIST")</f>
        <v>SIN HIST</v>
      </c>
      <c r="G523" s="24" t="n">
        <f aca="false">IF(LEFT(F523,1)="A",Parametros!$B$8,IF(LEFT(F523,1)="B",Parametros!$B$9,IF(LEFT(F523,1)="C",Parametros!$B$10,Parametros!$B$11)))</f>
        <v>0.95</v>
      </c>
      <c r="H523" s="27" t="n">
        <f aca="false">NORMSINV(G523)</f>
        <v>1.64485362695147</v>
      </c>
      <c r="I523" s="23" t="n">
        <v>1069.8</v>
      </c>
      <c r="J523" s="23" t="n">
        <f aca="false">IFERROR(INDEX(ABC_XYZ!$R$5:$R$494,MATCH(A523,ABC_XYZ!$A$5:$A$494,0)),I523*Parametros!$B$13)</f>
        <v>320.94</v>
      </c>
      <c r="K523" s="27" t="n">
        <f aca="false">IFERROR(VLOOKUP(C523,Parametros!$A$36:$B$66,2,FALSE()),Parametros!$B$12)</f>
        <v>1</v>
      </c>
      <c r="L523" s="23" t="n">
        <f aca="false">H523*J523*SQRT(K523)</f>
        <v>527.899323033805</v>
      </c>
      <c r="M523" s="29"/>
      <c r="N523" s="24"/>
      <c r="O523" s="3"/>
      <c r="P523" s="30" t="str">
        <f aca="false">IF(AND(ISNUMBER(M523),ISNUMBER(N523)),M523*N523/7,"")</f>
        <v/>
      </c>
      <c r="Q523" s="23" t="str">
        <f aca="false">IF(ISNUMBER(P523),I523*P523,"")</f>
        <v/>
      </c>
      <c r="R523" s="23" t="n">
        <f aca="false">IF(ISNUMBER(Q523),MAX(0,MIN(L523,Q523-I523*K523)),L523)</f>
        <v>527.899323033805</v>
      </c>
      <c r="S523" s="23" t="n">
        <f aca="false">R523+I523*K523</f>
        <v>1597.69932303381</v>
      </c>
      <c r="T523" s="23" t="n">
        <v>3355.2</v>
      </c>
      <c r="U523" s="23" t="n">
        <v>0</v>
      </c>
      <c r="V523" s="23" t="n">
        <f aca="false">T523+U523</f>
        <v>3355.2</v>
      </c>
      <c r="W523" s="30" t="n">
        <f aca="false">IF(I523&gt;0,V523/I523,"")</f>
        <v>3.13628715647785</v>
      </c>
      <c r="X523" s="3" t="str">
        <f aca="false">IF(I523&lt;=0,"SIN FCST",IF(V523&lt;R523,"BAJO SS",IF(T523&lt;R523,"BAJO SS (XLIB CUBRE)",IF(V523&lt;S523,"BAJO P.REORDEN",IF(AND(ISNUMBER(Q523),V523&gt;Q523),"SOBRE MAX VENDIBLE","OK")))))</f>
        <v>OK</v>
      </c>
    </row>
    <row r="524" customFormat="false" ht="15" hidden="false" customHeight="false" outlineLevel="0" collapsed="false">
      <c r="A524" s="3" t="n">
        <v>30000713</v>
      </c>
      <c r="B524" s="3" t="s">
        <v>1109</v>
      </c>
      <c r="C524" s="3" t="s">
        <v>133</v>
      </c>
      <c r="D524" s="3" t="s">
        <v>769</v>
      </c>
      <c r="E524" s="3"/>
      <c r="F524" s="3" t="str">
        <f aca="false">IFERROR(INDEX(ABC_XYZ!$L$5:$L$494,MATCH(A524,ABC_XYZ!$A$5:$A$494,0)),"SIN HIST")</f>
        <v>SIN HIST</v>
      </c>
      <c r="G524" s="24" t="n">
        <f aca="false">IF(LEFT(F524,1)="A",Parametros!$B$8,IF(LEFT(F524,1)="B",Parametros!$B$9,IF(LEFT(F524,1)="C",Parametros!$B$10,Parametros!$B$11)))</f>
        <v>0.95</v>
      </c>
      <c r="H524" s="27" t="n">
        <f aca="false">NORMSINV(G524)</f>
        <v>1.64485362695147</v>
      </c>
      <c r="I524" s="23" t="n">
        <v>1024.4</v>
      </c>
      <c r="J524" s="23" t="n">
        <f aca="false">IFERROR(INDEX(ABC_XYZ!$R$5:$R$494,MATCH(A524,ABC_XYZ!$A$5:$A$494,0)),I524*Parametros!$B$13)</f>
        <v>307.32</v>
      </c>
      <c r="K524" s="27" t="n">
        <f aca="false">IFERROR(VLOOKUP(C524,Parametros!$A$36:$B$66,2,FALSE()),Parametros!$B$12)</f>
        <v>1</v>
      </c>
      <c r="L524" s="23" t="n">
        <f aca="false">H524*J524*SQRT(K524)</f>
        <v>505.496416634726</v>
      </c>
      <c r="M524" s="29"/>
      <c r="N524" s="24"/>
      <c r="O524" s="3"/>
      <c r="P524" s="30" t="str">
        <f aca="false">IF(AND(ISNUMBER(M524),ISNUMBER(N524)),M524*N524/7,"")</f>
        <v/>
      </c>
      <c r="Q524" s="23" t="str">
        <f aca="false">IF(ISNUMBER(P524),I524*P524,"")</f>
        <v/>
      </c>
      <c r="R524" s="23" t="n">
        <f aca="false">IF(ISNUMBER(Q524),MAX(0,MIN(L524,Q524-I524*K524)),L524)</f>
        <v>505.496416634726</v>
      </c>
      <c r="S524" s="23" t="n">
        <f aca="false">R524+I524*K524</f>
        <v>1529.89641663473</v>
      </c>
      <c r="T524" s="23" t="n">
        <v>20148</v>
      </c>
      <c r="U524" s="23" t="n">
        <v>168</v>
      </c>
      <c r="V524" s="23" t="n">
        <f aca="false">T524+U524</f>
        <v>20316</v>
      </c>
      <c r="W524" s="30" t="n">
        <f aca="false">IF(I524&gt;0,V524/I524,"")</f>
        <v>19.832096837173</v>
      </c>
      <c r="X524" s="3" t="str">
        <f aca="false">IF(I524&lt;=0,"SIN FCST",IF(V524&lt;R524,"BAJO SS",IF(T524&lt;R524,"BAJO SS (XLIB CUBRE)",IF(V524&lt;S524,"BAJO P.REORDEN",IF(AND(ISNUMBER(Q524),V524&gt;Q524),"SOBRE MAX VENDIBLE","OK")))))</f>
        <v>OK</v>
      </c>
    </row>
    <row r="525" customFormat="false" ht="15" hidden="false" customHeight="false" outlineLevel="0" collapsed="false">
      <c r="A525" s="3" t="n">
        <v>30001999</v>
      </c>
      <c r="B525" s="3" t="s">
        <v>1110</v>
      </c>
      <c r="C525" s="3" t="s">
        <v>133</v>
      </c>
      <c r="D525" s="3" t="s">
        <v>769</v>
      </c>
      <c r="E525" s="3"/>
      <c r="F525" s="3" t="str">
        <f aca="false">IFERROR(INDEX(ABC_XYZ!$L$5:$L$494,MATCH(A525,ABC_XYZ!$A$5:$A$494,0)),"SIN HIST")</f>
        <v>SIN HIST</v>
      </c>
      <c r="G525" s="24" t="n">
        <f aca="false">IF(LEFT(F525,1)="A",Parametros!$B$8,IF(LEFT(F525,1)="B",Parametros!$B$9,IF(LEFT(F525,1)="C",Parametros!$B$10,Parametros!$B$11)))</f>
        <v>0.95</v>
      </c>
      <c r="H525" s="27" t="n">
        <f aca="false">NORMSINV(G525)</f>
        <v>1.64485362695147</v>
      </c>
      <c r="I525" s="23" t="n">
        <v>1012.2</v>
      </c>
      <c r="J525" s="23" t="n">
        <f aca="false">IFERROR(INDEX(ABC_XYZ!$R$5:$R$494,MATCH(A525,ABC_XYZ!$A$5:$A$494,0)),I525*Parametros!$B$13)</f>
        <v>303.66</v>
      </c>
      <c r="K525" s="27" t="n">
        <f aca="false">IFERROR(VLOOKUP(C525,Parametros!$A$36:$B$66,2,FALSE()),Parametros!$B$12)</f>
        <v>1</v>
      </c>
      <c r="L525" s="23" t="n">
        <f aca="false">H525*J525*SQRT(K525)</f>
        <v>499.476252360084</v>
      </c>
      <c r="M525" s="29"/>
      <c r="N525" s="24"/>
      <c r="O525" s="3"/>
      <c r="P525" s="30" t="str">
        <f aca="false">IF(AND(ISNUMBER(M525),ISNUMBER(N525)),M525*N525/7,"")</f>
        <v/>
      </c>
      <c r="Q525" s="23" t="str">
        <f aca="false">IF(ISNUMBER(P525),I525*P525,"")</f>
        <v/>
      </c>
      <c r="R525" s="23" t="n">
        <f aca="false">IF(ISNUMBER(Q525),MAX(0,MIN(L525,Q525-I525*K525)),L525)</f>
        <v>499.476252360084</v>
      </c>
      <c r="S525" s="23" t="n">
        <f aca="false">R525+I525*K525</f>
        <v>1511.67625236008</v>
      </c>
      <c r="T525" s="23" t="n">
        <v>8487.5</v>
      </c>
      <c r="U525" s="23" t="n">
        <v>0</v>
      </c>
      <c r="V525" s="23" t="n">
        <f aca="false">T525+U525</f>
        <v>8487.5</v>
      </c>
      <c r="W525" s="30" t="n">
        <f aca="false">IF(I525&gt;0,V525/I525,"")</f>
        <v>8.38520055325035</v>
      </c>
      <c r="X525" s="3" t="str">
        <f aca="false">IF(I525&lt;=0,"SIN FCST",IF(V525&lt;R525,"BAJO SS",IF(T525&lt;R525,"BAJO SS (XLIB CUBRE)",IF(V525&lt;S525,"BAJO P.REORDEN",IF(AND(ISNUMBER(Q525),V525&gt;Q525),"SOBRE MAX VENDIBLE","OK")))))</f>
        <v>OK</v>
      </c>
    </row>
    <row r="526" customFormat="false" ht="15" hidden="false" customHeight="false" outlineLevel="0" collapsed="false">
      <c r="A526" s="3" t="n">
        <v>30001748</v>
      </c>
      <c r="B526" s="3" t="s">
        <v>1111</v>
      </c>
      <c r="C526" s="3" t="s">
        <v>144</v>
      </c>
      <c r="D526" s="3" t="s">
        <v>753</v>
      </c>
      <c r="E526" s="3" t="s">
        <v>745</v>
      </c>
      <c r="F526" s="3" t="str">
        <f aca="false">IFERROR(INDEX(ABC_XYZ!$L$5:$L$494,MATCH(A526,ABC_XYZ!$A$5:$A$494,0)),"SIN HIST")</f>
        <v>CX</v>
      </c>
      <c r="G526" s="24" t="n">
        <f aca="false">IF(LEFT(F526,1)="A",Parametros!$B$8,IF(LEFT(F526,1)="B",Parametros!$B$9,IF(LEFT(F526,1)="C",Parametros!$B$10,Parametros!$B$11)))</f>
        <v>0.9</v>
      </c>
      <c r="H526" s="27" t="n">
        <f aca="false">NORMSINV(G526)</f>
        <v>1.2815515655446</v>
      </c>
      <c r="I526" s="23" t="n">
        <v>994.1</v>
      </c>
      <c r="J526" s="23" t="n">
        <f aca="false">IFERROR(INDEX(ABC_XYZ!$R$5:$R$494,MATCH(A526,ABC_XYZ!$A$5:$A$494,0)),I526*Parametros!$B$13)</f>
        <v>409.629059841543</v>
      </c>
      <c r="K526" s="27" t="n">
        <f aca="false">IFERROR(VLOOKUP(C526,Parametros!$A$36:$B$66,2,FALSE()),Parametros!$B$12)</f>
        <v>1</v>
      </c>
      <c r="L526" s="23" t="n">
        <f aca="false">H526*J526*SQRT(K526)</f>
        <v>524.960762932493</v>
      </c>
      <c r="M526" s="29" t="n">
        <v>365</v>
      </c>
      <c r="N526" s="24" t="n">
        <v>0.273972602739726</v>
      </c>
      <c r="O526" s="3" t="s">
        <v>746</v>
      </c>
      <c r="P526" s="30" t="n">
        <f aca="false">IF(AND(ISNUMBER(M526),ISNUMBER(N526)),M526*N526/7,"")</f>
        <v>14.2857142857143</v>
      </c>
      <c r="Q526" s="23" t="n">
        <f aca="false">IF(ISNUMBER(P526),I526*P526,"")</f>
        <v>14201.4285714286</v>
      </c>
      <c r="R526" s="23" t="n">
        <f aca="false">IF(ISNUMBER(Q526),MAX(0,MIN(L526,Q526-I526*K526)),L526)</f>
        <v>524.960762932493</v>
      </c>
      <c r="S526" s="23" t="n">
        <f aca="false">R526+I526*K526</f>
        <v>1519.06076293249</v>
      </c>
      <c r="T526" s="23" t="n">
        <v>2862</v>
      </c>
      <c r="U526" s="23" t="n">
        <v>0</v>
      </c>
      <c r="V526" s="23" t="n">
        <f aca="false">T526+U526</f>
        <v>2862</v>
      </c>
      <c r="W526" s="30" t="n">
        <f aca="false">IF(I526&gt;0,V526/I526,"")</f>
        <v>2.87898601750327</v>
      </c>
      <c r="X526" s="3" t="str">
        <f aca="false">IF(I526&lt;=0,"SIN FCST",IF(V526&lt;R526,"BAJO SS",IF(T526&lt;R526,"BAJO SS (XLIB CUBRE)",IF(V526&lt;S526,"BAJO P.REORDEN",IF(AND(ISNUMBER(Q526),V526&gt;Q526),"SOBRE MAX VENDIBLE","OK")))))</f>
        <v>OK</v>
      </c>
    </row>
    <row r="527" customFormat="false" ht="15" hidden="false" customHeight="false" outlineLevel="0" collapsed="false">
      <c r="A527" s="3" t="n">
        <v>30001572</v>
      </c>
      <c r="B527" s="3" t="s">
        <v>1112</v>
      </c>
      <c r="C527" s="3" t="s">
        <v>133</v>
      </c>
      <c r="D527" s="3" t="s">
        <v>769</v>
      </c>
      <c r="E527" s="3"/>
      <c r="F527" s="3" t="str">
        <f aca="false">IFERROR(INDEX(ABC_XYZ!$L$5:$L$494,MATCH(A527,ABC_XYZ!$A$5:$A$494,0)),"SIN HIST")</f>
        <v>SIN HIST</v>
      </c>
      <c r="G527" s="24" t="n">
        <f aca="false">IF(LEFT(F527,1)="A",Parametros!$B$8,IF(LEFT(F527,1)="B",Parametros!$B$9,IF(LEFT(F527,1)="C",Parametros!$B$10,Parametros!$B$11)))</f>
        <v>0.95</v>
      </c>
      <c r="H527" s="27" t="n">
        <f aca="false">NORMSINV(G527)</f>
        <v>1.64485362695147</v>
      </c>
      <c r="I527" s="23" t="n">
        <v>990.7</v>
      </c>
      <c r="J527" s="23" t="n">
        <f aca="false">IFERROR(INDEX(ABC_XYZ!$R$5:$R$494,MATCH(A527,ABC_XYZ!$A$5:$A$494,0)),I527*Parametros!$B$13)</f>
        <v>297.21</v>
      </c>
      <c r="K527" s="27" t="n">
        <f aca="false">IFERROR(VLOOKUP(C527,Parametros!$A$36:$B$66,2,FALSE()),Parametros!$B$12)</f>
        <v>1</v>
      </c>
      <c r="L527" s="23" t="n">
        <f aca="false">H527*J527*SQRT(K527)</f>
        <v>488.866946466247</v>
      </c>
      <c r="M527" s="29"/>
      <c r="N527" s="24"/>
      <c r="O527" s="3"/>
      <c r="P527" s="30" t="str">
        <f aca="false">IF(AND(ISNUMBER(M527),ISNUMBER(N527)),M527*N527/7,"")</f>
        <v/>
      </c>
      <c r="Q527" s="23" t="str">
        <f aca="false">IF(ISNUMBER(P527),I527*P527,"")</f>
        <v/>
      </c>
      <c r="R527" s="23" t="n">
        <f aca="false">IF(ISNUMBER(Q527),MAX(0,MIN(L527,Q527-I527*K527)),L527)</f>
        <v>488.866946466247</v>
      </c>
      <c r="S527" s="23" t="n">
        <f aca="false">R527+I527*K527</f>
        <v>1479.56694646625</v>
      </c>
      <c r="T527" s="23" t="n">
        <v>32570</v>
      </c>
      <c r="U527" s="23" t="n">
        <v>0</v>
      </c>
      <c r="V527" s="23" t="n">
        <f aca="false">T527+U527</f>
        <v>32570</v>
      </c>
      <c r="W527" s="30" t="n">
        <f aca="false">IF(I527&gt;0,V527/I527,"")</f>
        <v>32.8757444231352</v>
      </c>
      <c r="X527" s="3" t="str">
        <f aca="false">IF(I527&lt;=0,"SIN FCST",IF(V527&lt;R527,"BAJO SS",IF(T527&lt;R527,"BAJO SS (XLIB CUBRE)",IF(V527&lt;S527,"BAJO P.REORDEN",IF(AND(ISNUMBER(Q527),V527&gt;Q527),"SOBRE MAX VENDIBLE","OK")))))</f>
        <v>OK</v>
      </c>
    </row>
    <row r="528" customFormat="false" ht="15" hidden="false" customHeight="false" outlineLevel="0" collapsed="false">
      <c r="A528" s="3" t="n">
        <v>30001913</v>
      </c>
      <c r="B528" s="3" t="s">
        <v>1113</v>
      </c>
      <c r="C528" s="3" t="s">
        <v>133</v>
      </c>
      <c r="D528" s="3" t="s">
        <v>769</v>
      </c>
      <c r="E528" s="3"/>
      <c r="F528" s="3" t="str">
        <f aca="false">IFERROR(INDEX(ABC_XYZ!$L$5:$L$494,MATCH(A528,ABC_XYZ!$A$5:$A$494,0)),"SIN HIST")</f>
        <v>SIN HIST</v>
      </c>
      <c r="G528" s="24" t="n">
        <f aca="false">IF(LEFT(F528,1)="A",Parametros!$B$8,IF(LEFT(F528,1)="B",Parametros!$B$9,IF(LEFT(F528,1)="C",Parametros!$B$10,Parametros!$B$11)))</f>
        <v>0.95</v>
      </c>
      <c r="H528" s="27" t="n">
        <f aca="false">NORMSINV(G528)</f>
        <v>1.64485362695147</v>
      </c>
      <c r="I528" s="23" t="n">
        <v>988.6</v>
      </c>
      <c r="J528" s="23" t="n">
        <f aca="false">IFERROR(INDEX(ABC_XYZ!$R$5:$R$494,MATCH(A528,ABC_XYZ!$A$5:$A$494,0)),I528*Parametros!$B$13)</f>
        <v>296.58</v>
      </c>
      <c r="K528" s="27" t="n">
        <f aca="false">IFERROR(VLOOKUP(C528,Parametros!$A$36:$B$66,2,FALSE()),Parametros!$B$12)</f>
        <v>1</v>
      </c>
      <c r="L528" s="23" t="n">
        <f aca="false">H528*J528*SQRT(K528)</f>
        <v>487.830688681267</v>
      </c>
      <c r="M528" s="29"/>
      <c r="N528" s="24"/>
      <c r="O528" s="3"/>
      <c r="P528" s="30" t="str">
        <f aca="false">IF(AND(ISNUMBER(M528),ISNUMBER(N528)),M528*N528/7,"")</f>
        <v/>
      </c>
      <c r="Q528" s="23" t="str">
        <f aca="false">IF(ISNUMBER(P528),I528*P528,"")</f>
        <v/>
      </c>
      <c r="R528" s="23" t="n">
        <f aca="false">IF(ISNUMBER(Q528),MAX(0,MIN(L528,Q528-I528*K528)),L528)</f>
        <v>487.830688681267</v>
      </c>
      <c r="S528" s="23" t="n">
        <f aca="false">R528+I528*K528</f>
        <v>1476.43068868127</v>
      </c>
      <c r="T528" s="23" t="n">
        <v>4032</v>
      </c>
      <c r="U528" s="23" t="n">
        <v>0</v>
      </c>
      <c r="V528" s="23" t="n">
        <f aca="false">T528+U528</f>
        <v>4032</v>
      </c>
      <c r="W528" s="30" t="n">
        <f aca="false">IF(I528&gt;0,V528/I528,"")</f>
        <v>4.07849484118956</v>
      </c>
      <c r="X528" s="3" t="str">
        <f aca="false">IF(I528&lt;=0,"SIN FCST",IF(V528&lt;R528,"BAJO SS",IF(T528&lt;R528,"BAJO SS (XLIB CUBRE)",IF(V528&lt;S528,"BAJO P.REORDEN",IF(AND(ISNUMBER(Q528),V528&gt;Q528),"SOBRE MAX VENDIBLE","OK")))))</f>
        <v>OK</v>
      </c>
    </row>
    <row r="529" customFormat="false" ht="15" hidden="false" customHeight="false" outlineLevel="0" collapsed="false">
      <c r="A529" s="3" t="n">
        <v>30001152</v>
      </c>
      <c r="B529" s="3" t="s">
        <v>577</v>
      </c>
      <c r="C529" s="3" t="s">
        <v>129</v>
      </c>
      <c r="D529" s="3" t="s">
        <v>753</v>
      </c>
      <c r="E529" s="3" t="s">
        <v>745</v>
      </c>
      <c r="F529" s="3" t="str">
        <f aca="false">IFERROR(INDEX(ABC_XYZ!$L$5:$L$494,MATCH(A529,ABC_XYZ!$A$5:$A$494,0)),"SIN HIST")</f>
        <v>CX</v>
      </c>
      <c r="G529" s="24" t="n">
        <f aca="false">IF(LEFT(F529,1)="A",Parametros!$B$8,IF(LEFT(F529,1)="B",Parametros!$B$9,IF(LEFT(F529,1)="C",Parametros!$B$10,Parametros!$B$11)))</f>
        <v>0.9</v>
      </c>
      <c r="H529" s="27" t="n">
        <f aca="false">NORMSINV(G529)</f>
        <v>1.2815515655446</v>
      </c>
      <c r="I529" s="23" t="n">
        <v>982.5</v>
      </c>
      <c r="J529" s="23" t="n">
        <f aca="false">IFERROR(INDEX(ABC_XYZ!$R$5:$R$494,MATCH(A529,ABC_XYZ!$A$5:$A$494,0)),I529*Parametros!$B$13)</f>
        <v>508.715441610861</v>
      </c>
      <c r="K529" s="27" t="n">
        <f aca="false">IFERROR(VLOOKUP(C529,Parametros!$A$36:$B$66,2,FALSE()),Parametros!$B$12)</f>
        <v>1</v>
      </c>
      <c r="L529" s="23" t="n">
        <f aca="false">H529*J529*SQRT(K529)</f>
        <v>651.945070613112</v>
      </c>
      <c r="M529" s="29" t="n">
        <v>730</v>
      </c>
      <c r="N529" s="24" t="n">
        <v>0.197260273972603</v>
      </c>
      <c r="O529" s="3" t="s">
        <v>746</v>
      </c>
      <c r="P529" s="30" t="n">
        <f aca="false">IF(AND(ISNUMBER(M529),ISNUMBER(N529)),M529*N529/7,"")</f>
        <v>20.5714285714286</v>
      </c>
      <c r="Q529" s="23" t="n">
        <f aca="false">IF(ISNUMBER(P529),I529*P529,"")</f>
        <v>20211.4285714286</v>
      </c>
      <c r="R529" s="23" t="n">
        <f aca="false">IF(ISNUMBER(Q529),MAX(0,MIN(L529,Q529-I529*K529)),L529)</f>
        <v>651.945070613112</v>
      </c>
      <c r="S529" s="23" t="n">
        <f aca="false">R529+I529*K529</f>
        <v>1634.44507061311</v>
      </c>
      <c r="T529" s="23" t="n">
        <v>17698.9</v>
      </c>
      <c r="U529" s="23" t="n">
        <v>0</v>
      </c>
      <c r="V529" s="23" t="n">
        <f aca="false">T529+U529</f>
        <v>17698.9</v>
      </c>
      <c r="W529" s="30" t="n">
        <f aca="false">IF(I529&gt;0,V529/I529,"")</f>
        <v>18.0141475826972</v>
      </c>
      <c r="X529" s="3" t="str">
        <f aca="false">IF(I529&lt;=0,"SIN FCST",IF(V529&lt;R529,"BAJO SS",IF(T529&lt;R529,"BAJO SS (XLIB CUBRE)",IF(V529&lt;S529,"BAJO P.REORDEN",IF(AND(ISNUMBER(Q529),V529&gt;Q529),"SOBRE MAX VENDIBLE","OK")))))</f>
        <v>OK</v>
      </c>
    </row>
    <row r="530" customFormat="false" ht="15" hidden="false" customHeight="false" outlineLevel="0" collapsed="false">
      <c r="A530" s="3" t="n">
        <v>30000164</v>
      </c>
      <c r="B530" s="3" t="s">
        <v>1114</v>
      </c>
      <c r="C530" s="3" t="s">
        <v>144</v>
      </c>
      <c r="D530" s="3" t="s">
        <v>753</v>
      </c>
      <c r="E530" s="3" t="s">
        <v>745</v>
      </c>
      <c r="F530" s="3" t="str">
        <f aca="false">IFERROR(INDEX(ABC_XYZ!$L$5:$L$494,MATCH(A530,ABC_XYZ!$A$5:$A$494,0)),"SIN HIST")</f>
        <v>SIN HIST</v>
      </c>
      <c r="G530" s="24" t="n">
        <f aca="false">IF(LEFT(F530,1)="A",Parametros!$B$8,IF(LEFT(F530,1)="B",Parametros!$B$9,IF(LEFT(F530,1)="C",Parametros!$B$10,Parametros!$B$11)))</f>
        <v>0.95</v>
      </c>
      <c r="H530" s="27" t="n">
        <f aca="false">NORMSINV(G530)</f>
        <v>1.64485362695147</v>
      </c>
      <c r="I530" s="23" t="n">
        <v>974.4</v>
      </c>
      <c r="J530" s="23" t="n">
        <f aca="false">IFERROR(INDEX(ABC_XYZ!$R$5:$R$494,MATCH(A530,ABC_XYZ!$A$5:$A$494,0)),I530*Parametros!$B$13)</f>
        <v>292.32</v>
      </c>
      <c r="K530" s="27" t="n">
        <f aca="false">IFERROR(VLOOKUP(C530,Parametros!$A$36:$B$66,2,FALSE()),Parametros!$B$12)</f>
        <v>1</v>
      </c>
      <c r="L530" s="23" t="n">
        <f aca="false">H530*J530*SQRT(K530)</f>
        <v>480.823612230454</v>
      </c>
      <c r="M530" s="29" t="n">
        <v>365</v>
      </c>
      <c r="N530" s="24" t="n">
        <v>0.273972602739726</v>
      </c>
      <c r="O530" s="3" t="s">
        <v>746</v>
      </c>
      <c r="P530" s="30" t="n">
        <f aca="false">IF(AND(ISNUMBER(M530),ISNUMBER(N530)),M530*N530/7,"")</f>
        <v>14.2857142857143</v>
      </c>
      <c r="Q530" s="23" t="n">
        <f aca="false">IF(ISNUMBER(P530),I530*P530,"")</f>
        <v>13920</v>
      </c>
      <c r="R530" s="23" t="n">
        <f aca="false">IF(ISNUMBER(Q530),MAX(0,MIN(L530,Q530-I530*K530)),L530)</f>
        <v>480.823612230454</v>
      </c>
      <c r="S530" s="23" t="n">
        <f aca="false">R530+I530*K530</f>
        <v>1455.22361223045</v>
      </c>
      <c r="T530" s="23" t="n">
        <v>2532</v>
      </c>
      <c r="U530" s="23" t="n">
        <v>0</v>
      </c>
      <c r="V530" s="23" t="n">
        <f aca="false">T530+U530</f>
        <v>2532</v>
      </c>
      <c r="W530" s="30" t="n">
        <f aca="false">IF(I530&gt;0,V530/I530,"")</f>
        <v>2.59852216748768</v>
      </c>
      <c r="X530" s="3" t="str">
        <f aca="false">IF(I530&lt;=0,"SIN FCST",IF(V530&lt;R530,"BAJO SS",IF(T530&lt;R530,"BAJO SS (XLIB CUBRE)",IF(V530&lt;S530,"BAJO P.REORDEN",IF(AND(ISNUMBER(Q530),V530&gt;Q530),"SOBRE MAX VENDIBLE","OK")))))</f>
        <v>OK</v>
      </c>
    </row>
    <row r="531" customFormat="false" ht="15" hidden="false" customHeight="false" outlineLevel="0" collapsed="false">
      <c r="A531" s="3" t="n">
        <v>30000493</v>
      </c>
      <c r="B531" s="3" t="s">
        <v>1115</v>
      </c>
      <c r="C531" s="3" t="s">
        <v>155</v>
      </c>
      <c r="D531" s="3" t="s">
        <v>761</v>
      </c>
      <c r="E531" s="3" t="s">
        <v>762</v>
      </c>
      <c r="F531" s="3" t="str">
        <f aca="false">IFERROR(INDEX(ABC_XYZ!$L$5:$L$494,MATCH(A531,ABC_XYZ!$A$5:$A$494,0)),"SIN HIST")</f>
        <v>CX</v>
      </c>
      <c r="G531" s="24" t="n">
        <f aca="false">IF(LEFT(F531,1)="A",Parametros!$B$8,IF(LEFT(F531,1)="B",Parametros!$B$9,IF(LEFT(F531,1)="C",Parametros!$B$10,Parametros!$B$11)))</f>
        <v>0.9</v>
      </c>
      <c r="H531" s="27" t="n">
        <f aca="false">NORMSINV(G531)</f>
        <v>1.2815515655446</v>
      </c>
      <c r="I531" s="23" t="n">
        <v>964.2</v>
      </c>
      <c r="J531" s="23" t="n">
        <f aca="false">IFERROR(INDEX(ABC_XYZ!$R$5:$R$494,MATCH(A531,ABC_XYZ!$A$5:$A$494,0)),I531*Parametros!$B$13)</f>
        <v>387.335288844187</v>
      </c>
      <c r="K531" s="27" t="n">
        <f aca="false">IFERROR(VLOOKUP(C531,Parametros!$A$36:$B$66,2,FALSE()),Parametros!$B$12)</f>
        <v>1</v>
      </c>
      <c r="L531" s="23" t="n">
        <f aca="false">H531*J531*SQRT(K531)</f>
        <v>496.390145808938</v>
      </c>
      <c r="M531" s="29" t="n">
        <v>71</v>
      </c>
      <c r="N531" s="24" t="n">
        <v>0.295774647887324</v>
      </c>
      <c r="O531" s="3" t="s">
        <v>774</v>
      </c>
      <c r="P531" s="30" t="n">
        <f aca="false">IF(AND(ISNUMBER(M531),ISNUMBER(N531)),M531*N531/7,"")</f>
        <v>3</v>
      </c>
      <c r="Q531" s="23" t="n">
        <f aca="false">IF(ISNUMBER(P531),I531*P531,"")</f>
        <v>2892.6</v>
      </c>
      <c r="R531" s="23" t="n">
        <f aca="false">IF(ISNUMBER(Q531),MAX(0,MIN(L531,Q531-I531*K531)),L531)</f>
        <v>496.390145808938</v>
      </c>
      <c r="S531" s="23" t="n">
        <f aca="false">R531+I531*K531</f>
        <v>1460.59014580894</v>
      </c>
      <c r="T531" s="23" t="n">
        <v>2462.4</v>
      </c>
      <c r="U531" s="23" t="n">
        <v>0</v>
      </c>
      <c r="V531" s="23" t="n">
        <f aca="false">T531+U531</f>
        <v>2462.4</v>
      </c>
      <c r="W531" s="30" t="n">
        <f aca="false">IF(I531&gt;0,V531/I531,"")</f>
        <v>2.55382700684505</v>
      </c>
      <c r="X531" s="3" t="str">
        <f aca="false">IF(I531&lt;=0,"SIN FCST",IF(V531&lt;R531,"BAJO SS",IF(T531&lt;R531,"BAJO SS (XLIB CUBRE)",IF(V531&lt;S531,"BAJO P.REORDEN",IF(AND(ISNUMBER(Q531),V531&gt;Q531),"SOBRE MAX VENDIBLE","OK")))))</f>
        <v>OK</v>
      </c>
    </row>
    <row r="532" customFormat="false" ht="15" hidden="false" customHeight="false" outlineLevel="0" collapsed="false">
      <c r="A532" s="3" t="n">
        <v>30000984</v>
      </c>
      <c r="B532" s="3" t="s">
        <v>1116</v>
      </c>
      <c r="C532" s="3" t="s">
        <v>133</v>
      </c>
      <c r="D532" s="3" t="s">
        <v>758</v>
      </c>
      <c r="E532" s="3"/>
      <c r="F532" s="3" t="str">
        <f aca="false">IFERROR(INDEX(ABC_XYZ!$L$5:$L$494,MATCH(A532,ABC_XYZ!$A$5:$A$494,0)),"SIN HIST")</f>
        <v>SIN HIST</v>
      </c>
      <c r="G532" s="24" t="n">
        <f aca="false">IF(LEFT(F532,1)="A",Parametros!$B$8,IF(LEFT(F532,1)="B",Parametros!$B$9,IF(LEFT(F532,1)="C",Parametros!$B$10,Parametros!$B$11)))</f>
        <v>0.95</v>
      </c>
      <c r="H532" s="27" t="n">
        <f aca="false">NORMSINV(G532)</f>
        <v>1.64485362695147</v>
      </c>
      <c r="I532" s="23" t="n">
        <v>952.6</v>
      </c>
      <c r="J532" s="23" t="n">
        <f aca="false">IFERROR(INDEX(ABC_XYZ!$R$5:$R$494,MATCH(A532,ABC_XYZ!$A$5:$A$494,0)),I532*Parametros!$B$13)</f>
        <v>285.78</v>
      </c>
      <c r="K532" s="27" t="n">
        <f aca="false">IFERROR(VLOOKUP(C532,Parametros!$A$36:$B$66,2,FALSE()),Parametros!$B$12)</f>
        <v>1</v>
      </c>
      <c r="L532" s="23" t="n">
        <f aca="false">H532*J532*SQRT(K532)</f>
        <v>470.066269510192</v>
      </c>
      <c r="M532" s="29"/>
      <c r="N532" s="24"/>
      <c r="O532" s="3"/>
      <c r="P532" s="30" t="str">
        <f aca="false">IF(AND(ISNUMBER(M532),ISNUMBER(N532)),M532*N532/7,"")</f>
        <v/>
      </c>
      <c r="Q532" s="23" t="str">
        <f aca="false">IF(ISNUMBER(P532),I532*P532,"")</f>
        <v/>
      </c>
      <c r="R532" s="23" t="n">
        <f aca="false">IF(ISNUMBER(Q532),MAX(0,MIN(L532,Q532-I532*K532)),L532)</f>
        <v>470.066269510192</v>
      </c>
      <c r="S532" s="23" t="n">
        <f aca="false">R532+I532*K532</f>
        <v>1422.66626951019</v>
      </c>
      <c r="T532" s="23" t="n">
        <v>7356</v>
      </c>
      <c r="U532" s="23" t="n">
        <v>0</v>
      </c>
      <c r="V532" s="23" t="n">
        <f aca="false">T532+U532</f>
        <v>7356</v>
      </c>
      <c r="W532" s="30" t="n">
        <f aca="false">IF(I532&gt;0,V532/I532,"")</f>
        <v>7.72202393449507</v>
      </c>
      <c r="X532" s="3" t="str">
        <f aca="false">IF(I532&lt;=0,"SIN FCST",IF(V532&lt;R532,"BAJO SS",IF(T532&lt;R532,"BAJO SS (XLIB CUBRE)",IF(V532&lt;S532,"BAJO P.REORDEN",IF(AND(ISNUMBER(Q532),V532&gt;Q532),"SOBRE MAX VENDIBLE","OK")))))</f>
        <v>OK</v>
      </c>
    </row>
    <row r="533" customFormat="false" ht="15" hidden="false" customHeight="false" outlineLevel="0" collapsed="false">
      <c r="A533" s="3" t="n">
        <v>30002325</v>
      </c>
      <c r="B533" s="3" t="s">
        <v>1117</v>
      </c>
      <c r="C533" s="3" t="s">
        <v>135</v>
      </c>
      <c r="D533" s="3" t="s">
        <v>753</v>
      </c>
      <c r="E533" s="3"/>
      <c r="F533" s="3" t="str">
        <f aca="false">IFERROR(INDEX(ABC_XYZ!$L$5:$L$494,MATCH(A533,ABC_XYZ!$A$5:$A$494,0)),"SIN HIST")</f>
        <v>CX</v>
      </c>
      <c r="G533" s="24" t="n">
        <f aca="false">IF(LEFT(F533,1)="A",Parametros!$B$8,IF(LEFT(F533,1)="B",Parametros!$B$9,IF(LEFT(F533,1)="C",Parametros!$B$10,Parametros!$B$11)))</f>
        <v>0.9</v>
      </c>
      <c r="H533" s="27" t="n">
        <f aca="false">NORMSINV(G533)</f>
        <v>1.2815515655446</v>
      </c>
      <c r="I533" s="23" t="n">
        <v>930.3</v>
      </c>
      <c r="J533" s="23" t="n">
        <f aca="false">IFERROR(INDEX(ABC_XYZ!$R$5:$R$494,MATCH(A533,ABC_XYZ!$A$5:$A$494,0)),I533*Parametros!$B$13)</f>
        <v>1428.72438033355</v>
      </c>
      <c r="K533" s="27" t="n">
        <f aca="false">IFERROR(VLOOKUP(C533,Parametros!$A$36:$B$66,2,FALSE()),Parametros!$B$12)</f>
        <v>1</v>
      </c>
      <c r="L533" s="23" t="n">
        <f aca="false">H533*J533*SQRT(K533)</f>
        <v>1830.9839663482</v>
      </c>
      <c r="M533" s="29"/>
      <c r="N533" s="24"/>
      <c r="O533" s="3"/>
      <c r="P533" s="30" t="str">
        <f aca="false">IF(AND(ISNUMBER(M533),ISNUMBER(N533)),M533*N533/7,"")</f>
        <v/>
      </c>
      <c r="Q533" s="23" t="str">
        <f aca="false">IF(ISNUMBER(P533),I533*P533,"")</f>
        <v/>
      </c>
      <c r="R533" s="23" t="n">
        <f aca="false">IF(ISNUMBER(Q533),MAX(0,MIN(L533,Q533-I533*K533)),L533)</f>
        <v>1830.9839663482</v>
      </c>
      <c r="S533" s="23" t="n">
        <f aca="false">R533+I533*K533</f>
        <v>2761.2839663482</v>
      </c>
      <c r="T533" s="23" t="n">
        <v>9234</v>
      </c>
      <c r="U533" s="23" t="n">
        <v>0</v>
      </c>
      <c r="V533" s="23" t="n">
        <f aca="false">T533+U533</f>
        <v>9234</v>
      </c>
      <c r="W533" s="30" t="n">
        <f aca="false">IF(I533&gt;0,V533/I533,"")</f>
        <v>9.92583037729765</v>
      </c>
      <c r="X533" s="3" t="str">
        <f aca="false">IF(I533&lt;=0,"SIN FCST",IF(V533&lt;R533,"BAJO SS",IF(T533&lt;R533,"BAJO SS (XLIB CUBRE)",IF(V533&lt;S533,"BAJO P.REORDEN",IF(AND(ISNUMBER(Q533),V533&gt;Q533),"SOBRE MAX VENDIBLE","OK")))))</f>
        <v>OK</v>
      </c>
    </row>
    <row r="534" customFormat="false" ht="15" hidden="false" customHeight="false" outlineLevel="0" collapsed="false">
      <c r="A534" s="3" t="n">
        <v>30000619</v>
      </c>
      <c r="B534" s="3" t="s">
        <v>1118</v>
      </c>
      <c r="C534" s="3" t="s">
        <v>129</v>
      </c>
      <c r="D534" s="3" t="s">
        <v>769</v>
      </c>
      <c r="E534" s="3" t="s">
        <v>745</v>
      </c>
      <c r="F534" s="3" t="str">
        <f aca="false">IFERROR(INDEX(ABC_XYZ!$L$5:$L$494,MATCH(A534,ABC_XYZ!$A$5:$A$494,0)),"SIN HIST")</f>
        <v>SIN HIST</v>
      </c>
      <c r="G534" s="24" t="n">
        <f aca="false">IF(LEFT(F534,1)="A",Parametros!$B$8,IF(LEFT(F534,1)="B",Parametros!$B$9,IF(LEFT(F534,1)="C",Parametros!$B$10,Parametros!$B$11)))</f>
        <v>0.95</v>
      </c>
      <c r="H534" s="27" t="n">
        <f aca="false">NORMSINV(G534)</f>
        <v>1.64485362695147</v>
      </c>
      <c r="I534" s="23" t="n">
        <v>930.2</v>
      </c>
      <c r="J534" s="23" t="n">
        <f aca="false">IFERROR(INDEX(ABC_XYZ!$R$5:$R$494,MATCH(A534,ABC_XYZ!$A$5:$A$494,0)),I534*Parametros!$B$13)</f>
        <v>279.06</v>
      </c>
      <c r="K534" s="27" t="n">
        <f aca="false">IFERROR(VLOOKUP(C534,Parametros!$A$36:$B$66,2,FALSE()),Parametros!$B$12)</f>
        <v>1</v>
      </c>
      <c r="L534" s="23" t="n">
        <f aca="false">H534*J534*SQRT(K534)</f>
        <v>459.012853137078</v>
      </c>
      <c r="M534" s="29" t="n">
        <v>1095</v>
      </c>
      <c r="N534" s="24" t="n">
        <v>0.480365296803653</v>
      </c>
      <c r="O534" s="3" t="s">
        <v>763</v>
      </c>
      <c r="P534" s="30" t="n">
        <f aca="false">IF(AND(ISNUMBER(M534),ISNUMBER(N534)),M534*N534/7,"")</f>
        <v>75.1428571428571</v>
      </c>
      <c r="Q534" s="23" t="n">
        <f aca="false">IF(ISNUMBER(P534),I534*P534,"")</f>
        <v>69897.8857142857</v>
      </c>
      <c r="R534" s="23" t="n">
        <f aca="false">IF(ISNUMBER(Q534),MAX(0,MIN(L534,Q534-I534*K534)),L534)</f>
        <v>459.012853137078</v>
      </c>
      <c r="S534" s="23" t="n">
        <f aca="false">R534+I534*K534</f>
        <v>1389.21285313708</v>
      </c>
      <c r="T534" s="23" t="n">
        <v>2862</v>
      </c>
      <c r="U534" s="23" t="n">
        <v>0</v>
      </c>
      <c r="V534" s="23" t="n">
        <f aca="false">T534+U534</f>
        <v>2862</v>
      </c>
      <c r="W534" s="30" t="n">
        <f aca="false">IF(I534&gt;0,V534/I534,"")</f>
        <v>3.07675768651903</v>
      </c>
      <c r="X534" s="3" t="str">
        <f aca="false">IF(I534&lt;=0,"SIN FCST",IF(V534&lt;R534,"BAJO SS",IF(T534&lt;R534,"BAJO SS (XLIB CUBRE)",IF(V534&lt;S534,"BAJO P.REORDEN",IF(AND(ISNUMBER(Q534),V534&gt;Q534),"SOBRE MAX VENDIBLE","OK")))))</f>
        <v>OK</v>
      </c>
    </row>
    <row r="535" customFormat="false" ht="15" hidden="false" customHeight="false" outlineLevel="0" collapsed="false">
      <c r="A535" s="3" t="n">
        <v>30002363</v>
      </c>
      <c r="B535" s="3" t="s">
        <v>1119</v>
      </c>
      <c r="C535" s="3" t="s">
        <v>133</v>
      </c>
      <c r="D535" s="3" t="s">
        <v>758</v>
      </c>
      <c r="E535" s="3"/>
      <c r="F535" s="3" t="str">
        <f aca="false">IFERROR(INDEX(ABC_XYZ!$L$5:$L$494,MATCH(A535,ABC_XYZ!$A$5:$A$494,0)),"SIN HIST")</f>
        <v>SIN HIST</v>
      </c>
      <c r="G535" s="24" t="n">
        <f aca="false">IF(LEFT(F535,1)="A",Parametros!$B$8,IF(LEFT(F535,1)="B",Parametros!$B$9,IF(LEFT(F535,1)="C",Parametros!$B$10,Parametros!$B$11)))</f>
        <v>0.95</v>
      </c>
      <c r="H535" s="27" t="n">
        <f aca="false">NORMSINV(G535)</f>
        <v>1.64485362695147</v>
      </c>
      <c r="I535" s="23" t="n">
        <v>930.2</v>
      </c>
      <c r="J535" s="23" t="n">
        <f aca="false">IFERROR(INDEX(ABC_XYZ!$R$5:$R$494,MATCH(A535,ABC_XYZ!$A$5:$A$494,0)),I535*Parametros!$B$13)</f>
        <v>279.06</v>
      </c>
      <c r="K535" s="27" t="n">
        <f aca="false">IFERROR(VLOOKUP(C535,Parametros!$A$36:$B$66,2,FALSE()),Parametros!$B$12)</f>
        <v>1</v>
      </c>
      <c r="L535" s="23" t="n">
        <f aca="false">H535*J535*SQRT(K535)</f>
        <v>459.012853137078</v>
      </c>
      <c r="M535" s="29"/>
      <c r="N535" s="24"/>
      <c r="O535" s="3"/>
      <c r="P535" s="30" t="str">
        <f aca="false">IF(AND(ISNUMBER(M535),ISNUMBER(N535)),M535*N535/7,"")</f>
        <v/>
      </c>
      <c r="Q535" s="23" t="str">
        <f aca="false">IF(ISNUMBER(P535),I535*P535,"")</f>
        <v/>
      </c>
      <c r="R535" s="23" t="n">
        <f aca="false">IF(ISNUMBER(Q535),MAX(0,MIN(L535,Q535-I535*K535)),L535)</f>
        <v>459.012853137078</v>
      </c>
      <c r="S535" s="23" t="n">
        <f aca="false">R535+I535*K535</f>
        <v>1389.21285313708</v>
      </c>
      <c r="T535" s="23" t="n">
        <v>906.5</v>
      </c>
      <c r="U535" s="23" t="n">
        <v>0</v>
      </c>
      <c r="V535" s="23" t="n">
        <f aca="false">T535+U535</f>
        <v>906.5</v>
      </c>
      <c r="W535" s="30" t="n">
        <f aca="false">IF(I535&gt;0,V535/I535,"")</f>
        <v>0.974521608256289</v>
      </c>
      <c r="X535" s="3" t="str">
        <f aca="false">IF(I535&lt;=0,"SIN FCST",IF(V535&lt;R535,"BAJO SS",IF(T535&lt;R535,"BAJO SS (XLIB CUBRE)",IF(V535&lt;S535,"BAJO P.REORDEN",IF(AND(ISNUMBER(Q535),V535&gt;Q535),"SOBRE MAX VENDIBLE","OK")))))</f>
        <v>BAJO P.REORDEN</v>
      </c>
    </row>
    <row r="536" customFormat="false" ht="15" hidden="false" customHeight="false" outlineLevel="0" collapsed="false">
      <c r="A536" s="3" t="n">
        <v>30001002</v>
      </c>
      <c r="B536" s="3" t="s">
        <v>1120</v>
      </c>
      <c r="C536" s="3" t="s">
        <v>133</v>
      </c>
      <c r="D536" s="3" t="s">
        <v>769</v>
      </c>
      <c r="E536" s="3"/>
      <c r="F536" s="3" t="str">
        <f aca="false">IFERROR(INDEX(ABC_XYZ!$L$5:$L$494,MATCH(A536,ABC_XYZ!$A$5:$A$494,0)),"SIN HIST")</f>
        <v>SIN HIST</v>
      </c>
      <c r="G536" s="24" t="n">
        <f aca="false">IF(LEFT(F536,1)="A",Parametros!$B$8,IF(LEFT(F536,1)="B",Parametros!$B$9,IF(LEFT(F536,1)="C",Parametros!$B$10,Parametros!$B$11)))</f>
        <v>0.95</v>
      </c>
      <c r="H536" s="27" t="n">
        <f aca="false">NORMSINV(G536)</f>
        <v>1.64485362695147</v>
      </c>
      <c r="I536" s="23" t="n">
        <v>930.2</v>
      </c>
      <c r="J536" s="23" t="n">
        <f aca="false">IFERROR(INDEX(ABC_XYZ!$R$5:$R$494,MATCH(A536,ABC_XYZ!$A$5:$A$494,0)),I536*Parametros!$B$13)</f>
        <v>279.06</v>
      </c>
      <c r="K536" s="27" t="n">
        <f aca="false">IFERROR(VLOOKUP(C536,Parametros!$A$36:$B$66,2,FALSE()),Parametros!$B$12)</f>
        <v>1</v>
      </c>
      <c r="L536" s="23" t="n">
        <f aca="false">H536*J536*SQRT(K536)</f>
        <v>459.012853137078</v>
      </c>
      <c r="M536" s="29"/>
      <c r="N536" s="24"/>
      <c r="O536" s="3"/>
      <c r="P536" s="30" t="str">
        <f aca="false">IF(AND(ISNUMBER(M536),ISNUMBER(N536)),M536*N536/7,"")</f>
        <v/>
      </c>
      <c r="Q536" s="23" t="str">
        <f aca="false">IF(ISNUMBER(P536),I536*P536,"")</f>
        <v/>
      </c>
      <c r="R536" s="23" t="n">
        <f aca="false">IF(ISNUMBER(Q536),MAX(0,MIN(L536,Q536-I536*K536)),L536)</f>
        <v>459.012853137078</v>
      </c>
      <c r="S536" s="23" t="n">
        <f aca="false">R536+I536*K536</f>
        <v>1389.21285313708</v>
      </c>
      <c r="T536" s="23" t="n">
        <v>20170</v>
      </c>
      <c r="U536" s="23" t="n">
        <v>22000</v>
      </c>
      <c r="V536" s="23" t="n">
        <f aca="false">T536+U536</f>
        <v>42170</v>
      </c>
      <c r="W536" s="30" t="n">
        <f aca="false">IF(I536&gt;0,V536/I536,"")</f>
        <v>45.3343367017846</v>
      </c>
      <c r="X536" s="3" t="str">
        <f aca="false">IF(I536&lt;=0,"SIN FCST",IF(V536&lt;R536,"BAJO SS",IF(T536&lt;R536,"BAJO SS (XLIB CUBRE)",IF(V536&lt;S536,"BAJO P.REORDEN",IF(AND(ISNUMBER(Q536),V536&gt;Q536),"SOBRE MAX VENDIBLE","OK")))))</f>
        <v>OK</v>
      </c>
    </row>
    <row r="537" customFormat="false" ht="15" hidden="false" customHeight="false" outlineLevel="0" collapsed="false">
      <c r="A537" s="3" t="n">
        <v>30000827</v>
      </c>
      <c r="B537" s="3" t="s">
        <v>1121</v>
      </c>
      <c r="C537" s="3" t="s">
        <v>133</v>
      </c>
      <c r="D537" s="3" t="s">
        <v>769</v>
      </c>
      <c r="E537" s="3"/>
      <c r="F537" s="3" t="str">
        <f aca="false">IFERROR(INDEX(ABC_XYZ!$L$5:$L$494,MATCH(A537,ABC_XYZ!$A$5:$A$494,0)),"SIN HIST")</f>
        <v>SIN HIST</v>
      </c>
      <c r="G537" s="24" t="n">
        <f aca="false">IF(LEFT(F537,1)="A",Parametros!$B$8,IF(LEFT(F537,1)="B",Parametros!$B$9,IF(LEFT(F537,1)="C",Parametros!$B$10,Parametros!$B$11)))</f>
        <v>0.95</v>
      </c>
      <c r="H537" s="27" t="n">
        <f aca="false">NORMSINV(G537)</f>
        <v>1.64485362695147</v>
      </c>
      <c r="I537" s="23" t="n">
        <v>930.2</v>
      </c>
      <c r="J537" s="23" t="n">
        <f aca="false">IFERROR(INDEX(ABC_XYZ!$R$5:$R$494,MATCH(A537,ABC_XYZ!$A$5:$A$494,0)),I537*Parametros!$B$13)</f>
        <v>279.06</v>
      </c>
      <c r="K537" s="27" t="n">
        <f aca="false">IFERROR(VLOOKUP(C537,Parametros!$A$36:$B$66,2,FALSE()),Parametros!$B$12)</f>
        <v>1</v>
      </c>
      <c r="L537" s="23" t="n">
        <f aca="false">H537*J537*SQRT(K537)</f>
        <v>459.012853137078</v>
      </c>
      <c r="M537" s="29"/>
      <c r="N537" s="24"/>
      <c r="O537" s="3"/>
      <c r="P537" s="30" t="str">
        <f aca="false">IF(AND(ISNUMBER(M537),ISNUMBER(N537)),M537*N537/7,"")</f>
        <v/>
      </c>
      <c r="Q537" s="23" t="str">
        <f aca="false">IF(ISNUMBER(P537),I537*P537,"")</f>
        <v/>
      </c>
      <c r="R537" s="23" t="n">
        <f aca="false">IF(ISNUMBER(Q537),MAX(0,MIN(L537,Q537-I537*K537)),L537)</f>
        <v>459.012853137078</v>
      </c>
      <c r="S537" s="23" t="n">
        <f aca="false">R537+I537*K537</f>
        <v>1389.21285313708</v>
      </c>
      <c r="T537" s="23" t="n">
        <v>3972</v>
      </c>
      <c r="U537" s="23" t="n">
        <v>0</v>
      </c>
      <c r="V537" s="23" t="n">
        <f aca="false">T537+U537</f>
        <v>3972</v>
      </c>
      <c r="W537" s="30" t="n">
        <f aca="false">IF(I537&gt;0,V537/I537,"")</f>
        <v>4.27004945173081</v>
      </c>
      <c r="X537" s="3" t="str">
        <f aca="false">IF(I537&lt;=0,"SIN FCST",IF(V537&lt;R537,"BAJO SS",IF(T537&lt;R537,"BAJO SS (XLIB CUBRE)",IF(V537&lt;S537,"BAJO P.REORDEN",IF(AND(ISNUMBER(Q537),V537&gt;Q537),"SOBRE MAX VENDIBLE","OK")))))</f>
        <v>OK</v>
      </c>
    </row>
    <row r="538" customFormat="false" ht="15" hidden="false" customHeight="false" outlineLevel="0" collapsed="false">
      <c r="A538" s="3" t="n">
        <v>30001916</v>
      </c>
      <c r="B538" s="3" t="s">
        <v>1122</v>
      </c>
      <c r="C538" s="3" t="s">
        <v>148</v>
      </c>
      <c r="D538" s="3" t="s">
        <v>753</v>
      </c>
      <c r="E538" s="3" t="s">
        <v>745</v>
      </c>
      <c r="F538" s="3" t="str">
        <f aca="false">IFERROR(INDEX(ABC_XYZ!$L$5:$L$494,MATCH(A538,ABC_XYZ!$A$5:$A$494,0)),"SIN HIST")</f>
        <v>SIN HIST</v>
      </c>
      <c r="G538" s="24" t="n">
        <f aca="false">IF(LEFT(F538,1)="A",Parametros!$B$8,IF(LEFT(F538,1)="B",Parametros!$B$9,IF(LEFT(F538,1)="C",Parametros!$B$10,Parametros!$B$11)))</f>
        <v>0.95</v>
      </c>
      <c r="H538" s="27" t="n">
        <f aca="false">NORMSINV(G538)</f>
        <v>1.64485362695147</v>
      </c>
      <c r="I538" s="23" t="n">
        <v>930.2</v>
      </c>
      <c r="J538" s="23" t="n">
        <f aca="false">IFERROR(INDEX(ABC_XYZ!$R$5:$R$494,MATCH(A538,ABC_XYZ!$A$5:$A$494,0)),I538*Parametros!$B$13)</f>
        <v>279.06</v>
      </c>
      <c r="K538" s="27" t="n">
        <f aca="false">IFERROR(VLOOKUP(C538,Parametros!$A$36:$B$66,2,FALSE()),Parametros!$B$12)</f>
        <v>1</v>
      </c>
      <c r="L538" s="23" t="n">
        <f aca="false">H538*J538*SQRT(K538)</f>
        <v>459.012853137078</v>
      </c>
      <c r="M538" s="29" t="n">
        <v>245</v>
      </c>
      <c r="N538" s="24" t="n">
        <v>0.257142857142857</v>
      </c>
      <c r="O538" s="3" t="s">
        <v>754</v>
      </c>
      <c r="P538" s="30" t="n">
        <f aca="false">IF(AND(ISNUMBER(M538),ISNUMBER(N538)),M538*N538/7,"")</f>
        <v>9</v>
      </c>
      <c r="Q538" s="23" t="n">
        <f aca="false">IF(ISNUMBER(P538),I538*P538,"")</f>
        <v>8371.8</v>
      </c>
      <c r="R538" s="23" t="n">
        <f aca="false">IF(ISNUMBER(Q538),MAX(0,MIN(L538,Q538-I538*K538)),L538)</f>
        <v>459.012853137078</v>
      </c>
      <c r="S538" s="23" t="n">
        <f aca="false">R538+I538*K538</f>
        <v>1389.21285313708</v>
      </c>
      <c r="T538" s="23" t="n">
        <v>0</v>
      </c>
      <c r="U538" s="23" t="n">
        <v>0</v>
      </c>
      <c r="V538" s="23" t="n">
        <f aca="false">T538+U538</f>
        <v>0</v>
      </c>
      <c r="W538" s="30" t="n">
        <f aca="false">IF(I538&gt;0,V538/I538,"")</f>
        <v>0</v>
      </c>
      <c r="X538" s="3" t="str">
        <f aca="false">IF(I538&lt;=0,"SIN FCST",IF(V538&lt;R538,"BAJO SS",IF(T538&lt;R538,"BAJO SS (XLIB CUBRE)",IF(V538&lt;S538,"BAJO P.REORDEN",IF(AND(ISNUMBER(Q538),V538&gt;Q538),"SOBRE MAX VENDIBLE","OK")))))</f>
        <v>BAJO SS</v>
      </c>
    </row>
    <row r="539" customFormat="false" ht="15" hidden="false" customHeight="false" outlineLevel="0" collapsed="false">
      <c r="A539" s="3" t="n">
        <v>30002141</v>
      </c>
      <c r="B539" s="3" t="s">
        <v>1123</v>
      </c>
      <c r="C539" s="3" t="s">
        <v>133</v>
      </c>
      <c r="D539" s="3" t="s">
        <v>758</v>
      </c>
      <c r="E539" s="3"/>
      <c r="F539" s="3" t="str">
        <f aca="false">IFERROR(INDEX(ABC_XYZ!$L$5:$L$494,MATCH(A539,ABC_XYZ!$A$5:$A$494,0)),"SIN HIST")</f>
        <v>SIN HIST</v>
      </c>
      <c r="G539" s="24" t="n">
        <f aca="false">IF(LEFT(F539,1)="A",Parametros!$B$8,IF(LEFT(F539,1)="B",Parametros!$B$9,IF(LEFT(F539,1)="C",Parametros!$B$10,Parametros!$B$11)))</f>
        <v>0.95</v>
      </c>
      <c r="H539" s="27" t="n">
        <f aca="false">NORMSINV(G539)</f>
        <v>1.64485362695147</v>
      </c>
      <c r="I539" s="23" t="n">
        <v>930.2</v>
      </c>
      <c r="J539" s="23" t="n">
        <f aca="false">IFERROR(INDEX(ABC_XYZ!$R$5:$R$494,MATCH(A539,ABC_XYZ!$A$5:$A$494,0)),I539*Parametros!$B$13)</f>
        <v>279.06</v>
      </c>
      <c r="K539" s="27" t="n">
        <f aca="false">IFERROR(VLOOKUP(C539,Parametros!$A$36:$B$66,2,FALSE()),Parametros!$B$12)</f>
        <v>1</v>
      </c>
      <c r="L539" s="23" t="n">
        <f aca="false">H539*J539*SQRT(K539)</f>
        <v>459.012853137078</v>
      </c>
      <c r="M539" s="29"/>
      <c r="N539" s="24"/>
      <c r="O539" s="3"/>
      <c r="P539" s="30" t="str">
        <f aca="false">IF(AND(ISNUMBER(M539),ISNUMBER(N539)),M539*N539/7,"")</f>
        <v/>
      </c>
      <c r="Q539" s="23" t="str">
        <f aca="false">IF(ISNUMBER(P539),I539*P539,"")</f>
        <v/>
      </c>
      <c r="R539" s="23" t="n">
        <f aca="false">IF(ISNUMBER(Q539),MAX(0,MIN(L539,Q539-I539*K539)),L539)</f>
        <v>459.012853137078</v>
      </c>
      <c r="S539" s="23" t="n">
        <f aca="false">R539+I539*K539</f>
        <v>1389.21285313708</v>
      </c>
      <c r="T539" s="23" t="n">
        <v>2200.8</v>
      </c>
      <c r="U539" s="23" t="n">
        <v>0</v>
      </c>
      <c r="V539" s="23" t="n">
        <f aca="false">T539+U539</f>
        <v>2200.8</v>
      </c>
      <c r="W539" s="30" t="n">
        <f aca="false">IF(I539&gt;0,V539/I539,"")</f>
        <v>2.36594280799828</v>
      </c>
      <c r="X539" s="3" t="str">
        <f aca="false">IF(I539&lt;=0,"SIN FCST",IF(V539&lt;R539,"BAJO SS",IF(T539&lt;R539,"BAJO SS (XLIB CUBRE)",IF(V539&lt;S539,"BAJO P.REORDEN",IF(AND(ISNUMBER(Q539),V539&gt;Q539),"SOBRE MAX VENDIBLE","OK")))))</f>
        <v>OK</v>
      </c>
    </row>
    <row r="540" customFormat="false" ht="15" hidden="false" customHeight="false" outlineLevel="0" collapsed="false">
      <c r="A540" s="3" t="n">
        <v>30002240</v>
      </c>
      <c r="B540" s="3" t="s">
        <v>1124</v>
      </c>
      <c r="C540" s="3" t="s">
        <v>133</v>
      </c>
      <c r="D540" s="3" t="s">
        <v>758</v>
      </c>
      <c r="E540" s="3"/>
      <c r="F540" s="3" t="str">
        <f aca="false">IFERROR(INDEX(ABC_XYZ!$L$5:$L$494,MATCH(A540,ABC_XYZ!$A$5:$A$494,0)),"SIN HIST")</f>
        <v>SIN HIST</v>
      </c>
      <c r="G540" s="24" t="n">
        <f aca="false">IF(LEFT(F540,1)="A",Parametros!$B$8,IF(LEFT(F540,1)="B",Parametros!$B$9,IF(LEFT(F540,1)="C",Parametros!$B$10,Parametros!$B$11)))</f>
        <v>0.95</v>
      </c>
      <c r="H540" s="27" t="n">
        <f aca="false">NORMSINV(G540)</f>
        <v>1.64485362695147</v>
      </c>
      <c r="I540" s="23" t="n">
        <v>930.2</v>
      </c>
      <c r="J540" s="23" t="n">
        <f aca="false">IFERROR(INDEX(ABC_XYZ!$R$5:$R$494,MATCH(A540,ABC_XYZ!$A$5:$A$494,0)),I540*Parametros!$B$13)</f>
        <v>279.06</v>
      </c>
      <c r="K540" s="27" t="n">
        <f aca="false">IFERROR(VLOOKUP(C540,Parametros!$A$36:$B$66,2,FALSE()),Parametros!$B$12)</f>
        <v>1</v>
      </c>
      <c r="L540" s="23" t="n">
        <f aca="false">H540*J540*SQRT(K540)</f>
        <v>459.012853137078</v>
      </c>
      <c r="M540" s="29"/>
      <c r="N540" s="24"/>
      <c r="O540" s="3"/>
      <c r="P540" s="30" t="str">
        <f aca="false">IF(AND(ISNUMBER(M540),ISNUMBER(N540)),M540*N540/7,"")</f>
        <v/>
      </c>
      <c r="Q540" s="23" t="str">
        <f aca="false">IF(ISNUMBER(P540),I540*P540,"")</f>
        <v/>
      </c>
      <c r="R540" s="23" t="n">
        <f aca="false">IF(ISNUMBER(Q540),MAX(0,MIN(L540,Q540-I540*K540)),L540)</f>
        <v>459.012853137078</v>
      </c>
      <c r="S540" s="23" t="n">
        <f aca="false">R540+I540*K540</f>
        <v>1389.21285313708</v>
      </c>
      <c r="T540" s="23" t="n">
        <v>5201</v>
      </c>
      <c r="U540" s="23" t="n">
        <v>0</v>
      </c>
      <c r="V540" s="23" t="n">
        <f aca="false">T540+U540</f>
        <v>5201</v>
      </c>
      <c r="W540" s="30" t="n">
        <f aca="false">IF(I540&gt;0,V540/I540,"")</f>
        <v>5.59127069447431</v>
      </c>
      <c r="X540" s="3" t="str">
        <f aca="false">IF(I540&lt;=0,"SIN FCST",IF(V540&lt;R540,"BAJO SS",IF(T540&lt;R540,"BAJO SS (XLIB CUBRE)",IF(V540&lt;S540,"BAJO P.REORDEN",IF(AND(ISNUMBER(Q540),V540&gt;Q540),"SOBRE MAX VENDIBLE","OK")))))</f>
        <v>OK</v>
      </c>
    </row>
    <row r="541" customFormat="false" ht="15" hidden="false" customHeight="false" outlineLevel="0" collapsed="false">
      <c r="A541" s="3" t="n">
        <v>30002105</v>
      </c>
      <c r="B541" s="3" t="s">
        <v>517</v>
      </c>
      <c r="C541" s="3" t="s">
        <v>139</v>
      </c>
      <c r="D541" s="3" t="s">
        <v>753</v>
      </c>
      <c r="E541" s="3" t="s">
        <v>762</v>
      </c>
      <c r="F541" s="3" t="str">
        <f aca="false">IFERROR(INDEX(ABC_XYZ!$L$5:$L$494,MATCH(A541,ABC_XYZ!$A$5:$A$494,0)),"SIN HIST")</f>
        <v>CX</v>
      </c>
      <c r="G541" s="24" t="n">
        <f aca="false">IF(LEFT(F541,1)="A",Parametros!$B$8,IF(LEFT(F541,1)="B",Parametros!$B$9,IF(LEFT(F541,1)="C",Parametros!$B$10,Parametros!$B$11)))</f>
        <v>0.9</v>
      </c>
      <c r="H541" s="27" t="n">
        <f aca="false">NORMSINV(G541)</f>
        <v>1.2815515655446</v>
      </c>
      <c r="I541" s="23" t="n">
        <v>927.2</v>
      </c>
      <c r="J541" s="23" t="n">
        <f aca="false">IFERROR(INDEX(ABC_XYZ!$R$5:$R$494,MATCH(A541,ABC_XYZ!$A$5:$A$494,0)),I541*Parametros!$B$13)</f>
        <v>1187.33343275276</v>
      </c>
      <c r="K541" s="27" t="n">
        <f aca="false">IFERROR(VLOOKUP(C541,Parametros!$A$36:$B$66,2,FALSE()),Parametros!$B$12)</f>
        <v>1</v>
      </c>
      <c r="L541" s="23" t="n">
        <f aca="false">H541*J541*SQRT(K541)</f>
        <v>1521.62901956775</v>
      </c>
      <c r="M541" s="29" t="n">
        <v>73</v>
      </c>
      <c r="N541" s="24" t="n">
        <v>0.205479452054795</v>
      </c>
      <c r="O541" s="3" t="s">
        <v>754</v>
      </c>
      <c r="P541" s="30" t="n">
        <f aca="false">IF(AND(ISNUMBER(M541),ISNUMBER(N541)),M541*N541/7,"")</f>
        <v>2.14285714285714</v>
      </c>
      <c r="Q541" s="23" t="n">
        <f aca="false">IF(ISNUMBER(P541),I541*P541,"")</f>
        <v>1986.85714285714</v>
      </c>
      <c r="R541" s="23" t="n">
        <f aca="false">IF(ISNUMBER(Q541),MAX(0,MIN(L541,Q541-I541*K541)),L541)</f>
        <v>1059.65714285714</v>
      </c>
      <c r="S541" s="23" t="n">
        <f aca="false">R541+I541*K541</f>
        <v>1986.85714285714</v>
      </c>
      <c r="T541" s="23" t="n">
        <v>2678.8</v>
      </c>
      <c r="U541" s="23" t="n">
        <v>0</v>
      </c>
      <c r="V541" s="23" t="n">
        <f aca="false">T541+U541</f>
        <v>2678.8</v>
      </c>
      <c r="W541" s="30" t="n">
        <f aca="false">IF(I541&gt;0,V541/I541,"")</f>
        <v>2.88912855910267</v>
      </c>
      <c r="X541" s="3" t="str">
        <f aca="false">IF(I541&lt;=0,"SIN FCST",IF(V541&lt;R541,"BAJO SS",IF(T541&lt;R541,"BAJO SS (XLIB CUBRE)",IF(V541&lt;S541,"BAJO P.REORDEN",IF(AND(ISNUMBER(Q541),V541&gt;Q541),"SOBRE MAX VENDIBLE","OK")))))</f>
        <v>SOBRE MAX VENDIBLE</v>
      </c>
    </row>
    <row r="542" customFormat="false" ht="15" hidden="false" customHeight="false" outlineLevel="0" collapsed="false">
      <c r="A542" s="3" t="n">
        <v>30000673</v>
      </c>
      <c r="B542" s="3" t="s">
        <v>531</v>
      </c>
      <c r="C542" s="3" t="s">
        <v>129</v>
      </c>
      <c r="D542" s="3" t="s">
        <v>769</v>
      </c>
      <c r="E542" s="3" t="s">
        <v>745</v>
      </c>
      <c r="F542" s="3" t="str">
        <f aca="false">IFERROR(INDEX(ABC_XYZ!$L$5:$L$494,MATCH(A542,ABC_XYZ!$A$5:$A$494,0)),"SIN HIST")</f>
        <v>CY</v>
      </c>
      <c r="G542" s="24" t="n">
        <f aca="false">IF(LEFT(F542,1)="A",Parametros!$B$8,IF(LEFT(F542,1)="B",Parametros!$B$9,IF(LEFT(F542,1)="C",Parametros!$B$10,Parametros!$B$11)))</f>
        <v>0.9</v>
      </c>
      <c r="H542" s="27" t="n">
        <f aca="false">NORMSINV(G542)</f>
        <v>1.2815515655446</v>
      </c>
      <c r="I542" s="23" t="n">
        <v>923.8</v>
      </c>
      <c r="J542" s="23" t="n">
        <f aca="false">IFERROR(INDEX(ABC_XYZ!$R$5:$R$494,MATCH(A542,ABC_XYZ!$A$5:$A$494,0)),I542*Parametros!$B$13)</f>
        <v>1413.61807194636</v>
      </c>
      <c r="K542" s="27" t="n">
        <f aca="false">IFERROR(VLOOKUP(C542,Parametros!$A$36:$B$66,2,FALSE()),Parametros!$B$12)</f>
        <v>1</v>
      </c>
      <c r="L542" s="23" t="n">
        <f aca="false">H542*J542*SQRT(K542)</f>
        <v>1811.62445318499</v>
      </c>
      <c r="M542" s="29" t="n">
        <v>1095</v>
      </c>
      <c r="N542" s="24" t="n">
        <v>0.480365296803653</v>
      </c>
      <c r="O542" s="3" t="s">
        <v>763</v>
      </c>
      <c r="P542" s="30" t="n">
        <f aca="false">IF(AND(ISNUMBER(M542),ISNUMBER(N542)),M542*N542/7,"")</f>
        <v>75.1428571428571</v>
      </c>
      <c r="Q542" s="23" t="n">
        <f aca="false">IF(ISNUMBER(P542),I542*P542,"")</f>
        <v>69416.9714285714</v>
      </c>
      <c r="R542" s="23" t="n">
        <f aca="false">IF(ISNUMBER(Q542),MAX(0,MIN(L542,Q542-I542*K542)),L542)</f>
        <v>1811.62445318499</v>
      </c>
      <c r="S542" s="23" t="n">
        <f aca="false">R542+I542*K542</f>
        <v>2735.42445318499</v>
      </c>
      <c r="T542" s="23" t="n">
        <v>22304</v>
      </c>
      <c r="U542" s="23" t="n">
        <v>0</v>
      </c>
      <c r="V542" s="23" t="n">
        <f aca="false">T542+U542</f>
        <v>22304</v>
      </c>
      <c r="W542" s="30" t="n">
        <f aca="false">IF(I542&gt;0,V542/I542,"")</f>
        <v>24.1437540593202</v>
      </c>
      <c r="X542" s="3" t="str">
        <f aca="false">IF(I542&lt;=0,"SIN FCST",IF(V542&lt;R542,"BAJO SS",IF(T542&lt;R542,"BAJO SS (XLIB CUBRE)",IF(V542&lt;S542,"BAJO P.REORDEN",IF(AND(ISNUMBER(Q542),V542&gt;Q542),"SOBRE MAX VENDIBLE","OK")))))</f>
        <v>OK</v>
      </c>
    </row>
    <row r="543" customFormat="false" ht="15" hidden="false" customHeight="false" outlineLevel="0" collapsed="false">
      <c r="A543" s="3" t="n">
        <v>30000109</v>
      </c>
      <c r="B543" s="3" t="s">
        <v>1125</v>
      </c>
      <c r="C543" s="3" t="s">
        <v>143</v>
      </c>
      <c r="D543" s="3" t="s">
        <v>750</v>
      </c>
      <c r="E543" s="3" t="s">
        <v>762</v>
      </c>
      <c r="F543" s="3" t="str">
        <f aca="false">IFERROR(INDEX(ABC_XYZ!$L$5:$L$494,MATCH(A543,ABC_XYZ!$A$5:$A$494,0)),"SIN HIST")</f>
        <v>SIN HIST</v>
      </c>
      <c r="G543" s="24" t="n">
        <f aca="false">IF(LEFT(F543,1)="A",Parametros!$B$8,IF(LEFT(F543,1)="B",Parametros!$B$9,IF(LEFT(F543,1)="C",Parametros!$B$10,Parametros!$B$11)))</f>
        <v>0.95</v>
      </c>
      <c r="H543" s="27" t="n">
        <f aca="false">NORMSINV(G543)</f>
        <v>1.64485362695147</v>
      </c>
      <c r="I543" s="23" t="n">
        <v>919.8</v>
      </c>
      <c r="J543" s="23" t="n">
        <f aca="false">IFERROR(INDEX(ABC_XYZ!$R$5:$R$494,MATCH(A543,ABC_XYZ!$A$5:$A$494,0)),I543*Parametros!$B$13)</f>
        <v>275.94</v>
      </c>
      <c r="K543" s="27" t="n">
        <f aca="false">IFERROR(VLOOKUP(C543,Parametros!$A$36:$B$66,2,FALSE()),Parametros!$B$12)</f>
        <v>1</v>
      </c>
      <c r="L543" s="23" t="n">
        <f aca="false">H543*J543*SQRT(K543)</f>
        <v>453.880909820989</v>
      </c>
      <c r="M543" s="29" t="n">
        <v>184</v>
      </c>
      <c r="N543" s="24" t="n">
        <v>0.217391304347826</v>
      </c>
      <c r="O543" s="3" t="s">
        <v>754</v>
      </c>
      <c r="P543" s="30" t="n">
        <f aca="false">IF(AND(ISNUMBER(M543),ISNUMBER(N543)),M543*N543/7,"")</f>
        <v>5.71428571428572</v>
      </c>
      <c r="Q543" s="23" t="n">
        <f aca="false">IF(ISNUMBER(P543),I543*P543,"")</f>
        <v>5256</v>
      </c>
      <c r="R543" s="23" t="n">
        <f aca="false">IF(ISNUMBER(Q543),MAX(0,MIN(L543,Q543-I543*K543)),L543)</f>
        <v>453.880909820989</v>
      </c>
      <c r="S543" s="23" t="n">
        <f aca="false">R543+I543*K543</f>
        <v>1373.68090982099</v>
      </c>
      <c r="T543" s="23" t="n">
        <v>4760</v>
      </c>
      <c r="U543" s="23" t="n">
        <v>0</v>
      </c>
      <c r="V543" s="23" t="n">
        <f aca="false">T543+U543</f>
        <v>4760</v>
      </c>
      <c r="W543" s="30" t="n">
        <f aca="false">IF(I543&gt;0,V543/I543,"")</f>
        <v>5.17503805175038</v>
      </c>
      <c r="X543" s="3" t="str">
        <f aca="false">IF(I543&lt;=0,"SIN FCST",IF(V543&lt;R543,"BAJO SS",IF(T543&lt;R543,"BAJO SS (XLIB CUBRE)",IF(V543&lt;S543,"BAJO P.REORDEN",IF(AND(ISNUMBER(Q543),V543&gt;Q543),"SOBRE MAX VENDIBLE","OK")))))</f>
        <v>OK</v>
      </c>
    </row>
    <row r="544" customFormat="false" ht="15" hidden="false" customHeight="false" outlineLevel="0" collapsed="false">
      <c r="A544" s="3" t="n">
        <v>30000057</v>
      </c>
      <c r="B544" s="3" t="s">
        <v>554</v>
      </c>
      <c r="C544" s="3" t="s">
        <v>124</v>
      </c>
      <c r="D544" s="3" t="s">
        <v>750</v>
      </c>
      <c r="E544" s="3" t="s">
        <v>745</v>
      </c>
      <c r="F544" s="3" t="str">
        <f aca="false">IFERROR(INDEX(ABC_XYZ!$L$5:$L$494,MATCH(A544,ABC_XYZ!$A$5:$A$494,0)),"SIN HIST")</f>
        <v>CY</v>
      </c>
      <c r="G544" s="24" t="n">
        <f aca="false">IF(LEFT(F544,1)="A",Parametros!$B$8,IF(LEFT(F544,1)="B",Parametros!$B$9,IF(LEFT(F544,1)="C",Parametros!$B$10,Parametros!$B$11)))</f>
        <v>0.9</v>
      </c>
      <c r="H544" s="27" t="n">
        <f aca="false">NORMSINV(G544)</f>
        <v>1.2815515655446</v>
      </c>
      <c r="I544" s="23" t="n">
        <v>914.9</v>
      </c>
      <c r="J544" s="23" t="n">
        <f aca="false">IFERROR(INDEX(ABC_XYZ!$R$5:$R$494,MATCH(A544,ABC_XYZ!$A$5:$A$494,0)),I544*Parametros!$B$13)</f>
        <v>1422.31337381511</v>
      </c>
      <c r="K544" s="27" t="n">
        <f aca="false">IFERROR(VLOOKUP(C544,Parametros!$A$36:$B$66,2,FALSE()),Parametros!$B$12)</f>
        <v>1</v>
      </c>
      <c r="L544" s="23" t="n">
        <f aca="false">H544*J544*SQRT(K544)</f>
        <v>1822.76793090778</v>
      </c>
      <c r="M544" s="29" t="n">
        <v>548</v>
      </c>
      <c r="N544" s="24" t="n">
        <v>0.197080291970803</v>
      </c>
      <c r="O544" s="3" t="s">
        <v>746</v>
      </c>
      <c r="P544" s="30" t="n">
        <f aca="false">IF(AND(ISNUMBER(M544),ISNUMBER(N544)),M544*N544/7,"")</f>
        <v>15.4285714285714</v>
      </c>
      <c r="Q544" s="23" t="n">
        <f aca="false">IF(ISNUMBER(P544),I544*P544,"")</f>
        <v>14115.6</v>
      </c>
      <c r="R544" s="23" t="n">
        <f aca="false">IF(ISNUMBER(Q544),MAX(0,MIN(L544,Q544-I544*K544)),L544)</f>
        <v>1822.76793090778</v>
      </c>
      <c r="S544" s="23" t="n">
        <f aca="false">R544+I544*K544</f>
        <v>2737.66793090778</v>
      </c>
      <c r="T544" s="23" t="n">
        <v>12876</v>
      </c>
      <c r="U544" s="23" t="n">
        <v>0</v>
      </c>
      <c r="V544" s="23" t="n">
        <f aca="false">T544+U544</f>
        <v>12876</v>
      </c>
      <c r="W544" s="30" t="n">
        <f aca="false">IF(I544&gt;0,V544/I544,"")</f>
        <v>14.0736692534703</v>
      </c>
      <c r="X544" s="3" t="str">
        <f aca="false">IF(I544&lt;=0,"SIN FCST",IF(V544&lt;R544,"BAJO SS",IF(T544&lt;R544,"BAJO SS (XLIB CUBRE)",IF(V544&lt;S544,"BAJO P.REORDEN",IF(AND(ISNUMBER(Q544),V544&gt;Q544),"SOBRE MAX VENDIBLE","OK")))))</f>
        <v>OK</v>
      </c>
    </row>
    <row r="545" customFormat="false" ht="15" hidden="false" customHeight="false" outlineLevel="0" collapsed="false">
      <c r="A545" s="3" t="n">
        <v>30000826</v>
      </c>
      <c r="B545" s="3" t="s">
        <v>1126</v>
      </c>
      <c r="C545" s="3" t="s">
        <v>133</v>
      </c>
      <c r="D545" s="3" t="s">
        <v>769</v>
      </c>
      <c r="E545" s="3"/>
      <c r="F545" s="3" t="str">
        <f aca="false">IFERROR(INDEX(ABC_XYZ!$L$5:$L$494,MATCH(A545,ABC_XYZ!$A$5:$A$494,0)),"SIN HIST")</f>
        <v>SIN HIST</v>
      </c>
      <c r="G545" s="24" t="n">
        <f aca="false">IF(LEFT(F545,1)="A",Parametros!$B$8,IF(LEFT(F545,1)="B",Parametros!$B$9,IF(LEFT(F545,1)="C",Parametros!$B$10,Parametros!$B$11)))</f>
        <v>0.95</v>
      </c>
      <c r="H545" s="27" t="n">
        <f aca="false">NORMSINV(G545)</f>
        <v>1.64485362695147</v>
      </c>
      <c r="I545" s="23" t="n">
        <v>907.6</v>
      </c>
      <c r="J545" s="23" t="n">
        <f aca="false">IFERROR(INDEX(ABC_XYZ!$R$5:$R$494,MATCH(A545,ABC_XYZ!$A$5:$A$494,0)),I545*Parametros!$B$13)</f>
        <v>272.28</v>
      </c>
      <c r="K545" s="27" t="n">
        <f aca="false">IFERROR(VLOOKUP(C545,Parametros!$A$36:$B$66,2,FALSE()),Parametros!$B$12)</f>
        <v>1</v>
      </c>
      <c r="L545" s="23" t="n">
        <f aca="false">H545*J545*SQRT(K545)</f>
        <v>447.860745546347</v>
      </c>
      <c r="M545" s="29"/>
      <c r="N545" s="24"/>
      <c r="O545" s="3"/>
      <c r="P545" s="30" t="str">
        <f aca="false">IF(AND(ISNUMBER(M545),ISNUMBER(N545)),M545*N545/7,"")</f>
        <v/>
      </c>
      <c r="Q545" s="23" t="str">
        <f aca="false">IF(ISNUMBER(P545),I545*P545,"")</f>
        <v/>
      </c>
      <c r="R545" s="23" t="n">
        <f aca="false">IF(ISNUMBER(Q545),MAX(0,MIN(L545,Q545-I545*K545)),L545)</f>
        <v>447.860745546347</v>
      </c>
      <c r="S545" s="23" t="n">
        <f aca="false">R545+I545*K545</f>
        <v>1355.46074554635</v>
      </c>
      <c r="T545" s="23" t="n">
        <v>30</v>
      </c>
      <c r="U545" s="23" t="n">
        <v>0</v>
      </c>
      <c r="V545" s="23" t="n">
        <f aca="false">T545+U545</f>
        <v>30</v>
      </c>
      <c r="W545" s="30" t="n">
        <f aca="false">IF(I545&gt;0,V545/I545,"")</f>
        <v>0.0330542089026003</v>
      </c>
      <c r="X545" s="3" t="str">
        <f aca="false">IF(I545&lt;=0,"SIN FCST",IF(V545&lt;R545,"BAJO SS",IF(T545&lt;R545,"BAJO SS (XLIB CUBRE)",IF(V545&lt;S545,"BAJO P.REORDEN",IF(AND(ISNUMBER(Q545),V545&gt;Q545),"SOBRE MAX VENDIBLE","OK")))))</f>
        <v>BAJO SS</v>
      </c>
    </row>
    <row r="546" customFormat="false" ht="15" hidden="false" customHeight="false" outlineLevel="0" collapsed="false">
      <c r="A546" s="3" t="n">
        <v>30000666</v>
      </c>
      <c r="B546" s="3" t="s">
        <v>592</v>
      </c>
      <c r="C546" s="3" t="s">
        <v>129</v>
      </c>
      <c r="D546" s="3" t="s">
        <v>753</v>
      </c>
      <c r="E546" s="3" t="s">
        <v>745</v>
      </c>
      <c r="F546" s="3" t="str">
        <f aca="false">IFERROR(INDEX(ABC_XYZ!$L$5:$L$494,MATCH(A546,ABC_XYZ!$A$5:$A$494,0)),"SIN HIST")</f>
        <v>CX</v>
      </c>
      <c r="G546" s="24" t="n">
        <f aca="false">IF(LEFT(F546,1)="A",Parametros!$B$8,IF(LEFT(F546,1)="B",Parametros!$B$9,IF(LEFT(F546,1)="C",Parametros!$B$10,Parametros!$B$11)))</f>
        <v>0.9</v>
      </c>
      <c r="H546" s="27" t="n">
        <f aca="false">NORMSINV(G546)</f>
        <v>1.2815515655446</v>
      </c>
      <c r="I546" s="23" t="n">
        <v>906.6</v>
      </c>
      <c r="J546" s="23" t="n">
        <f aca="false">IFERROR(INDEX(ABC_XYZ!$R$5:$R$494,MATCH(A546,ABC_XYZ!$A$5:$A$494,0)),I546*Parametros!$B$13)</f>
        <v>255.583425649369</v>
      </c>
      <c r="K546" s="27" t="n">
        <f aca="false">IFERROR(VLOOKUP(C546,Parametros!$A$36:$B$66,2,FALSE()),Parametros!$B$12)</f>
        <v>1</v>
      </c>
      <c r="L546" s="23" t="n">
        <f aca="false">H546*J546*SQRT(K546)</f>
        <v>327.543339268201</v>
      </c>
      <c r="M546" s="29" t="n">
        <v>730</v>
      </c>
      <c r="N546" s="24" t="n">
        <v>0.328767123287671</v>
      </c>
      <c r="O546" s="3" t="s">
        <v>772</v>
      </c>
      <c r="P546" s="30" t="n">
        <f aca="false">IF(AND(ISNUMBER(M546),ISNUMBER(N546)),M546*N546/7,"")</f>
        <v>34.2857142857143</v>
      </c>
      <c r="Q546" s="23" t="n">
        <f aca="false">IF(ISNUMBER(P546),I546*P546,"")</f>
        <v>31083.4285714286</v>
      </c>
      <c r="R546" s="23" t="n">
        <f aca="false">IF(ISNUMBER(Q546),MAX(0,MIN(L546,Q546-I546*K546)),L546)</f>
        <v>327.543339268201</v>
      </c>
      <c r="S546" s="23" t="n">
        <f aca="false">R546+I546*K546</f>
        <v>1234.1433392682</v>
      </c>
      <c r="T546" s="23" t="n">
        <v>13886.7</v>
      </c>
      <c r="U546" s="23" t="n">
        <v>0</v>
      </c>
      <c r="V546" s="23" t="n">
        <f aca="false">T546+U546</f>
        <v>13886.7</v>
      </c>
      <c r="W546" s="30" t="n">
        <f aca="false">IF(I546&gt;0,V546/I546,"")</f>
        <v>15.3173395102581</v>
      </c>
      <c r="X546" s="3" t="str">
        <f aca="false">IF(I546&lt;=0,"SIN FCST",IF(V546&lt;R546,"BAJO SS",IF(T546&lt;R546,"BAJO SS (XLIB CUBRE)",IF(V546&lt;S546,"BAJO P.REORDEN",IF(AND(ISNUMBER(Q546),V546&gt;Q546),"SOBRE MAX VENDIBLE","OK")))))</f>
        <v>OK</v>
      </c>
    </row>
    <row r="547" customFormat="false" ht="15" hidden="false" customHeight="false" outlineLevel="0" collapsed="false">
      <c r="A547" s="3" t="n">
        <v>30001342</v>
      </c>
      <c r="B547" s="3" t="s">
        <v>1127</v>
      </c>
      <c r="C547" s="3" t="s">
        <v>143</v>
      </c>
      <c r="D547" s="3" t="s">
        <v>750</v>
      </c>
      <c r="E547" s="3" t="s">
        <v>762</v>
      </c>
      <c r="F547" s="3" t="str">
        <f aca="false">IFERROR(INDEX(ABC_XYZ!$L$5:$L$494,MATCH(A547,ABC_XYZ!$A$5:$A$494,0)),"SIN HIST")</f>
        <v>CX</v>
      </c>
      <c r="G547" s="24" t="n">
        <f aca="false">IF(LEFT(F547,1)="A",Parametros!$B$8,IF(LEFT(F547,1)="B",Parametros!$B$9,IF(LEFT(F547,1)="C",Parametros!$B$10,Parametros!$B$11)))</f>
        <v>0.9</v>
      </c>
      <c r="H547" s="27" t="n">
        <f aca="false">NORMSINV(G547)</f>
        <v>1.2815515655446</v>
      </c>
      <c r="I547" s="23" t="n">
        <v>900</v>
      </c>
      <c r="J547" s="23" t="n">
        <f aca="false">IFERROR(INDEX(ABC_XYZ!$R$5:$R$494,MATCH(A547,ABC_XYZ!$A$5:$A$494,0)),I547*Parametros!$B$13)</f>
        <v>374.37251755879</v>
      </c>
      <c r="K547" s="27" t="n">
        <f aca="false">IFERROR(VLOOKUP(C547,Parametros!$A$36:$B$66,2,FALSE()),Parametros!$B$12)</f>
        <v>1</v>
      </c>
      <c r="L547" s="23" t="n">
        <f aca="false">H547*J547*SQRT(K547)</f>
        <v>479.777685974341</v>
      </c>
      <c r="M547" s="29" t="n">
        <v>184</v>
      </c>
      <c r="N547" s="24" t="n">
        <v>0.244565217391304</v>
      </c>
      <c r="O547" s="3" t="s">
        <v>772</v>
      </c>
      <c r="P547" s="30" t="n">
        <f aca="false">IF(AND(ISNUMBER(M547),ISNUMBER(N547)),M547*N547/7,"")</f>
        <v>6.42857142857143</v>
      </c>
      <c r="Q547" s="23" t="n">
        <f aca="false">IF(ISNUMBER(P547),I547*P547,"")</f>
        <v>5785.71428571429</v>
      </c>
      <c r="R547" s="23" t="n">
        <f aca="false">IF(ISNUMBER(Q547),MAX(0,MIN(L547,Q547-I547*K547)),L547)</f>
        <v>479.777685974341</v>
      </c>
      <c r="S547" s="23" t="n">
        <f aca="false">R547+I547*K547</f>
        <v>1379.77768597434</v>
      </c>
      <c r="T547" s="23" t="n">
        <v>5384</v>
      </c>
      <c r="U547" s="23" t="n">
        <v>0</v>
      </c>
      <c r="V547" s="23" t="n">
        <f aca="false">T547+U547</f>
        <v>5384</v>
      </c>
      <c r="W547" s="30" t="n">
        <f aca="false">IF(I547&gt;0,V547/I547,"")</f>
        <v>5.98222222222222</v>
      </c>
      <c r="X547" s="3" t="str">
        <f aca="false">IF(I547&lt;=0,"SIN FCST",IF(V547&lt;R547,"BAJO SS",IF(T547&lt;R547,"BAJO SS (XLIB CUBRE)",IF(V547&lt;S547,"BAJO P.REORDEN",IF(AND(ISNUMBER(Q547),V547&gt;Q547),"SOBRE MAX VENDIBLE","OK")))))</f>
        <v>OK</v>
      </c>
    </row>
    <row r="548" customFormat="false" ht="15" hidden="false" customHeight="false" outlineLevel="0" collapsed="false">
      <c r="A548" s="3" t="n">
        <v>30000117</v>
      </c>
      <c r="B548" s="3" t="s">
        <v>553</v>
      </c>
      <c r="C548" s="3" t="s">
        <v>141</v>
      </c>
      <c r="D548" s="3" t="s">
        <v>750</v>
      </c>
      <c r="E548" s="3" t="s">
        <v>762</v>
      </c>
      <c r="F548" s="3" t="str">
        <f aca="false">IFERROR(INDEX(ABC_XYZ!$L$5:$L$494,MATCH(A548,ABC_XYZ!$A$5:$A$494,0)),"SIN HIST")</f>
        <v>CX</v>
      </c>
      <c r="G548" s="24" t="n">
        <f aca="false">IF(LEFT(F548,1)="A",Parametros!$B$8,IF(LEFT(F548,1)="B",Parametros!$B$9,IF(LEFT(F548,1)="C",Parametros!$B$10,Parametros!$B$11)))</f>
        <v>0.9</v>
      </c>
      <c r="H548" s="27" t="n">
        <f aca="false">NORMSINV(G548)</f>
        <v>1.2815515655446</v>
      </c>
      <c r="I548" s="23" t="n">
        <v>900</v>
      </c>
      <c r="J548" s="23" t="n">
        <f aca="false">IFERROR(INDEX(ABC_XYZ!$R$5:$R$494,MATCH(A548,ABC_XYZ!$A$5:$A$494,0)),I548*Parametros!$B$13)</f>
        <v>1684.83586247423</v>
      </c>
      <c r="K548" s="27" t="n">
        <f aca="false">IFERROR(VLOOKUP(C548,Parametros!$A$36:$B$66,2,FALSE()),Parametros!$B$12)</f>
        <v>1</v>
      </c>
      <c r="L548" s="23" t="n">
        <f aca="false">H548*J548*SQRT(K548)</f>
        <v>2159.20403723953</v>
      </c>
      <c r="M548" s="29" t="n">
        <v>184</v>
      </c>
      <c r="N548" s="24" t="n">
        <v>0.211956521739131</v>
      </c>
      <c r="O548" s="3" t="s">
        <v>754</v>
      </c>
      <c r="P548" s="30" t="n">
        <f aca="false">IF(AND(ISNUMBER(M548),ISNUMBER(N548)),M548*N548/7,"")</f>
        <v>5.57142857142857</v>
      </c>
      <c r="Q548" s="23" t="n">
        <f aca="false">IF(ISNUMBER(P548),I548*P548,"")</f>
        <v>5014.28571428572</v>
      </c>
      <c r="R548" s="23" t="n">
        <f aca="false">IF(ISNUMBER(Q548),MAX(0,MIN(L548,Q548-I548*K548)),L548)</f>
        <v>2159.20403723953</v>
      </c>
      <c r="S548" s="23" t="n">
        <f aca="false">R548+I548*K548</f>
        <v>3059.20403723953</v>
      </c>
      <c r="T548" s="23" t="n">
        <v>5008</v>
      </c>
      <c r="U548" s="23" t="n">
        <v>0</v>
      </c>
      <c r="V548" s="23" t="n">
        <f aca="false">T548+U548</f>
        <v>5008</v>
      </c>
      <c r="W548" s="30" t="n">
        <f aca="false">IF(I548&gt;0,V548/I548,"")</f>
        <v>5.56444444444445</v>
      </c>
      <c r="X548" s="3" t="str">
        <f aca="false">IF(I548&lt;=0,"SIN FCST",IF(V548&lt;R548,"BAJO SS",IF(T548&lt;R548,"BAJO SS (XLIB CUBRE)",IF(V548&lt;S548,"BAJO P.REORDEN",IF(AND(ISNUMBER(Q548),V548&gt;Q548),"SOBRE MAX VENDIBLE","OK")))))</f>
        <v>OK</v>
      </c>
    </row>
    <row r="549" customFormat="false" ht="15" hidden="false" customHeight="false" outlineLevel="0" collapsed="false">
      <c r="A549" s="3" t="n">
        <v>30002206</v>
      </c>
      <c r="B549" s="3" t="s">
        <v>1128</v>
      </c>
      <c r="C549" s="3" t="s">
        <v>133</v>
      </c>
      <c r="D549" s="3" t="s">
        <v>769</v>
      </c>
      <c r="E549" s="3"/>
      <c r="F549" s="3" t="str">
        <f aca="false">IFERROR(INDEX(ABC_XYZ!$L$5:$L$494,MATCH(A549,ABC_XYZ!$A$5:$A$494,0)),"SIN HIST")</f>
        <v>SIN HIST</v>
      </c>
      <c r="G549" s="24" t="n">
        <f aca="false">IF(LEFT(F549,1)="A",Parametros!$B$8,IF(LEFT(F549,1)="B",Parametros!$B$9,IF(LEFT(F549,1)="C",Parametros!$B$10,Parametros!$B$11)))</f>
        <v>0.95</v>
      </c>
      <c r="H549" s="27" t="n">
        <f aca="false">NORMSINV(G549)</f>
        <v>1.64485362695147</v>
      </c>
      <c r="I549" s="23" t="n">
        <v>873.2</v>
      </c>
      <c r="J549" s="23" t="n">
        <f aca="false">IFERROR(INDEX(ABC_XYZ!$R$5:$R$494,MATCH(A549,ABC_XYZ!$A$5:$A$494,0)),I549*Parametros!$B$13)</f>
        <v>261.96</v>
      </c>
      <c r="K549" s="27" t="n">
        <f aca="false">IFERROR(VLOOKUP(C549,Parametros!$A$36:$B$66,2,FALSE()),Parametros!$B$12)</f>
        <v>1</v>
      </c>
      <c r="L549" s="23" t="n">
        <f aca="false">H549*J549*SQRT(K549)</f>
        <v>430.885856116207</v>
      </c>
      <c r="M549" s="29"/>
      <c r="N549" s="24"/>
      <c r="O549" s="3"/>
      <c r="P549" s="30" t="str">
        <f aca="false">IF(AND(ISNUMBER(M549),ISNUMBER(N549)),M549*N549/7,"")</f>
        <v/>
      </c>
      <c r="Q549" s="23" t="str">
        <f aca="false">IF(ISNUMBER(P549),I549*P549,"")</f>
        <v/>
      </c>
      <c r="R549" s="23" t="n">
        <f aca="false">IF(ISNUMBER(Q549),MAX(0,MIN(L549,Q549-I549*K549)),L549)</f>
        <v>430.885856116207</v>
      </c>
      <c r="S549" s="23" t="n">
        <f aca="false">R549+I549*K549</f>
        <v>1304.08585611621</v>
      </c>
      <c r="T549" s="23" t="n">
        <v>17541</v>
      </c>
      <c r="U549" s="23" t="n">
        <v>0</v>
      </c>
      <c r="V549" s="23" t="n">
        <f aca="false">T549+U549</f>
        <v>17541</v>
      </c>
      <c r="W549" s="30" t="n">
        <f aca="false">IF(I549&gt;0,V549/I549,"")</f>
        <v>20.0881814017407</v>
      </c>
      <c r="X549" s="3" t="str">
        <f aca="false">IF(I549&lt;=0,"SIN FCST",IF(V549&lt;R549,"BAJO SS",IF(T549&lt;R549,"BAJO SS (XLIB CUBRE)",IF(V549&lt;S549,"BAJO P.REORDEN",IF(AND(ISNUMBER(Q549),V549&gt;Q549),"SOBRE MAX VENDIBLE","OK")))))</f>
        <v>OK</v>
      </c>
    </row>
    <row r="550" customFormat="false" ht="15" hidden="false" customHeight="false" outlineLevel="0" collapsed="false">
      <c r="A550" s="3" t="n">
        <v>30000838</v>
      </c>
      <c r="B550" s="3" t="s">
        <v>1129</v>
      </c>
      <c r="C550" s="3" t="s">
        <v>133</v>
      </c>
      <c r="D550" s="3" t="s">
        <v>769</v>
      </c>
      <c r="E550" s="3"/>
      <c r="F550" s="3" t="str">
        <f aca="false">IFERROR(INDEX(ABC_XYZ!$L$5:$L$494,MATCH(A550,ABC_XYZ!$A$5:$A$494,0)),"SIN HIST")</f>
        <v>SIN HIST</v>
      </c>
      <c r="G550" s="24" t="n">
        <f aca="false">IF(LEFT(F550,1)="A",Parametros!$B$8,IF(LEFT(F550,1)="B",Parametros!$B$9,IF(LEFT(F550,1)="C",Parametros!$B$10,Parametros!$B$11)))</f>
        <v>0.95</v>
      </c>
      <c r="H550" s="27" t="n">
        <f aca="false">NORMSINV(G550)</f>
        <v>1.64485362695147</v>
      </c>
      <c r="I550" s="23" t="n">
        <v>871.9</v>
      </c>
      <c r="J550" s="23" t="n">
        <f aca="false">IFERROR(INDEX(ABC_XYZ!$R$5:$R$494,MATCH(A550,ABC_XYZ!$A$5:$A$494,0)),I550*Parametros!$B$13)</f>
        <v>261.57</v>
      </c>
      <c r="K550" s="27" t="n">
        <f aca="false">IFERROR(VLOOKUP(C550,Parametros!$A$36:$B$66,2,FALSE()),Parametros!$B$12)</f>
        <v>1</v>
      </c>
      <c r="L550" s="23" t="n">
        <f aca="false">H550*J550*SQRT(K550)</f>
        <v>430.244363201696</v>
      </c>
      <c r="M550" s="29"/>
      <c r="N550" s="24"/>
      <c r="O550" s="3"/>
      <c r="P550" s="30" t="str">
        <f aca="false">IF(AND(ISNUMBER(M550),ISNUMBER(N550)),M550*N550/7,"")</f>
        <v/>
      </c>
      <c r="Q550" s="23" t="str">
        <f aca="false">IF(ISNUMBER(P550),I550*P550,"")</f>
        <v/>
      </c>
      <c r="R550" s="23" t="n">
        <f aca="false">IF(ISNUMBER(Q550),MAX(0,MIN(L550,Q550-I550*K550)),L550)</f>
        <v>430.244363201696</v>
      </c>
      <c r="S550" s="23" t="n">
        <f aca="false">R550+I550*K550</f>
        <v>1302.1443632017</v>
      </c>
      <c r="T550" s="23" t="n">
        <v>12501</v>
      </c>
      <c r="U550" s="23" t="n">
        <v>0</v>
      </c>
      <c r="V550" s="23" t="n">
        <f aca="false">T550+U550</f>
        <v>12501</v>
      </c>
      <c r="W550" s="30" t="n">
        <f aca="false">IF(I550&gt;0,V550/I550,"")</f>
        <v>14.3376534006193</v>
      </c>
      <c r="X550" s="3" t="str">
        <f aca="false">IF(I550&lt;=0,"SIN FCST",IF(V550&lt;R550,"BAJO SS",IF(T550&lt;R550,"BAJO SS (XLIB CUBRE)",IF(V550&lt;S550,"BAJO P.REORDEN",IF(AND(ISNUMBER(Q550),V550&gt;Q550),"SOBRE MAX VENDIBLE","OK")))))</f>
        <v>OK</v>
      </c>
    </row>
    <row r="551" customFormat="false" ht="15" hidden="false" customHeight="false" outlineLevel="0" collapsed="false">
      <c r="A551" s="3" t="n">
        <v>30001046</v>
      </c>
      <c r="B551" s="3" t="s">
        <v>1130</v>
      </c>
      <c r="C551" s="3" t="s">
        <v>139</v>
      </c>
      <c r="D551" s="3" t="s">
        <v>753</v>
      </c>
      <c r="E551" s="3" t="s">
        <v>762</v>
      </c>
      <c r="F551" s="3" t="str">
        <f aca="false">IFERROR(INDEX(ABC_XYZ!$L$5:$L$494,MATCH(A551,ABC_XYZ!$A$5:$A$494,0)),"SIN HIST")</f>
        <v>CX</v>
      </c>
      <c r="G551" s="24" t="n">
        <f aca="false">IF(LEFT(F551,1)="A",Parametros!$B$8,IF(LEFT(F551,1)="B",Parametros!$B$9,IF(LEFT(F551,1)="C",Parametros!$B$10,Parametros!$B$11)))</f>
        <v>0.9</v>
      </c>
      <c r="H551" s="27" t="n">
        <f aca="false">NORMSINV(G551)</f>
        <v>1.2815515655446</v>
      </c>
      <c r="I551" s="23" t="n">
        <v>849.3</v>
      </c>
      <c r="J551" s="23" t="n">
        <f aca="false">IFERROR(INDEX(ABC_XYZ!$R$5:$R$494,MATCH(A551,ABC_XYZ!$A$5:$A$494,0)),I551*Parametros!$B$13)</f>
        <v>846.837473976755</v>
      </c>
      <c r="K551" s="27" t="n">
        <f aca="false">IFERROR(VLOOKUP(C551,Parametros!$A$36:$B$66,2,FALSE()),Parametros!$B$12)</f>
        <v>1</v>
      </c>
      <c r="L551" s="23" t="n">
        <f aca="false">H551*J551*SQRT(K551)</f>
        <v>1085.26589053675</v>
      </c>
      <c r="M551" s="29" t="n">
        <v>73</v>
      </c>
      <c r="N551" s="24" t="n">
        <v>0.232876712328767</v>
      </c>
      <c r="O551" s="3" t="s">
        <v>772</v>
      </c>
      <c r="P551" s="30" t="n">
        <f aca="false">IF(AND(ISNUMBER(M551),ISNUMBER(N551)),M551*N551/7,"")</f>
        <v>2.42857142857143</v>
      </c>
      <c r="Q551" s="23" t="n">
        <f aca="false">IF(ISNUMBER(P551),I551*P551,"")</f>
        <v>2062.58571428572</v>
      </c>
      <c r="R551" s="23" t="n">
        <f aca="false">IF(ISNUMBER(Q551),MAX(0,MIN(L551,Q551-I551*K551)),L551)</f>
        <v>1085.26589053675</v>
      </c>
      <c r="S551" s="23" t="n">
        <f aca="false">R551+I551*K551</f>
        <v>1934.56589053675</v>
      </c>
      <c r="T551" s="23" t="n">
        <v>73.4</v>
      </c>
      <c r="U551" s="23" t="n">
        <v>1944</v>
      </c>
      <c r="V551" s="23" t="n">
        <f aca="false">T551+U551</f>
        <v>2017.4</v>
      </c>
      <c r="W551" s="30" t="n">
        <f aca="false">IF(I551&gt;0,V551/I551,"")</f>
        <v>2.37536795007653</v>
      </c>
      <c r="X551" s="3" t="str">
        <f aca="false">IF(I551&lt;=0,"SIN FCST",IF(V551&lt;R551,"BAJO SS",IF(T551&lt;R551,"BAJO SS (XLIB CUBRE)",IF(V551&lt;S551,"BAJO P.REORDEN",IF(AND(ISNUMBER(Q551),V551&gt;Q551),"SOBRE MAX VENDIBLE","OK")))))</f>
        <v>BAJO SS (XLIB CUBRE)</v>
      </c>
    </row>
    <row r="552" customFormat="false" ht="15" hidden="false" customHeight="false" outlineLevel="0" collapsed="false">
      <c r="A552" s="3" t="n">
        <v>30000653</v>
      </c>
      <c r="B552" s="3" t="s">
        <v>596</v>
      </c>
      <c r="C552" s="3" t="s">
        <v>129</v>
      </c>
      <c r="D552" s="3" t="s">
        <v>753</v>
      </c>
      <c r="E552" s="3" t="s">
        <v>745</v>
      </c>
      <c r="F552" s="3" t="str">
        <f aca="false">IFERROR(INDEX(ABC_XYZ!$L$5:$L$494,MATCH(A552,ABC_XYZ!$A$5:$A$494,0)),"SIN HIST")</f>
        <v>CX</v>
      </c>
      <c r="G552" s="24" t="n">
        <f aca="false">IF(LEFT(F552,1)="A",Parametros!$B$8,IF(LEFT(F552,1)="B",Parametros!$B$9,IF(LEFT(F552,1)="C",Parametros!$B$10,Parametros!$B$11)))</f>
        <v>0.9</v>
      </c>
      <c r="H552" s="27" t="n">
        <f aca="false">NORMSINV(G552)</f>
        <v>1.2815515655446</v>
      </c>
      <c r="I552" s="23" t="n">
        <v>846.8</v>
      </c>
      <c r="J552" s="23" t="n">
        <f aca="false">IFERROR(INDEX(ABC_XYZ!$R$5:$R$494,MATCH(A552,ABC_XYZ!$A$5:$A$494,0)),I552*Parametros!$B$13)</f>
        <v>277.131758795944</v>
      </c>
      <c r="K552" s="27" t="n">
        <f aca="false">IFERROR(VLOOKUP(C552,Parametros!$A$36:$B$66,2,FALSE()),Parametros!$B$12)</f>
        <v>1</v>
      </c>
      <c r="L552" s="23" t="n">
        <f aca="false">H552*J552*SQRT(K552)</f>
        <v>355.158639347071</v>
      </c>
      <c r="M552" s="29" t="n">
        <v>730</v>
      </c>
      <c r="N552" s="24" t="n">
        <v>0.328767123287671</v>
      </c>
      <c r="O552" s="3" t="s">
        <v>772</v>
      </c>
      <c r="P552" s="30" t="n">
        <f aca="false">IF(AND(ISNUMBER(M552),ISNUMBER(N552)),M552*N552/7,"")</f>
        <v>34.2857142857143</v>
      </c>
      <c r="Q552" s="23" t="n">
        <f aca="false">IF(ISNUMBER(P552),I552*P552,"")</f>
        <v>29033.1428571429</v>
      </c>
      <c r="R552" s="23" t="n">
        <f aca="false">IF(ISNUMBER(Q552),MAX(0,MIN(L552,Q552-I552*K552)),L552)</f>
        <v>355.158639347071</v>
      </c>
      <c r="S552" s="23" t="n">
        <f aca="false">R552+I552*K552</f>
        <v>1201.95863934707</v>
      </c>
      <c r="T552" s="23" t="n">
        <v>21121.9</v>
      </c>
      <c r="U552" s="23" t="n">
        <v>0</v>
      </c>
      <c r="V552" s="23" t="n">
        <f aca="false">T552+U552</f>
        <v>21121.9</v>
      </c>
      <c r="W552" s="30" t="n">
        <f aca="false">IF(I552&gt;0,V552/I552,"")</f>
        <v>24.9431979215872</v>
      </c>
      <c r="X552" s="3" t="str">
        <f aca="false">IF(I552&lt;=0,"SIN FCST",IF(V552&lt;R552,"BAJO SS",IF(T552&lt;R552,"BAJO SS (XLIB CUBRE)",IF(V552&lt;S552,"BAJO P.REORDEN",IF(AND(ISNUMBER(Q552),V552&gt;Q552),"SOBRE MAX VENDIBLE","OK")))))</f>
        <v>OK</v>
      </c>
    </row>
    <row r="553" customFormat="false" ht="15" hidden="false" customHeight="false" outlineLevel="0" collapsed="false">
      <c r="A553" s="3" t="n">
        <v>30002245</v>
      </c>
      <c r="B553" s="3" t="s">
        <v>1131</v>
      </c>
      <c r="C553" s="3" t="s">
        <v>133</v>
      </c>
      <c r="D553" s="3" t="s">
        <v>758</v>
      </c>
      <c r="E553" s="3"/>
      <c r="F553" s="3" t="str">
        <f aca="false">IFERROR(INDEX(ABC_XYZ!$L$5:$L$494,MATCH(A553,ABC_XYZ!$A$5:$A$494,0)),"SIN HIST")</f>
        <v>SIN HIST</v>
      </c>
      <c r="G553" s="24" t="n">
        <f aca="false">IF(LEFT(F553,1)="A",Parametros!$B$8,IF(LEFT(F553,1)="B",Parametros!$B$9,IF(LEFT(F553,1)="C",Parametros!$B$10,Parametros!$B$11)))</f>
        <v>0.95</v>
      </c>
      <c r="H553" s="27" t="n">
        <f aca="false">NORMSINV(G553)</f>
        <v>1.64485362695147</v>
      </c>
      <c r="I553" s="23" t="n">
        <v>837.2</v>
      </c>
      <c r="J553" s="23" t="n">
        <f aca="false">IFERROR(INDEX(ABC_XYZ!$R$5:$R$494,MATCH(A553,ABC_XYZ!$A$5:$A$494,0)),I553*Parametros!$B$13)</f>
        <v>251.16</v>
      </c>
      <c r="K553" s="27" t="n">
        <f aca="false">IFERROR(VLOOKUP(C553,Parametros!$A$36:$B$66,2,FALSE()),Parametros!$B$12)</f>
        <v>1</v>
      </c>
      <c r="L553" s="23" t="n">
        <f aca="false">H553*J553*SQRT(K553)</f>
        <v>413.121436945132</v>
      </c>
      <c r="M553" s="29"/>
      <c r="N553" s="24"/>
      <c r="O553" s="3"/>
      <c r="P553" s="30" t="str">
        <f aca="false">IF(AND(ISNUMBER(M553),ISNUMBER(N553)),M553*N553/7,"")</f>
        <v/>
      </c>
      <c r="Q553" s="23" t="str">
        <f aca="false">IF(ISNUMBER(P553),I553*P553,"")</f>
        <v/>
      </c>
      <c r="R553" s="23" t="n">
        <f aca="false">IF(ISNUMBER(Q553),MAX(0,MIN(L553,Q553-I553*K553)),L553)</f>
        <v>413.121436945132</v>
      </c>
      <c r="S553" s="23" t="n">
        <f aca="false">R553+I553*K553</f>
        <v>1250.32143694513</v>
      </c>
      <c r="T553" s="23" t="n">
        <v>8974.8</v>
      </c>
      <c r="U553" s="23" t="n">
        <v>0</v>
      </c>
      <c r="V553" s="23" t="n">
        <f aca="false">T553+U553</f>
        <v>8974.8</v>
      </c>
      <c r="W553" s="30" t="n">
        <f aca="false">IF(I553&gt;0,V553/I553,"")</f>
        <v>10.7200191113235</v>
      </c>
      <c r="X553" s="3" t="str">
        <f aca="false">IF(I553&lt;=0,"SIN FCST",IF(V553&lt;R553,"BAJO SS",IF(T553&lt;R553,"BAJO SS (XLIB CUBRE)",IF(V553&lt;S553,"BAJO P.REORDEN",IF(AND(ISNUMBER(Q553),V553&gt;Q553),"SOBRE MAX VENDIBLE","OK")))))</f>
        <v>OK</v>
      </c>
    </row>
    <row r="554" customFormat="false" ht="15" hidden="false" customHeight="false" outlineLevel="0" collapsed="false">
      <c r="A554" s="3" t="n">
        <v>30000163</v>
      </c>
      <c r="B554" s="3" t="s">
        <v>1132</v>
      </c>
      <c r="C554" s="3" t="s">
        <v>144</v>
      </c>
      <c r="D554" s="3" t="s">
        <v>753</v>
      </c>
      <c r="E554" s="3" t="s">
        <v>745</v>
      </c>
      <c r="F554" s="3" t="str">
        <f aca="false">IFERROR(INDEX(ABC_XYZ!$L$5:$L$494,MATCH(A554,ABC_XYZ!$A$5:$A$494,0)),"SIN HIST")</f>
        <v>SIN HIST</v>
      </c>
      <c r="G554" s="24" t="n">
        <f aca="false">IF(LEFT(F554,1)="A",Parametros!$B$8,IF(LEFT(F554,1)="B",Parametros!$B$9,IF(LEFT(F554,1)="C",Parametros!$B$10,Parametros!$B$11)))</f>
        <v>0.95</v>
      </c>
      <c r="H554" s="27" t="n">
        <f aca="false">NORMSINV(G554)</f>
        <v>1.64485362695147</v>
      </c>
      <c r="I554" s="23" t="n">
        <v>832.5</v>
      </c>
      <c r="J554" s="23" t="n">
        <f aca="false">IFERROR(INDEX(ABC_XYZ!$R$5:$R$494,MATCH(A554,ABC_XYZ!$A$5:$A$494,0)),I554*Parametros!$B$13)</f>
        <v>249.75</v>
      </c>
      <c r="K554" s="27" t="n">
        <f aca="false">IFERROR(VLOOKUP(C554,Parametros!$A$36:$B$66,2,FALSE()),Parametros!$B$12)</f>
        <v>1</v>
      </c>
      <c r="L554" s="23" t="n">
        <f aca="false">H554*J554*SQRT(K554)</f>
        <v>410.80219333113</v>
      </c>
      <c r="M554" s="29" t="n">
        <v>365</v>
      </c>
      <c r="N554" s="24" t="n">
        <v>0.273972602739726</v>
      </c>
      <c r="O554" s="3" t="s">
        <v>746</v>
      </c>
      <c r="P554" s="30" t="n">
        <f aca="false">IF(AND(ISNUMBER(M554),ISNUMBER(N554)),M554*N554/7,"")</f>
        <v>14.2857142857143</v>
      </c>
      <c r="Q554" s="23" t="n">
        <f aca="false">IF(ISNUMBER(P554),I554*P554,"")</f>
        <v>11892.8571428571</v>
      </c>
      <c r="R554" s="23" t="n">
        <f aca="false">IF(ISNUMBER(Q554),MAX(0,MIN(L554,Q554-I554*K554)),L554)</f>
        <v>410.80219333113</v>
      </c>
      <c r="S554" s="23" t="n">
        <f aca="false">R554+I554*K554</f>
        <v>1243.30219333113</v>
      </c>
      <c r="T554" s="23" t="n">
        <v>1890</v>
      </c>
      <c r="U554" s="23" t="n">
        <v>0</v>
      </c>
      <c r="V554" s="23" t="n">
        <f aca="false">T554+U554</f>
        <v>1890</v>
      </c>
      <c r="W554" s="30" t="n">
        <f aca="false">IF(I554&gt;0,V554/I554,"")</f>
        <v>2.27027027027027</v>
      </c>
      <c r="X554" s="3" t="str">
        <f aca="false">IF(I554&lt;=0,"SIN FCST",IF(V554&lt;R554,"BAJO SS",IF(T554&lt;R554,"BAJO SS (XLIB CUBRE)",IF(V554&lt;S554,"BAJO P.REORDEN",IF(AND(ISNUMBER(Q554),V554&gt;Q554),"SOBRE MAX VENDIBLE","OK")))))</f>
        <v>OK</v>
      </c>
    </row>
    <row r="555" customFormat="false" ht="15" hidden="false" customHeight="false" outlineLevel="0" collapsed="false">
      <c r="A555" s="3" t="n">
        <v>30001776</v>
      </c>
      <c r="B555" s="3" t="s">
        <v>1133</v>
      </c>
      <c r="C555" s="3" t="s">
        <v>135</v>
      </c>
      <c r="D555" s="3" t="s">
        <v>753</v>
      </c>
      <c r="E555" s="3" t="s">
        <v>745</v>
      </c>
      <c r="F555" s="3" t="str">
        <f aca="false">IFERROR(INDEX(ABC_XYZ!$L$5:$L$494,MATCH(A555,ABC_XYZ!$A$5:$A$494,0)),"SIN HIST")</f>
        <v>CY</v>
      </c>
      <c r="G555" s="24" t="n">
        <f aca="false">IF(LEFT(F555,1)="A",Parametros!$B$8,IF(LEFT(F555,1)="B",Parametros!$B$9,IF(LEFT(F555,1)="C",Parametros!$B$10,Parametros!$B$11)))</f>
        <v>0.9</v>
      </c>
      <c r="H555" s="27" t="n">
        <f aca="false">NORMSINV(G555)</f>
        <v>1.2815515655446</v>
      </c>
      <c r="I555" s="23" t="n">
        <v>815.8</v>
      </c>
      <c r="J555" s="23" t="n">
        <f aca="false">IFERROR(INDEX(ABC_XYZ!$R$5:$R$494,MATCH(A555,ABC_XYZ!$A$5:$A$494,0)),I555*Parametros!$B$13)</f>
        <v>668.028139916847</v>
      </c>
      <c r="K555" s="27" t="n">
        <f aca="false">IFERROR(VLOOKUP(C555,Parametros!$A$36:$B$66,2,FALSE()),Parametros!$B$12)</f>
        <v>1</v>
      </c>
      <c r="L555" s="23" t="n">
        <f aca="false">H555*J555*SQRT(K555)</f>
        <v>856.112508538283</v>
      </c>
      <c r="M555" s="29" t="n">
        <v>184</v>
      </c>
      <c r="N555" s="24" t="n">
        <v>0.190217391304348</v>
      </c>
      <c r="O555" s="3" t="s">
        <v>746</v>
      </c>
      <c r="P555" s="30" t="n">
        <f aca="false">IF(AND(ISNUMBER(M555),ISNUMBER(N555)),M555*N555/7,"")</f>
        <v>5</v>
      </c>
      <c r="Q555" s="23" t="n">
        <f aca="false">IF(ISNUMBER(P555),I555*P555,"")</f>
        <v>4079</v>
      </c>
      <c r="R555" s="23" t="n">
        <f aca="false">IF(ISNUMBER(Q555),MAX(0,MIN(L555,Q555-I555*K555)),L555)</f>
        <v>856.112508538283</v>
      </c>
      <c r="S555" s="23" t="n">
        <f aca="false">R555+I555*K555</f>
        <v>1671.91250853828</v>
      </c>
      <c r="T555" s="23" t="n">
        <v>4884</v>
      </c>
      <c r="U555" s="23" t="n">
        <v>0</v>
      </c>
      <c r="V555" s="23" t="n">
        <f aca="false">T555+U555</f>
        <v>4884</v>
      </c>
      <c r="W555" s="30" t="n">
        <f aca="false">IF(I555&gt;0,V555/I555,"")</f>
        <v>5.98676146114244</v>
      </c>
      <c r="X555" s="3" t="str">
        <f aca="false">IF(I555&lt;=0,"SIN FCST",IF(V555&lt;R555,"BAJO SS",IF(T555&lt;R555,"BAJO SS (XLIB CUBRE)",IF(V555&lt;S555,"BAJO P.REORDEN",IF(AND(ISNUMBER(Q555),V555&gt;Q555),"SOBRE MAX VENDIBLE","OK")))))</f>
        <v>SOBRE MAX VENDIBLE</v>
      </c>
    </row>
    <row r="556" customFormat="false" ht="15" hidden="false" customHeight="false" outlineLevel="0" collapsed="false">
      <c r="A556" s="3" t="n">
        <v>30001870</v>
      </c>
      <c r="B556" s="3" t="s">
        <v>1134</v>
      </c>
      <c r="C556" s="3" t="s">
        <v>133</v>
      </c>
      <c r="D556" s="3" t="s">
        <v>769</v>
      </c>
      <c r="E556" s="3"/>
      <c r="F556" s="3" t="str">
        <f aca="false">IFERROR(INDEX(ABC_XYZ!$L$5:$L$494,MATCH(A556,ABC_XYZ!$A$5:$A$494,0)),"SIN HIST")</f>
        <v>SIN HIST</v>
      </c>
      <c r="G556" s="24" t="n">
        <f aca="false">IF(LEFT(F556,1)="A",Parametros!$B$8,IF(LEFT(F556,1)="B",Parametros!$B$9,IF(LEFT(F556,1)="C",Parametros!$B$10,Parametros!$B$11)))</f>
        <v>0.95</v>
      </c>
      <c r="H556" s="27" t="n">
        <f aca="false">NORMSINV(G556)</f>
        <v>1.64485362695147</v>
      </c>
      <c r="I556" s="23" t="n">
        <v>813.9</v>
      </c>
      <c r="J556" s="23" t="n">
        <f aca="false">IFERROR(INDEX(ABC_XYZ!$R$5:$R$494,MATCH(A556,ABC_XYZ!$A$5:$A$494,0)),I556*Parametros!$B$13)</f>
        <v>244.17</v>
      </c>
      <c r="K556" s="27" t="n">
        <f aca="false">IFERROR(VLOOKUP(C556,Parametros!$A$36:$B$66,2,FALSE()),Parametros!$B$12)</f>
        <v>1</v>
      </c>
      <c r="L556" s="23" t="n">
        <f aca="false">H556*J556*SQRT(K556)</f>
        <v>401.623910092741</v>
      </c>
      <c r="M556" s="29"/>
      <c r="N556" s="24"/>
      <c r="O556" s="3"/>
      <c r="P556" s="30" t="str">
        <f aca="false">IF(AND(ISNUMBER(M556),ISNUMBER(N556)),M556*N556/7,"")</f>
        <v/>
      </c>
      <c r="Q556" s="23" t="str">
        <f aca="false">IF(ISNUMBER(P556),I556*P556,"")</f>
        <v/>
      </c>
      <c r="R556" s="23" t="n">
        <f aca="false">IF(ISNUMBER(Q556),MAX(0,MIN(L556,Q556-I556*K556)),L556)</f>
        <v>401.623910092741</v>
      </c>
      <c r="S556" s="23" t="n">
        <f aca="false">R556+I556*K556</f>
        <v>1215.52391009274</v>
      </c>
      <c r="T556" s="23" t="n">
        <v>6412.5</v>
      </c>
      <c r="U556" s="23" t="n">
        <v>0</v>
      </c>
      <c r="V556" s="23" t="n">
        <f aca="false">T556+U556</f>
        <v>6412.5</v>
      </c>
      <c r="W556" s="30" t="n">
        <f aca="false">IF(I556&gt;0,V556/I556,"")</f>
        <v>7.87873203096204</v>
      </c>
      <c r="X556" s="3" t="str">
        <f aca="false">IF(I556&lt;=0,"SIN FCST",IF(V556&lt;R556,"BAJO SS",IF(T556&lt;R556,"BAJO SS (XLIB CUBRE)",IF(V556&lt;S556,"BAJO P.REORDEN",IF(AND(ISNUMBER(Q556),V556&gt;Q556),"SOBRE MAX VENDIBLE","OK")))))</f>
        <v>OK</v>
      </c>
    </row>
    <row r="557" customFormat="false" ht="15" hidden="false" customHeight="false" outlineLevel="0" collapsed="false">
      <c r="A557" s="3" t="n">
        <v>30000052</v>
      </c>
      <c r="B557" s="3" t="s">
        <v>602</v>
      </c>
      <c r="C557" s="3" t="s">
        <v>124</v>
      </c>
      <c r="D557" s="3" t="s">
        <v>750</v>
      </c>
      <c r="E557" s="3" t="s">
        <v>745</v>
      </c>
      <c r="F557" s="3" t="str">
        <f aca="false">IFERROR(INDEX(ABC_XYZ!$L$5:$L$494,MATCH(A557,ABC_XYZ!$A$5:$A$494,0)),"SIN HIST")</f>
        <v>CX</v>
      </c>
      <c r="G557" s="24" t="n">
        <f aca="false">IF(LEFT(F557,1)="A",Parametros!$B$8,IF(LEFT(F557,1)="B",Parametros!$B$9,IF(LEFT(F557,1)="C",Parametros!$B$10,Parametros!$B$11)))</f>
        <v>0.9</v>
      </c>
      <c r="H557" s="27" t="n">
        <f aca="false">NORMSINV(G557)</f>
        <v>1.2815515655446</v>
      </c>
      <c r="I557" s="23" t="n">
        <v>811.2</v>
      </c>
      <c r="J557" s="23" t="n">
        <f aca="false">IFERROR(INDEX(ABC_XYZ!$R$5:$R$494,MATCH(A557,ABC_XYZ!$A$5:$A$494,0)),I557*Parametros!$B$13)</f>
        <v>472.230311041833</v>
      </c>
      <c r="K557" s="27" t="n">
        <f aca="false">IFERROR(VLOOKUP(C557,Parametros!$A$36:$B$66,2,FALSE()),Parametros!$B$12)</f>
        <v>1</v>
      </c>
      <c r="L557" s="23" t="n">
        <f aca="false">H557*J557*SQRT(K557)</f>
        <v>605.187494413275</v>
      </c>
      <c r="M557" s="29" t="n">
        <v>365</v>
      </c>
      <c r="N557" s="24" t="n">
        <v>0.32054794520548</v>
      </c>
      <c r="O557" s="3" t="s">
        <v>754</v>
      </c>
      <c r="P557" s="30" t="n">
        <f aca="false">IF(AND(ISNUMBER(M557),ISNUMBER(N557)),M557*N557/7,"")</f>
        <v>16.7142857142857</v>
      </c>
      <c r="Q557" s="23" t="n">
        <f aca="false">IF(ISNUMBER(P557),I557*P557,"")</f>
        <v>13558.6285714286</v>
      </c>
      <c r="R557" s="23" t="n">
        <f aca="false">IF(ISNUMBER(Q557),MAX(0,MIN(L557,Q557-I557*K557)),L557)</f>
        <v>605.187494413275</v>
      </c>
      <c r="S557" s="23" t="n">
        <f aca="false">R557+I557*K557</f>
        <v>1416.38749441328</v>
      </c>
      <c r="T557" s="23" t="n">
        <v>6349.2</v>
      </c>
      <c r="U557" s="23" t="n">
        <v>0</v>
      </c>
      <c r="V557" s="23" t="n">
        <f aca="false">T557+U557</f>
        <v>6349.2</v>
      </c>
      <c r="W557" s="30" t="n">
        <f aca="false">IF(I557&gt;0,V557/I557,"")</f>
        <v>7.82692307692308</v>
      </c>
      <c r="X557" s="3" t="str">
        <f aca="false">IF(I557&lt;=0,"SIN FCST",IF(V557&lt;R557,"BAJO SS",IF(T557&lt;R557,"BAJO SS (XLIB CUBRE)",IF(V557&lt;S557,"BAJO P.REORDEN",IF(AND(ISNUMBER(Q557),V557&gt;Q557),"SOBRE MAX VENDIBLE","OK")))))</f>
        <v>OK</v>
      </c>
    </row>
    <row r="558" customFormat="false" ht="15" hidden="false" customHeight="false" outlineLevel="0" collapsed="false">
      <c r="A558" s="3" t="n">
        <v>30002269</v>
      </c>
      <c r="B558" s="3" t="s">
        <v>1135</v>
      </c>
      <c r="C558" s="3" t="s">
        <v>130</v>
      </c>
      <c r="D558" s="3" t="s">
        <v>753</v>
      </c>
      <c r="E558" s="3"/>
      <c r="F558" s="3" t="str">
        <f aca="false">IFERROR(INDEX(ABC_XYZ!$L$5:$L$494,MATCH(A558,ABC_XYZ!$A$5:$A$494,0)),"SIN HIST")</f>
        <v>CY</v>
      </c>
      <c r="G558" s="24" t="n">
        <f aca="false">IF(LEFT(F558,1)="A",Parametros!$B$8,IF(LEFT(F558,1)="B",Parametros!$B$9,IF(LEFT(F558,1)="C",Parametros!$B$10,Parametros!$B$11)))</f>
        <v>0.9</v>
      </c>
      <c r="H558" s="27" t="n">
        <f aca="false">NORMSINV(G558)</f>
        <v>1.2815515655446</v>
      </c>
      <c r="I558" s="23" t="n">
        <v>810.4</v>
      </c>
      <c r="J558" s="23" t="n">
        <f aca="false">IFERROR(INDEX(ABC_XYZ!$R$5:$R$494,MATCH(A558,ABC_XYZ!$A$5:$A$494,0)),I558*Parametros!$B$13)</f>
        <v>1889.89109028216</v>
      </c>
      <c r="K558" s="27" t="n">
        <f aca="false">IFERROR(VLOOKUP(C558,Parametros!$A$36:$B$66,2,FALSE()),Parametros!$B$12)</f>
        <v>1</v>
      </c>
      <c r="L558" s="23" t="n">
        <f aca="false">H558*J558*SQRT(K558)</f>
        <v>2421.99288545989</v>
      </c>
      <c r="M558" s="29" t="n">
        <v>189</v>
      </c>
      <c r="N558" s="24" t="n">
        <v>0.29</v>
      </c>
      <c r="O558" s="3" t="s">
        <v>772</v>
      </c>
      <c r="P558" s="30" t="n">
        <f aca="false">IF(AND(ISNUMBER(M558),ISNUMBER(N558)),M558*N558/7,"")</f>
        <v>7.83</v>
      </c>
      <c r="Q558" s="23" t="n">
        <f aca="false">IF(ISNUMBER(P558),I558*P558,"")</f>
        <v>6345.432</v>
      </c>
      <c r="R558" s="23" t="n">
        <f aca="false">IF(ISNUMBER(Q558),MAX(0,MIN(L558,Q558-I558*K558)),L558)</f>
        <v>2421.99288545989</v>
      </c>
      <c r="S558" s="23" t="n">
        <f aca="false">R558+I558*K558</f>
        <v>3232.39288545989</v>
      </c>
      <c r="T558" s="23" t="n">
        <v>4092</v>
      </c>
      <c r="U558" s="23" t="n">
        <v>0</v>
      </c>
      <c r="V558" s="23" t="n">
        <f aca="false">T558+U558</f>
        <v>4092</v>
      </c>
      <c r="W558" s="30" t="n">
        <f aca="false">IF(I558&gt;0,V558/I558,"")</f>
        <v>5.04935834155972</v>
      </c>
      <c r="X558" s="3" t="str">
        <f aca="false">IF(I558&lt;=0,"SIN FCST",IF(V558&lt;R558,"BAJO SS",IF(T558&lt;R558,"BAJO SS (XLIB CUBRE)",IF(V558&lt;S558,"BAJO P.REORDEN",IF(AND(ISNUMBER(Q558),V558&gt;Q558),"SOBRE MAX VENDIBLE","OK")))))</f>
        <v>OK</v>
      </c>
    </row>
    <row r="559" customFormat="false" ht="15" hidden="false" customHeight="false" outlineLevel="0" collapsed="false">
      <c r="A559" s="3" t="n">
        <v>30002171</v>
      </c>
      <c r="B559" s="3" t="s">
        <v>564</v>
      </c>
      <c r="C559" s="3" t="s">
        <v>135</v>
      </c>
      <c r="D559" s="3" t="s">
        <v>753</v>
      </c>
      <c r="E559" s="3"/>
      <c r="F559" s="3" t="str">
        <f aca="false">IFERROR(INDEX(ABC_XYZ!$L$5:$L$494,MATCH(A559,ABC_XYZ!$A$5:$A$494,0)),"SIN HIST")</f>
        <v>CX</v>
      </c>
      <c r="G559" s="24" t="n">
        <f aca="false">IF(LEFT(F559,1)="A",Parametros!$B$8,IF(LEFT(F559,1)="B",Parametros!$B$9,IF(LEFT(F559,1)="C",Parametros!$B$10,Parametros!$B$11)))</f>
        <v>0.9</v>
      </c>
      <c r="H559" s="27" t="n">
        <f aca="false">NORMSINV(G559)</f>
        <v>1.2815515655446</v>
      </c>
      <c r="I559" s="23" t="n">
        <v>807.9</v>
      </c>
      <c r="J559" s="23" t="n">
        <f aca="false">IFERROR(INDEX(ABC_XYZ!$R$5:$R$494,MATCH(A559,ABC_XYZ!$A$5:$A$494,0)),I559*Parametros!$B$13)</f>
        <v>408.479024231044</v>
      </c>
      <c r="K559" s="27" t="n">
        <f aca="false">IFERROR(VLOOKUP(C559,Parametros!$A$36:$B$66,2,FALSE()),Parametros!$B$12)</f>
        <v>1</v>
      </c>
      <c r="L559" s="23" t="n">
        <f aca="false">H559*J559*SQRT(K559)</f>
        <v>523.486932995425</v>
      </c>
      <c r="M559" s="29" t="n">
        <v>123</v>
      </c>
      <c r="N559" s="24" t="n">
        <v>0.260162601626016</v>
      </c>
      <c r="O559" s="3" t="s">
        <v>772</v>
      </c>
      <c r="P559" s="30" t="n">
        <f aca="false">IF(AND(ISNUMBER(M559),ISNUMBER(N559)),M559*N559/7,"")</f>
        <v>4.57142857142857</v>
      </c>
      <c r="Q559" s="23" t="n">
        <f aca="false">IF(ISNUMBER(P559),I559*P559,"")</f>
        <v>3693.25714285714</v>
      </c>
      <c r="R559" s="23" t="n">
        <f aca="false">IF(ISNUMBER(Q559),MAX(0,MIN(L559,Q559-I559*K559)),L559)</f>
        <v>523.486932995425</v>
      </c>
      <c r="S559" s="23" t="n">
        <f aca="false">R559+I559*K559</f>
        <v>1331.38693299543</v>
      </c>
      <c r="T559" s="23" t="n">
        <v>1046.4</v>
      </c>
      <c r="U559" s="23" t="n">
        <v>4819.2</v>
      </c>
      <c r="V559" s="23" t="n">
        <f aca="false">T559+U559</f>
        <v>5865.6</v>
      </c>
      <c r="W559" s="30" t="n">
        <f aca="false">IF(I559&gt;0,V559/I559,"")</f>
        <v>7.26030449313034</v>
      </c>
      <c r="X559" s="3" t="str">
        <f aca="false">IF(I559&lt;=0,"SIN FCST",IF(V559&lt;R559,"BAJO SS",IF(T559&lt;R559,"BAJO SS (XLIB CUBRE)",IF(V559&lt;S559,"BAJO P.REORDEN",IF(AND(ISNUMBER(Q559),V559&gt;Q559),"SOBRE MAX VENDIBLE","OK")))))</f>
        <v>SOBRE MAX VENDIBLE</v>
      </c>
    </row>
    <row r="560" customFormat="false" ht="15" hidden="false" customHeight="false" outlineLevel="0" collapsed="false">
      <c r="A560" s="3" t="n">
        <v>30000089</v>
      </c>
      <c r="B560" s="3" t="s">
        <v>467</v>
      </c>
      <c r="C560" s="3" t="s">
        <v>141</v>
      </c>
      <c r="D560" s="3" t="s">
        <v>750</v>
      </c>
      <c r="E560" s="3" t="s">
        <v>762</v>
      </c>
      <c r="F560" s="3" t="str">
        <f aca="false">IFERROR(INDEX(ABC_XYZ!$L$5:$L$494,MATCH(A560,ABC_XYZ!$A$5:$A$494,0)),"SIN HIST")</f>
        <v>BY</v>
      </c>
      <c r="G560" s="24" t="n">
        <f aca="false">IF(LEFT(F560,1)="A",Parametros!$B$8,IF(LEFT(F560,1)="B",Parametros!$B$9,IF(LEFT(F560,1)="C",Parametros!$B$10,Parametros!$B$11)))</f>
        <v>0.95</v>
      </c>
      <c r="H560" s="27" t="n">
        <f aca="false">NORMSINV(G560)</f>
        <v>1.64485362695147</v>
      </c>
      <c r="I560" s="23" t="n">
        <v>800</v>
      </c>
      <c r="J560" s="23" t="n">
        <f aca="false">IFERROR(INDEX(ABC_XYZ!$R$5:$R$494,MATCH(A560,ABC_XYZ!$A$5:$A$494,0)),I560*Parametros!$B$13)</f>
        <v>704.980736333139</v>
      </c>
      <c r="K560" s="27" t="n">
        <f aca="false">IFERROR(VLOOKUP(C560,Parametros!$A$36:$B$66,2,FALSE()),Parametros!$B$12)</f>
        <v>1</v>
      </c>
      <c r="L560" s="23" t="n">
        <f aca="false">H560*J560*SQRT(K560)</f>
        <v>1159.59012108848</v>
      </c>
      <c r="M560" s="29" t="n">
        <v>184</v>
      </c>
      <c r="N560" s="24" t="n">
        <v>0.217391304347826</v>
      </c>
      <c r="O560" s="3" t="s">
        <v>754</v>
      </c>
      <c r="P560" s="30" t="n">
        <f aca="false">IF(AND(ISNUMBER(M560),ISNUMBER(N560)),M560*N560/7,"")</f>
        <v>5.71428571428572</v>
      </c>
      <c r="Q560" s="23" t="n">
        <f aca="false">IF(ISNUMBER(P560),I560*P560,"")</f>
        <v>4571.42857142857</v>
      </c>
      <c r="R560" s="23" t="n">
        <f aca="false">IF(ISNUMBER(Q560),MAX(0,MIN(L560,Q560-I560*K560)),L560)</f>
        <v>1159.59012108848</v>
      </c>
      <c r="S560" s="23" t="n">
        <f aca="false">R560+I560*K560</f>
        <v>1959.59012108848</v>
      </c>
      <c r="T560" s="23" t="n">
        <v>5952</v>
      </c>
      <c r="U560" s="23" t="n">
        <v>0</v>
      </c>
      <c r="V560" s="23" t="n">
        <f aca="false">T560+U560</f>
        <v>5952</v>
      </c>
      <c r="W560" s="30" t="n">
        <f aca="false">IF(I560&gt;0,V560/I560,"")</f>
        <v>7.44</v>
      </c>
      <c r="X560" s="3" t="str">
        <f aca="false">IF(I560&lt;=0,"SIN FCST",IF(V560&lt;R560,"BAJO SS",IF(T560&lt;R560,"BAJO SS (XLIB CUBRE)",IF(V560&lt;S560,"BAJO P.REORDEN",IF(AND(ISNUMBER(Q560),V560&gt;Q560),"SOBRE MAX VENDIBLE","OK")))))</f>
        <v>SOBRE MAX VENDIBLE</v>
      </c>
    </row>
    <row r="561" customFormat="false" ht="15" hidden="false" customHeight="false" outlineLevel="0" collapsed="false">
      <c r="A561" s="3" t="n">
        <v>30000494</v>
      </c>
      <c r="B561" s="3" t="s">
        <v>1136</v>
      </c>
      <c r="C561" s="3" t="s">
        <v>155</v>
      </c>
      <c r="D561" s="3" t="s">
        <v>761</v>
      </c>
      <c r="E561" s="3" t="s">
        <v>762</v>
      </c>
      <c r="F561" s="3" t="str">
        <f aca="false">IFERROR(INDEX(ABC_XYZ!$L$5:$L$494,MATCH(A561,ABC_XYZ!$A$5:$A$494,0)),"SIN HIST")</f>
        <v>CY</v>
      </c>
      <c r="G561" s="24" t="n">
        <f aca="false">IF(LEFT(F561,1)="A",Parametros!$B$8,IF(LEFT(F561,1)="B",Parametros!$B$9,IF(LEFT(F561,1)="C",Parametros!$B$10,Parametros!$B$11)))</f>
        <v>0.9</v>
      </c>
      <c r="H561" s="27" t="n">
        <f aca="false">NORMSINV(G561)</f>
        <v>1.2815515655446</v>
      </c>
      <c r="I561" s="23" t="n">
        <v>800</v>
      </c>
      <c r="J561" s="23" t="n">
        <f aca="false">IFERROR(INDEX(ABC_XYZ!$R$5:$R$494,MATCH(A561,ABC_XYZ!$A$5:$A$494,0)),I561*Parametros!$B$13)</f>
        <v>536.328903624024</v>
      </c>
      <c r="K561" s="27" t="n">
        <f aca="false">IFERROR(VLOOKUP(C561,Parametros!$A$36:$B$66,2,FALSE()),Parametros!$B$12)</f>
        <v>1</v>
      </c>
      <c r="L561" s="23" t="n">
        <f aca="false">H561*J561*SQRT(K561)</f>
        <v>687.333146086188</v>
      </c>
      <c r="M561" s="29" t="n">
        <v>71</v>
      </c>
      <c r="N561" s="24" t="n">
        <v>0.295774647887324</v>
      </c>
      <c r="O561" s="3" t="s">
        <v>774</v>
      </c>
      <c r="P561" s="30" t="n">
        <f aca="false">IF(AND(ISNUMBER(M561),ISNUMBER(N561)),M561*N561/7,"")</f>
        <v>3</v>
      </c>
      <c r="Q561" s="23" t="n">
        <f aca="false">IF(ISNUMBER(P561),I561*P561,"")</f>
        <v>2400</v>
      </c>
      <c r="R561" s="23" t="n">
        <f aca="false">IF(ISNUMBER(Q561),MAX(0,MIN(L561,Q561-I561*K561)),L561)</f>
        <v>687.333146086188</v>
      </c>
      <c r="S561" s="23" t="n">
        <f aca="false">R561+I561*K561</f>
        <v>1487.33314608619</v>
      </c>
      <c r="T561" s="23" t="n">
        <v>2403</v>
      </c>
      <c r="U561" s="23" t="n">
        <v>0</v>
      </c>
      <c r="V561" s="23" t="n">
        <f aca="false">T561+U561</f>
        <v>2403</v>
      </c>
      <c r="W561" s="30" t="n">
        <f aca="false">IF(I561&gt;0,V561/I561,"")</f>
        <v>3.00375</v>
      </c>
      <c r="X561" s="3" t="str">
        <f aca="false">IF(I561&lt;=0,"SIN FCST",IF(V561&lt;R561,"BAJO SS",IF(T561&lt;R561,"BAJO SS (XLIB CUBRE)",IF(V561&lt;S561,"BAJO P.REORDEN",IF(AND(ISNUMBER(Q561),V561&gt;Q561),"SOBRE MAX VENDIBLE","OK")))))</f>
        <v>SOBRE MAX VENDIBLE</v>
      </c>
    </row>
    <row r="562" customFormat="false" ht="15" hidden="false" customHeight="false" outlineLevel="0" collapsed="false">
      <c r="A562" s="3" t="n">
        <v>30000555</v>
      </c>
      <c r="B562" s="3" t="s">
        <v>1137</v>
      </c>
      <c r="C562" s="3" t="s">
        <v>149</v>
      </c>
      <c r="D562" s="3" t="s">
        <v>744</v>
      </c>
      <c r="E562" s="3" t="s">
        <v>762</v>
      </c>
      <c r="F562" s="3" t="str">
        <f aca="false">IFERROR(INDEX(ABC_XYZ!$L$5:$L$494,MATCH(A562,ABC_XYZ!$A$5:$A$494,0)),"SIN HIST")</f>
        <v>CY</v>
      </c>
      <c r="G562" s="24" t="n">
        <f aca="false">IF(LEFT(F562,1)="A",Parametros!$B$8,IF(LEFT(F562,1)="B",Parametros!$B$9,IF(LEFT(F562,1)="C",Parametros!$B$10,Parametros!$B$11)))</f>
        <v>0.9</v>
      </c>
      <c r="H562" s="27" t="n">
        <f aca="false">NORMSINV(G562)</f>
        <v>1.2815515655446</v>
      </c>
      <c r="I562" s="23" t="n">
        <v>800</v>
      </c>
      <c r="J562" s="23" t="n">
        <f aca="false">IFERROR(INDEX(ABC_XYZ!$R$5:$R$494,MATCH(A562,ABC_XYZ!$A$5:$A$494,0)),I562*Parametros!$B$13)</f>
        <v>763.638845173999</v>
      </c>
      <c r="K562" s="27" t="n">
        <f aca="false">IFERROR(VLOOKUP(C562,Parametros!$A$36:$B$66,2,FALSE()),Parametros!$B$12)</f>
        <v>1</v>
      </c>
      <c r="L562" s="23" t="n">
        <f aca="false">H562*J562*SQRT(K562)</f>
        <v>978.64255754341</v>
      </c>
      <c r="M562" s="29" t="n">
        <v>184</v>
      </c>
      <c r="N562" s="24" t="n">
        <v>0.244565217391304</v>
      </c>
      <c r="O562" s="3" t="s">
        <v>772</v>
      </c>
      <c r="P562" s="30" t="n">
        <f aca="false">IF(AND(ISNUMBER(M562),ISNUMBER(N562)),M562*N562/7,"")</f>
        <v>6.42857142857143</v>
      </c>
      <c r="Q562" s="23" t="n">
        <f aca="false">IF(ISNUMBER(P562),I562*P562,"")</f>
        <v>5142.85714285714</v>
      </c>
      <c r="R562" s="23" t="n">
        <f aca="false">IF(ISNUMBER(Q562),MAX(0,MIN(L562,Q562-I562*K562)),L562)</f>
        <v>978.64255754341</v>
      </c>
      <c r="S562" s="23" t="n">
        <f aca="false">R562+I562*K562</f>
        <v>1778.64255754341</v>
      </c>
      <c r="T562" s="23" t="n">
        <v>4404</v>
      </c>
      <c r="U562" s="23" t="n">
        <v>0</v>
      </c>
      <c r="V562" s="23" t="n">
        <f aca="false">T562+U562</f>
        <v>4404</v>
      </c>
      <c r="W562" s="30" t="n">
        <f aca="false">IF(I562&gt;0,V562/I562,"")</f>
        <v>5.505</v>
      </c>
      <c r="X562" s="3" t="str">
        <f aca="false">IF(I562&lt;=0,"SIN FCST",IF(V562&lt;R562,"BAJO SS",IF(T562&lt;R562,"BAJO SS (XLIB CUBRE)",IF(V562&lt;S562,"BAJO P.REORDEN",IF(AND(ISNUMBER(Q562),V562&gt;Q562),"SOBRE MAX VENDIBLE","OK")))))</f>
        <v>OK</v>
      </c>
    </row>
    <row r="563" customFormat="false" ht="15" hidden="false" customHeight="false" outlineLevel="0" collapsed="false">
      <c r="A563" s="3" t="n">
        <v>30002303</v>
      </c>
      <c r="B563" s="3" t="s">
        <v>1138</v>
      </c>
      <c r="C563" s="3" t="s">
        <v>152</v>
      </c>
      <c r="D563" s="3" t="s">
        <v>753</v>
      </c>
      <c r="E563" s="3"/>
      <c r="F563" s="3" t="str">
        <f aca="false">IFERROR(INDEX(ABC_XYZ!$L$5:$L$494,MATCH(A563,ABC_XYZ!$A$5:$A$494,0)),"SIN HIST")</f>
        <v>CZ</v>
      </c>
      <c r="G563" s="24" t="n">
        <f aca="false">IF(LEFT(F563,1)="A",Parametros!$B$8,IF(LEFT(F563,1)="B",Parametros!$B$9,IF(LEFT(F563,1)="C",Parametros!$B$10,Parametros!$B$11)))</f>
        <v>0.9</v>
      </c>
      <c r="H563" s="27" t="n">
        <f aca="false">NORMSINV(G563)</f>
        <v>1.2815515655446</v>
      </c>
      <c r="I563" s="23" t="n">
        <v>775</v>
      </c>
      <c r="J563" s="23" t="n">
        <f aca="false">IFERROR(INDEX(ABC_XYZ!$R$5:$R$494,MATCH(A563,ABC_XYZ!$A$5:$A$494,0)),I563*Parametros!$B$13)</f>
        <v>346.179298437481</v>
      </c>
      <c r="K563" s="27" t="n">
        <f aca="false">IFERROR(VLOOKUP(C563,Parametros!$A$36:$B$66,2,FALSE()),Parametros!$B$12)</f>
        <v>1</v>
      </c>
      <c r="L563" s="23" t="n">
        <f aca="false">H563*J563*SQRT(K563)</f>
        <v>443.646621871686</v>
      </c>
      <c r="M563" s="29"/>
      <c r="N563" s="24"/>
      <c r="O563" s="3"/>
      <c r="P563" s="30" t="str">
        <f aca="false">IF(AND(ISNUMBER(M563),ISNUMBER(N563)),M563*N563/7,"")</f>
        <v/>
      </c>
      <c r="Q563" s="23" t="str">
        <f aca="false">IF(ISNUMBER(P563),I563*P563,"")</f>
        <v/>
      </c>
      <c r="R563" s="23" t="n">
        <f aca="false">IF(ISNUMBER(Q563),MAX(0,MIN(L563,Q563-I563*K563)),L563)</f>
        <v>443.646621871686</v>
      </c>
      <c r="S563" s="23" t="n">
        <f aca="false">R563+I563*K563</f>
        <v>1218.64662187169</v>
      </c>
      <c r="T563" s="23" t="n">
        <v>17524.8</v>
      </c>
      <c r="U563" s="23" t="n">
        <v>715.2</v>
      </c>
      <c r="V563" s="23" t="n">
        <f aca="false">T563+U563</f>
        <v>18240</v>
      </c>
      <c r="W563" s="30" t="n">
        <f aca="false">IF(I563&gt;0,V563/I563,"")</f>
        <v>23.5354838709677</v>
      </c>
      <c r="X563" s="3" t="str">
        <f aca="false">IF(I563&lt;=0,"SIN FCST",IF(V563&lt;R563,"BAJO SS",IF(T563&lt;R563,"BAJO SS (XLIB CUBRE)",IF(V563&lt;S563,"BAJO P.REORDEN",IF(AND(ISNUMBER(Q563),V563&gt;Q563),"SOBRE MAX VENDIBLE","OK")))))</f>
        <v>OK</v>
      </c>
    </row>
    <row r="564" customFormat="false" ht="15" hidden="false" customHeight="false" outlineLevel="0" collapsed="false">
      <c r="A564" s="3" t="n">
        <v>30000986</v>
      </c>
      <c r="B564" s="3" t="s">
        <v>1139</v>
      </c>
      <c r="C564" s="3" t="s">
        <v>133</v>
      </c>
      <c r="D564" s="3" t="s">
        <v>758</v>
      </c>
      <c r="E564" s="3"/>
      <c r="F564" s="3" t="str">
        <f aca="false">IFERROR(INDEX(ABC_XYZ!$L$5:$L$494,MATCH(A564,ABC_XYZ!$A$5:$A$494,0)),"SIN HIST")</f>
        <v>SIN HIST</v>
      </c>
      <c r="G564" s="24" t="n">
        <f aca="false">IF(LEFT(F564,1)="A",Parametros!$B$8,IF(LEFT(F564,1)="B",Parametros!$B$9,IF(LEFT(F564,1)="C",Parametros!$B$10,Parametros!$B$11)))</f>
        <v>0.95</v>
      </c>
      <c r="H564" s="27" t="n">
        <f aca="false">NORMSINV(G564)</f>
        <v>1.64485362695147</v>
      </c>
      <c r="I564" s="23" t="n">
        <v>774.7</v>
      </c>
      <c r="J564" s="23" t="n">
        <f aca="false">IFERROR(INDEX(ABC_XYZ!$R$5:$R$494,MATCH(A564,ABC_XYZ!$A$5:$A$494,0)),I564*Parametros!$B$13)</f>
        <v>232.41</v>
      </c>
      <c r="K564" s="27" t="n">
        <f aca="false">IFERROR(VLOOKUP(C564,Parametros!$A$36:$B$66,2,FALSE()),Parametros!$B$12)</f>
        <v>1</v>
      </c>
      <c r="L564" s="23" t="n">
        <f aca="false">H564*J564*SQRT(K564)</f>
        <v>382.280431439791</v>
      </c>
      <c r="M564" s="29"/>
      <c r="N564" s="24"/>
      <c r="O564" s="3"/>
      <c r="P564" s="30" t="str">
        <f aca="false">IF(AND(ISNUMBER(M564),ISNUMBER(N564)),M564*N564/7,"")</f>
        <v/>
      </c>
      <c r="Q564" s="23" t="str">
        <f aca="false">IF(ISNUMBER(P564),I564*P564,"")</f>
        <v/>
      </c>
      <c r="R564" s="23" t="n">
        <f aca="false">IF(ISNUMBER(Q564),MAX(0,MIN(L564,Q564-I564*K564)),L564)</f>
        <v>382.280431439791</v>
      </c>
      <c r="S564" s="23" t="n">
        <f aca="false">R564+I564*K564</f>
        <v>1156.98043143979</v>
      </c>
      <c r="T564" s="23" t="n">
        <v>5314.4</v>
      </c>
      <c r="U564" s="23" t="n">
        <v>0</v>
      </c>
      <c r="V564" s="23" t="n">
        <f aca="false">T564+U564</f>
        <v>5314.4</v>
      </c>
      <c r="W564" s="30" t="n">
        <f aca="false">IF(I564&gt;0,V564/I564,"")</f>
        <v>6.85994578546534</v>
      </c>
      <c r="X564" s="3" t="str">
        <f aca="false">IF(I564&lt;=0,"SIN FCST",IF(V564&lt;R564,"BAJO SS",IF(T564&lt;R564,"BAJO SS (XLIB CUBRE)",IF(V564&lt;S564,"BAJO P.REORDEN",IF(AND(ISNUMBER(Q564),V564&gt;Q564),"SOBRE MAX VENDIBLE","OK")))))</f>
        <v>OK</v>
      </c>
    </row>
    <row r="565" customFormat="false" ht="15" hidden="false" customHeight="false" outlineLevel="0" collapsed="false">
      <c r="A565" s="3" t="n">
        <v>30002170</v>
      </c>
      <c r="B565" s="3" t="s">
        <v>561</v>
      </c>
      <c r="C565" s="3" t="s">
        <v>135</v>
      </c>
      <c r="D565" s="3" t="s">
        <v>753</v>
      </c>
      <c r="E565" s="3"/>
      <c r="F565" s="3" t="str">
        <f aca="false">IFERROR(INDEX(ABC_XYZ!$L$5:$L$494,MATCH(A565,ABC_XYZ!$A$5:$A$494,0)),"SIN HIST")</f>
        <v>CY</v>
      </c>
      <c r="G565" s="24" t="n">
        <f aca="false">IF(LEFT(F565,1)="A",Parametros!$B$8,IF(LEFT(F565,1)="B",Parametros!$B$9,IF(LEFT(F565,1)="C",Parametros!$B$10,Parametros!$B$11)))</f>
        <v>0.9</v>
      </c>
      <c r="H565" s="27" t="n">
        <f aca="false">NORMSINV(G565)</f>
        <v>1.2815515655446</v>
      </c>
      <c r="I565" s="23" t="n">
        <v>768</v>
      </c>
      <c r="J565" s="23" t="n">
        <f aca="false">IFERROR(INDEX(ABC_XYZ!$R$5:$R$494,MATCH(A565,ABC_XYZ!$A$5:$A$494,0)),I565*Parametros!$B$13)</f>
        <v>1006.56328664177</v>
      </c>
      <c r="K565" s="27" t="n">
        <f aca="false">IFERROR(VLOOKUP(C565,Parametros!$A$36:$B$66,2,FALSE()),Parametros!$B$12)</f>
        <v>1</v>
      </c>
      <c r="L565" s="23" t="n">
        <f aca="false">H565*J565*SQRT(K565)</f>
        <v>1289.96275581548</v>
      </c>
      <c r="M565" s="29" t="n">
        <v>123</v>
      </c>
      <c r="N565" s="24" t="n">
        <v>0.235772357723577</v>
      </c>
      <c r="O565" s="3" t="s">
        <v>754</v>
      </c>
      <c r="P565" s="30" t="n">
        <f aca="false">IF(AND(ISNUMBER(M565),ISNUMBER(N565)),M565*N565/7,"")</f>
        <v>4.14285714285714</v>
      </c>
      <c r="Q565" s="23" t="n">
        <f aca="false">IF(ISNUMBER(P565),I565*P565,"")</f>
        <v>3181.71428571428</v>
      </c>
      <c r="R565" s="23" t="n">
        <f aca="false">IF(ISNUMBER(Q565),MAX(0,MIN(L565,Q565-I565*K565)),L565)</f>
        <v>1289.96275581548</v>
      </c>
      <c r="S565" s="23" t="n">
        <f aca="false">R565+I565*K565</f>
        <v>2057.96275581548</v>
      </c>
      <c r="T565" s="23" t="n">
        <v>3292.8</v>
      </c>
      <c r="U565" s="23" t="n">
        <v>0</v>
      </c>
      <c r="V565" s="23" t="n">
        <f aca="false">T565+U565</f>
        <v>3292.8</v>
      </c>
      <c r="W565" s="30" t="n">
        <f aca="false">IF(I565&gt;0,V565/I565,"")</f>
        <v>4.2875</v>
      </c>
      <c r="X565" s="3" t="str">
        <f aca="false">IF(I565&lt;=0,"SIN FCST",IF(V565&lt;R565,"BAJO SS",IF(T565&lt;R565,"BAJO SS (XLIB CUBRE)",IF(V565&lt;S565,"BAJO P.REORDEN",IF(AND(ISNUMBER(Q565),V565&gt;Q565),"SOBRE MAX VENDIBLE","OK")))))</f>
        <v>SOBRE MAX VENDIBLE</v>
      </c>
    </row>
    <row r="566" customFormat="false" ht="15" hidden="false" customHeight="false" outlineLevel="0" collapsed="false">
      <c r="A566" s="3" t="n">
        <v>30002061</v>
      </c>
      <c r="B566" s="3" t="s">
        <v>516</v>
      </c>
      <c r="C566" s="3" t="s">
        <v>155</v>
      </c>
      <c r="D566" s="3" t="s">
        <v>761</v>
      </c>
      <c r="E566" s="3" t="s">
        <v>762</v>
      </c>
      <c r="F566" s="3" t="str">
        <f aca="false">IFERROR(INDEX(ABC_XYZ!$L$5:$L$494,MATCH(A566,ABC_XYZ!$A$5:$A$494,0)),"SIN HIST")</f>
        <v>CX</v>
      </c>
      <c r="G566" s="24" t="n">
        <f aca="false">IF(LEFT(F566,1)="A",Parametros!$B$8,IF(LEFT(F566,1)="B",Parametros!$B$9,IF(LEFT(F566,1)="C",Parametros!$B$10,Parametros!$B$11)))</f>
        <v>0.9</v>
      </c>
      <c r="H566" s="27" t="n">
        <f aca="false">NORMSINV(G566)</f>
        <v>1.2815515655446</v>
      </c>
      <c r="I566" s="23" t="n">
        <v>750</v>
      </c>
      <c r="J566" s="23" t="n">
        <f aca="false">IFERROR(INDEX(ABC_XYZ!$R$5:$R$494,MATCH(A566,ABC_XYZ!$A$5:$A$494,0)),I566*Parametros!$B$13)</f>
        <v>554.759000492641</v>
      </c>
      <c r="K566" s="27" t="n">
        <f aca="false">IFERROR(VLOOKUP(C566,Parametros!$A$36:$B$66,2,FALSE()),Parametros!$B$12)</f>
        <v>1</v>
      </c>
      <c r="L566" s="23" t="n">
        <f aca="false">H566*J566*SQRT(K566)</f>
        <v>710.952265581302</v>
      </c>
      <c r="M566" s="29" t="n">
        <v>65</v>
      </c>
      <c r="N566" s="24" t="n">
        <v>0.230769230769231</v>
      </c>
      <c r="O566" s="3" t="s">
        <v>774</v>
      </c>
      <c r="P566" s="30" t="n">
        <f aca="false">IF(AND(ISNUMBER(M566),ISNUMBER(N566)),M566*N566/7,"")</f>
        <v>2.14285714285714</v>
      </c>
      <c r="Q566" s="23" t="n">
        <f aca="false">IF(ISNUMBER(P566),I566*P566,"")</f>
        <v>1607.14285714286</v>
      </c>
      <c r="R566" s="23" t="n">
        <f aca="false">IF(ISNUMBER(Q566),MAX(0,MIN(L566,Q566-I566*K566)),L566)</f>
        <v>710.952265581302</v>
      </c>
      <c r="S566" s="23" t="n">
        <f aca="false">R566+I566*K566</f>
        <v>1460.9522655813</v>
      </c>
      <c r="T566" s="23" t="n">
        <v>25.5</v>
      </c>
      <c r="U566" s="23" t="n">
        <v>0</v>
      </c>
      <c r="V566" s="23" t="n">
        <f aca="false">T566+U566</f>
        <v>25.5</v>
      </c>
      <c r="W566" s="30" t="n">
        <f aca="false">IF(I566&gt;0,V566/I566,"")</f>
        <v>0.034</v>
      </c>
      <c r="X566" s="3" t="str">
        <f aca="false">IF(I566&lt;=0,"SIN FCST",IF(V566&lt;R566,"BAJO SS",IF(T566&lt;R566,"BAJO SS (XLIB CUBRE)",IF(V566&lt;S566,"BAJO P.REORDEN",IF(AND(ISNUMBER(Q566),V566&gt;Q566),"SOBRE MAX VENDIBLE","OK")))))</f>
        <v>BAJO SS</v>
      </c>
    </row>
    <row r="567" customFormat="false" ht="15" hidden="false" customHeight="false" outlineLevel="0" collapsed="false">
      <c r="A567" s="3" t="n">
        <v>30001869</v>
      </c>
      <c r="B567" s="3" t="s">
        <v>1140</v>
      </c>
      <c r="C567" s="3" t="s">
        <v>133</v>
      </c>
      <c r="D567" s="3" t="s">
        <v>769</v>
      </c>
      <c r="E567" s="3"/>
      <c r="F567" s="3" t="str">
        <f aca="false">IFERROR(INDEX(ABC_XYZ!$L$5:$L$494,MATCH(A567,ABC_XYZ!$A$5:$A$494,0)),"SIN HIST")</f>
        <v>SIN HIST</v>
      </c>
      <c r="G567" s="24" t="n">
        <f aca="false">IF(LEFT(F567,1)="A",Parametros!$B$8,IF(LEFT(F567,1)="B",Parametros!$B$9,IF(LEFT(F567,1)="C",Parametros!$B$10,Parametros!$B$11)))</f>
        <v>0.95</v>
      </c>
      <c r="H567" s="27" t="n">
        <f aca="false">NORMSINV(G567)</f>
        <v>1.64485362695147</v>
      </c>
      <c r="I567" s="23" t="n">
        <v>738.4</v>
      </c>
      <c r="J567" s="23" t="n">
        <f aca="false">IFERROR(INDEX(ABC_XYZ!$R$5:$R$494,MATCH(A567,ABC_XYZ!$A$5:$A$494,0)),I567*Parametros!$B$13)</f>
        <v>221.52</v>
      </c>
      <c r="K567" s="27" t="n">
        <f aca="false">IFERROR(VLOOKUP(C567,Parametros!$A$36:$B$66,2,FALSE()),Parametros!$B$12)</f>
        <v>1</v>
      </c>
      <c r="L567" s="23" t="n">
        <f aca="false">H567*J567*SQRT(K567)</f>
        <v>364.36797544229</v>
      </c>
      <c r="M567" s="29"/>
      <c r="N567" s="24"/>
      <c r="O567" s="3"/>
      <c r="P567" s="30" t="str">
        <f aca="false">IF(AND(ISNUMBER(M567),ISNUMBER(N567)),M567*N567/7,"")</f>
        <v/>
      </c>
      <c r="Q567" s="23" t="str">
        <f aca="false">IF(ISNUMBER(P567),I567*P567,"")</f>
        <v/>
      </c>
      <c r="R567" s="23" t="n">
        <f aca="false">IF(ISNUMBER(Q567),MAX(0,MIN(L567,Q567-I567*K567)),L567)</f>
        <v>364.36797544229</v>
      </c>
      <c r="S567" s="23" t="n">
        <f aca="false">R567+I567*K567</f>
        <v>1102.76797544229</v>
      </c>
      <c r="T567" s="23" t="n">
        <v>8625</v>
      </c>
      <c r="U567" s="23" t="n">
        <v>0</v>
      </c>
      <c r="V567" s="23" t="n">
        <f aca="false">T567+U567</f>
        <v>8625</v>
      </c>
      <c r="W567" s="30" t="n">
        <f aca="false">IF(I567&gt;0,V567/I567,"")</f>
        <v>11.6806608884074</v>
      </c>
      <c r="X567" s="3" t="str">
        <f aca="false">IF(I567&lt;=0,"SIN FCST",IF(V567&lt;R567,"BAJO SS",IF(T567&lt;R567,"BAJO SS (XLIB CUBRE)",IF(V567&lt;S567,"BAJO P.REORDEN",IF(AND(ISNUMBER(Q567),V567&gt;Q567),"SOBRE MAX VENDIBLE","OK")))))</f>
        <v>OK</v>
      </c>
    </row>
    <row r="568" customFormat="false" ht="15" hidden="false" customHeight="false" outlineLevel="0" collapsed="false">
      <c r="A568" s="3" t="n">
        <v>30001535</v>
      </c>
      <c r="B568" s="3" t="s">
        <v>1141</v>
      </c>
      <c r="C568" s="3" t="s">
        <v>133</v>
      </c>
      <c r="D568" s="3" t="s">
        <v>758</v>
      </c>
      <c r="E568" s="3"/>
      <c r="F568" s="3" t="str">
        <f aca="false">IFERROR(INDEX(ABC_XYZ!$L$5:$L$494,MATCH(A568,ABC_XYZ!$A$5:$A$494,0)),"SIN HIST")</f>
        <v>SIN HIST</v>
      </c>
      <c r="G568" s="24" t="n">
        <f aca="false">IF(LEFT(F568,1)="A",Parametros!$B$8,IF(LEFT(F568,1)="B",Parametros!$B$9,IF(LEFT(F568,1)="C",Parametros!$B$10,Parametros!$B$11)))</f>
        <v>0.95</v>
      </c>
      <c r="H568" s="27" t="n">
        <f aca="false">NORMSINV(G568)</f>
        <v>1.64485362695147</v>
      </c>
      <c r="I568" s="23" t="n">
        <v>737.2</v>
      </c>
      <c r="J568" s="23" t="n">
        <f aca="false">IFERROR(INDEX(ABC_XYZ!$R$5:$R$494,MATCH(A568,ABC_XYZ!$A$5:$A$494,0)),I568*Parametros!$B$13)</f>
        <v>221.16</v>
      </c>
      <c r="K568" s="27" t="n">
        <f aca="false">IFERROR(VLOOKUP(C568,Parametros!$A$36:$B$66,2,FALSE()),Parametros!$B$12)</f>
        <v>1</v>
      </c>
      <c r="L568" s="23" t="n">
        <f aca="false">H568*J568*SQRT(K568)</f>
        <v>363.775828136587</v>
      </c>
      <c r="M568" s="29"/>
      <c r="N568" s="24"/>
      <c r="O568" s="3"/>
      <c r="P568" s="30" t="str">
        <f aca="false">IF(AND(ISNUMBER(M568),ISNUMBER(N568)),M568*N568/7,"")</f>
        <v/>
      </c>
      <c r="Q568" s="23" t="str">
        <f aca="false">IF(ISNUMBER(P568),I568*P568,"")</f>
        <v/>
      </c>
      <c r="R568" s="23" t="n">
        <f aca="false">IF(ISNUMBER(Q568),MAX(0,MIN(L568,Q568-I568*K568)),L568)</f>
        <v>363.775828136587</v>
      </c>
      <c r="S568" s="23" t="n">
        <f aca="false">R568+I568*K568</f>
        <v>1100.97582813659</v>
      </c>
      <c r="T568" s="23" t="n">
        <v>2410</v>
      </c>
      <c r="U568" s="23" t="n">
        <v>0</v>
      </c>
      <c r="V568" s="23" t="n">
        <f aca="false">T568+U568</f>
        <v>2410</v>
      </c>
      <c r="W568" s="30" t="n">
        <f aca="false">IF(I568&gt;0,V568/I568,"")</f>
        <v>3.26912642430819</v>
      </c>
      <c r="X568" s="3" t="str">
        <f aca="false">IF(I568&lt;=0,"SIN FCST",IF(V568&lt;R568,"BAJO SS",IF(T568&lt;R568,"BAJO SS (XLIB CUBRE)",IF(V568&lt;S568,"BAJO P.REORDEN",IF(AND(ISNUMBER(Q568),V568&gt;Q568),"SOBRE MAX VENDIBLE","OK")))))</f>
        <v>OK</v>
      </c>
    </row>
    <row r="569" customFormat="false" ht="15" hidden="false" customHeight="false" outlineLevel="0" collapsed="false">
      <c r="A569" s="3" t="n">
        <v>30002114</v>
      </c>
      <c r="B569" s="3" t="s">
        <v>600</v>
      </c>
      <c r="C569" s="3" t="s">
        <v>144</v>
      </c>
      <c r="D569" s="3" t="s">
        <v>753</v>
      </c>
      <c r="E569" s="3" t="s">
        <v>745</v>
      </c>
      <c r="F569" s="3" t="str">
        <f aca="false">IFERROR(INDEX(ABC_XYZ!$L$5:$L$494,MATCH(A569,ABC_XYZ!$A$5:$A$494,0)),"SIN HIST")</f>
        <v>CY</v>
      </c>
      <c r="G569" s="24" t="n">
        <f aca="false">IF(LEFT(F569,1)="A",Parametros!$B$8,IF(LEFT(F569,1)="B",Parametros!$B$9,IF(LEFT(F569,1)="C",Parametros!$B$10,Parametros!$B$11)))</f>
        <v>0.9</v>
      </c>
      <c r="H569" s="27" t="n">
        <f aca="false">NORMSINV(G569)</f>
        <v>1.2815515655446</v>
      </c>
      <c r="I569" s="23" t="n">
        <v>705</v>
      </c>
      <c r="J569" s="23" t="n">
        <f aca="false">IFERROR(INDEX(ABC_XYZ!$R$5:$R$494,MATCH(A569,ABC_XYZ!$A$5:$A$494,0)),I569*Parametros!$B$13)</f>
        <v>375.943258129912</v>
      </c>
      <c r="K569" s="27" t="n">
        <f aca="false">IFERROR(VLOOKUP(C569,Parametros!$A$36:$B$66,2,FALSE()),Parametros!$B$12)</f>
        <v>1</v>
      </c>
      <c r="L569" s="23" t="n">
        <f aca="false">H569*J569*SQRT(K569)</f>
        <v>481.790671012326</v>
      </c>
      <c r="M569" s="29" t="n">
        <v>365</v>
      </c>
      <c r="N569" s="24" t="n">
        <v>0.194520547945206</v>
      </c>
      <c r="O569" s="3" t="s">
        <v>746</v>
      </c>
      <c r="P569" s="30" t="n">
        <f aca="false">IF(AND(ISNUMBER(M569),ISNUMBER(N569)),M569*N569/7,"")</f>
        <v>10.1428571428571</v>
      </c>
      <c r="Q569" s="23" t="n">
        <f aca="false">IF(ISNUMBER(P569),I569*P569,"")</f>
        <v>7150.71428571429</v>
      </c>
      <c r="R569" s="23" t="n">
        <f aca="false">IF(ISNUMBER(Q569),MAX(0,MIN(L569,Q569-I569*K569)),L569)</f>
        <v>481.790671012326</v>
      </c>
      <c r="S569" s="23" t="n">
        <f aca="false">R569+I569*K569</f>
        <v>1186.79067101233</v>
      </c>
      <c r="T569" s="23" t="n">
        <v>4290</v>
      </c>
      <c r="U569" s="23" t="n">
        <v>0</v>
      </c>
      <c r="V569" s="23" t="n">
        <f aca="false">T569+U569</f>
        <v>4290</v>
      </c>
      <c r="W569" s="30" t="n">
        <f aca="false">IF(I569&gt;0,V569/I569,"")</f>
        <v>6.08510638297872</v>
      </c>
      <c r="X569" s="3" t="str">
        <f aca="false">IF(I569&lt;=0,"SIN FCST",IF(V569&lt;R569,"BAJO SS",IF(T569&lt;R569,"BAJO SS (XLIB CUBRE)",IF(V569&lt;S569,"BAJO P.REORDEN",IF(AND(ISNUMBER(Q569),V569&gt;Q569),"SOBRE MAX VENDIBLE","OK")))))</f>
        <v>OK</v>
      </c>
    </row>
    <row r="570" customFormat="false" ht="15" hidden="false" customHeight="false" outlineLevel="0" collapsed="false">
      <c r="A570" s="3" t="n">
        <v>30000836</v>
      </c>
      <c r="B570" s="3" t="s">
        <v>1142</v>
      </c>
      <c r="C570" s="3" t="s">
        <v>133</v>
      </c>
      <c r="D570" s="3" t="s">
        <v>758</v>
      </c>
      <c r="E570" s="3"/>
      <c r="F570" s="3" t="str">
        <f aca="false">IFERROR(INDEX(ABC_XYZ!$L$5:$L$494,MATCH(A570,ABC_XYZ!$A$5:$A$494,0)),"SIN HIST")</f>
        <v>SIN HIST</v>
      </c>
      <c r="G570" s="24" t="n">
        <f aca="false">IF(LEFT(F570,1)="A",Parametros!$B$8,IF(LEFT(F570,1)="B",Parametros!$B$9,IF(LEFT(F570,1)="C",Parametros!$B$10,Parametros!$B$11)))</f>
        <v>0.95</v>
      </c>
      <c r="H570" s="27" t="n">
        <f aca="false">NORMSINV(G570)</f>
        <v>1.64485362695147</v>
      </c>
      <c r="I570" s="23" t="n">
        <v>700.5</v>
      </c>
      <c r="J570" s="23" t="n">
        <f aca="false">IFERROR(INDEX(ABC_XYZ!$R$5:$R$494,MATCH(A570,ABC_XYZ!$A$5:$A$494,0)),I570*Parametros!$B$13)</f>
        <v>210.15</v>
      </c>
      <c r="K570" s="27" t="n">
        <f aca="false">IFERROR(VLOOKUP(C570,Parametros!$A$36:$B$66,2,FALSE()),Parametros!$B$12)</f>
        <v>1</v>
      </c>
      <c r="L570" s="23" t="n">
        <f aca="false">H570*J570*SQRT(K570)</f>
        <v>345.665989703852</v>
      </c>
      <c r="M570" s="29"/>
      <c r="N570" s="24"/>
      <c r="O570" s="3"/>
      <c r="P570" s="30" t="str">
        <f aca="false">IF(AND(ISNUMBER(M570),ISNUMBER(N570)),M570*N570/7,"")</f>
        <v/>
      </c>
      <c r="Q570" s="23" t="str">
        <f aca="false">IF(ISNUMBER(P570),I570*P570,"")</f>
        <v/>
      </c>
      <c r="R570" s="23" t="n">
        <f aca="false">IF(ISNUMBER(Q570),MAX(0,MIN(L570,Q570-I570*K570)),L570)</f>
        <v>345.665989703852</v>
      </c>
      <c r="S570" s="23" t="n">
        <f aca="false">R570+I570*K570</f>
        <v>1046.16598970385</v>
      </c>
      <c r="T570" s="23" t="n">
        <v>1764</v>
      </c>
      <c r="U570" s="23" t="n">
        <v>0</v>
      </c>
      <c r="V570" s="23" t="n">
        <f aca="false">T570+U570</f>
        <v>1764</v>
      </c>
      <c r="W570" s="30" t="n">
        <f aca="false">IF(I570&gt;0,V570/I570,"")</f>
        <v>2.51820128479657</v>
      </c>
      <c r="X570" s="3" t="str">
        <f aca="false">IF(I570&lt;=0,"SIN FCST",IF(V570&lt;R570,"BAJO SS",IF(T570&lt;R570,"BAJO SS (XLIB CUBRE)",IF(V570&lt;S570,"BAJO P.REORDEN",IF(AND(ISNUMBER(Q570),V570&gt;Q570),"SOBRE MAX VENDIBLE","OK")))))</f>
        <v>OK</v>
      </c>
    </row>
    <row r="571" customFormat="false" ht="15" hidden="false" customHeight="false" outlineLevel="0" collapsed="false">
      <c r="A571" s="3" t="n">
        <v>30000464</v>
      </c>
      <c r="B571" s="3" t="s">
        <v>612</v>
      </c>
      <c r="C571" s="3" t="s">
        <v>149</v>
      </c>
      <c r="D571" s="3" t="s">
        <v>744</v>
      </c>
      <c r="E571" s="3" t="s">
        <v>762</v>
      </c>
      <c r="F571" s="3" t="str">
        <f aca="false">IFERROR(INDEX(ABC_XYZ!$L$5:$L$494,MATCH(A571,ABC_XYZ!$A$5:$A$494,0)),"SIN HIST")</f>
        <v>CX</v>
      </c>
      <c r="G571" s="24" t="n">
        <f aca="false">IF(LEFT(F571,1)="A",Parametros!$B$8,IF(LEFT(F571,1)="B",Parametros!$B$9,IF(LEFT(F571,1)="C",Parametros!$B$10,Parametros!$B$11)))</f>
        <v>0.9</v>
      </c>
      <c r="H571" s="27" t="n">
        <f aca="false">NORMSINV(G571)</f>
        <v>1.2815515655446</v>
      </c>
      <c r="I571" s="23" t="n">
        <v>700</v>
      </c>
      <c r="J571" s="23" t="n">
        <f aca="false">IFERROR(INDEX(ABC_XYZ!$R$5:$R$494,MATCH(A571,ABC_XYZ!$A$5:$A$494,0)),I571*Parametros!$B$13)</f>
        <v>695.414467570515</v>
      </c>
      <c r="K571" s="27" t="n">
        <f aca="false">IFERROR(VLOOKUP(C571,Parametros!$A$36:$B$66,2,FALSE()),Parametros!$B$12)</f>
        <v>1</v>
      </c>
      <c r="L571" s="23" t="n">
        <f aca="false">H571*J571*SQRT(K571)</f>
        <v>891.209499617358</v>
      </c>
      <c r="M571" s="29" t="n">
        <v>153</v>
      </c>
      <c r="N571" s="24" t="n">
        <v>0.209150326797386</v>
      </c>
      <c r="O571" s="3" t="s">
        <v>754</v>
      </c>
      <c r="P571" s="30" t="n">
        <f aca="false">IF(AND(ISNUMBER(M571),ISNUMBER(N571)),M571*N571/7,"")</f>
        <v>4.57142857142857</v>
      </c>
      <c r="Q571" s="23" t="n">
        <f aca="false">IF(ISNUMBER(P571),I571*P571,"")</f>
        <v>3200</v>
      </c>
      <c r="R571" s="23" t="n">
        <f aca="false">IF(ISNUMBER(Q571),MAX(0,MIN(L571,Q571-I571*K571)),L571)</f>
        <v>891.209499617358</v>
      </c>
      <c r="S571" s="23" t="n">
        <f aca="false">R571+I571*K571</f>
        <v>1591.20949961736</v>
      </c>
      <c r="T571" s="23" t="n">
        <v>1410</v>
      </c>
      <c r="U571" s="23" t="n">
        <v>0</v>
      </c>
      <c r="V571" s="23" t="n">
        <f aca="false">T571+U571</f>
        <v>1410</v>
      </c>
      <c r="W571" s="30" t="n">
        <f aca="false">IF(I571&gt;0,V571/I571,"")</f>
        <v>2.01428571428571</v>
      </c>
      <c r="X571" s="3" t="str">
        <f aca="false">IF(I571&lt;=0,"SIN FCST",IF(V571&lt;R571,"BAJO SS",IF(T571&lt;R571,"BAJO SS (XLIB CUBRE)",IF(V571&lt;S571,"BAJO P.REORDEN",IF(AND(ISNUMBER(Q571),V571&gt;Q571),"SOBRE MAX VENDIBLE","OK")))))</f>
        <v>BAJO P.REORDEN</v>
      </c>
    </row>
    <row r="572" customFormat="false" ht="15" hidden="false" customHeight="false" outlineLevel="0" collapsed="false">
      <c r="A572" s="3" t="n">
        <v>30000552</v>
      </c>
      <c r="B572" s="3" t="s">
        <v>1143</v>
      </c>
      <c r="C572" s="3" t="s">
        <v>149</v>
      </c>
      <c r="D572" s="3" t="s">
        <v>744</v>
      </c>
      <c r="E572" s="3" t="s">
        <v>762</v>
      </c>
      <c r="F572" s="3" t="str">
        <f aca="false">IFERROR(INDEX(ABC_XYZ!$L$5:$L$494,MATCH(A572,ABC_XYZ!$A$5:$A$494,0)),"SIN HIST")</f>
        <v>CY</v>
      </c>
      <c r="G572" s="24" t="n">
        <f aca="false">IF(LEFT(F572,1)="A",Parametros!$B$8,IF(LEFT(F572,1)="B",Parametros!$B$9,IF(LEFT(F572,1)="C",Parametros!$B$10,Parametros!$B$11)))</f>
        <v>0.9</v>
      </c>
      <c r="H572" s="27" t="n">
        <f aca="false">NORMSINV(G572)</f>
        <v>1.2815515655446</v>
      </c>
      <c r="I572" s="23" t="n">
        <v>700</v>
      </c>
      <c r="J572" s="23" t="n">
        <f aca="false">IFERROR(INDEX(ABC_XYZ!$R$5:$R$494,MATCH(A572,ABC_XYZ!$A$5:$A$494,0)),I572*Parametros!$B$13)</f>
        <v>334.168712363367</v>
      </c>
      <c r="K572" s="27" t="n">
        <f aca="false">IFERROR(VLOOKUP(C572,Parametros!$A$36:$B$66,2,FALSE()),Parametros!$B$12)</f>
        <v>1</v>
      </c>
      <c r="L572" s="23" t="n">
        <f aca="false">H572*J572*SQRT(K572)</f>
        <v>428.254436485297</v>
      </c>
      <c r="M572" s="29" t="n">
        <v>184</v>
      </c>
      <c r="N572" s="24" t="n">
        <v>0.260869565217391</v>
      </c>
      <c r="O572" s="3" t="s">
        <v>772</v>
      </c>
      <c r="P572" s="30" t="n">
        <f aca="false">IF(AND(ISNUMBER(M572),ISNUMBER(N572)),M572*N572/7,"")</f>
        <v>6.85714285714286</v>
      </c>
      <c r="Q572" s="23" t="n">
        <f aca="false">IF(ISNUMBER(P572),I572*P572,"")</f>
        <v>4800</v>
      </c>
      <c r="R572" s="23" t="n">
        <f aca="false">IF(ISNUMBER(Q572),MAX(0,MIN(L572,Q572-I572*K572)),L572)</f>
        <v>428.254436485297</v>
      </c>
      <c r="S572" s="23" t="n">
        <f aca="false">R572+I572*K572</f>
        <v>1128.2544364853</v>
      </c>
      <c r="T572" s="23" t="n">
        <v>6097.1</v>
      </c>
      <c r="U572" s="23" t="n">
        <v>0</v>
      </c>
      <c r="V572" s="23" t="n">
        <f aca="false">T572+U572</f>
        <v>6097.1</v>
      </c>
      <c r="W572" s="30" t="n">
        <f aca="false">IF(I572&gt;0,V572/I572,"")</f>
        <v>8.71014285714286</v>
      </c>
      <c r="X572" s="3" t="str">
        <f aca="false">IF(I572&lt;=0,"SIN FCST",IF(V572&lt;R572,"BAJO SS",IF(T572&lt;R572,"BAJO SS (XLIB CUBRE)",IF(V572&lt;S572,"BAJO P.REORDEN",IF(AND(ISNUMBER(Q572),V572&gt;Q572),"SOBRE MAX VENDIBLE","OK")))))</f>
        <v>SOBRE MAX VENDIBLE</v>
      </c>
    </row>
    <row r="573" customFormat="false" ht="15" hidden="false" customHeight="false" outlineLevel="0" collapsed="false">
      <c r="A573" s="3" t="n">
        <v>30000013</v>
      </c>
      <c r="B573" s="3" t="s">
        <v>1144</v>
      </c>
      <c r="C573" s="3" t="s">
        <v>124</v>
      </c>
      <c r="D573" s="3" t="s">
        <v>750</v>
      </c>
      <c r="E573" s="3"/>
      <c r="F573" s="3" t="str">
        <f aca="false">IFERROR(INDEX(ABC_XYZ!$L$5:$L$494,MATCH(A573,ABC_XYZ!$A$5:$A$494,0)),"SIN HIST")</f>
        <v>SIN HIST</v>
      </c>
      <c r="G573" s="24" t="n">
        <f aca="false">IF(LEFT(F573,1)="A",Parametros!$B$8,IF(LEFT(F573,1)="B",Parametros!$B$9,IF(LEFT(F573,1)="C",Parametros!$B$10,Parametros!$B$11)))</f>
        <v>0.95</v>
      </c>
      <c r="H573" s="27" t="n">
        <f aca="false">NORMSINV(G573)</f>
        <v>1.64485362695147</v>
      </c>
      <c r="I573" s="23" t="n">
        <v>697.7</v>
      </c>
      <c r="J573" s="23" t="n">
        <f aca="false">IFERROR(INDEX(ABC_XYZ!$R$5:$R$494,MATCH(A573,ABC_XYZ!$A$5:$A$494,0)),I573*Parametros!$B$13)</f>
        <v>209.31</v>
      </c>
      <c r="K573" s="27" t="n">
        <f aca="false">IFERROR(VLOOKUP(C573,Parametros!$A$36:$B$66,2,FALSE()),Parametros!$B$12)</f>
        <v>1</v>
      </c>
      <c r="L573" s="23" t="n">
        <f aca="false">H573*J573*SQRT(K573)</f>
        <v>344.284312657213</v>
      </c>
      <c r="M573" s="29"/>
      <c r="N573" s="24"/>
      <c r="O573" s="3"/>
      <c r="P573" s="30" t="str">
        <f aca="false">IF(AND(ISNUMBER(M573),ISNUMBER(N573)),M573*N573/7,"")</f>
        <v/>
      </c>
      <c r="Q573" s="23" t="str">
        <f aca="false">IF(ISNUMBER(P573),I573*P573,"")</f>
        <v/>
      </c>
      <c r="R573" s="23" t="n">
        <f aca="false">IF(ISNUMBER(Q573),MAX(0,MIN(L573,Q573-I573*K573)),L573)</f>
        <v>344.284312657213</v>
      </c>
      <c r="S573" s="23" t="n">
        <f aca="false">R573+I573*K573</f>
        <v>1041.98431265721</v>
      </c>
      <c r="T573" s="23" t="n">
        <v>380</v>
      </c>
      <c r="U573" s="23" t="n">
        <v>0</v>
      </c>
      <c r="V573" s="23" t="n">
        <f aca="false">T573+U573</f>
        <v>380</v>
      </c>
      <c r="W573" s="30" t="n">
        <f aca="false">IF(I573&gt;0,V573/I573,"")</f>
        <v>0.544646696287803</v>
      </c>
      <c r="X573" s="3" t="str">
        <f aca="false">IF(I573&lt;=0,"SIN FCST",IF(V573&lt;R573,"BAJO SS",IF(T573&lt;R573,"BAJO SS (XLIB CUBRE)",IF(V573&lt;S573,"BAJO P.REORDEN",IF(AND(ISNUMBER(Q573),V573&gt;Q573),"SOBRE MAX VENDIBLE","OK")))))</f>
        <v>BAJO P.REORDEN</v>
      </c>
    </row>
    <row r="574" customFormat="false" ht="15" hidden="false" customHeight="false" outlineLevel="0" collapsed="false">
      <c r="A574" s="3" t="n">
        <v>30000621</v>
      </c>
      <c r="B574" s="3" t="s">
        <v>1145</v>
      </c>
      <c r="C574" s="3" t="s">
        <v>129</v>
      </c>
      <c r="D574" s="3" t="s">
        <v>769</v>
      </c>
      <c r="E574" s="3" t="s">
        <v>745</v>
      </c>
      <c r="F574" s="3" t="str">
        <f aca="false">IFERROR(INDEX(ABC_XYZ!$L$5:$L$494,MATCH(A574,ABC_XYZ!$A$5:$A$494,0)),"SIN HIST")</f>
        <v>SIN HIST</v>
      </c>
      <c r="G574" s="24" t="n">
        <f aca="false">IF(LEFT(F574,1)="A",Parametros!$B$8,IF(LEFT(F574,1)="B",Parametros!$B$9,IF(LEFT(F574,1)="C",Parametros!$B$10,Parametros!$B$11)))</f>
        <v>0.95</v>
      </c>
      <c r="H574" s="27" t="n">
        <f aca="false">NORMSINV(G574)</f>
        <v>1.64485362695147</v>
      </c>
      <c r="I574" s="23" t="n">
        <v>697.7</v>
      </c>
      <c r="J574" s="23" t="n">
        <f aca="false">IFERROR(INDEX(ABC_XYZ!$R$5:$R$494,MATCH(A574,ABC_XYZ!$A$5:$A$494,0)),I574*Parametros!$B$13)</f>
        <v>209.31</v>
      </c>
      <c r="K574" s="27" t="n">
        <f aca="false">IFERROR(VLOOKUP(C574,Parametros!$A$36:$B$66,2,FALSE()),Parametros!$B$12)</f>
        <v>1</v>
      </c>
      <c r="L574" s="23" t="n">
        <f aca="false">H574*J574*SQRT(K574)</f>
        <v>344.284312657213</v>
      </c>
      <c r="M574" s="29" t="n">
        <v>1095</v>
      </c>
      <c r="N574" s="24" t="n">
        <v>0.480365296803653</v>
      </c>
      <c r="O574" s="3" t="s">
        <v>763</v>
      </c>
      <c r="P574" s="30" t="n">
        <f aca="false">IF(AND(ISNUMBER(M574),ISNUMBER(N574)),M574*N574/7,"")</f>
        <v>75.1428571428571</v>
      </c>
      <c r="Q574" s="23" t="n">
        <f aca="false">IF(ISNUMBER(P574),I574*P574,"")</f>
        <v>52427.1714285714</v>
      </c>
      <c r="R574" s="23" t="n">
        <f aca="false">IF(ISNUMBER(Q574),MAX(0,MIN(L574,Q574-I574*K574)),L574)</f>
        <v>344.284312657213</v>
      </c>
      <c r="S574" s="23" t="n">
        <f aca="false">R574+I574*K574</f>
        <v>1041.98431265721</v>
      </c>
      <c r="T574" s="23" t="n">
        <v>36846</v>
      </c>
      <c r="U574" s="23" t="n">
        <v>0</v>
      </c>
      <c r="V574" s="23" t="n">
        <f aca="false">T574+U574</f>
        <v>36846</v>
      </c>
      <c r="W574" s="30" t="n">
        <f aca="false">IF(I574&gt;0,V574/I574,"")</f>
        <v>52.810663609001</v>
      </c>
      <c r="X574" s="3" t="str">
        <f aca="false">IF(I574&lt;=0,"SIN FCST",IF(V574&lt;R574,"BAJO SS",IF(T574&lt;R574,"BAJO SS (XLIB CUBRE)",IF(V574&lt;S574,"BAJO P.REORDEN",IF(AND(ISNUMBER(Q574),V574&gt;Q574),"SOBRE MAX VENDIBLE","OK")))))</f>
        <v>OK</v>
      </c>
    </row>
    <row r="575" customFormat="false" ht="15" hidden="false" customHeight="false" outlineLevel="0" collapsed="false">
      <c r="A575" s="3" t="n">
        <v>30000839</v>
      </c>
      <c r="B575" s="3" t="s">
        <v>1146</v>
      </c>
      <c r="C575" s="3" t="s">
        <v>133</v>
      </c>
      <c r="D575" s="3" t="s">
        <v>758</v>
      </c>
      <c r="E575" s="3"/>
      <c r="F575" s="3" t="str">
        <f aca="false">IFERROR(INDEX(ABC_XYZ!$L$5:$L$494,MATCH(A575,ABC_XYZ!$A$5:$A$494,0)),"SIN HIST")</f>
        <v>SIN HIST</v>
      </c>
      <c r="G575" s="24" t="n">
        <f aca="false">IF(LEFT(F575,1)="A",Parametros!$B$8,IF(LEFT(F575,1)="B",Parametros!$B$9,IF(LEFT(F575,1)="C",Parametros!$B$10,Parametros!$B$11)))</f>
        <v>0.95</v>
      </c>
      <c r="H575" s="27" t="n">
        <f aca="false">NORMSINV(G575)</f>
        <v>1.64485362695147</v>
      </c>
      <c r="I575" s="23" t="n">
        <v>697.7</v>
      </c>
      <c r="J575" s="23" t="n">
        <f aca="false">IFERROR(INDEX(ABC_XYZ!$R$5:$R$494,MATCH(A575,ABC_XYZ!$A$5:$A$494,0)),I575*Parametros!$B$13)</f>
        <v>209.31</v>
      </c>
      <c r="K575" s="27" t="n">
        <f aca="false">IFERROR(VLOOKUP(C575,Parametros!$A$36:$B$66,2,FALSE()),Parametros!$B$12)</f>
        <v>1</v>
      </c>
      <c r="L575" s="23" t="n">
        <f aca="false">H575*J575*SQRT(K575)</f>
        <v>344.284312657213</v>
      </c>
      <c r="M575" s="29"/>
      <c r="N575" s="24"/>
      <c r="O575" s="3"/>
      <c r="P575" s="30" t="str">
        <f aca="false">IF(AND(ISNUMBER(M575),ISNUMBER(N575)),M575*N575/7,"")</f>
        <v/>
      </c>
      <c r="Q575" s="23" t="str">
        <f aca="false">IF(ISNUMBER(P575),I575*P575,"")</f>
        <v/>
      </c>
      <c r="R575" s="23" t="n">
        <f aca="false">IF(ISNUMBER(Q575),MAX(0,MIN(L575,Q575-I575*K575)),L575)</f>
        <v>344.284312657213</v>
      </c>
      <c r="S575" s="23" t="n">
        <f aca="false">R575+I575*K575</f>
        <v>1041.98431265721</v>
      </c>
      <c r="T575" s="23" t="n">
        <v>3890</v>
      </c>
      <c r="U575" s="23" t="n">
        <v>0</v>
      </c>
      <c r="V575" s="23" t="n">
        <f aca="false">T575+U575</f>
        <v>3890</v>
      </c>
      <c r="W575" s="30" t="n">
        <f aca="false">IF(I575&gt;0,V575/I575,"")</f>
        <v>5.57546223305145</v>
      </c>
      <c r="X575" s="3" t="str">
        <f aca="false">IF(I575&lt;=0,"SIN FCST",IF(V575&lt;R575,"BAJO SS",IF(T575&lt;R575,"BAJO SS (XLIB CUBRE)",IF(V575&lt;S575,"BAJO P.REORDEN",IF(AND(ISNUMBER(Q575),V575&gt;Q575),"SOBRE MAX VENDIBLE","OK")))))</f>
        <v>OK</v>
      </c>
    </row>
    <row r="576" customFormat="false" ht="15" hidden="false" customHeight="false" outlineLevel="0" collapsed="false">
      <c r="A576" s="3" t="n">
        <v>30002100</v>
      </c>
      <c r="B576" s="3" t="s">
        <v>1147</v>
      </c>
      <c r="C576" s="3" t="s">
        <v>133</v>
      </c>
      <c r="D576" s="3" t="s">
        <v>769</v>
      </c>
      <c r="E576" s="3"/>
      <c r="F576" s="3" t="str">
        <f aca="false">IFERROR(INDEX(ABC_XYZ!$L$5:$L$494,MATCH(A576,ABC_XYZ!$A$5:$A$494,0)),"SIN HIST")</f>
        <v>SIN HIST</v>
      </c>
      <c r="G576" s="24" t="n">
        <f aca="false">IF(LEFT(F576,1)="A",Parametros!$B$8,IF(LEFT(F576,1)="B",Parametros!$B$9,IF(LEFT(F576,1)="C",Parametros!$B$10,Parametros!$B$11)))</f>
        <v>0.95</v>
      </c>
      <c r="H576" s="27" t="n">
        <f aca="false">NORMSINV(G576)</f>
        <v>1.64485362695147</v>
      </c>
      <c r="I576" s="23" t="n">
        <v>697.7</v>
      </c>
      <c r="J576" s="23" t="n">
        <f aca="false">IFERROR(INDEX(ABC_XYZ!$R$5:$R$494,MATCH(A576,ABC_XYZ!$A$5:$A$494,0)),I576*Parametros!$B$13)</f>
        <v>209.31</v>
      </c>
      <c r="K576" s="27" t="n">
        <f aca="false">IFERROR(VLOOKUP(C576,Parametros!$A$36:$B$66,2,FALSE()),Parametros!$B$12)</f>
        <v>1</v>
      </c>
      <c r="L576" s="23" t="n">
        <f aca="false">H576*J576*SQRT(K576)</f>
        <v>344.284312657213</v>
      </c>
      <c r="M576" s="29"/>
      <c r="N576" s="24"/>
      <c r="O576" s="3"/>
      <c r="P576" s="30" t="str">
        <f aca="false">IF(AND(ISNUMBER(M576),ISNUMBER(N576)),M576*N576/7,"")</f>
        <v/>
      </c>
      <c r="Q576" s="23" t="str">
        <f aca="false">IF(ISNUMBER(P576),I576*P576,"")</f>
        <v/>
      </c>
      <c r="R576" s="23" t="n">
        <f aca="false">IF(ISNUMBER(Q576),MAX(0,MIN(L576,Q576-I576*K576)),L576)</f>
        <v>344.284312657213</v>
      </c>
      <c r="S576" s="23" t="n">
        <f aca="false">R576+I576*K576</f>
        <v>1041.98431265721</v>
      </c>
      <c r="T576" s="23" t="n">
        <v>6276</v>
      </c>
      <c r="U576" s="23" t="n">
        <v>0</v>
      </c>
      <c r="V576" s="23" t="n">
        <f aca="false">T576+U576</f>
        <v>6276</v>
      </c>
      <c r="W576" s="30" t="n">
        <f aca="false">IF(I576&gt;0,V576/I576,"")</f>
        <v>8.99527017342697</v>
      </c>
      <c r="X576" s="3" t="str">
        <f aca="false">IF(I576&lt;=0,"SIN FCST",IF(V576&lt;R576,"BAJO SS",IF(T576&lt;R576,"BAJO SS (XLIB CUBRE)",IF(V576&lt;S576,"BAJO P.REORDEN",IF(AND(ISNUMBER(Q576),V576&gt;Q576),"SOBRE MAX VENDIBLE","OK")))))</f>
        <v>OK</v>
      </c>
    </row>
    <row r="577" customFormat="false" ht="15" hidden="false" customHeight="false" outlineLevel="0" collapsed="false">
      <c r="A577" s="3" t="n">
        <v>30000349</v>
      </c>
      <c r="B577" s="3" t="s">
        <v>1148</v>
      </c>
      <c r="C577" s="3" t="s">
        <v>130</v>
      </c>
      <c r="D577" s="3" t="s">
        <v>753</v>
      </c>
      <c r="E577" s="3" t="s">
        <v>745</v>
      </c>
      <c r="F577" s="3" t="str">
        <f aca="false">IFERROR(INDEX(ABC_XYZ!$L$5:$L$494,MATCH(A577,ABC_XYZ!$A$5:$A$494,0)),"SIN HIST")</f>
        <v>SIN HIST</v>
      </c>
      <c r="G577" s="24" t="n">
        <f aca="false">IF(LEFT(F577,1)="A",Parametros!$B$8,IF(LEFT(F577,1)="B",Parametros!$B$9,IF(LEFT(F577,1)="C",Parametros!$B$10,Parametros!$B$11)))</f>
        <v>0.95</v>
      </c>
      <c r="H577" s="27" t="n">
        <f aca="false">NORMSINV(G577)</f>
        <v>1.64485362695147</v>
      </c>
      <c r="I577" s="23" t="n">
        <v>697.7</v>
      </c>
      <c r="J577" s="23" t="n">
        <f aca="false">IFERROR(INDEX(ABC_XYZ!$R$5:$R$494,MATCH(A577,ABC_XYZ!$A$5:$A$494,0)),I577*Parametros!$B$13)</f>
        <v>209.31</v>
      </c>
      <c r="K577" s="27" t="n">
        <f aca="false">IFERROR(VLOOKUP(C577,Parametros!$A$36:$B$66,2,FALSE()),Parametros!$B$12)</f>
        <v>1</v>
      </c>
      <c r="L577" s="23" t="n">
        <f aca="false">H577*J577*SQRT(K577)</f>
        <v>344.284312657213</v>
      </c>
      <c r="M577" s="29" t="n">
        <v>184</v>
      </c>
      <c r="N577" s="24" t="n">
        <v>0.271739130434783</v>
      </c>
      <c r="O577" s="3" t="s">
        <v>746</v>
      </c>
      <c r="P577" s="30" t="n">
        <f aca="false">IF(AND(ISNUMBER(M577),ISNUMBER(N577)),M577*N577/7,"")</f>
        <v>7.14285714285714</v>
      </c>
      <c r="Q577" s="23" t="n">
        <f aca="false">IF(ISNUMBER(P577),I577*P577,"")</f>
        <v>4983.57142857143</v>
      </c>
      <c r="R577" s="23" t="n">
        <f aca="false">IF(ISNUMBER(Q577),MAX(0,MIN(L577,Q577-I577*K577)),L577)</f>
        <v>344.284312657213</v>
      </c>
      <c r="S577" s="23" t="n">
        <f aca="false">R577+I577*K577</f>
        <v>1041.98431265721</v>
      </c>
      <c r="T577" s="23" t="n">
        <v>6348</v>
      </c>
      <c r="U577" s="23" t="n">
        <v>0</v>
      </c>
      <c r="V577" s="23" t="n">
        <f aca="false">T577+U577</f>
        <v>6348</v>
      </c>
      <c r="W577" s="30" t="n">
        <f aca="false">IF(I577&gt;0,V577/I577,"")</f>
        <v>9.09846638956572</v>
      </c>
      <c r="X577" s="3" t="str">
        <f aca="false">IF(I577&lt;=0,"SIN FCST",IF(V577&lt;R577,"BAJO SS",IF(T577&lt;R577,"BAJO SS (XLIB CUBRE)",IF(V577&lt;S577,"BAJO P.REORDEN",IF(AND(ISNUMBER(Q577),V577&gt;Q577),"SOBRE MAX VENDIBLE","OK")))))</f>
        <v>SOBRE MAX VENDIBLE</v>
      </c>
    </row>
    <row r="578" customFormat="false" ht="15" hidden="false" customHeight="false" outlineLevel="0" collapsed="false">
      <c r="A578" s="3" t="n">
        <v>30000856</v>
      </c>
      <c r="B578" s="3" t="s">
        <v>1149</v>
      </c>
      <c r="C578" s="3" t="s">
        <v>133</v>
      </c>
      <c r="D578" s="3" t="s">
        <v>758</v>
      </c>
      <c r="E578" s="3"/>
      <c r="F578" s="3" t="str">
        <f aca="false">IFERROR(INDEX(ABC_XYZ!$L$5:$L$494,MATCH(A578,ABC_XYZ!$A$5:$A$494,0)),"SIN HIST")</f>
        <v>SIN HIST</v>
      </c>
      <c r="G578" s="24" t="n">
        <f aca="false">IF(LEFT(F578,1)="A",Parametros!$B$8,IF(LEFT(F578,1)="B",Parametros!$B$9,IF(LEFT(F578,1)="C",Parametros!$B$10,Parametros!$B$11)))</f>
        <v>0.95</v>
      </c>
      <c r="H578" s="27" t="n">
        <f aca="false">NORMSINV(G578)</f>
        <v>1.64485362695147</v>
      </c>
      <c r="I578" s="23" t="n">
        <v>697.7</v>
      </c>
      <c r="J578" s="23" t="n">
        <f aca="false">IFERROR(INDEX(ABC_XYZ!$R$5:$R$494,MATCH(A578,ABC_XYZ!$A$5:$A$494,0)),I578*Parametros!$B$13)</f>
        <v>209.31</v>
      </c>
      <c r="K578" s="27" t="n">
        <f aca="false">IFERROR(VLOOKUP(C578,Parametros!$A$36:$B$66,2,FALSE()),Parametros!$B$12)</f>
        <v>1</v>
      </c>
      <c r="L578" s="23" t="n">
        <f aca="false">H578*J578*SQRT(K578)</f>
        <v>344.284312657213</v>
      </c>
      <c r="M578" s="29"/>
      <c r="N578" s="24"/>
      <c r="O578" s="3"/>
      <c r="P578" s="30" t="str">
        <f aca="false">IF(AND(ISNUMBER(M578),ISNUMBER(N578)),M578*N578/7,"")</f>
        <v/>
      </c>
      <c r="Q578" s="23" t="str">
        <f aca="false">IF(ISNUMBER(P578),I578*P578,"")</f>
        <v/>
      </c>
      <c r="R578" s="23" t="n">
        <f aca="false">IF(ISNUMBER(Q578),MAX(0,MIN(L578,Q578-I578*K578)),L578)</f>
        <v>344.284312657213</v>
      </c>
      <c r="S578" s="23" t="n">
        <f aca="false">R578+I578*K578</f>
        <v>1041.98431265721</v>
      </c>
      <c r="T578" s="23" t="n">
        <v>2054</v>
      </c>
      <c r="U578" s="23" t="n">
        <v>0</v>
      </c>
      <c r="V578" s="23" t="n">
        <f aca="false">T578+U578</f>
        <v>2054</v>
      </c>
      <c r="W578" s="30" t="n">
        <f aca="false">IF(I578&gt;0,V578/I578,"")</f>
        <v>2.94395872151354</v>
      </c>
      <c r="X578" s="3" t="str">
        <f aca="false">IF(I578&lt;=0,"SIN FCST",IF(V578&lt;R578,"BAJO SS",IF(T578&lt;R578,"BAJO SS (XLIB CUBRE)",IF(V578&lt;S578,"BAJO P.REORDEN",IF(AND(ISNUMBER(Q578),V578&gt;Q578),"SOBRE MAX VENDIBLE","OK")))))</f>
        <v>OK</v>
      </c>
    </row>
    <row r="579" customFormat="false" ht="15" hidden="false" customHeight="false" outlineLevel="0" collapsed="false">
      <c r="A579" s="3" t="n">
        <v>30001982</v>
      </c>
      <c r="B579" s="3" t="s">
        <v>565</v>
      </c>
      <c r="C579" s="3" t="s">
        <v>155</v>
      </c>
      <c r="D579" s="3" t="s">
        <v>761</v>
      </c>
      <c r="E579" s="3" t="s">
        <v>762</v>
      </c>
      <c r="F579" s="3" t="str">
        <f aca="false">IFERROR(INDEX(ABC_XYZ!$L$5:$L$494,MATCH(A579,ABC_XYZ!$A$5:$A$494,0)),"SIN HIST")</f>
        <v>CX</v>
      </c>
      <c r="G579" s="24" t="n">
        <f aca="false">IF(LEFT(F579,1)="A",Parametros!$B$8,IF(LEFT(F579,1)="B",Parametros!$B$9,IF(LEFT(F579,1)="C",Parametros!$B$10,Parametros!$B$11)))</f>
        <v>0.9</v>
      </c>
      <c r="H579" s="27" t="n">
        <f aca="false">NORMSINV(G579)</f>
        <v>1.2815515655446</v>
      </c>
      <c r="I579" s="23" t="n">
        <v>696</v>
      </c>
      <c r="J579" s="23" t="n">
        <f aca="false">IFERROR(INDEX(ABC_XYZ!$R$5:$R$494,MATCH(A579,ABC_XYZ!$A$5:$A$494,0)),I579*Parametros!$B$13)</f>
        <v>558.585455474334</v>
      </c>
      <c r="K579" s="27" t="n">
        <f aca="false">IFERROR(VLOOKUP(C579,Parametros!$A$36:$B$66,2,FALSE()),Parametros!$B$12)</f>
        <v>1</v>
      </c>
      <c r="L579" s="23" t="n">
        <f aca="false">H579*J579*SQRT(K579)</f>
        <v>715.856064953576</v>
      </c>
      <c r="M579" s="29" t="n">
        <v>57</v>
      </c>
      <c r="N579" s="24" t="n">
        <v>0.228070175438597</v>
      </c>
      <c r="O579" s="3" t="s">
        <v>754</v>
      </c>
      <c r="P579" s="30" t="n">
        <f aca="false">IF(AND(ISNUMBER(M579),ISNUMBER(N579)),M579*N579/7,"")</f>
        <v>1.85714285714286</v>
      </c>
      <c r="Q579" s="23" t="n">
        <f aca="false">IF(ISNUMBER(P579),I579*P579,"")</f>
        <v>1292.57142857143</v>
      </c>
      <c r="R579" s="23" t="n">
        <f aca="false">IF(ISNUMBER(Q579),MAX(0,MIN(L579,Q579-I579*K579)),L579)</f>
        <v>596.571428571429</v>
      </c>
      <c r="S579" s="23" t="n">
        <f aca="false">R579+I579*K579</f>
        <v>1292.57142857143</v>
      </c>
      <c r="T579" s="23" t="n">
        <v>3434.4</v>
      </c>
      <c r="U579" s="23" t="n">
        <v>2433.6</v>
      </c>
      <c r="V579" s="23" t="n">
        <f aca="false">T579+U579</f>
        <v>5868</v>
      </c>
      <c r="W579" s="30" t="n">
        <f aca="false">IF(I579&gt;0,V579/I579,"")</f>
        <v>8.43103448275862</v>
      </c>
      <c r="X579" s="3" t="str">
        <f aca="false">IF(I579&lt;=0,"SIN FCST",IF(V579&lt;R579,"BAJO SS",IF(T579&lt;R579,"BAJO SS (XLIB CUBRE)",IF(V579&lt;S579,"BAJO P.REORDEN",IF(AND(ISNUMBER(Q579),V579&gt;Q579),"SOBRE MAX VENDIBLE","OK")))))</f>
        <v>SOBRE MAX VENDIBLE</v>
      </c>
    </row>
    <row r="580" customFormat="false" ht="15" hidden="false" customHeight="false" outlineLevel="0" collapsed="false">
      <c r="A580" s="3" t="n">
        <v>30000667</v>
      </c>
      <c r="B580" s="3" t="s">
        <v>608</v>
      </c>
      <c r="C580" s="3" t="s">
        <v>129</v>
      </c>
      <c r="D580" s="3" t="s">
        <v>753</v>
      </c>
      <c r="E580" s="3" t="s">
        <v>745</v>
      </c>
      <c r="F580" s="3" t="str">
        <f aca="false">IFERROR(INDEX(ABC_XYZ!$L$5:$L$494,MATCH(A580,ABC_XYZ!$A$5:$A$494,0)),"SIN HIST")</f>
        <v>CX</v>
      </c>
      <c r="G580" s="24" t="n">
        <f aca="false">IF(LEFT(F580,1)="A",Parametros!$B$8,IF(LEFT(F580,1)="B",Parametros!$B$9,IF(LEFT(F580,1)="C",Parametros!$B$10,Parametros!$B$11)))</f>
        <v>0.9</v>
      </c>
      <c r="H580" s="27" t="n">
        <f aca="false">NORMSINV(G580)</f>
        <v>1.2815515655446</v>
      </c>
      <c r="I580" s="23" t="n">
        <v>692.9</v>
      </c>
      <c r="J580" s="23" t="n">
        <f aca="false">IFERROR(INDEX(ABC_XYZ!$R$5:$R$494,MATCH(A580,ABC_XYZ!$A$5:$A$494,0)),I580*Parametros!$B$13)</f>
        <v>217.944810139326</v>
      </c>
      <c r="K580" s="27" t="n">
        <f aca="false">IFERROR(VLOOKUP(C580,Parametros!$A$36:$B$66,2,FALSE()),Parametros!$B$12)</f>
        <v>1</v>
      </c>
      <c r="L580" s="23" t="n">
        <f aca="false">H580*J580*SQRT(K580)</f>
        <v>279.307512636374</v>
      </c>
      <c r="M580" s="29" t="n">
        <v>730</v>
      </c>
      <c r="N580" s="24" t="n">
        <v>0.328767123287671</v>
      </c>
      <c r="O580" s="3" t="s">
        <v>772</v>
      </c>
      <c r="P580" s="30" t="n">
        <f aca="false">IF(AND(ISNUMBER(M580),ISNUMBER(N580)),M580*N580/7,"")</f>
        <v>34.2857142857143</v>
      </c>
      <c r="Q580" s="23" t="n">
        <f aca="false">IF(ISNUMBER(P580),I580*P580,"")</f>
        <v>23756.5714285714</v>
      </c>
      <c r="R580" s="23" t="n">
        <f aca="false">IF(ISNUMBER(Q580),MAX(0,MIN(L580,Q580-I580*K580)),L580)</f>
        <v>279.307512636374</v>
      </c>
      <c r="S580" s="23" t="n">
        <f aca="false">R580+I580*K580</f>
        <v>972.207512636373</v>
      </c>
      <c r="T580" s="23" t="n">
        <v>9041</v>
      </c>
      <c r="U580" s="23" t="n">
        <v>0</v>
      </c>
      <c r="V580" s="23" t="n">
        <f aca="false">T580+U580</f>
        <v>9041</v>
      </c>
      <c r="W580" s="30" t="n">
        <f aca="false">IF(I580&gt;0,V580/I580,"")</f>
        <v>13.0480588829557</v>
      </c>
      <c r="X580" s="3" t="str">
        <f aca="false">IF(I580&lt;=0,"SIN FCST",IF(V580&lt;R580,"BAJO SS",IF(T580&lt;R580,"BAJO SS (XLIB CUBRE)",IF(V580&lt;S580,"BAJO P.REORDEN",IF(AND(ISNUMBER(Q580),V580&gt;Q580),"SOBRE MAX VENDIBLE","OK")))))</f>
        <v>OK</v>
      </c>
    </row>
    <row r="581" customFormat="false" ht="15" hidden="false" customHeight="false" outlineLevel="0" collapsed="false">
      <c r="A581" s="3" t="n">
        <v>30000542</v>
      </c>
      <c r="B581" s="3" t="s">
        <v>1150</v>
      </c>
      <c r="C581" s="3" t="s">
        <v>138</v>
      </c>
      <c r="D581" s="3" t="s">
        <v>744</v>
      </c>
      <c r="E581" s="3" t="s">
        <v>745</v>
      </c>
      <c r="F581" s="3" t="str">
        <f aca="false">IFERROR(INDEX(ABC_XYZ!$L$5:$L$494,MATCH(A581,ABC_XYZ!$A$5:$A$494,0)),"SIN HIST")</f>
        <v>CY</v>
      </c>
      <c r="G581" s="24" t="n">
        <f aca="false">IF(LEFT(F581,1)="A",Parametros!$B$8,IF(LEFT(F581,1)="B",Parametros!$B$9,IF(LEFT(F581,1)="C",Parametros!$B$10,Parametros!$B$11)))</f>
        <v>0.9</v>
      </c>
      <c r="H581" s="27" t="n">
        <f aca="false">NORMSINV(G581)</f>
        <v>1.2815515655446</v>
      </c>
      <c r="I581" s="23" t="n">
        <v>689.1</v>
      </c>
      <c r="J581" s="23" t="n">
        <f aca="false">IFERROR(INDEX(ABC_XYZ!$R$5:$R$494,MATCH(A581,ABC_XYZ!$A$5:$A$494,0)),I581*Parametros!$B$13)</f>
        <v>334.560826845909</v>
      </c>
      <c r="K581" s="27" t="n">
        <f aca="false">IFERROR(VLOOKUP(C581,Parametros!$A$36:$B$66,2,FALSE()),Parametros!$B$12)</f>
        <v>1</v>
      </c>
      <c r="L581" s="23" t="n">
        <f aca="false">H581*J581*SQRT(K581)</f>
        <v>428.756951414271</v>
      </c>
      <c r="M581" s="29" t="n">
        <v>365</v>
      </c>
      <c r="N581" s="24" t="n">
        <v>0.191780821917808</v>
      </c>
      <c r="O581" s="3" t="s">
        <v>746</v>
      </c>
      <c r="P581" s="30" t="n">
        <f aca="false">IF(AND(ISNUMBER(M581),ISNUMBER(N581)),M581*N581/7,"")</f>
        <v>10</v>
      </c>
      <c r="Q581" s="23" t="n">
        <f aca="false">IF(ISNUMBER(P581),I581*P581,"")</f>
        <v>6891</v>
      </c>
      <c r="R581" s="23" t="n">
        <f aca="false">IF(ISNUMBER(Q581),MAX(0,MIN(L581,Q581-I581*K581)),L581)</f>
        <v>428.756951414271</v>
      </c>
      <c r="S581" s="23" t="n">
        <f aca="false">R581+I581*K581</f>
        <v>1117.85695141427</v>
      </c>
      <c r="T581" s="23" t="n">
        <v>1255.1</v>
      </c>
      <c r="U581" s="23" t="n">
        <v>0</v>
      </c>
      <c r="V581" s="23" t="n">
        <f aca="false">T581+U581</f>
        <v>1255.1</v>
      </c>
      <c r="W581" s="30" t="n">
        <f aca="false">IF(I581&gt;0,V581/I581,"")</f>
        <v>1.82136119576259</v>
      </c>
      <c r="X581" s="3" t="str">
        <f aca="false">IF(I581&lt;=0,"SIN FCST",IF(V581&lt;R581,"BAJO SS",IF(T581&lt;R581,"BAJO SS (XLIB CUBRE)",IF(V581&lt;S581,"BAJO P.REORDEN",IF(AND(ISNUMBER(Q581),V581&gt;Q581),"SOBRE MAX VENDIBLE","OK")))))</f>
        <v>OK</v>
      </c>
    </row>
    <row r="582" customFormat="false" ht="15" hidden="false" customHeight="false" outlineLevel="0" collapsed="false">
      <c r="A582" s="3" t="n">
        <v>30001943</v>
      </c>
      <c r="B582" s="3" t="s">
        <v>520</v>
      </c>
      <c r="C582" s="3" t="s">
        <v>135</v>
      </c>
      <c r="D582" s="3" t="s">
        <v>753</v>
      </c>
      <c r="E582" s="3" t="s">
        <v>762</v>
      </c>
      <c r="F582" s="3" t="str">
        <f aca="false">IFERROR(INDEX(ABC_XYZ!$L$5:$L$494,MATCH(A582,ABC_XYZ!$A$5:$A$494,0)),"SIN HIST")</f>
        <v>CX</v>
      </c>
      <c r="G582" s="24" t="n">
        <f aca="false">IF(LEFT(F582,1)="A",Parametros!$B$8,IF(LEFT(F582,1)="B",Parametros!$B$9,IF(LEFT(F582,1)="C",Parametros!$B$10,Parametros!$B$11)))</f>
        <v>0.9</v>
      </c>
      <c r="H582" s="27" t="n">
        <f aca="false">NORMSINV(G582)</f>
        <v>1.2815515655446</v>
      </c>
      <c r="I582" s="23" t="n">
        <v>669.9</v>
      </c>
      <c r="J582" s="23" t="n">
        <f aca="false">IFERROR(INDEX(ABC_XYZ!$R$5:$R$494,MATCH(A582,ABC_XYZ!$A$5:$A$494,0)),I582*Parametros!$B$13)</f>
        <v>840.783776808624</v>
      </c>
      <c r="K582" s="27" t="n">
        <f aca="false">IFERROR(VLOOKUP(C582,Parametros!$A$36:$B$66,2,FALSE()),Parametros!$B$12)</f>
        <v>1</v>
      </c>
      <c r="L582" s="23" t="n">
        <f aca="false">H582*J582*SQRT(K582)</f>
        <v>1077.50776545359</v>
      </c>
      <c r="M582" s="29" t="n">
        <v>90</v>
      </c>
      <c r="N582" s="24" t="n">
        <v>0.233333333333333</v>
      </c>
      <c r="O582" s="3" t="s">
        <v>754</v>
      </c>
      <c r="P582" s="30" t="n">
        <f aca="false">IF(AND(ISNUMBER(M582),ISNUMBER(N582)),M582*N582/7,"")</f>
        <v>3</v>
      </c>
      <c r="Q582" s="23" t="n">
        <f aca="false">IF(ISNUMBER(P582),I582*P582,"")</f>
        <v>2009.7</v>
      </c>
      <c r="R582" s="23" t="n">
        <f aca="false">IF(ISNUMBER(Q582),MAX(0,MIN(L582,Q582-I582*K582)),L582)</f>
        <v>1077.50776545359</v>
      </c>
      <c r="S582" s="23" t="n">
        <f aca="false">R582+I582*K582</f>
        <v>1747.40776545359</v>
      </c>
      <c r="T582" s="23" t="n">
        <v>1248</v>
      </c>
      <c r="U582" s="23" t="n">
        <v>0</v>
      </c>
      <c r="V582" s="23" t="n">
        <f aca="false">T582+U582</f>
        <v>1248</v>
      </c>
      <c r="W582" s="30" t="n">
        <f aca="false">IF(I582&gt;0,V582/I582,"")</f>
        <v>1.86296462158531</v>
      </c>
      <c r="X582" s="3" t="str">
        <f aca="false">IF(I582&lt;=0,"SIN FCST",IF(V582&lt;R582,"BAJO SS",IF(T582&lt;R582,"BAJO SS (XLIB CUBRE)",IF(V582&lt;S582,"BAJO P.REORDEN",IF(AND(ISNUMBER(Q582),V582&gt;Q582),"SOBRE MAX VENDIBLE","OK")))))</f>
        <v>BAJO P.REORDEN</v>
      </c>
    </row>
    <row r="583" customFormat="false" ht="15" hidden="false" customHeight="false" outlineLevel="0" collapsed="false">
      <c r="A583" s="3" t="n">
        <v>30000934</v>
      </c>
      <c r="B583" s="3" t="s">
        <v>1151</v>
      </c>
      <c r="C583" s="3" t="s">
        <v>133</v>
      </c>
      <c r="D583" s="3" t="s">
        <v>769</v>
      </c>
      <c r="E583" s="3"/>
      <c r="F583" s="3" t="str">
        <f aca="false">IFERROR(INDEX(ABC_XYZ!$L$5:$L$494,MATCH(A583,ABC_XYZ!$A$5:$A$494,0)),"SIN HIST")</f>
        <v>SIN HIST</v>
      </c>
      <c r="G583" s="24" t="n">
        <f aca="false">IF(LEFT(F583,1)="A",Parametros!$B$8,IF(LEFT(F583,1)="B",Parametros!$B$9,IF(LEFT(F583,1)="C",Parametros!$B$10,Parametros!$B$11)))</f>
        <v>0.95</v>
      </c>
      <c r="H583" s="27" t="n">
        <f aca="false">NORMSINV(G583)</f>
        <v>1.64485362695147</v>
      </c>
      <c r="I583" s="23" t="n">
        <v>659.8</v>
      </c>
      <c r="J583" s="23" t="n">
        <f aca="false">IFERROR(INDEX(ABC_XYZ!$R$5:$R$494,MATCH(A583,ABC_XYZ!$A$5:$A$494,0)),I583*Parametros!$B$13)</f>
        <v>197.94</v>
      </c>
      <c r="K583" s="27" t="n">
        <f aca="false">IFERROR(VLOOKUP(C583,Parametros!$A$36:$B$66,2,FALSE()),Parametros!$B$12)</f>
        <v>1</v>
      </c>
      <c r="L583" s="23" t="n">
        <f aca="false">H583*J583*SQRT(K583)</f>
        <v>325.582326918774</v>
      </c>
      <c r="M583" s="29"/>
      <c r="N583" s="24"/>
      <c r="O583" s="3"/>
      <c r="P583" s="30" t="str">
        <f aca="false">IF(AND(ISNUMBER(M583),ISNUMBER(N583)),M583*N583/7,"")</f>
        <v/>
      </c>
      <c r="Q583" s="23" t="str">
        <f aca="false">IF(ISNUMBER(P583),I583*P583,"")</f>
        <v/>
      </c>
      <c r="R583" s="23" t="n">
        <f aca="false">IF(ISNUMBER(Q583),MAX(0,MIN(L583,Q583-I583*K583)),L583)</f>
        <v>325.582326918774</v>
      </c>
      <c r="S583" s="23" t="n">
        <f aca="false">R583+I583*K583</f>
        <v>985.382326918774</v>
      </c>
      <c r="T583" s="23" t="n">
        <v>7816</v>
      </c>
      <c r="U583" s="23" t="n">
        <v>0</v>
      </c>
      <c r="V583" s="23" t="n">
        <f aca="false">T583+U583</f>
        <v>7816</v>
      </c>
      <c r="W583" s="30" t="n">
        <f aca="false">IF(I583&gt;0,V583/I583,"")</f>
        <v>11.8460139436193</v>
      </c>
      <c r="X583" s="3" t="str">
        <f aca="false">IF(I583&lt;=0,"SIN FCST",IF(V583&lt;R583,"BAJO SS",IF(T583&lt;R583,"BAJO SS (XLIB CUBRE)",IF(V583&lt;S583,"BAJO P.REORDEN",IF(AND(ISNUMBER(Q583),V583&gt;Q583),"SOBRE MAX VENDIBLE","OK")))))</f>
        <v>OK</v>
      </c>
    </row>
    <row r="584" customFormat="false" ht="15" hidden="false" customHeight="false" outlineLevel="0" collapsed="false">
      <c r="A584" s="3" t="n">
        <v>30000479</v>
      </c>
      <c r="B584" s="3" t="s">
        <v>1152</v>
      </c>
      <c r="C584" s="3" t="s">
        <v>139</v>
      </c>
      <c r="D584" s="3" t="s">
        <v>753</v>
      </c>
      <c r="E584" s="3" t="s">
        <v>745</v>
      </c>
      <c r="F584" s="3" t="str">
        <f aca="false">IFERROR(INDEX(ABC_XYZ!$L$5:$L$494,MATCH(A584,ABC_XYZ!$A$5:$A$494,0)),"SIN HIST")</f>
        <v>CY</v>
      </c>
      <c r="G584" s="24" t="n">
        <f aca="false">IF(LEFT(F584,1)="A",Parametros!$B$8,IF(LEFT(F584,1)="B",Parametros!$B$9,IF(LEFT(F584,1)="C",Parametros!$B$10,Parametros!$B$11)))</f>
        <v>0.9</v>
      </c>
      <c r="H584" s="27" t="n">
        <f aca="false">NORMSINV(G584)</f>
        <v>1.2815515655446</v>
      </c>
      <c r="I584" s="23" t="n">
        <v>659</v>
      </c>
      <c r="J584" s="23" t="n">
        <f aca="false">IFERROR(INDEX(ABC_XYZ!$R$5:$R$494,MATCH(A584,ABC_XYZ!$A$5:$A$494,0)),I584*Parametros!$B$13)</f>
        <v>999.360500613864</v>
      </c>
      <c r="K584" s="27" t="n">
        <f aca="false">IFERROR(VLOOKUP(C584,Parametros!$A$36:$B$66,2,FALSE()),Parametros!$B$12)</f>
        <v>1</v>
      </c>
      <c r="L584" s="23" t="n">
        <f aca="false">H584*J584*SQRT(K584)</f>
        <v>1280.73201410513</v>
      </c>
      <c r="M584" s="29" t="n">
        <v>250</v>
      </c>
      <c r="N584" s="24" t="n">
        <v>0.256</v>
      </c>
      <c r="O584" s="3" t="s">
        <v>746</v>
      </c>
      <c r="P584" s="30" t="n">
        <f aca="false">IF(AND(ISNUMBER(M584),ISNUMBER(N584)),M584*N584/7,"")</f>
        <v>9.14285714285714</v>
      </c>
      <c r="Q584" s="23" t="n">
        <f aca="false">IF(ISNUMBER(P584),I584*P584,"")</f>
        <v>6025.14285714286</v>
      </c>
      <c r="R584" s="23" t="n">
        <f aca="false">IF(ISNUMBER(Q584),MAX(0,MIN(L584,Q584-I584*K584)),L584)</f>
        <v>1280.73201410513</v>
      </c>
      <c r="S584" s="23" t="n">
        <f aca="false">R584+I584*K584</f>
        <v>1939.73201410513</v>
      </c>
      <c r="T584" s="23" t="n">
        <v>5940</v>
      </c>
      <c r="U584" s="23" t="n">
        <v>0</v>
      </c>
      <c r="V584" s="23" t="n">
        <f aca="false">T584+U584</f>
        <v>5940</v>
      </c>
      <c r="W584" s="30" t="n">
        <f aca="false">IF(I584&gt;0,V584/I584,"")</f>
        <v>9.01365705614568</v>
      </c>
      <c r="X584" s="3" t="str">
        <f aca="false">IF(I584&lt;=0,"SIN FCST",IF(V584&lt;R584,"BAJO SS",IF(T584&lt;R584,"BAJO SS (XLIB CUBRE)",IF(V584&lt;S584,"BAJO P.REORDEN",IF(AND(ISNUMBER(Q584),V584&gt;Q584),"SOBRE MAX VENDIBLE","OK")))))</f>
        <v>OK</v>
      </c>
    </row>
    <row r="585" customFormat="false" ht="15" hidden="false" customHeight="false" outlineLevel="0" collapsed="false">
      <c r="A585" s="3" t="n">
        <v>30000979</v>
      </c>
      <c r="B585" s="3" t="s">
        <v>1153</v>
      </c>
      <c r="C585" s="3" t="s">
        <v>133</v>
      </c>
      <c r="D585" s="3" t="s">
        <v>758</v>
      </c>
      <c r="E585" s="3"/>
      <c r="F585" s="3" t="str">
        <f aca="false">IFERROR(INDEX(ABC_XYZ!$L$5:$L$494,MATCH(A585,ABC_XYZ!$A$5:$A$494,0)),"SIN HIST")</f>
        <v>SIN HIST</v>
      </c>
      <c r="G585" s="24" t="n">
        <f aca="false">IF(LEFT(F585,1)="A",Parametros!$B$8,IF(LEFT(F585,1)="B",Parametros!$B$9,IF(LEFT(F585,1)="C",Parametros!$B$10,Parametros!$B$11)))</f>
        <v>0.95</v>
      </c>
      <c r="H585" s="27" t="n">
        <f aca="false">NORMSINV(G585)</f>
        <v>1.64485362695147</v>
      </c>
      <c r="I585" s="23" t="n">
        <v>658.6</v>
      </c>
      <c r="J585" s="23" t="n">
        <f aca="false">IFERROR(INDEX(ABC_XYZ!$R$5:$R$494,MATCH(A585,ABC_XYZ!$A$5:$A$494,0)),I585*Parametros!$B$13)</f>
        <v>197.58</v>
      </c>
      <c r="K585" s="27" t="n">
        <f aca="false">IFERROR(VLOOKUP(C585,Parametros!$A$36:$B$66,2,FALSE()),Parametros!$B$12)</f>
        <v>1</v>
      </c>
      <c r="L585" s="23" t="n">
        <f aca="false">H585*J585*SQRT(K585)</f>
        <v>324.990179613072</v>
      </c>
      <c r="M585" s="29"/>
      <c r="N585" s="24"/>
      <c r="O585" s="3"/>
      <c r="P585" s="30" t="str">
        <f aca="false">IF(AND(ISNUMBER(M585),ISNUMBER(N585)),M585*N585/7,"")</f>
        <v/>
      </c>
      <c r="Q585" s="23" t="str">
        <f aca="false">IF(ISNUMBER(P585),I585*P585,"")</f>
        <v/>
      </c>
      <c r="R585" s="23" t="n">
        <f aca="false">IF(ISNUMBER(Q585),MAX(0,MIN(L585,Q585-I585*K585)),L585)</f>
        <v>324.990179613072</v>
      </c>
      <c r="S585" s="23" t="n">
        <f aca="false">R585+I585*K585</f>
        <v>983.590179613072</v>
      </c>
      <c r="T585" s="23" t="n">
        <v>3024</v>
      </c>
      <c r="U585" s="23" t="n">
        <v>0</v>
      </c>
      <c r="V585" s="23" t="n">
        <f aca="false">T585+U585</f>
        <v>3024</v>
      </c>
      <c r="W585" s="30" t="n">
        <f aca="false">IF(I585&gt;0,V585/I585,"")</f>
        <v>4.59155784998482</v>
      </c>
      <c r="X585" s="3" t="str">
        <f aca="false">IF(I585&lt;=0,"SIN FCST",IF(V585&lt;R585,"BAJO SS",IF(T585&lt;R585,"BAJO SS (XLIB CUBRE)",IF(V585&lt;S585,"BAJO P.REORDEN",IF(AND(ISNUMBER(Q585),V585&gt;Q585),"SOBRE MAX VENDIBLE","OK")))))</f>
        <v>OK</v>
      </c>
    </row>
    <row r="586" customFormat="false" ht="15" hidden="false" customHeight="false" outlineLevel="0" collapsed="false">
      <c r="A586" s="3" t="n">
        <v>30000050</v>
      </c>
      <c r="B586" s="3" t="s">
        <v>604</v>
      </c>
      <c r="C586" s="3" t="s">
        <v>124</v>
      </c>
      <c r="D586" s="3" t="s">
        <v>750</v>
      </c>
      <c r="E586" s="3" t="s">
        <v>745</v>
      </c>
      <c r="F586" s="3" t="str">
        <f aca="false">IFERROR(INDEX(ABC_XYZ!$L$5:$L$494,MATCH(A586,ABC_XYZ!$A$5:$A$494,0)),"SIN HIST")</f>
        <v>CX</v>
      </c>
      <c r="G586" s="24" t="n">
        <f aca="false">IF(LEFT(F586,1)="A",Parametros!$B$8,IF(LEFT(F586,1)="B",Parametros!$B$9,IF(LEFT(F586,1)="C",Parametros!$B$10,Parametros!$B$11)))</f>
        <v>0.9</v>
      </c>
      <c r="H586" s="27" t="n">
        <f aca="false">NORMSINV(G586)</f>
        <v>1.2815515655446</v>
      </c>
      <c r="I586" s="23" t="n">
        <v>650.9</v>
      </c>
      <c r="J586" s="23" t="n">
        <f aca="false">IFERROR(INDEX(ABC_XYZ!$R$5:$R$494,MATCH(A586,ABC_XYZ!$A$5:$A$494,0)),I586*Parametros!$B$13)</f>
        <v>235.908711157515</v>
      </c>
      <c r="K586" s="27" t="n">
        <f aca="false">IFERROR(VLOOKUP(C586,Parametros!$A$36:$B$66,2,FALSE()),Parametros!$B$12)</f>
        <v>1</v>
      </c>
      <c r="L586" s="23" t="n">
        <f aca="false">H586*J586*SQRT(K586)</f>
        <v>302.329178109523</v>
      </c>
      <c r="M586" s="29" t="n">
        <v>548</v>
      </c>
      <c r="N586" s="24" t="n">
        <v>0.27007299270073</v>
      </c>
      <c r="O586" s="3" t="s">
        <v>746</v>
      </c>
      <c r="P586" s="30" t="n">
        <f aca="false">IF(AND(ISNUMBER(M586),ISNUMBER(N586)),M586*N586/7,"")</f>
        <v>21.1428571428571</v>
      </c>
      <c r="Q586" s="23" t="n">
        <f aca="false">IF(ISNUMBER(P586),I586*P586,"")</f>
        <v>13761.8857142857</v>
      </c>
      <c r="R586" s="23" t="n">
        <f aca="false">IF(ISNUMBER(Q586),MAX(0,MIN(L586,Q586-I586*K586)),L586)</f>
        <v>302.329178109523</v>
      </c>
      <c r="S586" s="23" t="n">
        <f aca="false">R586+I586*K586</f>
        <v>953.229178109523</v>
      </c>
      <c r="T586" s="23" t="n">
        <v>7341.6</v>
      </c>
      <c r="U586" s="23" t="n">
        <v>0</v>
      </c>
      <c r="V586" s="23" t="n">
        <f aca="false">T586+U586</f>
        <v>7341.6</v>
      </c>
      <c r="W586" s="30" t="n">
        <f aca="false">IF(I586&gt;0,V586/I586,"")</f>
        <v>11.2791519434629</v>
      </c>
      <c r="X586" s="3" t="str">
        <f aca="false">IF(I586&lt;=0,"SIN FCST",IF(V586&lt;R586,"BAJO SS",IF(T586&lt;R586,"BAJO SS (XLIB CUBRE)",IF(V586&lt;S586,"BAJO P.REORDEN",IF(AND(ISNUMBER(Q586),V586&gt;Q586),"SOBRE MAX VENDIBLE","OK")))))</f>
        <v>OK</v>
      </c>
    </row>
    <row r="587" customFormat="false" ht="15" hidden="false" customHeight="false" outlineLevel="0" collapsed="false">
      <c r="A587" s="3" t="n">
        <v>30000087</v>
      </c>
      <c r="B587" s="3" t="s">
        <v>1154</v>
      </c>
      <c r="C587" s="3" t="s">
        <v>142</v>
      </c>
      <c r="D587" s="3" t="s">
        <v>750</v>
      </c>
      <c r="E587" s="3" t="s">
        <v>762</v>
      </c>
      <c r="F587" s="3" t="str">
        <f aca="false">IFERROR(INDEX(ABC_XYZ!$L$5:$L$494,MATCH(A587,ABC_XYZ!$A$5:$A$494,0)),"SIN HIST")</f>
        <v>CX</v>
      </c>
      <c r="G587" s="24" t="n">
        <f aca="false">IF(LEFT(F587,1)="A",Parametros!$B$8,IF(LEFT(F587,1)="B",Parametros!$B$9,IF(LEFT(F587,1)="C",Parametros!$B$10,Parametros!$B$11)))</f>
        <v>0.9</v>
      </c>
      <c r="H587" s="27" t="n">
        <f aca="false">NORMSINV(G587)</f>
        <v>1.2815515655446</v>
      </c>
      <c r="I587" s="23" t="n">
        <v>650</v>
      </c>
      <c r="J587" s="23" t="n">
        <f aca="false">IFERROR(INDEX(ABC_XYZ!$R$5:$R$494,MATCH(A587,ABC_XYZ!$A$5:$A$494,0)),I587*Parametros!$B$13)</f>
        <v>349.390569210277</v>
      </c>
      <c r="K587" s="27" t="n">
        <f aca="false">IFERROR(VLOOKUP(C587,Parametros!$A$36:$B$66,2,FALSE()),Parametros!$B$12)</f>
        <v>1</v>
      </c>
      <c r="L587" s="23" t="n">
        <f aca="false">H587*J587*SQRT(K587)</f>
        <v>447.762030957949</v>
      </c>
      <c r="M587" s="29" t="n">
        <v>184</v>
      </c>
      <c r="N587" s="24" t="n">
        <v>0.244565217391304</v>
      </c>
      <c r="O587" s="3" t="s">
        <v>772</v>
      </c>
      <c r="P587" s="30" t="n">
        <f aca="false">IF(AND(ISNUMBER(M587),ISNUMBER(N587)),M587*N587/7,"")</f>
        <v>6.42857142857143</v>
      </c>
      <c r="Q587" s="23" t="n">
        <f aca="false">IF(ISNUMBER(P587),I587*P587,"")</f>
        <v>4178.57142857143</v>
      </c>
      <c r="R587" s="23" t="n">
        <f aca="false">IF(ISNUMBER(Q587),MAX(0,MIN(L587,Q587-I587*K587)),L587)</f>
        <v>447.762030957949</v>
      </c>
      <c r="S587" s="23" t="n">
        <f aca="false">R587+I587*K587</f>
        <v>1097.76203095795</v>
      </c>
      <c r="T587" s="23" t="n">
        <v>3065</v>
      </c>
      <c r="U587" s="23" t="n">
        <v>10</v>
      </c>
      <c r="V587" s="23" t="n">
        <f aca="false">T587+U587</f>
        <v>3075</v>
      </c>
      <c r="W587" s="30" t="n">
        <f aca="false">IF(I587&gt;0,V587/I587,"")</f>
        <v>4.73076923076923</v>
      </c>
      <c r="X587" s="3" t="str">
        <f aca="false">IF(I587&lt;=0,"SIN FCST",IF(V587&lt;R587,"BAJO SS",IF(T587&lt;R587,"BAJO SS (XLIB CUBRE)",IF(V587&lt;S587,"BAJO P.REORDEN",IF(AND(ISNUMBER(Q587),V587&gt;Q587),"SOBRE MAX VENDIBLE","OK")))))</f>
        <v>OK</v>
      </c>
    </row>
    <row r="588" customFormat="false" ht="15" hidden="false" customHeight="false" outlineLevel="0" collapsed="false">
      <c r="A588" s="3" t="n">
        <v>30002109</v>
      </c>
      <c r="B588" s="3" t="s">
        <v>1155</v>
      </c>
      <c r="C588" s="3" t="s">
        <v>133</v>
      </c>
      <c r="D588" s="3" t="s">
        <v>758</v>
      </c>
      <c r="E588" s="3"/>
      <c r="F588" s="3" t="str">
        <f aca="false">IFERROR(INDEX(ABC_XYZ!$L$5:$L$494,MATCH(A588,ABC_XYZ!$A$5:$A$494,0)),"SIN HIST")</f>
        <v>SIN HIST</v>
      </c>
      <c r="G588" s="24" t="n">
        <f aca="false">IF(LEFT(F588,1)="A",Parametros!$B$8,IF(LEFT(F588,1)="B",Parametros!$B$9,IF(LEFT(F588,1)="C",Parametros!$B$10,Parametros!$B$11)))</f>
        <v>0.95</v>
      </c>
      <c r="H588" s="27" t="n">
        <f aca="false">NORMSINV(G588)</f>
        <v>1.64485362695147</v>
      </c>
      <c r="I588" s="23" t="n">
        <v>632.5</v>
      </c>
      <c r="J588" s="23" t="n">
        <f aca="false">IFERROR(INDEX(ABC_XYZ!$R$5:$R$494,MATCH(A588,ABC_XYZ!$A$5:$A$494,0)),I588*Parametros!$B$13)</f>
        <v>189.75</v>
      </c>
      <c r="K588" s="27" t="n">
        <f aca="false">IFERROR(VLOOKUP(C588,Parametros!$A$36:$B$66,2,FALSE()),Parametros!$B$12)</f>
        <v>1</v>
      </c>
      <c r="L588" s="23" t="n">
        <f aca="false">H588*J588*SQRT(K588)</f>
        <v>312.110975714042</v>
      </c>
      <c r="M588" s="29"/>
      <c r="N588" s="24"/>
      <c r="O588" s="3"/>
      <c r="P588" s="30" t="str">
        <f aca="false">IF(AND(ISNUMBER(M588),ISNUMBER(N588)),M588*N588/7,"")</f>
        <v/>
      </c>
      <c r="Q588" s="23" t="str">
        <f aca="false">IF(ISNUMBER(P588),I588*P588,"")</f>
        <v/>
      </c>
      <c r="R588" s="23" t="n">
        <f aca="false">IF(ISNUMBER(Q588),MAX(0,MIN(L588,Q588-I588*K588)),L588)</f>
        <v>312.110975714042</v>
      </c>
      <c r="S588" s="23" t="n">
        <f aca="false">R588+I588*K588</f>
        <v>944.610975714042</v>
      </c>
      <c r="T588" s="23" t="n">
        <v>2919.6</v>
      </c>
      <c r="U588" s="23" t="n">
        <v>0</v>
      </c>
      <c r="V588" s="23" t="n">
        <f aca="false">T588+U588</f>
        <v>2919.6</v>
      </c>
      <c r="W588" s="30" t="n">
        <f aca="false">IF(I588&gt;0,V588/I588,"")</f>
        <v>4.61596837944664</v>
      </c>
      <c r="X588" s="3" t="str">
        <f aca="false">IF(I588&lt;=0,"SIN FCST",IF(V588&lt;R588,"BAJO SS",IF(T588&lt;R588,"BAJO SS (XLIB CUBRE)",IF(V588&lt;S588,"BAJO P.REORDEN",IF(AND(ISNUMBER(Q588),V588&gt;Q588),"SOBRE MAX VENDIBLE","OK")))))</f>
        <v>OK</v>
      </c>
    </row>
    <row r="589" customFormat="false" ht="15" hidden="false" customHeight="false" outlineLevel="0" collapsed="false">
      <c r="A589" s="3" t="n">
        <v>30001888</v>
      </c>
      <c r="B589" s="3" t="s">
        <v>1156</v>
      </c>
      <c r="C589" s="3" t="s">
        <v>142</v>
      </c>
      <c r="D589" s="3" t="s">
        <v>750</v>
      </c>
      <c r="E589" s="3" t="s">
        <v>762</v>
      </c>
      <c r="F589" s="3" t="str">
        <f aca="false">IFERROR(INDEX(ABC_XYZ!$L$5:$L$494,MATCH(A589,ABC_XYZ!$A$5:$A$494,0)),"SIN HIST")</f>
        <v>CX</v>
      </c>
      <c r="G589" s="24" t="n">
        <f aca="false">IF(LEFT(F589,1)="A",Parametros!$B$8,IF(LEFT(F589,1)="B",Parametros!$B$9,IF(LEFT(F589,1)="C",Parametros!$B$10,Parametros!$B$11)))</f>
        <v>0.9</v>
      </c>
      <c r="H589" s="27" t="n">
        <f aca="false">NORMSINV(G589)</f>
        <v>1.2815515655446</v>
      </c>
      <c r="I589" s="23" t="n">
        <v>625</v>
      </c>
      <c r="J589" s="23" t="n">
        <f aca="false">IFERROR(INDEX(ABC_XYZ!$R$5:$R$494,MATCH(A589,ABC_XYZ!$A$5:$A$494,0)),I589*Parametros!$B$13)</f>
        <v>1205.53722464302</v>
      </c>
      <c r="K589" s="27" t="n">
        <f aca="false">IFERROR(VLOOKUP(C589,Parametros!$A$36:$B$66,2,FALSE()),Parametros!$B$12)</f>
        <v>1</v>
      </c>
      <c r="L589" s="23" t="n">
        <f aca="false">H589*J589*SQRT(K589)</f>
        <v>1544.95811756356</v>
      </c>
      <c r="M589" s="29" t="n">
        <v>184</v>
      </c>
      <c r="N589" s="24" t="n">
        <v>0.211956521739131</v>
      </c>
      <c r="O589" s="3" t="s">
        <v>754</v>
      </c>
      <c r="P589" s="30" t="n">
        <f aca="false">IF(AND(ISNUMBER(M589),ISNUMBER(N589)),M589*N589/7,"")</f>
        <v>5.57142857142857</v>
      </c>
      <c r="Q589" s="23" t="n">
        <f aca="false">IF(ISNUMBER(P589),I589*P589,"")</f>
        <v>3482.14285714286</v>
      </c>
      <c r="R589" s="23" t="n">
        <f aca="false">IF(ISNUMBER(Q589),MAX(0,MIN(L589,Q589-I589*K589)),L589)</f>
        <v>1544.95811756356</v>
      </c>
      <c r="S589" s="23" t="n">
        <f aca="false">R589+I589*K589</f>
        <v>2169.95811756356</v>
      </c>
      <c r="T589" s="23" t="n">
        <v>9152</v>
      </c>
      <c r="U589" s="23" t="n">
        <v>0</v>
      </c>
      <c r="V589" s="23" t="n">
        <f aca="false">T589+U589</f>
        <v>9152</v>
      </c>
      <c r="W589" s="30" t="n">
        <f aca="false">IF(I589&gt;0,V589/I589,"")</f>
        <v>14.6432</v>
      </c>
      <c r="X589" s="3" t="str">
        <f aca="false">IF(I589&lt;=0,"SIN FCST",IF(V589&lt;R589,"BAJO SS",IF(T589&lt;R589,"BAJO SS (XLIB CUBRE)",IF(V589&lt;S589,"BAJO P.REORDEN",IF(AND(ISNUMBER(Q589),V589&gt;Q589),"SOBRE MAX VENDIBLE","OK")))))</f>
        <v>SOBRE MAX VENDIBLE</v>
      </c>
    </row>
    <row r="590" customFormat="false" ht="15" hidden="false" customHeight="false" outlineLevel="0" collapsed="false">
      <c r="A590" s="3" t="n">
        <v>30002285</v>
      </c>
      <c r="B590" s="3" t="s">
        <v>575</v>
      </c>
      <c r="C590" s="3" t="s">
        <v>139</v>
      </c>
      <c r="D590" s="3" t="s">
        <v>753</v>
      </c>
      <c r="E590" s="3"/>
      <c r="F590" s="3" t="str">
        <f aca="false">IFERROR(INDEX(ABC_XYZ!$L$5:$L$494,MATCH(A590,ABC_XYZ!$A$5:$A$494,0)),"SIN HIST")</f>
        <v>CY</v>
      </c>
      <c r="G590" s="24" t="n">
        <f aca="false">IF(LEFT(F590,1)="A",Parametros!$B$8,IF(LEFT(F590,1)="B",Parametros!$B$9,IF(LEFT(F590,1)="C",Parametros!$B$10,Parametros!$B$11)))</f>
        <v>0.9</v>
      </c>
      <c r="H590" s="27" t="n">
        <f aca="false">NORMSINV(G590)</f>
        <v>1.2815515655446</v>
      </c>
      <c r="I590" s="23" t="n">
        <v>596.4</v>
      </c>
      <c r="J590" s="23" t="n">
        <f aca="false">IFERROR(INDEX(ABC_XYZ!$R$5:$R$494,MATCH(A590,ABC_XYZ!$A$5:$A$494,0)),I590*Parametros!$B$13)</f>
        <v>401.257793032563</v>
      </c>
      <c r="K590" s="27" t="n">
        <f aca="false">IFERROR(VLOOKUP(C590,Parametros!$A$36:$B$66,2,FALSE()),Parametros!$B$12)</f>
        <v>1</v>
      </c>
      <c r="L590" s="23" t="n">
        <f aca="false">H590*J590*SQRT(K590)</f>
        <v>514.232552847852</v>
      </c>
      <c r="M590" s="29" t="n">
        <v>184</v>
      </c>
      <c r="N590" s="24" t="n">
        <v>0.27</v>
      </c>
      <c r="O590" s="3" t="s">
        <v>746</v>
      </c>
      <c r="P590" s="30" t="n">
        <f aca="false">IF(AND(ISNUMBER(M590),ISNUMBER(N590)),M590*N590/7,"")</f>
        <v>7.09714285714286</v>
      </c>
      <c r="Q590" s="23" t="n">
        <f aca="false">IF(ISNUMBER(P590),I590*P590,"")</f>
        <v>4232.736</v>
      </c>
      <c r="R590" s="23" t="n">
        <f aca="false">IF(ISNUMBER(Q590),MAX(0,MIN(L590,Q590-I590*K590)),L590)</f>
        <v>514.232552847852</v>
      </c>
      <c r="S590" s="23" t="n">
        <f aca="false">R590+I590*K590</f>
        <v>1110.63255284785</v>
      </c>
      <c r="T590" s="23" t="n">
        <v>10146</v>
      </c>
      <c r="U590" s="23" t="n">
        <v>0</v>
      </c>
      <c r="V590" s="23" t="n">
        <f aca="false">T590+U590</f>
        <v>10146</v>
      </c>
      <c r="W590" s="30" t="n">
        <f aca="false">IF(I590&gt;0,V590/I590,"")</f>
        <v>17.0120724346076</v>
      </c>
      <c r="X590" s="3" t="str">
        <f aca="false">IF(I590&lt;=0,"SIN FCST",IF(V590&lt;R590,"BAJO SS",IF(T590&lt;R590,"BAJO SS (XLIB CUBRE)",IF(V590&lt;S590,"BAJO P.REORDEN",IF(AND(ISNUMBER(Q590),V590&gt;Q590),"SOBRE MAX VENDIBLE","OK")))))</f>
        <v>SOBRE MAX VENDIBLE</v>
      </c>
    </row>
    <row r="591" customFormat="false" ht="15" hidden="false" customHeight="false" outlineLevel="0" collapsed="false">
      <c r="A591" s="3" t="n">
        <v>30001863</v>
      </c>
      <c r="B591" s="3" t="s">
        <v>1157</v>
      </c>
      <c r="C591" s="3" t="s">
        <v>133</v>
      </c>
      <c r="D591" s="3" t="s">
        <v>758</v>
      </c>
      <c r="E591" s="3"/>
      <c r="F591" s="3" t="str">
        <f aca="false">IFERROR(INDEX(ABC_XYZ!$L$5:$L$494,MATCH(A591,ABC_XYZ!$A$5:$A$494,0)),"SIN HIST")</f>
        <v>SIN HIST</v>
      </c>
      <c r="G591" s="24" t="n">
        <f aca="false">IF(LEFT(F591,1)="A",Parametros!$B$8,IF(LEFT(F591,1)="B",Parametros!$B$9,IF(LEFT(F591,1)="C",Parametros!$B$10,Parametros!$B$11)))</f>
        <v>0.95</v>
      </c>
      <c r="H591" s="27" t="n">
        <f aca="false">NORMSINV(G591)</f>
        <v>1.64485362695147</v>
      </c>
      <c r="I591" s="23" t="n">
        <v>583.9</v>
      </c>
      <c r="J591" s="23" t="n">
        <f aca="false">IFERROR(INDEX(ABC_XYZ!$R$5:$R$494,MATCH(A591,ABC_XYZ!$A$5:$A$494,0)),I591*Parametros!$B$13)</f>
        <v>175.17</v>
      </c>
      <c r="K591" s="27" t="n">
        <f aca="false">IFERROR(VLOOKUP(C591,Parametros!$A$36:$B$66,2,FALSE()),Parametros!$B$12)</f>
        <v>1</v>
      </c>
      <c r="L591" s="23" t="n">
        <f aca="false">H591*J591*SQRT(K591)</f>
        <v>288.129009833089</v>
      </c>
      <c r="M591" s="29"/>
      <c r="N591" s="24"/>
      <c r="O591" s="3"/>
      <c r="P591" s="30" t="str">
        <f aca="false">IF(AND(ISNUMBER(M591),ISNUMBER(N591)),M591*N591/7,"")</f>
        <v/>
      </c>
      <c r="Q591" s="23" t="str">
        <f aca="false">IF(ISNUMBER(P591),I591*P591,"")</f>
        <v/>
      </c>
      <c r="R591" s="23" t="n">
        <f aca="false">IF(ISNUMBER(Q591),MAX(0,MIN(L591,Q591-I591*K591)),L591)</f>
        <v>288.129009833089</v>
      </c>
      <c r="S591" s="23" t="n">
        <f aca="false">R591+I591*K591</f>
        <v>872.029009833089</v>
      </c>
      <c r="T591" s="23" t="n">
        <v>3364.2</v>
      </c>
      <c r="U591" s="23" t="n">
        <v>0</v>
      </c>
      <c r="V591" s="23" t="n">
        <f aca="false">T591+U591</f>
        <v>3364.2</v>
      </c>
      <c r="W591" s="30" t="n">
        <f aca="false">IF(I591&gt;0,V591/I591,"")</f>
        <v>5.76160301421476</v>
      </c>
      <c r="X591" s="3" t="str">
        <f aca="false">IF(I591&lt;=0,"SIN FCST",IF(V591&lt;R591,"BAJO SS",IF(T591&lt;R591,"BAJO SS (XLIB CUBRE)",IF(V591&lt;S591,"BAJO P.REORDEN",IF(AND(ISNUMBER(Q591),V591&gt;Q591),"SOBRE MAX VENDIBLE","OK")))))</f>
        <v>OK</v>
      </c>
    </row>
    <row r="592" customFormat="false" ht="15" hidden="false" customHeight="false" outlineLevel="0" collapsed="false">
      <c r="A592" s="3" t="n">
        <v>30000640</v>
      </c>
      <c r="B592" s="3" t="s">
        <v>606</v>
      </c>
      <c r="C592" s="3" t="s">
        <v>129</v>
      </c>
      <c r="D592" s="3" t="s">
        <v>753</v>
      </c>
      <c r="E592" s="3" t="s">
        <v>745</v>
      </c>
      <c r="F592" s="3" t="str">
        <f aca="false">IFERROR(INDEX(ABC_XYZ!$L$5:$L$494,MATCH(A592,ABC_XYZ!$A$5:$A$494,0)),"SIN HIST")</f>
        <v>CX</v>
      </c>
      <c r="G592" s="24" t="n">
        <f aca="false">IF(LEFT(F592,1)="A",Parametros!$B$8,IF(LEFT(F592,1)="B",Parametros!$B$9,IF(LEFT(F592,1)="C",Parametros!$B$10,Parametros!$B$11)))</f>
        <v>0.9</v>
      </c>
      <c r="H592" s="27" t="n">
        <f aca="false">NORMSINV(G592)</f>
        <v>1.2815515655446</v>
      </c>
      <c r="I592" s="23" t="n">
        <v>578.6</v>
      </c>
      <c r="J592" s="23" t="n">
        <f aca="false">IFERROR(INDEX(ABC_XYZ!$R$5:$R$494,MATCH(A592,ABC_XYZ!$A$5:$A$494,0)),I592*Parametros!$B$13)</f>
        <v>115.527603627878</v>
      </c>
      <c r="K592" s="27" t="n">
        <f aca="false">IFERROR(VLOOKUP(C592,Parametros!$A$36:$B$66,2,FALSE()),Parametros!$B$12)</f>
        <v>1</v>
      </c>
      <c r="L592" s="23" t="n">
        <f aca="false">H592*J592*SQRT(K592)</f>
        <v>148.054581292923</v>
      </c>
      <c r="M592" s="29" t="n">
        <v>730</v>
      </c>
      <c r="N592" s="24" t="n">
        <v>0.328767123287671</v>
      </c>
      <c r="O592" s="3" t="s">
        <v>772</v>
      </c>
      <c r="P592" s="30" t="n">
        <f aca="false">IF(AND(ISNUMBER(M592),ISNUMBER(N592)),M592*N592/7,"")</f>
        <v>34.2857142857143</v>
      </c>
      <c r="Q592" s="23" t="n">
        <f aca="false">IF(ISNUMBER(P592),I592*P592,"")</f>
        <v>19837.7142857143</v>
      </c>
      <c r="R592" s="23" t="n">
        <f aca="false">IF(ISNUMBER(Q592),MAX(0,MIN(L592,Q592-I592*K592)),L592)</f>
        <v>148.054581292923</v>
      </c>
      <c r="S592" s="23" t="n">
        <f aca="false">R592+I592*K592</f>
        <v>726.654581292923</v>
      </c>
      <c r="T592" s="23" t="n">
        <v>8074.2</v>
      </c>
      <c r="U592" s="23" t="n">
        <v>0</v>
      </c>
      <c r="V592" s="23" t="n">
        <f aca="false">T592+U592</f>
        <v>8074.2</v>
      </c>
      <c r="W592" s="30" t="n">
        <f aca="false">IF(I592&gt;0,V592/I592,"")</f>
        <v>13.9547182855168</v>
      </c>
      <c r="X592" s="3" t="str">
        <f aca="false">IF(I592&lt;=0,"SIN FCST",IF(V592&lt;R592,"BAJO SS",IF(T592&lt;R592,"BAJO SS (XLIB CUBRE)",IF(V592&lt;S592,"BAJO P.REORDEN",IF(AND(ISNUMBER(Q592),V592&gt;Q592),"SOBRE MAX VENDIBLE","OK")))))</f>
        <v>OK</v>
      </c>
    </row>
    <row r="593" customFormat="false" ht="15" hidden="false" customHeight="false" outlineLevel="0" collapsed="false">
      <c r="A593" s="3" t="n">
        <v>30002162</v>
      </c>
      <c r="B593" s="3" t="s">
        <v>1158</v>
      </c>
      <c r="C593" s="3" t="s">
        <v>149</v>
      </c>
      <c r="D593" s="3"/>
      <c r="E593" s="3" t="s">
        <v>762</v>
      </c>
      <c r="F593" s="3" t="str">
        <f aca="false">IFERROR(INDEX(ABC_XYZ!$L$5:$L$494,MATCH(A593,ABC_XYZ!$A$5:$A$494,0)),"SIN HIST")</f>
        <v>CX</v>
      </c>
      <c r="G593" s="24" t="n">
        <f aca="false">IF(LEFT(F593,1)="A",Parametros!$B$8,IF(LEFT(F593,1)="B",Parametros!$B$9,IF(LEFT(F593,1)="C",Parametros!$B$10,Parametros!$B$11)))</f>
        <v>0.9</v>
      </c>
      <c r="H593" s="27" t="n">
        <f aca="false">NORMSINV(G593)</f>
        <v>1.2815515655446</v>
      </c>
      <c r="I593" s="23" t="n">
        <v>560</v>
      </c>
      <c r="J593" s="23" t="n">
        <f aca="false">IFERROR(INDEX(ABC_XYZ!$R$5:$R$494,MATCH(A593,ABC_XYZ!$A$5:$A$494,0)),I593*Parametros!$B$13)</f>
        <v>367.143799992868</v>
      </c>
      <c r="K593" s="27" t="n">
        <f aca="false">IFERROR(VLOOKUP(C593,Parametros!$A$36:$B$66,2,FALSE()),Parametros!$B$12)</f>
        <v>1</v>
      </c>
      <c r="L593" s="23" t="n">
        <f aca="false">H593*J593*SQRT(K593)</f>
        <v>470.513711660854</v>
      </c>
      <c r="M593" s="29" t="n">
        <v>180</v>
      </c>
      <c r="N593" s="24" t="n">
        <v>0.211111111111111</v>
      </c>
      <c r="O593" s="3" t="s">
        <v>754</v>
      </c>
      <c r="P593" s="30" t="n">
        <f aca="false">IF(AND(ISNUMBER(M593),ISNUMBER(N593)),M593*N593/7,"")</f>
        <v>5.42857142857143</v>
      </c>
      <c r="Q593" s="23" t="n">
        <f aca="false">IF(ISNUMBER(P593),I593*P593,"")</f>
        <v>3040</v>
      </c>
      <c r="R593" s="23" t="n">
        <f aca="false">IF(ISNUMBER(Q593),MAX(0,MIN(L593,Q593-I593*K593)),L593)</f>
        <v>470.513711660854</v>
      </c>
      <c r="S593" s="23" t="n">
        <f aca="false">R593+I593*K593</f>
        <v>1030.51371166085</v>
      </c>
      <c r="T593" s="23" t="n">
        <v>657</v>
      </c>
      <c r="U593" s="23" t="n">
        <v>801</v>
      </c>
      <c r="V593" s="23" t="n">
        <f aca="false">T593+U593</f>
        <v>1458</v>
      </c>
      <c r="W593" s="30" t="n">
        <f aca="false">IF(I593&gt;0,V593/I593,"")</f>
        <v>2.60357142857143</v>
      </c>
      <c r="X593" s="3" t="str">
        <f aca="false">IF(I593&lt;=0,"SIN FCST",IF(V593&lt;R593,"BAJO SS",IF(T593&lt;R593,"BAJO SS (XLIB CUBRE)",IF(V593&lt;S593,"BAJO P.REORDEN",IF(AND(ISNUMBER(Q593),V593&gt;Q593),"SOBRE MAX VENDIBLE","OK")))))</f>
        <v>OK</v>
      </c>
    </row>
    <row r="594" customFormat="false" ht="15" hidden="false" customHeight="false" outlineLevel="0" collapsed="false">
      <c r="A594" s="3" t="n">
        <v>30000948</v>
      </c>
      <c r="B594" s="3" t="s">
        <v>1159</v>
      </c>
      <c r="C594" s="3" t="s">
        <v>133</v>
      </c>
      <c r="D594" s="3" t="s">
        <v>758</v>
      </c>
      <c r="E594" s="3"/>
      <c r="F594" s="3" t="str">
        <f aca="false">IFERROR(INDEX(ABC_XYZ!$L$5:$L$494,MATCH(A594,ABC_XYZ!$A$5:$A$494,0)),"SIN HIST")</f>
        <v>SIN HIST</v>
      </c>
      <c r="G594" s="24" t="n">
        <f aca="false">IF(LEFT(F594,1)="A",Parametros!$B$8,IF(LEFT(F594,1)="B",Parametros!$B$9,IF(LEFT(F594,1)="C",Parametros!$B$10,Parametros!$B$11)))</f>
        <v>0.95</v>
      </c>
      <c r="H594" s="27" t="n">
        <f aca="false">NORMSINV(G594)</f>
        <v>1.64485362695147</v>
      </c>
      <c r="I594" s="23" t="n">
        <v>558.1</v>
      </c>
      <c r="J594" s="23" t="n">
        <f aca="false">IFERROR(INDEX(ABC_XYZ!$R$5:$R$494,MATCH(A594,ABC_XYZ!$A$5:$A$494,0)),I594*Parametros!$B$13)</f>
        <v>167.43</v>
      </c>
      <c r="K594" s="27" t="n">
        <f aca="false">IFERROR(VLOOKUP(C594,Parametros!$A$36:$B$66,2,FALSE()),Parametros!$B$12)</f>
        <v>1</v>
      </c>
      <c r="L594" s="23" t="n">
        <f aca="false">H594*J594*SQRT(K594)</f>
        <v>275.397842760485</v>
      </c>
      <c r="M594" s="29"/>
      <c r="N594" s="24"/>
      <c r="O594" s="3"/>
      <c r="P594" s="30" t="str">
        <f aca="false">IF(AND(ISNUMBER(M594),ISNUMBER(N594)),M594*N594/7,"")</f>
        <v/>
      </c>
      <c r="Q594" s="23" t="str">
        <f aca="false">IF(ISNUMBER(P594),I594*P594,"")</f>
        <v/>
      </c>
      <c r="R594" s="23" t="n">
        <f aca="false">IF(ISNUMBER(Q594),MAX(0,MIN(L594,Q594-I594*K594)),L594)</f>
        <v>275.397842760485</v>
      </c>
      <c r="S594" s="23" t="n">
        <f aca="false">R594+I594*K594</f>
        <v>833.497842760485</v>
      </c>
      <c r="T594" s="23" t="n">
        <v>2508</v>
      </c>
      <c r="U594" s="23" t="n">
        <v>0</v>
      </c>
      <c r="V594" s="23" t="n">
        <f aca="false">T594+U594</f>
        <v>2508</v>
      </c>
      <c r="W594" s="30" t="n">
        <f aca="false">IF(I594&gt;0,V594/I594,"")</f>
        <v>4.49381831213044</v>
      </c>
      <c r="X594" s="3" t="str">
        <f aca="false">IF(I594&lt;=0,"SIN FCST",IF(V594&lt;R594,"BAJO SS",IF(T594&lt;R594,"BAJO SS (XLIB CUBRE)",IF(V594&lt;S594,"BAJO P.REORDEN",IF(AND(ISNUMBER(Q594),V594&gt;Q594),"SOBRE MAX VENDIBLE","OK")))))</f>
        <v>OK</v>
      </c>
    </row>
    <row r="595" customFormat="false" ht="15" hidden="false" customHeight="false" outlineLevel="0" collapsed="false">
      <c r="A595" s="3" t="n">
        <v>30001820</v>
      </c>
      <c r="B595" s="3" t="s">
        <v>619</v>
      </c>
      <c r="C595" s="3" t="s">
        <v>129</v>
      </c>
      <c r="D595" s="3" t="s">
        <v>753</v>
      </c>
      <c r="E595" s="3" t="s">
        <v>745</v>
      </c>
      <c r="F595" s="3" t="str">
        <f aca="false">IFERROR(INDEX(ABC_XYZ!$L$5:$L$494,MATCH(A595,ABC_XYZ!$A$5:$A$494,0)),"SIN HIST")</f>
        <v>CY</v>
      </c>
      <c r="G595" s="24" t="n">
        <f aca="false">IF(LEFT(F595,1)="A",Parametros!$B$8,IF(LEFT(F595,1)="B",Parametros!$B$9,IF(LEFT(F595,1)="C",Parametros!$B$10,Parametros!$B$11)))</f>
        <v>0.9</v>
      </c>
      <c r="H595" s="27" t="n">
        <f aca="false">NORMSINV(G595)</f>
        <v>1.2815515655446</v>
      </c>
      <c r="I595" s="23" t="n">
        <v>551.5</v>
      </c>
      <c r="J595" s="23" t="n">
        <f aca="false">IFERROR(INDEX(ABC_XYZ!$R$5:$R$494,MATCH(A595,ABC_XYZ!$A$5:$A$494,0)),I595*Parametros!$B$13)</f>
        <v>269.748037002434</v>
      </c>
      <c r="K595" s="27" t="n">
        <f aca="false">IFERROR(VLOOKUP(C595,Parametros!$A$36:$B$66,2,FALSE()),Parametros!$B$12)</f>
        <v>1</v>
      </c>
      <c r="L595" s="23" t="n">
        <f aca="false">H595*J595*SQRT(K595)</f>
        <v>345.696019123053</v>
      </c>
      <c r="M595" s="29" t="n">
        <v>548</v>
      </c>
      <c r="N595" s="24" t="n">
        <v>0.197080291970803</v>
      </c>
      <c r="O595" s="3" t="s">
        <v>746</v>
      </c>
      <c r="P595" s="30" t="n">
        <f aca="false">IF(AND(ISNUMBER(M595),ISNUMBER(N595)),M595*N595/7,"")</f>
        <v>15.4285714285714</v>
      </c>
      <c r="Q595" s="23" t="n">
        <f aca="false">IF(ISNUMBER(P595),I595*P595,"")</f>
        <v>8508.85714285714</v>
      </c>
      <c r="R595" s="23" t="n">
        <f aca="false">IF(ISNUMBER(Q595),MAX(0,MIN(L595,Q595-I595*K595)),L595)</f>
        <v>345.696019123053</v>
      </c>
      <c r="S595" s="23" t="n">
        <f aca="false">R595+I595*K595</f>
        <v>897.196019123053</v>
      </c>
      <c r="T595" s="23" t="n">
        <v>14379.2</v>
      </c>
      <c r="U595" s="23" t="n">
        <v>0</v>
      </c>
      <c r="V595" s="23" t="n">
        <f aca="false">T595+U595</f>
        <v>14379.2</v>
      </c>
      <c r="W595" s="30" t="n">
        <f aca="false">IF(I595&gt;0,V595/I595,"")</f>
        <v>26.0728921124207</v>
      </c>
      <c r="X595" s="3" t="str">
        <f aca="false">IF(I595&lt;=0,"SIN FCST",IF(V595&lt;R595,"BAJO SS",IF(T595&lt;R595,"BAJO SS (XLIB CUBRE)",IF(V595&lt;S595,"BAJO P.REORDEN",IF(AND(ISNUMBER(Q595),V595&gt;Q595),"SOBRE MAX VENDIBLE","OK")))))</f>
        <v>SOBRE MAX VENDIBLE</v>
      </c>
    </row>
    <row r="596" customFormat="false" ht="15" hidden="false" customHeight="false" outlineLevel="0" collapsed="false">
      <c r="A596" s="3" t="n">
        <v>30002106</v>
      </c>
      <c r="B596" s="3" t="s">
        <v>568</v>
      </c>
      <c r="C596" s="3" t="s">
        <v>139</v>
      </c>
      <c r="D596" s="3" t="s">
        <v>753</v>
      </c>
      <c r="E596" s="3" t="s">
        <v>762</v>
      </c>
      <c r="F596" s="3" t="str">
        <f aca="false">IFERROR(INDEX(ABC_XYZ!$L$5:$L$494,MATCH(A596,ABC_XYZ!$A$5:$A$494,0)),"SIN HIST")</f>
        <v>CX</v>
      </c>
      <c r="G596" s="24" t="n">
        <f aca="false">IF(LEFT(F596,1)="A",Parametros!$B$8,IF(LEFT(F596,1)="B",Parametros!$B$9,IF(LEFT(F596,1)="C",Parametros!$B$10,Parametros!$B$11)))</f>
        <v>0.9</v>
      </c>
      <c r="H596" s="27" t="n">
        <f aca="false">NORMSINV(G596)</f>
        <v>1.2815515655446</v>
      </c>
      <c r="I596" s="23" t="n">
        <v>547.7</v>
      </c>
      <c r="J596" s="23" t="n">
        <f aca="false">IFERROR(INDEX(ABC_XYZ!$R$5:$R$494,MATCH(A596,ABC_XYZ!$A$5:$A$494,0)),I596*Parametros!$B$13)</f>
        <v>811.726461404575</v>
      </c>
      <c r="K596" s="27" t="n">
        <f aca="false">IFERROR(VLOOKUP(C596,Parametros!$A$36:$B$66,2,FALSE()),Parametros!$B$12)</f>
        <v>1</v>
      </c>
      <c r="L596" s="23" t="n">
        <f aca="false">H596*J596*SQRT(K596)</f>
        <v>1040.26931740701</v>
      </c>
      <c r="M596" s="29" t="n">
        <v>73</v>
      </c>
      <c r="N596" s="24" t="n">
        <v>0.232876712328767</v>
      </c>
      <c r="O596" s="3" t="s">
        <v>754</v>
      </c>
      <c r="P596" s="30" t="n">
        <f aca="false">IF(AND(ISNUMBER(M596),ISNUMBER(N596)),M596*N596/7,"")</f>
        <v>2.42857142857143</v>
      </c>
      <c r="Q596" s="23" t="n">
        <f aca="false">IF(ISNUMBER(P596),I596*P596,"")</f>
        <v>1330.12857142857</v>
      </c>
      <c r="R596" s="23" t="n">
        <f aca="false">IF(ISNUMBER(Q596),MAX(0,MIN(L596,Q596-I596*K596)),L596)</f>
        <v>782.428571428572</v>
      </c>
      <c r="S596" s="23" t="n">
        <f aca="false">R596+I596*K596</f>
        <v>1330.12857142857</v>
      </c>
      <c r="T596" s="23" t="n">
        <v>1570.8</v>
      </c>
      <c r="U596" s="23" t="n">
        <v>0</v>
      </c>
      <c r="V596" s="23" t="n">
        <f aca="false">T596+U596</f>
        <v>1570.8</v>
      </c>
      <c r="W596" s="30" t="n">
        <f aca="false">IF(I596&gt;0,V596/I596,"")</f>
        <v>2.86799342705861</v>
      </c>
      <c r="X596" s="3" t="str">
        <f aca="false">IF(I596&lt;=0,"SIN FCST",IF(V596&lt;R596,"BAJO SS",IF(T596&lt;R596,"BAJO SS (XLIB CUBRE)",IF(V596&lt;S596,"BAJO P.REORDEN",IF(AND(ISNUMBER(Q596),V596&gt;Q596),"SOBRE MAX VENDIBLE","OK")))))</f>
        <v>SOBRE MAX VENDIBLE</v>
      </c>
    </row>
    <row r="597" customFormat="false" ht="15" hidden="false" customHeight="false" outlineLevel="0" collapsed="false">
      <c r="A597" s="3" t="n">
        <v>30002282</v>
      </c>
      <c r="B597" s="3" t="s">
        <v>593</v>
      </c>
      <c r="C597" s="3" t="s">
        <v>139</v>
      </c>
      <c r="D597" s="3" t="s">
        <v>753</v>
      </c>
      <c r="E597" s="3"/>
      <c r="F597" s="3" t="str">
        <f aca="false">IFERROR(INDEX(ABC_XYZ!$L$5:$L$494,MATCH(A597,ABC_XYZ!$A$5:$A$494,0)),"SIN HIST")</f>
        <v>CX</v>
      </c>
      <c r="G597" s="24" t="n">
        <f aca="false">IF(LEFT(F597,1)="A",Parametros!$B$8,IF(LEFT(F597,1)="B",Parametros!$B$9,IF(LEFT(F597,1)="C",Parametros!$B$10,Parametros!$B$11)))</f>
        <v>0.9</v>
      </c>
      <c r="H597" s="27" t="n">
        <f aca="false">NORMSINV(G597)</f>
        <v>1.2815515655446</v>
      </c>
      <c r="I597" s="23" t="n">
        <v>531.8</v>
      </c>
      <c r="J597" s="23" t="n">
        <f aca="false">IFERROR(INDEX(ABC_XYZ!$R$5:$R$494,MATCH(A597,ABC_XYZ!$A$5:$A$494,0)),I597*Parametros!$B$13)</f>
        <v>508.335709802796</v>
      </c>
      <c r="K597" s="27" t="n">
        <f aca="false">IFERROR(VLOOKUP(C597,Parametros!$A$36:$B$66,2,FALSE()),Parametros!$B$12)</f>
        <v>1</v>
      </c>
      <c r="L597" s="23" t="n">
        <f aca="false">H597*J597*SQRT(K597)</f>
        <v>651.458424719999</v>
      </c>
      <c r="M597" s="29" t="n">
        <v>184</v>
      </c>
      <c r="N597" s="24" t="n">
        <v>0.27</v>
      </c>
      <c r="O597" s="3" t="s">
        <v>746</v>
      </c>
      <c r="P597" s="30" t="n">
        <f aca="false">IF(AND(ISNUMBER(M597),ISNUMBER(N597)),M597*N597/7,"")</f>
        <v>7.09714285714286</v>
      </c>
      <c r="Q597" s="23" t="n">
        <f aca="false">IF(ISNUMBER(P597),I597*P597,"")</f>
        <v>3774.26057142857</v>
      </c>
      <c r="R597" s="23" t="n">
        <f aca="false">IF(ISNUMBER(Q597),MAX(0,MIN(L597,Q597-I597*K597)),L597)</f>
        <v>651.458424719999</v>
      </c>
      <c r="S597" s="23" t="n">
        <f aca="false">R597+I597*K597</f>
        <v>1183.25842472</v>
      </c>
      <c r="T597" s="23" t="n">
        <v>6630</v>
      </c>
      <c r="U597" s="23" t="n">
        <v>0</v>
      </c>
      <c r="V597" s="23" t="n">
        <f aca="false">T597+U597</f>
        <v>6630</v>
      </c>
      <c r="W597" s="30" t="n">
        <f aca="false">IF(I597&gt;0,V597/I597,"")</f>
        <v>12.4670928920647</v>
      </c>
      <c r="X597" s="3" t="str">
        <f aca="false">IF(I597&lt;=0,"SIN FCST",IF(V597&lt;R597,"BAJO SS",IF(T597&lt;R597,"BAJO SS (XLIB CUBRE)",IF(V597&lt;S597,"BAJO P.REORDEN",IF(AND(ISNUMBER(Q597),V597&gt;Q597),"SOBRE MAX VENDIBLE","OK")))))</f>
        <v>SOBRE MAX VENDIBLE</v>
      </c>
    </row>
    <row r="598" customFormat="false" ht="15" hidden="false" customHeight="false" outlineLevel="0" collapsed="false">
      <c r="A598" s="3" t="n">
        <v>30002126</v>
      </c>
      <c r="B598" s="3" t="s">
        <v>624</v>
      </c>
      <c r="C598" s="3" t="s">
        <v>130</v>
      </c>
      <c r="D598" s="3" t="s">
        <v>761</v>
      </c>
      <c r="E598" s="3" t="s">
        <v>762</v>
      </c>
      <c r="F598" s="3" t="str">
        <f aca="false">IFERROR(INDEX(ABC_XYZ!$L$5:$L$494,MATCH(A598,ABC_XYZ!$A$5:$A$494,0)),"SIN HIST")</f>
        <v>CY</v>
      </c>
      <c r="G598" s="24" t="n">
        <f aca="false">IF(LEFT(F598,1)="A",Parametros!$B$8,IF(LEFT(F598,1)="B",Parametros!$B$9,IF(LEFT(F598,1)="C",Parametros!$B$10,Parametros!$B$11)))</f>
        <v>0.9</v>
      </c>
      <c r="H598" s="27" t="n">
        <f aca="false">NORMSINV(G598)</f>
        <v>1.2815515655446</v>
      </c>
      <c r="I598" s="23" t="n">
        <v>531.7</v>
      </c>
      <c r="J598" s="23" t="n">
        <f aca="false">IFERROR(INDEX(ABC_XYZ!$R$5:$R$494,MATCH(A598,ABC_XYZ!$A$5:$A$494,0)),I598*Parametros!$B$13)</f>
        <v>351.003719787399</v>
      </c>
      <c r="K598" s="27" t="n">
        <f aca="false">IFERROR(VLOOKUP(C598,Parametros!$A$36:$B$66,2,FALSE()),Parametros!$B$12)</f>
        <v>1</v>
      </c>
      <c r="L598" s="23" t="n">
        <f aca="false">H598*J598*SQRT(K598)</f>
        <v>449.82936660552</v>
      </c>
      <c r="M598" s="29" t="n">
        <v>60</v>
      </c>
      <c r="N598" s="24" t="n">
        <v>0.2</v>
      </c>
      <c r="O598" s="3" t="s">
        <v>754</v>
      </c>
      <c r="P598" s="30" t="n">
        <f aca="false">IF(AND(ISNUMBER(M598),ISNUMBER(N598)),M598*N598/7,"")</f>
        <v>1.71428571428571</v>
      </c>
      <c r="Q598" s="23" t="n">
        <f aca="false">IF(ISNUMBER(P598),I598*P598,"")</f>
        <v>911.485714285714</v>
      </c>
      <c r="R598" s="23" t="n">
        <f aca="false">IF(ISNUMBER(Q598),MAX(0,MIN(L598,Q598-I598*K598)),L598)</f>
        <v>379.785714285714</v>
      </c>
      <c r="S598" s="23" t="n">
        <f aca="false">R598+I598*K598</f>
        <v>911.485714285714</v>
      </c>
      <c r="T598" s="23" t="n">
        <v>3780</v>
      </c>
      <c r="U598" s="23" t="n">
        <v>0</v>
      </c>
      <c r="V598" s="23" t="n">
        <f aca="false">T598+U598</f>
        <v>3780</v>
      </c>
      <c r="W598" s="30" t="n">
        <f aca="false">IF(I598&gt;0,V598/I598,"")</f>
        <v>7.10927214594696</v>
      </c>
      <c r="X598" s="3" t="str">
        <f aca="false">IF(I598&lt;=0,"SIN FCST",IF(V598&lt;R598,"BAJO SS",IF(T598&lt;R598,"BAJO SS (XLIB CUBRE)",IF(V598&lt;S598,"BAJO P.REORDEN",IF(AND(ISNUMBER(Q598),V598&gt;Q598),"SOBRE MAX VENDIBLE","OK")))))</f>
        <v>SOBRE MAX VENDIBLE</v>
      </c>
    </row>
    <row r="599" customFormat="false" ht="15" hidden="false" customHeight="false" outlineLevel="0" collapsed="false">
      <c r="A599" s="3" t="n">
        <v>30000821</v>
      </c>
      <c r="B599" s="3" t="s">
        <v>1160</v>
      </c>
      <c r="C599" s="3" t="s">
        <v>133</v>
      </c>
      <c r="D599" s="3" t="s">
        <v>769</v>
      </c>
      <c r="E599" s="3"/>
      <c r="F599" s="3" t="str">
        <f aca="false">IFERROR(INDEX(ABC_XYZ!$L$5:$L$494,MATCH(A599,ABC_XYZ!$A$5:$A$494,0)),"SIN HIST")</f>
        <v>SIN HIST</v>
      </c>
      <c r="G599" s="24" t="n">
        <f aca="false">IF(LEFT(F599,1)="A",Parametros!$B$8,IF(LEFT(F599,1)="B",Parametros!$B$9,IF(LEFT(F599,1)="C",Parametros!$B$10,Parametros!$B$11)))</f>
        <v>0.95</v>
      </c>
      <c r="H599" s="27" t="n">
        <f aca="false">NORMSINV(G599)</f>
        <v>1.64485362695147</v>
      </c>
      <c r="I599" s="23" t="n">
        <v>512.6</v>
      </c>
      <c r="J599" s="23" t="n">
        <f aca="false">IFERROR(INDEX(ABC_XYZ!$R$5:$R$494,MATCH(A599,ABC_XYZ!$A$5:$A$494,0)),I599*Parametros!$B$13)</f>
        <v>153.78</v>
      </c>
      <c r="K599" s="27" t="n">
        <f aca="false">IFERROR(VLOOKUP(C599,Parametros!$A$36:$B$66,2,FALSE()),Parametros!$B$12)</f>
        <v>1</v>
      </c>
      <c r="L599" s="23" t="n">
        <f aca="false">H599*J599*SQRT(K599)</f>
        <v>252.945590752597</v>
      </c>
      <c r="M599" s="29"/>
      <c r="N599" s="24"/>
      <c r="O599" s="3"/>
      <c r="P599" s="30" t="str">
        <f aca="false">IF(AND(ISNUMBER(M599),ISNUMBER(N599)),M599*N599/7,"")</f>
        <v/>
      </c>
      <c r="Q599" s="23" t="str">
        <f aca="false">IF(ISNUMBER(P599),I599*P599,"")</f>
        <v/>
      </c>
      <c r="R599" s="23" t="n">
        <f aca="false">IF(ISNUMBER(Q599),MAX(0,MIN(L599,Q599-I599*K599)),L599)</f>
        <v>252.945590752597</v>
      </c>
      <c r="S599" s="23" t="n">
        <f aca="false">R599+I599*K599</f>
        <v>765.545590752597</v>
      </c>
      <c r="T599" s="23" t="n">
        <v>11016</v>
      </c>
      <c r="U599" s="23" t="n">
        <v>0</v>
      </c>
      <c r="V599" s="23" t="n">
        <f aca="false">T599+U599</f>
        <v>11016</v>
      </c>
      <c r="W599" s="30" t="n">
        <f aca="false">IF(I599&gt;0,V599/I599,"")</f>
        <v>21.4904408895825</v>
      </c>
      <c r="X599" s="3" t="str">
        <f aca="false">IF(I599&lt;=0,"SIN FCST",IF(V599&lt;R599,"BAJO SS",IF(T599&lt;R599,"BAJO SS (XLIB CUBRE)",IF(V599&lt;S599,"BAJO P.REORDEN",IF(AND(ISNUMBER(Q599),V599&gt;Q599),"SOBRE MAX VENDIBLE","OK")))))</f>
        <v>OK</v>
      </c>
    </row>
    <row r="600" customFormat="false" ht="15" hidden="false" customHeight="false" outlineLevel="0" collapsed="false">
      <c r="A600" s="3" t="n">
        <v>30000446</v>
      </c>
      <c r="B600" s="3" t="s">
        <v>1161</v>
      </c>
      <c r="C600" s="3" t="s">
        <v>149</v>
      </c>
      <c r="D600" s="3" t="s">
        <v>744</v>
      </c>
      <c r="E600" s="3"/>
      <c r="F600" s="3" t="str">
        <f aca="false">IFERROR(INDEX(ABC_XYZ!$L$5:$L$494,MATCH(A600,ABC_XYZ!$A$5:$A$494,0)),"SIN HIST")</f>
        <v>CZ</v>
      </c>
      <c r="G600" s="24" t="n">
        <f aca="false">IF(LEFT(F600,1)="A",Parametros!$B$8,IF(LEFT(F600,1)="B",Parametros!$B$9,IF(LEFT(F600,1)="C",Parametros!$B$10,Parametros!$B$11)))</f>
        <v>0.9</v>
      </c>
      <c r="H600" s="27" t="n">
        <f aca="false">NORMSINV(G600)</f>
        <v>1.2815515655446</v>
      </c>
      <c r="I600" s="23" t="n">
        <v>500</v>
      </c>
      <c r="J600" s="23" t="n">
        <f aca="false">IFERROR(INDEX(ABC_XYZ!$R$5:$R$494,MATCH(A600,ABC_XYZ!$A$5:$A$494,0)),I600*Parametros!$B$13)</f>
        <v>677.00320038633</v>
      </c>
      <c r="K600" s="27" t="n">
        <f aca="false">IFERROR(VLOOKUP(C600,Parametros!$A$36:$B$66,2,FALSE()),Parametros!$B$12)</f>
        <v>1</v>
      </c>
      <c r="L600" s="23" t="n">
        <f aca="false">H600*J600*SQRT(K600)</f>
        <v>867.614511333806</v>
      </c>
      <c r="M600" s="29"/>
      <c r="N600" s="24"/>
      <c r="O600" s="3"/>
      <c r="P600" s="30" t="str">
        <f aca="false">IF(AND(ISNUMBER(M600),ISNUMBER(N600)),M600*N600/7,"")</f>
        <v/>
      </c>
      <c r="Q600" s="23" t="str">
        <f aca="false">IF(ISNUMBER(P600),I600*P600,"")</f>
        <v/>
      </c>
      <c r="R600" s="23" t="n">
        <f aca="false">IF(ISNUMBER(Q600),MAX(0,MIN(L600,Q600-I600*K600)),L600)</f>
        <v>867.614511333806</v>
      </c>
      <c r="S600" s="23" t="n">
        <f aca="false">R600+I600*K600</f>
        <v>1367.61451133381</v>
      </c>
      <c r="T600" s="23" t="n">
        <v>160</v>
      </c>
      <c r="U600" s="23" t="n">
        <v>0</v>
      </c>
      <c r="V600" s="23" t="n">
        <f aca="false">T600+U600</f>
        <v>160</v>
      </c>
      <c r="W600" s="30" t="n">
        <f aca="false">IF(I600&gt;0,V600/I600,"")</f>
        <v>0.32</v>
      </c>
      <c r="X600" s="3" t="str">
        <f aca="false">IF(I600&lt;=0,"SIN FCST",IF(V600&lt;R600,"BAJO SS",IF(T600&lt;R600,"BAJO SS (XLIB CUBRE)",IF(V600&lt;S600,"BAJO P.REORDEN",IF(AND(ISNUMBER(Q600),V600&gt;Q600),"SOBRE MAX VENDIBLE","OK")))))</f>
        <v>BAJO SS</v>
      </c>
    </row>
    <row r="601" customFormat="false" ht="15" hidden="false" customHeight="false" outlineLevel="0" collapsed="false">
      <c r="A601" s="3" t="n">
        <v>30002110</v>
      </c>
      <c r="B601" s="3" t="s">
        <v>1162</v>
      </c>
      <c r="C601" s="3" t="s">
        <v>133</v>
      </c>
      <c r="D601" s="3" t="s">
        <v>758</v>
      </c>
      <c r="E601" s="3"/>
      <c r="F601" s="3" t="str">
        <f aca="false">IFERROR(INDEX(ABC_XYZ!$L$5:$L$494,MATCH(A601,ABC_XYZ!$A$5:$A$494,0)),"SIN HIST")</f>
        <v>SIN HIST</v>
      </c>
      <c r="G601" s="24" t="n">
        <f aca="false">IF(LEFT(F601,1)="A",Parametros!$B$8,IF(LEFT(F601,1)="B",Parametros!$B$9,IF(LEFT(F601,1)="C",Parametros!$B$10,Parametros!$B$11)))</f>
        <v>0.95</v>
      </c>
      <c r="H601" s="27" t="n">
        <f aca="false">NORMSINV(G601)</f>
        <v>1.64485362695147</v>
      </c>
      <c r="I601" s="23" t="n">
        <v>497.8</v>
      </c>
      <c r="J601" s="23" t="n">
        <f aca="false">IFERROR(INDEX(ABC_XYZ!$R$5:$R$494,MATCH(A601,ABC_XYZ!$A$5:$A$494,0)),I601*Parametros!$B$13)</f>
        <v>149.34</v>
      </c>
      <c r="K601" s="27" t="n">
        <f aca="false">IFERROR(VLOOKUP(C601,Parametros!$A$36:$B$66,2,FALSE()),Parametros!$B$12)</f>
        <v>1</v>
      </c>
      <c r="L601" s="23" t="n">
        <f aca="false">H601*J601*SQRT(K601)</f>
        <v>245.642440648933</v>
      </c>
      <c r="M601" s="29"/>
      <c r="N601" s="24"/>
      <c r="O601" s="3"/>
      <c r="P601" s="30" t="str">
        <f aca="false">IF(AND(ISNUMBER(M601),ISNUMBER(N601)),M601*N601/7,"")</f>
        <v/>
      </c>
      <c r="Q601" s="23" t="str">
        <f aca="false">IF(ISNUMBER(P601),I601*P601,"")</f>
        <v/>
      </c>
      <c r="R601" s="23" t="n">
        <f aca="false">IF(ISNUMBER(Q601),MAX(0,MIN(L601,Q601-I601*K601)),L601)</f>
        <v>245.642440648933</v>
      </c>
      <c r="S601" s="23" t="n">
        <f aca="false">R601+I601*K601</f>
        <v>743.442440648933</v>
      </c>
      <c r="T601" s="23" t="n">
        <v>3353</v>
      </c>
      <c r="U601" s="23" t="n">
        <v>0</v>
      </c>
      <c r="V601" s="23" t="n">
        <f aca="false">T601+U601</f>
        <v>3353</v>
      </c>
      <c r="W601" s="30" t="n">
        <f aca="false">IF(I601&gt;0,V601/I601,"")</f>
        <v>6.73563680192849</v>
      </c>
      <c r="X601" s="3" t="str">
        <f aca="false">IF(I601&lt;=0,"SIN FCST",IF(V601&lt;R601,"BAJO SS",IF(T601&lt;R601,"BAJO SS (XLIB CUBRE)",IF(V601&lt;S601,"BAJO P.REORDEN",IF(AND(ISNUMBER(Q601),V601&gt;Q601),"SOBRE MAX VENDIBLE","OK")))))</f>
        <v>OK</v>
      </c>
    </row>
    <row r="602" customFormat="false" ht="15" hidden="false" customHeight="false" outlineLevel="0" collapsed="false">
      <c r="A602" s="3" t="n">
        <v>30001363</v>
      </c>
      <c r="B602" s="3" t="s">
        <v>621</v>
      </c>
      <c r="C602" s="3" t="s">
        <v>124</v>
      </c>
      <c r="D602" s="3" t="s">
        <v>769</v>
      </c>
      <c r="E602" s="3" t="s">
        <v>745</v>
      </c>
      <c r="F602" s="3" t="str">
        <f aca="false">IFERROR(INDEX(ABC_XYZ!$L$5:$L$494,MATCH(A602,ABC_XYZ!$A$5:$A$494,0)),"SIN HIST")</f>
        <v>CY</v>
      </c>
      <c r="G602" s="24" t="n">
        <f aca="false">IF(LEFT(F602,1)="A",Parametros!$B$8,IF(LEFT(F602,1)="B",Parametros!$B$9,IF(LEFT(F602,1)="C",Parametros!$B$10,Parametros!$B$11)))</f>
        <v>0.9</v>
      </c>
      <c r="H602" s="27" t="n">
        <f aca="false">NORMSINV(G602)</f>
        <v>1.2815515655446</v>
      </c>
      <c r="I602" s="23" t="n">
        <v>496.7</v>
      </c>
      <c r="J602" s="23" t="n">
        <f aca="false">IFERROR(INDEX(ABC_XYZ!$R$5:$R$494,MATCH(A602,ABC_XYZ!$A$5:$A$494,0)),I602*Parametros!$B$13)</f>
        <v>324.603790900024</v>
      </c>
      <c r="K602" s="27" t="n">
        <f aca="false">IFERROR(VLOOKUP(C602,Parametros!$A$36:$B$66,2,FALSE()),Parametros!$B$12)</f>
        <v>1</v>
      </c>
      <c r="L602" s="23" t="n">
        <f aca="false">H602*J602*SQRT(K602)</f>
        <v>415.996496409638</v>
      </c>
      <c r="M602" s="29" t="n">
        <v>730</v>
      </c>
      <c r="N602" s="24" t="n">
        <v>0.208219178082192</v>
      </c>
      <c r="O602" s="3" t="s">
        <v>746</v>
      </c>
      <c r="P602" s="30" t="n">
        <f aca="false">IF(AND(ISNUMBER(M602),ISNUMBER(N602)),M602*N602/7,"")</f>
        <v>21.7142857142857</v>
      </c>
      <c r="Q602" s="23" t="n">
        <f aca="false">IF(ISNUMBER(P602),I602*P602,"")</f>
        <v>10785.4857142857</v>
      </c>
      <c r="R602" s="23" t="n">
        <f aca="false">IF(ISNUMBER(Q602),MAX(0,MIN(L602,Q602-I602*K602)),L602)</f>
        <v>415.996496409638</v>
      </c>
      <c r="S602" s="23" t="n">
        <f aca="false">R602+I602*K602</f>
        <v>912.696496409638</v>
      </c>
      <c r="T602" s="23" t="n">
        <v>7493.4</v>
      </c>
      <c r="U602" s="23" t="n">
        <v>0</v>
      </c>
      <c r="V602" s="23" t="n">
        <f aca="false">T602+U602</f>
        <v>7493.4</v>
      </c>
      <c r="W602" s="30" t="n">
        <f aca="false">IF(I602&gt;0,V602/I602,"")</f>
        <v>15.086370042279</v>
      </c>
      <c r="X602" s="3" t="str">
        <f aca="false">IF(I602&lt;=0,"SIN FCST",IF(V602&lt;R602,"BAJO SS",IF(T602&lt;R602,"BAJO SS (XLIB CUBRE)",IF(V602&lt;S602,"BAJO P.REORDEN",IF(AND(ISNUMBER(Q602),V602&gt;Q602),"SOBRE MAX VENDIBLE","OK")))))</f>
        <v>OK</v>
      </c>
    </row>
    <row r="603" customFormat="false" ht="15" hidden="false" customHeight="false" outlineLevel="0" collapsed="false">
      <c r="A603" s="3" t="n">
        <v>30001462</v>
      </c>
      <c r="B603" s="3" t="s">
        <v>1163</v>
      </c>
      <c r="C603" s="3" t="s">
        <v>133</v>
      </c>
      <c r="D603" s="3" t="s">
        <v>769</v>
      </c>
      <c r="E603" s="3"/>
      <c r="F603" s="3" t="str">
        <f aca="false">IFERROR(INDEX(ABC_XYZ!$L$5:$L$494,MATCH(A603,ABC_XYZ!$A$5:$A$494,0)),"SIN HIST")</f>
        <v>SIN HIST</v>
      </c>
      <c r="G603" s="24" t="n">
        <f aca="false">IF(LEFT(F603,1)="A",Parametros!$B$8,IF(LEFT(F603,1)="B",Parametros!$B$9,IF(LEFT(F603,1)="C",Parametros!$B$10,Parametros!$B$11)))</f>
        <v>0.95</v>
      </c>
      <c r="H603" s="27" t="n">
        <f aca="false">NORMSINV(G603)</f>
        <v>1.64485362695147</v>
      </c>
      <c r="I603" s="23" t="n">
        <v>495.3</v>
      </c>
      <c r="J603" s="23" t="n">
        <f aca="false">IFERROR(INDEX(ABC_XYZ!$R$5:$R$494,MATCH(A603,ABC_XYZ!$A$5:$A$494,0)),I603*Parametros!$B$13)</f>
        <v>148.59</v>
      </c>
      <c r="K603" s="27" t="n">
        <f aca="false">IFERROR(VLOOKUP(C603,Parametros!$A$36:$B$66,2,FALSE()),Parametros!$B$12)</f>
        <v>1</v>
      </c>
      <c r="L603" s="23" t="n">
        <f aca="false">H603*J603*SQRT(K603)</f>
        <v>244.408800428719</v>
      </c>
      <c r="M603" s="29"/>
      <c r="N603" s="24"/>
      <c r="O603" s="3"/>
      <c r="P603" s="30" t="str">
        <f aca="false">IF(AND(ISNUMBER(M603),ISNUMBER(N603)),M603*N603/7,"")</f>
        <v/>
      </c>
      <c r="Q603" s="23" t="str">
        <f aca="false">IF(ISNUMBER(P603),I603*P603,"")</f>
        <v/>
      </c>
      <c r="R603" s="23" t="n">
        <f aca="false">IF(ISNUMBER(Q603),MAX(0,MIN(L603,Q603-I603*K603)),L603)</f>
        <v>244.408800428719</v>
      </c>
      <c r="S603" s="23" t="n">
        <f aca="false">R603+I603*K603</f>
        <v>739.708800428719</v>
      </c>
      <c r="T603" s="23" t="n">
        <v>0</v>
      </c>
      <c r="U603" s="23" t="n">
        <v>0</v>
      </c>
      <c r="V603" s="23" t="n">
        <f aca="false">T603+U603</f>
        <v>0</v>
      </c>
      <c r="W603" s="30" t="n">
        <f aca="false">IF(I603&gt;0,V603/I603,"")</f>
        <v>0</v>
      </c>
      <c r="X603" s="3" t="str">
        <f aca="false">IF(I603&lt;=0,"SIN FCST",IF(V603&lt;R603,"BAJO SS",IF(T603&lt;R603,"BAJO SS (XLIB CUBRE)",IF(V603&lt;S603,"BAJO P.REORDEN",IF(AND(ISNUMBER(Q603),V603&gt;Q603),"SOBRE MAX VENDIBLE","OK")))))</f>
        <v>BAJO SS</v>
      </c>
    </row>
    <row r="604" customFormat="false" ht="15" hidden="false" customHeight="false" outlineLevel="0" collapsed="false">
      <c r="A604" s="3" t="n">
        <v>30000762</v>
      </c>
      <c r="B604" s="3" t="s">
        <v>1164</v>
      </c>
      <c r="C604" s="3" t="s">
        <v>133</v>
      </c>
      <c r="D604" s="3" t="s">
        <v>758</v>
      </c>
      <c r="E604" s="3"/>
      <c r="F604" s="3" t="str">
        <f aca="false">IFERROR(INDEX(ABC_XYZ!$L$5:$L$494,MATCH(A604,ABC_XYZ!$A$5:$A$494,0)),"SIN HIST")</f>
        <v>SIN HIST</v>
      </c>
      <c r="G604" s="24" t="n">
        <f aca="false">IF(LEFT(F604,1)="A",Parametros!$B$8,IF(LEFT(F604,1)="B",Parametros!$B$9,IF(LEFT(F604,1)="C",Parametros!$B$10,Parametros!$B$11)))</f>
        <v>0.95</v>
      </c>
      <c r="H604" s="27" t="n">
        <f aca="false">NORMSINV(G604)</f>
        <v>1.64485362695147</v>
      </c>
      <c r="I604" s="23" t="n">
        <v>480.4</v>
      </c>
      <c r="J604" s="23" t="n">
        <f aca="false">IFERROR(INDEX(ABC_XYZ!$R$5:$R$494,MATCH(A604,ABC_XYZ!$A$5:$A$494,0)),I604*Parametros!$B$13)</f>
        <v>144.12</v>
      </c>
      <c r="K604" s="27" t="n">
        <f aca="false">IFERROR(VLOOKUP(C604,Parametros!$A$36:$B$66,2,FALSE()),Parametros!$B$12)</f>
        <v>1</v>
      </c>
      <c r="L604" s="23" t="n">
        <f aca="false">H604*J604*SQRT(K604)</f>
        <v>237.056304716246</v>
      </c>
      <c r="M604" s="29"/>
      <c r="N604" s="24"/>
      <c r="O604" s="3"/>
      <c r="P604" s="30" t="str">
        <f aca="false">IF(AND(ISNUMBER(M604),ISNUMBER(N604)),M604*N604/7,"")</f>
        <v/>
      </c>
      <c r="Q604" s="23" t="str">
        <f aca="false">IF(ISNUMBER(P604),I604*P604,"")</f>
        <v/>
      </c>
      <c r="R604" s="23" t="n">
        <f aca="false">IF(ISNUMBER(Q604),MAX(0,MIN(L604,Q604-I604*K604)),L604)</f>
        <v>237.056304716246</v>
      </c>
      <c r="S604" s="23" t="n">
        <f aca="false">R604+I604*K604</f>
        <v>717.456304716246</v>
      </c>
      <c r="T604" s="23" t="n">
        <v>5010</v>
      </c>
      <c r="U604" s="23" t="n">
        <v>0</v>
      </c>
      <c r="V604" s="23" t="n">
        <f aca="false">T604+U604</f>
        <v>5010</v>
      </c>
      <c r="W604" s="30" t="n">
        <f aca="false">IF(I604&gt;0,V604/I604,"")</f>
        <v>10.428809325562</v>
      </c>
      <c r="X604" s="3" t="str">
        <f aca="false">IF(I604&lt;=0,"SIN FCST",IF(V604&lt;R604,"BAJO SS",IF(T604&lt;R604,"BAJO SS (XLIB CUBRE)",IF(V604&lt;S604,"BAJO P.REORDEN",IF(AND(ISNUMBER(Q604),V604&gt;Q604),"SOBRE MAX VENDIBLE","OK")))))</f>
        <v>OK</v>
      </c>
    </row>
    <row r="605" customFormat="false" ht="15" hidden="false" customHeight="false" outlineLevel="0" collapsed="false">
      <c r="A605" s="3" t="n">
        <v>30002132</v>
      </c>
      <c r="B605" s="3" t="s">
        <v>1165</v>
      </c>
      <c r="C605" s="3" t="s">
        <v>130</v>
      </c>
      <c r="D605" s="3" t="s">
        <v>753</v>
      </c>
      <c r="E605" s="3" t="s">
        <v>762</v>
      </c>
      <c r="F605" s="3" t="str">
        <f aca="false">IFERROR(INDEX(ABC_XYZ!$L$5:$L$494,MATCH(A605,ABC_XYZ!$A$5:$A$494,0)),"SIN HIST")</f>
        <v>CY</v>
      </c>
      <c r="G605" s="24" t="n">
        <f aca="false">IF(LEFT(F605,1)="A",Parametros!$B$8,IF(LEFT(F605,1)="B",Parametros!$B$9,IF(LEFT(F605,1)="C",Parametros!$B$10,Parametros!$B$11)))</f>
        <v>0.9</v>
      </c>
      <c r="H605" s="27" t="n">
        <f aca="false">NORMSINV(G605)</f>
        <v>1.2815515655446</v>
      </c>
      <c r="I605" s="23" t="n">
        <v>475</v>
      </c>
      <c r="J605" s="23" t="n">
        <f aca="false">IFERROR(INDEX(ABC_XYZ!$R$5:$R$494,MATCH(A605,ABC_XYZ!$A$5:$A$494,0)),I605*Parametros!$B$13)</f>
        <v>596.985409540832</v>
      </c>
      <c r="K605" s="27" t="n">
        <f aca="false">IFERROR(VLOOKUP(C605,Parametros!$A$36:$B$66,2,FALSE()),Parametros!$B$12)</f>
        <v>1</v>
      </c>
      <c r="L605" s="23" t="n">
        <f aca="false">H605*J605*SQRT(K605)</f>
        <v>765.067586204338</v>
      </c>
      <c r="M605" s="29" t="n">
        <v>64</v>
      </c>
      <c r="N605" s="24" t="n">
        <v>0.234375</v>
      </c>
      <c r="O605" s="3" t="s">
        <v>754</v>
      </c>
      <c r="P605" s="30" t="n">
        <f aca="false">IF(AND(ISNUMBER(M605),ISNUMBER(N605)),M605*N605/7,"")</f>
        <v>2.14285714285714</v>
      </c>
      <c r="Q605" s="23" t="n">
        <f aca="false">IF(ISNUMBER(P605),I605*P605,"")</f>
        <v>1017.85714285714</v>
      </c>
      <c r="R605" s="23" t="n">
        <f aca="false">IF(ISNUMBER(Q605),MAX(0,MIN(L605,Q605-I605*K605)),L605)</f>
        <v>542.857142857143</v>
      </c>
      <c r="S605" s="23" t="n">
        <f aca="false">R605+I605*K605</f>
        <v>1017.85714285714</v>
      </c>
      <c r="T605" s="23" t="n">
        <v>1125</v>
      </c>
      <c r="U605" s="23" t="n">
        <v>0</v>
      </c>
      <c r="V605" s="23" t="n">
        <f aca="false">T605+U605</f>
        <v>1125</v>
      </c>
      <c r="W605" s="30" t="n">
        <f aca="false">IF(I605&gt;0,V605/I605,"")</f>
        <v>2.36842105263158</v>
      </c>
      <c r="X605" s="3" t="str">
        <f aca="false">IF(I605&lt;=0,"SIN FCST",IF(V605&lt;R605,"BAJO SS",IF(T605&lt;R605,"BAJO SS (XLIB CUBRE)",IF(V605&lt;S605,"BAJO P.REORDEN",IF(AND(ISNUMBER(Q605),V605&gt;Q605),"SOBRE MAX VENDIBLE","OK")))))</f>
        <v>SOBRE MAX VENDIBLE</v>
      </c>
    </row>
    <row r="606" customFormat="false" ht="15" hidden="false" customHeight="false" outlineLevel="0" collapsed="false">
      <c r="A606" s="3" t="n">
        <v>30000712</v>
      </c>
      <c r="B606" s="3" t="s">
        <v>1166</v>
      </c>
      <c r="C606" s="3" t="s">
        <v>133</v>
      </c>
      <c r="D606" s="3" t="s">
        <v>769</v>
      </c>
      <c r="E606" s="3"/>
      <c r="F606" s="3" t="str">
        <f aca="false">IFERROR(INDEX(ABC_XYZ!$L$5:$L$494,MATCH(A606,ABC_XYZ!$A$5:$A$494,0)),"SIN HIST")</f>
        <v>SIN HIST</v>
      </c>
      <c r="G606" s="24" t="n">
        <f aca="false">IF(LEFT(F606,1)="A",Parametros!$B$8,IF(LEFT(F606,1)="B",Parametros!$B$9,IF(LEFT(F606,1)="C",Parametros!$B$10,Parametros!$B$11)))</f>
        <v>0.95</v>
      </c>
      <c r="H606" s="27" t="n">
        <f aca="false">NORMSINV(G606)</f>
        <v>1.64485362695147</v>
      </c>
      <c r="I606" s="23" t="n">
        <v>473.2</v>
      </c>
      <c r="J606" s="23" t="n">
        <f aca="false">IFERROR(INDEX(ABC_XYZ!$R$5:$R$494,MATCH(A606,ABC_XYZ!$A$5:$A$494,0)),I606*Parametros!$B$13)</f>
        <v>141.96</v>
      </c>
      <c r="K606" s="27" t="n">
        <f aca="false">IFERROR(VLOOKUP(C606,Parametros!$A$36:$B$66,2,FALSE()),Parametros!$B$12)</f>
        <v>1</v>
      </c>
      <c r="L606" s="23" t="n">
        <f aca="false">H606*J606*SQRT(K606)</f>
        <v>233.503420882031</v>
      </c>
      <c r="M606" s="29"/>
      <c r="N606" s="24"/>
      <c r="O606" s="3"/>
      <c r="P606" s="30" t="str">
        <f aca="false">IF(AND(ISNUMBER(M606),ISNUMBER(N606)),M606*N606/7,"")</f>
        <v/>
      </c>
      <c r="Q606" s="23" t="str">
        <f aca="false">IF(ISNUMBER(P606),I606*P606,"")</f>
        <v/>
      </c>
      <c r="R606" s="23" t="n">
        <f aca="false">IF(ISNUMBER(Q606),MAX(0,MIN(L606,Q606-I606*K606)),L606)</f>
        <v>233.503420882031</v>
      </c>
      <c r="S606" s="23" t="n">
        <f aca="false">R606+I606*K606</f>
        <v>706.703420882031</v>
      </c>
      <c r="T606" s="23" t="n">
        <v>468</v>
      </c>
      <c r="U606" s="23" t="n">
        <v>0</v>
      </c>
      <c r="V606" s="23" t="n">
        <f aca="false">T606+U606</f>
        <v>468</v>
      </c>
      <c r="W606" s="30" t="n">
        <f aca="false">IF(I606&gt;0,V606/I606,"")</f>
        <v>0.989010989010989</v>
      </c>
      <c r="X606" s="3" t="str">
        <f aca="false">IF(I606&lt;=0,"SIN FCST",IF(V606&lt;R606,"BAJO SS",IF(T606&lt;R606,"BAJO SS (XLIB CUBRE)",IF(V606&lt;S606,"BAJO P.REORDEN",IF(AND(ISNUMBER(Q606),V606&gt;Q606),"SOBRE MAX VENDIBLE","OK")))))</f>
        <v>BAJO P.REORDEN</v>
      </c>
    </row>
    <row r="607" customFormat="false" ht="15" hidden="false" customHeight="false" outlineLevel="0" collapsed="false">
      <c r="A607" s="3" t="n">
        <v>30001868</v>
      </c>
      <c r="B607" s="3" t="s">
        <v>1167</v>
      </c>
      <c r="C607" s="3" t="s">
        <v>144</v>
      </c>
      <c r="D607" s="3" t="s">
        <v>753</v>
      </c>
      <c r="E607" s="3" t="s">
        <v>745</v>
      </c>
      <c r="F607" s="3" t="str">
        <f aca="false">IFERROR(INDEX(ABC_XYZ!$L$5:$L$494,MATCH(A607,ABC_XYZ!$A$5:$A$494,0)),"SIN HIST")</f>
        <v>SIN HIST</v>
      </c>
      <c r="G607" s="24" t="n">
        <f aca="false">IF(LEFT(F607,1)="A",Parametros!$B$8,IF(LEFT(F607,1)="B",Parametros!$B$9,IF(LEFT(F607,1)="C",Parametros!$B$10,Parametros!$B$11)))</f>
        <v>0.95</v>
      </c>
      <c r="H607" s="27" t="n">
        <f aca="false">NORMSINV(G607)</f>
        <v>1.64485362695147</v>
      </c>
      <c r="I607" s="23" t="n">
        <v>465.1</v>
      </c>
      <c r="J607" s="23" t="n">
        <f aca="false">IFERROR(INDEX(ABC_XYZ!$R$5:$R$494,MATCH(A607,ABC_XYZ!$A$5:$A$494,0)),I607*Parametros!$B$13)</f>
        <v>139.53</v>
      </c>
      <c r="K607" s="27" t="n">
        <f aca="false">IFERROR(VLOOKUP(C607,Parametros!$A$36:$B$66,2,FALSE()),Parametros!$B$12)</f>
        <v>1</v>
      </c>
      <c r="L607" s="23" t="n">
        <f aca="false">H607*J607*SQRT(K607)</f>
        <v>229.506426568539</v>
      </c>
      <c r="M607" s="29" t="n">
        <v>365</v>
      </c>
      <c r="N607" s="24" t="n">
        <v>0.273972602739726</v>
      </c>
      <c r="O607" s="3" t="s">
        <v>746</v>
      </c>
      <c r="P607" s="30" t="n">
        <f aca="false">IF(AND(ISNUMBER(M607),ISNUMBER(N607)),M607*N607/7,"")</f>
        <v>14.2857142857143</v>
      </c>
      <c r="Q607" s="23" t="n">
        <f aca="false">IF(ISNUMBER(P607),I607*P607,"")</f>
        <v>6644.28571428572</v>
      </c>
      <c r="R607" s="23" t="n">
        <f aca="false">IF(ISNUMBER(Q607),MAX(0,MIN(L607,Q607-I607*K607)),L607)</f>
        <v>229.506426568539</v>
      </c>
      <c r="S607" s="23" t="n">
        <f aca="false">R607+I607*K607</f>
        <v>694.606426568539</v>
      </c>
      <c r="T607" s="23" t="n">
        <v>1734</v>
      </c>
      <c r="U607" s="23" t="n">
        <v>0</v>
      </c>
      <c r="V607" s="23" t="n">
        <f aca="false">T607+U607</f>
        <v>1734</v>
      </c>
      <c r="W607" s="30" t="n">
        <f aca="false">IF(I607&gt;0,V607/I607,"")</f>
        <v>3.72823048806708</v>
      </c>
      <c r="X607" s="3" t="str">
        <f aca="false">IF(I607&lt;=0,"SIN FCST",IF(V607&lt;R607,"BAJO SS",IF(T607&lt;R607,"BAJO SS (XLIB CUBRE)",IF(V607&lt;S607,"BAJO P.REORDEN",IF(AND(ISNUMBER(Q607),V607&gt;Q607),"SOBRE MAX VENDIBLE","OK")))))</f>
        <v>OK</v>
      </c>
    </row>
    <row r="608" customFormat="false" ht="15" hidden="false" customHeight="false" outlineLevel="0" collapsed="false">
      <c r="A608" s="3" t="n">
        <v>30000108</v>
      </c>
      <c r="B608" s="3" t="s">
        <v>1168</v>
      </c>
      <c r="C608" s="3" t="s">
        <v>143</v>
      </c>
      <c r="D608" s="3" t="s">
        <v>750</v>
      </c>
      <c r="E608" s="3" t="s">
        <v>745</v>
      </c>
      <c r="F608" s="3" t="str">
        <f aca="false">IFERROR(INDEX(ABC_XYZ!$L$5:$L$494,MATCH(A608,ABC_XYZ!$A$5:$A$494,0)),"SIN HIST")</f>
        <v>SIN HIST</v>
      </c>
      <c r="G608" s="24" t="n">
        <f aca="false">IF(LEFT(F608,1)="A",Parametros!$B$8,IF(LEFT(F608,1)="B",Parametros!$B$9,IF(LEFT(F608,1)="C",Parametros!$B$10,Parametros!$B$11)))</f>
        <v>0.95</v>
      </c>
      <c r="H608" s="27" t="n">
        <f aca="false">NORMSINV(G608)</f>
        <v>1.64485362695147</v>
      </c>
      <c r="I608" s="23" t="n">
        <v>465.1</v>
      </c>
      <c r="J608" s="23" t="n">
        <f aca="false">IFERROR(INDEX(ABC_XYZ!$R$5:$R$494,MATCH(A608,ABC_XYZ!$A$5:$A$494,0)),I608*Parametros!$B$13)</f>
        <v>139.53</v>
      </c>
      <c r="K608" s="27" t="n">
        <f aca="false">IFERROR(VLOOKUP(C608,Parametros!$A$36:$B$66,2,FALSE()),Parametros!$B$12)</f>
        <v>1</v>
      </c>
      <c r="L608" s="23" t="n">
        <f aca="false">H608*J608*SQRT(K608)</f>
        <v>229.506426568539</v>
      </c>
      <c r="M608" s="29" t="n">
        <v>245</v>
      </c>
      <c r="N608" s="24" t="n">
        <v>0.220408163265306</v>
      </c>
      <c r="O608" s="3" t="s">
        <v>754</v>
      </c>
      <c r="P608" s="30" t="n">
        <f aca="false">IF(AND(ISNUMBER(M608),ISNUMBER(N608)),M608*N608/7,"")</f>
        <v>7.71428571428571</v>
      </c>
      <c r="Q608" s="23" t="n">
        <f aca="false">IF(ISNUMBER(P608),I608*P608,"")</f>
        <v>3587.91428571429</v>
      </c>
      <c r="R608" s="23" t="n">
        <f aca="false">IF(ISNUMBER(Q608),MAX(0,MIN(L608,Q608-I608*K608)),L608)</f>
        <v>229.506426568539</v>
      </c>
      <c r="S608" s="23" t="n">
        <f aca="false">R608+I608*K608</f>
        <v>694.606426568539</v>
      </c>
      <c r="T608" s="23" t="n">
        <v>2760</v>
      </c>
      <c r="U608" s="23" t="n">
        <v>0</v>
      </c>
      <c r="V608" s="23" t="n">
        <f aca="false">T608+U608</f>
        <v>2760</v>
      </c>
      <c r="W608" s="30" t="n">
        <f aca="false">IF(I608&gt;0,V608/I608,"")</f>
        <v>5.9342076972694</v>
      </c>
      <c r="X608" s="3" t="str">
        <f aca="false">IF(I608&lt;=0,"SIN FCST",IF(V608&lt;R608,"BAJO SS",IF(T608&lt;R608,"BAJO SS (XLIB CUBRE)",IF(V608&lt;S608,"BAJO P.REORDEN",IF(AND(ISNUMBER(Q608),V608&gt;Q608),"SOBRE MAX VENDIBLE","OK")))))</f>
        <v>OK</v>
      </c>
    </row>
    <row r="609" customFormat="false" ht="15" hidden="false" customHeight="false" outlineLevel="0" collapsed="false">
      <c r="A609" s="3" t="n">
        <v>30000110</v>
      </c>
      <c r="B609" s="3" t="s">
        <v>1169</v>
      </c>
      <c r="C609" s="3" t="s">
        <v>143</v>
      </c>
      <c r="D609" s="3" t="s">
        <v>750</v>
      </c>
      <c r="E609" s="3" t="s">
        <v>762</v>
      </c>
      <c r="F609" s="3" t="str">
        <f aca="false">IFERROR(INDEX(ABC_XYZ!$L$5:$L$494,MATCH(A609,ABC_XYZ!$A$5:$A$494,0)),"SIN HIST")</f>
        <v>SIN HIST</v>
      </c>
      <c r="G609" s="24" t="n">
        <f aca="false">IF(LEFT(F609,1)="A",Parametros!$B$8,IF(LEFT(F609,1)="B",Parametros!$B$9,IF(LEFT(F609,1)="C",Parametros!$B$10,Parametros!$B$11)))</f>
        <v>0.95</v>
      </c>
      <c r="H609" s="27" t="n">
        <f aca="false">NORMSINV(G609)</f>
        <v>1.64485362695147</v>
      </c>
      <c r="I609" s="23" t="n">
        <v>465.1</v>
      </c>
      <c r="J609" s="23" t="n">
        <f aca="false">IFERROR(INDEX(ABC_XYZ!$R$5:$R$494,MATCH(A609,ABC_XYZ!$A$5:$A$494,0)),I609*Parametros!$B$13)</f>
        <v>139.53</v>
      </c>
      <c r="K609" s="27" t="n">
        <f aca="false">IFERROR(VLOOKUP(C609,Parametros!$A$36:$B$66,2,FALSE()),Parametros!$B$12)</f>
        <v>1</v>
      </c>
      <c r="L609" s="23" t="n">
        <f aca="false">H609*J609*SQRT(K609)</f>
        <v>229.506426568539</v>
      </c>
      <c r="M609" s="29" t="n">
        <v>184</v>
      </c>
      <c r="N609" s="24" t="n">
        <v>0.217391304347826</v>
      </c>
      <c r="O609" s="3" t="s">
        <v>754</v>
      </c>
      <c r="P609" s="30" t="n">
        <f aca="false">IF(AND(ISNUMBER(M609),ISNUMBER(N609)),M609*N609/7,"")</f>
        <v>5.71428571428572</v>
      </c>
      <c r="Q609" s="23" t="n">
        <f aca="false">IF(ISNUMBER(P609),I609*P609,"")</f>
        <v>2657.71428571429</v>
      </c>
      <c r="R609" s="23" t="n">
        <f aca="false">IF(ISNUMBER(Q609),MAX(0,MIN(L609,Q609-I609*K609)),L609)</f>
        <v>229.506426568539</v>
      </c>
      <c r="S609" s="23" t="n">
        <f aca="false">R609+I609*K609</f>
        <v>694.606426568539</v>
      </c>
      <c r="T609" s="23" t="n">
        <v>950</v>
      </c>
      <c r="U609" s="23" t="n">
        <v>4040</v>
      </c>
      <c r="V609" s="23" t="n">
        <f aca="false">T609+U609</f>
        <v>4990</v>
      </c>
      <c r="W609" s="30" t="n">
        <f aca="false">IF(I609&gt;0,V609/I609,"")</f>
        <v>10.7288755106429</v>
      </c>
      <c r="X609" s="3" t="str">
        <f aca="false">IF(I609&lt;=0,"SIN FCST",IF(V609&lt;R609,"BAJO SS",IF(T609&lt;R609,"BAJO SS (XLIB CUBRE)",IF(V609&lt;S609,"BAJO P.REORDEN",IF(AND(ISNUMBER(Q609),V609&gt;Q609),"SOBRE MAX VENDIBLE","OK")))))</f>
        <v>SOBRE MAX VENDIBLE</v>
      </c>
    </row>
    <row r="610" customFormat="false" ht="15" hidden="false" customHeight="false" outlineLevel="0" collapsed="false">
      <c r="A610" s="3" t="n">
        <v>30000303</v>
      </c>
      <c r="B610" s="3" t="s">
        <v>1170</v>
      </c>
      <c r="C610" s="3" t="s">
        <v>142</v>
      </c>
      <c r="D610" s="3" t="s">
        <v>750</v>
      </c>
      <c r="E610" s="3" t="s">
        <v>762</v>
      </c>
      <c r="F610" s="3" t="str">
        <f aca="false">IFERROR(INDEX(ABC_XYZ!$L$5:$L$494,MATCH(A610,ABC_XYZ!$A$5:$A$494,0)),"SIN HIST")</f>
        <v>SIN HIST</v>
      </c>
      <c r="G610" s="24" t="n">
        <f aca="false">IF(LEFT(F610,1)="A",Parametros!$B$8,IF(LEFT(F610,1)="B",Parametros!$B$9,IF(LEFT(F610,1)="C",Parametros!$B$10,Parametros!$B$11)))</f>
        <v>0.95</v>
      </c>
      <c r="H610" s="27" t="n">
        <f aca="false">NORMSINV(G610)</f>
        <v>1.64485362695147</v>
      </c>
      <c r="I610" s="23" t="n">
        <v>465.1</v>
      </c>
      <c r="J610" s="23" t="n">
        <f aca="false">IFERROR(INDEX(ABC_XYZ!$R$5:$R$494,MATCH(A610,ABC_XYZ!$A$5:$A$494,0)),I610*Parametros!$B$13)</f>
        <v>139.53</v>
      </c>
      <c r="K610" s="27" t="n">
        <f aca="false">IFERROR(VLOOKUP(C610,Parametros!$A$36:$B$66,2,FALSE()),Parametros!$B$12)</f>
        <v>1</v>
      </c>
      <c r="L610" s="23" t="n">
        <f aca="false">H610*J610*SQRT(K610)</f>
        <v>229.506426568539</v>
      </c>
      <c r="M610" s="29" t="n">
        <v>184</v>
      </c>
      <c r="N610" s="24" t="n">
        <v>0.217391304347826</v>
      </c>
      <c r="O610" s="3" t="s">
        <v>754</v>
      </c>
      <c r="P610" s="30" t="n">
        <f aca="false">IF(AND(ISNUMBER(M610),ISNUMBER(N610)),M610*N610/7,"")</f>
        <v>5.71428571428572</v>
      </c>
      <c r="Q610" s="23" t="n">
        <f aca="false">IF(ISNUMBER(P610),I610*P610,"")</f>
        <v>2657.71428571429</v>
      </c>
      <c r="R610" s="23" t="n">
        <f aca="false">IF(ISNUMBER(Q610),MAX(0,MIN(L610,Q610-I610*K610)),L610)</f>
        <v>229.506426568539</v>
      </c>
      <c r="S610" s="23" t="n">
        <f aca="false">R610+I610*K610</f>
        <v>694.606426568539</v>
      </c>
      <c r="T610" s="23" t="n">
        <v>0</v>
      </c>
      <c r="U610" s="23" t="n">
        <v>0</v>
      </c>
      <c r="V610" s="23" t="n">
        <f aca="false">T610+U610</f>
        <v>0</v>
      </c>
      <c r="W610" s="30" t="n">
        <f aca="false">IF(I610&gt;0,V610/I610,"")</f>
        <v>0</v>
      </c>
      <c r="X610" s="3" t="str">
        <f aca="false">IF(I610&lt;=0,"SIN FCST",IF(V610&lt;R610,"BAJO SS",IF(T610&lt;R610,"BAJO SS (XLIB CUBRE)",IF(V610&lt;S610,"BAJO P.REORDEN",IF(AND(ISNUMBER(Q610),V610&gt;Q610),"SOBRE MAX VENDIBLE","OK")))))</f>
        <v>BAJO SS</v>
      </c>
    </row>
    <row r="611" customFormat="false" ht="15" hidden="false" customHeight="false" outlineLevel="0" collapsed="false">
      <c r="A611" s="3" t="n">
        <v>30002249</v>
      </c>
      <c r="B611" s="3" t="s">
        <v>1171</v>
      </c>
      <c r="C611" s="3" t="s">
        <v>153</v>
      </c>
      <c r="D611" s="3" t="s">
        <v>769</v>
      </c>
      <c r="E611" s="3"/>
      <c r="F611" s="3" t="str">
        <f aca="false">IFERROR(INDEX(ABC_XYZ!$L$5:$L$494,MATCH(A611,ABC_XYZ!$A$5:$A$494,0)),"SIN HIST")</f>
        <v>SIN HIST</v>
      </c>
      <c r="G611" s="24" t="n">
        <f aca="false">IF(LEFT(F611,1)="A",Parametros!$B$8,IF(LEFT(F611,1)="B",Parametros!$B$9,IF(LEFT(F611,1)="C",Parametros!$B$10,Parametros!$B$11)))</f>
        <v>0.95</v>
      </c>
      <c r="H611" s="27" t="n">
        <f aca="false">NORMSINV(G611)</f>
        <v>1.64485362695147</v>
      </c>
      <c r="I611" s="23" t="n">
        <v>465.1</v>
      </c>
      <c r="J611" s="23" t="n">
        <f aca="false">IFERROR(INDEX(ABC_XYZ!$R$5:$R$494,MATCH(A611,ABC_XYZ!$A$5:$A$494,0)),I611*Parametros!$B$13)</f>
        <v>139.53</v>
      </c>
      <c r="K611" s="27" t="n">
        <f aca="false">IFERROR(VLOOKUP(C611,Parametros!$A$36:$B$66,2,FALSE()),Parametros!$B$12)</f>
        <v>1</v>
      </c>
      <c r="L611" s="23" t="n">
        <f aca="false">H611*J611*SQRT(K611)</f>
        <v>229.506426568539</v>
      </c>
      <c r="M611" s="29"/>
      <c r="N611" s="24"/>
      <c r="O611" s="3"/>
      <c r="P611" s="30" t="str">
        <f aca="false">IF(AND(ISNUMBER(M611),ISNUMBER(N611)),M611*N611/7,"")</f>
        <v/>
      </c>
      <c r="Q611" s="23" t="str">
        <f aca="false">IF(ISNUMBER(P611),I611*P611,"")</f>
        <v/>
      </c>
      <c r="R611" s="23" t="n">
        <f aca="false">IF(ISNUMBER(Q611),MAX(0,MIN(L611,Q611-I611*K611)),L611)</f>
        <v>229.506426568539</v>
      </c>
      <c r="S611" s="23" t="n">
        <f aca="false">R611+I611*K611</f>
        <v>694.606426568539</v>
      </c>
      <c r="T611" s="23" t="n">
        <v>4420</v>
      </c>
      <c r="U611" s="23" t="n">
        <v>0</v>
      </c>
      <c r="V611" s="23" t="n">
        <f aca="false">T611+U611</f>
        <v>4420</v>
      </c>
      <c r="W611" s="30" t="n">
        <f aca="false">IF(I611&gt;0,V611/I611,"")</f>
        <v>9.50333261664158</v>
      </c>
      <c r="X611" s="3" t="str">
        <f aca="false">IF(I611&lt;=0,"SIN FCST",IF(V611&lt;R611,"BAJO SS",IF(T611&lt;R611,"BAJO SS (XLIB CUBRE)",IF(V611&lt;S611,"BAJO P.REORDEN",IF(AND(ISNUMBER(Q611),V611&gt;Q611),"SOBRE MAX VENDIBLE","OK")))))</f>
        <v>OK</v>
      </c>
    </row>
    <row r="612" customFormat="false" ht="15" hidden="false" customHeight="false" outlineLevel="0" collapsed="false">
      <c r="A612" s="3" t="n">
        <v>30002137</v>
      </c>
      <c r="B612" s="3" t="s">
        <v>627</v>
      </c>
      <c r="C612" s="3" t="s">
        <v>149</v>
      </c>
      <c r="D612" s="3"/>
      <c r="E612" s="3" t="s">
        <v>762</v>
      </c>
      <c r="F612" s="3" t="str">
        <f aca="false">IFERROR(INDEX(ABC_XYZ!$L$5:$L$494,MATCH(A612,ABC_XYZ!$A$5:$A$494,0)),"SIN HIST")</f>
        <v>CX</v>
      </c>
      <c r="G612" s="24" t="n">
        <f aca="false">IF(LEFT(F612,1)="A",Parametros!$B$8,IF(LEFT(F612,1)="B",Parametros!$B$9,IF(LEFT(F612,1)="C",Parametros!$B$10,Parametros!$B$11)))</f>
        <v>0.9</v>
      </c>
      <c r="H612" s="27" t="n">
        <f aca="false">NORMSINV(G612)</f>
        <v>1.2815515655446</v>
      </c>
      <c r="I612" s="23" t="n">
        <v>450</v>
      </c>
      <c r="J612" s="23" t="n">
        <f aca="false">IFERROR(INDEX(ABC_XYZ!$R$5:$R$494,MATCH(A612,ABC_XYZ!$A$5:$A$494,0)),I612*Parametros!$B$13)</f>
        <v>279.363327508699</v>
      </c>
      <c r="K612" s="27" t="n">
        <f aca="false">IFERROR(VLOOKUP(C612,Parametros!$A$36:$B$66,2,FALSE()),Parametros!$B$12)</f>
        <v>1</v>
      </c>
      <c r="L612" s="23" t="n">
        <f aca="false">H612*J612*SQRT(K612)</f>
        <v>358.018509724523</v>
      </c>
      <c r="M612" s="29" t="n">
        <v>184</v>
      </c>
      <c r="N612" s="24" t="n">
        <v>0.211956521739131</v>
      </c>
      <c r="O612" s="3" t="s">
        <v>754</v>
      </c>
      <c r="P612" s="30" t="n">
        <f aca="false">IF(AND(ISNUMBER(M612),ISNUMBER(N612)),M612*N612/7,"")</f>
        <v>5.57142857142857</v>
      </c>
      <c r="Q612" s="23" t="n">
        <f aca="false">IF(ISNUMBER(P612),I612*P612,"")</f>
        <v>2507.14285714286</v>
      </c>
      <c r="R612" s="23" t="n">
        <f aca="false">IF(ISNUMBER(Q612),MAX(0,MIN(L612,Q612-I612*K612)),L612)</f>
        <v>358.018509724523</v>
      </c>
      <c r="S612" s="23" t="n">
        <f aca="false">R612+I612*K612</f>
        <v>808.018509724523</v>
      </c>
      <c r="T612" s="23" t="n">
        <v>1041.6</v>
      </c>
      <c r="U612" s="23" t="n">
        <v>0</v>
      </c>
      <c r="V612" s="23" t="n">
        <f aca="false">T612+U612</f>
        <v>1041.6</v>
      </c>
      <c r="W612" s="30" t="n">
        <f aca="false">IF(I612&gt;0,V612/I612,"")</f>
        <v>2.31466666666667</v>
      </c>
      <c r="X612" s="3" t="str">
        <f aca="false">IF(I612&lt;=0,"SIN FCST",IF(V612&lt;R612,"BAJO SS",IF(T612&lt;R612,"BAJO SS (XLIB CUBRE)",IF(V612&lt;S612,"BAJO P.REORDEN",IF(AND(ISNUMBER(Q612),V612&gt;Q612),"SOBRE MAX VENDIBLE","OK")))))</f>
        <v>OK</v>
      </c>
    </row>
    <row r="613" customFormat="false" ht="15" hidden="false" customHeight="false" outlineLevel="0" collapsed="false">
      <c r="A613" s="3" t="n">
        <v>30001341</v>
      </c>
      <c r="B613" s="3" t="s">
        <v>540</v>
      </c>
      <c r="C613" s="3" t="s">
        <v>141</v>
      </c>
      <c r="D613" s="3" t="s">
        <v>750</v>
      </c>
      <c r="E613" s="3" t="s">
        <v>762</v>
      </c>
      <c r="F613" s="3" t="str">
        <f aca="false">IFERROR(INDEX(ABC_XYZ!$L$5:$L$494,MATCH(A613,ABC_XYZ!$A$5:$A$494,0)),"SIN HIST")</f>
        <v>CY</v>
      </c>
      <c r="G613" s="24" t="n">
        <f aca="false">IF(LEFT(F613,1)="A",Parametros!$B$8,IF(LEFT(F613,1)="B",Parametros!$B$9,IF(LEFT(F613,1)="C",Parametros!$B$10,Parametros!$B$11)))</f>
        <v>0.9</v>
      </c>
      <c r="H613" s="27" t="n">
        <f aca="false">NORMSINV(G613)</f>
        <v>1.2815515655446</v>
      </c>
      <c r="I613" s="23" t="n">
        <v>450</v>
      </c>
      <c r="J613" s="23" t="n">
        <f aca="false">IFERROR(INDEX(ABC_XYZ!$R$5:$R$494,MATCH(A613,ABC_XYZ!$A$5:$A$494,0)),I613*Parametros!$B$13)</f>
        <v>828.517203430621</v>
      </c>
      <c r="K613" s="27" t="n">
        <f aca="false">IFERROR(VLOOKUP(C613,Parametros!$A$36:$B$66,2,FALSE()),Parametros!$B$12)</f>
        <v>1</v>
      </c>
      <c r="L613" s="23" t="n">
        <f aca="false">H613*J613*SQRT(K613)</f>
        <v>1061.78751913715</v>
      </c>
      <c r="M613" s="29" t="n">
        <v>184</v>
      </c>
      <c r="N613" s="24" t="n">
        <v>0.244565217391304</v>
      </c>
      <c r="O613" s="3" t="s">
        <v>772</v>
      </c>
      <c r="P613" s="30" t="n">
        <f aca="false">IF(AND(ISNUMBER(M613),ISNUMBER(N613)),M613*N613/7,"")</f>
        <v>6.42857142857143</v>
      </c>
      <c r="Q613" s="23" t="n">
        <f aca="false">IF(ISNUMBER(P613),I613*P613,"")</f>
        <v>2892.85714285714</v>
      </c>
      <c r="R613" s="23" t="n">
        <f aca="false">IF(ISNUMBER(Q613),MAX(0,MIN(L613,Q613-I613*K613)),L613)</f>
        <v>1061.78751913715</v>
      </c>
      <c r="S613" s="23" t="n">
        <f aca="false">R613+I613*K613</f>
        <v>1511.78751913715</v>
      </c>
      <c r="T613" s="23" t="n">
        <v>5432.4</v>
      </c>
      <c r="U613" s="23" t="n">
        <v>0</v>
      </c>
      <c r="V613" s="23" t="n">
        <f aca="false">T613+U613</f>
        <v>5432.4</v>
      </c>
      <c r="W613" s="30" t="n">
        <f aca="false">IF(I613&gt;0,V613/I613,"")</f>
        <v>12.072</v>
      </c>
      <c r="X613" s="3" t="str">
        <f aca="false">IF(I613&lt;=0,"SIN FCST",IF(V613&lt;R613,"BAJO SS",IF(T613&lt;R613,"BAJO SS (XLIB CUBRE)",IF(V613&lt;S613,"BAJO P.REORDEN",IF(AND(ISNUMBER(Q613),V613&gt;Q613),"SOBRE MAX VENDIBLE","OK")))))</f>
        <v>SOBRE MAX VENDIBLE</v>
      </c>
    </row>
    <row r="614" customFormat="false" ht="15" hidden="false" customHeight="false" outlineLevel="0" collapsed="false">
      <c r="A614" s="3" t="n">
        <v>30001685</v>
      </c>
      <c r="B614" s="3" t="s">
        <v>1172</v>
      </c>
      <c r="C614" s="3" t="s">
        <v>133</v>
      </c>
      <c r="D614" s="3" t="s">
        <v>769</v>
      </c>
      <c r="E614" s="3"/>
      <c r="F614" s="3" t="str">
        <f aca="false">IFERROR(INDEX(ABC_XYZ!$L$5:$L$494,MATCH(A614,ABC_XYZ!$A$5:$A$494,0)),"SIN HIST")</f>
        <v>SIN HIST</v>
      </c>
      <c r="G614" s="24" t="n">
        <f aca="false">IF(LEFT(F614,1)="A",Parametros!$B$8,IF(LEFT(F614,1)="B",Parametros!$B$9,IF(LEFT(F614,1)="C",Parametros!$B$10,Parametros!$B$11)))</f>
        <v>0.95</v>
      </c>
      <c r="H614" s="27" t="n">
        <f aca="false">NORMSINV(G614)</f>
        <v>1.64485362695147</v>
      </c>
      <c r="I614" s="23" t="n">
        <v>445.3</v>
      </c>
      <c r="J614" s="23" t="n">
        <f aca="false">IFERROR(INDEX(ABC_XYZ!$R$5:$R$494,MATCH(A614,ABC_XYZ!$A$5:$A$494,0)),I614*Parametros!$B$13)</f>
        <v>133.59</v>
      </c>
      <c r="K614" s="27" t="n">
        <f aca="false">IFERROR(VLOOKUP(C614,Parametros!$A$36:$B$66,2,FALSE()),Parametros!$B$12)</f>
        <v>1</v>
      </c>
      <c r="L614" s="23" t="n">
        <f aca="false">H614*J614*SQRT(K614)</f>
        <v>219.735996024447</v>
      </c>
      <c r="M614" s="29"/>
      <c r="N614" s="24"/>
      <c r="O614" s="3"/>
      <c r="P614" s="30" t="str">
        <f aca="false">IF(AND(ISNUMBER(M614),ISNUMBER(N614)),M614*N614/7,"")</f>
        <v/>
      </c>
      <c r="Q614" s="23" t="str">
        <f aca="false">IF(ISNUMBER(P614),I614*P614,"")</f>
        <v/>
      </c>
      <c r="R614" s="23" t="n">
        <f aca="false">IF(ISNUMBER(Q614),MAX(0,MIN(L614,Q614-I614*K614)),L614)</f>
        <v>219.735996024447</v>
      </c>
      <c r="S614" s="23" t="n">
        <f aca="false">R614+I614*K614</f>
        <v>665.035996024447</v>
      </c>
      <c r="T614" s="23" t="n">
        <v>1848</v>
      </c>
      <c r="U614" s="23" t="n">
        <v>0</v>
      </c>
      <c r="V614" s="23" t="n">
        <f aca="false">T614+U614</f>
        <v>1848</v>
      </c>
      <c r="W614" s="30" t="n">
        <f aca="false">IF(I614&gt;0,V614/I614,"")</f>
        <v>4.15001122838536</v>
      </c>
      <c r="X614" s="3" t="str">
        <f aca="false">IF(I614&lt;=0,"SIN FCST",IF(V614&lt;R614,"BAJO SS",IF(T614&lt;R614,"BAJO SS (XLIB CUBRE)",IF(V614&lt;S614,"BAJO P.REORDEN",IF(AND(ISNUMBER(Q614),V614&gt;Q614),"SOBRE MAX VENDIBLE","OK")))))</f>
        <v>OK</v>
      </c>
    </row>
    <row r="615" customFormat="false" ht="15" hidden="false" customHeight="false" outlineLevel="0" collapsed="false">
      <c r="A615" s="3" t="n">
        <v>30000757</v>
      </c>
      <c r="B615" s="3" t="s">
        <v>1173</v>
      </c>
      <c r="C615" s="3" t="s">
        <v>133</v>
      </c>
      <c r="D615" s="3" t="s">
        <v>758</v>
      </c>
      <c r="E615" s="3"/>
      <c r="F615" s="3" t="str">
        <f aca="false">IFERROR(INDEX(ABC_XYZ!$L$5:$L$494,MATCH(A615,ABC_XYZ!$A$5:$A$494,0)),"SIN HIST")</f>
        <v>SIN HIST</v>
      </c>
      <c r="G615" s="24" t="n">
        <f aca="false">IF(LEFT(F615,1)="A",Parametros!$B$8,IF(LEFT(F615,1)="B",Parametros!$B$9,IF(LEFT(F615,1)="C",Parametros!$B$10,Parametros!$B$11)))</f>
        <v>0.95</v>
      </c>
      <c r="H615" s="27" t="n">
        <f aca="false">NORMSINV(G615)</f>
        <v>1.64485362695147</v>
      </c>
      <c r="I615" s="23" t="n">
        <v>438.3</v>
      </c>
      <c r="J615" s="23" t="n">
        <f aca="false">IFERROR(INDEX(ABC_XYZ!$R$5:$R$494,MATCH(A615,ABC_XYZ!$A$5:$A$494,0)),I615*Parametros!$B$13)</f>
        <v>131.49</v>
      </c>
      <c r="K615" s="27" t="n">
        <f aca="false">IFERROR(VLOOKUP(C615,Parametros!$A$36:$B$66,2,FALSE()),Parametros!$B$12)</f>
        <v>1</v>
      </c>
      <c r="L615" s="23" t="n">
        <f aca="false">H615*J615*SQRT(K615)</f>
        <v>216.281803407849</v>
      </c>
      <c r="M615" s="29"/>
      <c r="N615" s="24"/>
      <c r="O615" s="3"/>
      <c r="P615" s="30" t="str">
        <f aca="false">IF(AND(ISNUMBER(M615),ISNUMBER(N615)),M615*N615/7,"")</f>
        <v/>
      </c>
      <c r="Q615" s="23" t="str">
        <f aca="false">IF(ISNUMBER(P615),I615*P615,"")</f>
        <v/>
      </c>
      <c r="R615" s="23" t="n">
        <f aca="false">IF(ISNUMBER(Q615),MAX(0,MIN(L615,Q615-I615*K615)),L615)</f>
        <v>216.281803407849</v>
      </c>
      <c r="S615" s="23" t="n">
        <f aca="false">R615+I615*K615</f>
        <v>654.581803407849</v>
      </c>
      <c r="T615" s="23" t="n">
        <v>4515</v>
      </c>
      <c r="U615" s="23" t="n">
        <v>0</v>
      </c>
      <c r="V615" s="23" t="n">
        <f aca="false">T615+U615</f>
        <v>4515</v>
      </c>
      <c r="W615" s="30" t="n">
        <f aca="false">IF(I615&gt;0,V615/I615,"")</f>
        <v>10.3011635865845</v>
      </c>
      <c r="X615" s="3" t="str">
        <f aca="false">IF(I615&lt;=0,"SIN FCST",IF(V615&lt;R615,"BAJO SS",IF(T615&lt;R615,"BAJO SS (XLIB CUBRE)",IF(V615&lt;S615,"BAJO P.REORDEN",IF(AND(ISNUMBER(Q615),V615&gt;Q615),"SOBRE MAX VENDIBLE","OK")))))</f>
        <v>OK</v>
      </c>
    </row>
    <row r="616" customFormat="false" ht="15" hidden="false" customHeight="false" outlineLevel="0" collapsed="false">
      <c r="A616" s="3" t="n">
        <v>30002046</v>
      </c>
      <c r="B616" s="3" t="s">
        <v>620</v>
      </c>
      <c r="C616" s="3" t="s">
        <v>124</v>
      </c>
      <c r="D616" s="3" t="s">
        <v>769</v>
      </c>
      <c r="E616" s="3" t="s">
        <v>745</v>
      </c>
      <c r="F616" s="3" t="str">
        <f aca="false">IFERROR(INDEX(ABC_XYZ!$L$5:$L$494,MATCH(A616,ABC_XYZ!$A$5:$A$494,0)),"SIN HIST")</f>
        <v>CX</v>
      </c>
      <c r="G616" s="24" t="n">
        <f aca="false">IF(LEFT(F616,1)="A",Parametros!$B$8,IF(LEFT(F616,1)="B",Parametros!$B$9,IF(LEFT(F616,1)="C",Parametros!$B$10,Parametros!$B$11)))</f>
        <v>0.9</v>
      </c>
      <c r="H616" s="27" t="n">
        <f aca="false">NORMSINV(G616)</f>
        <v>1.2815515655446</v>
      </c>
      <c r="I616" s="23" t="n">
        <v>426</v>
      </c>
      <c r="J616" s="23" t="n">
        <f aca="false">IFERROR(INDEX(ABC_XYZ!$R$5:$R$494,MATCH(A616,ABC_XYZ!$A$5:$A$494,0)),I616*Parametros!$B$13)</f>
        <v>109.192808065977</v>
      </c>
      <c r="K616" s="27" t="n">
        <f aca="false">IFERROR(VLOOKUP(C616,Parametros!$A$36:$B$66,2,FALSE()),Parametros!$B$12)</f>
        <v>1</v>
      </c>
      <c r="L616" s="23" t="n">
        <f aca="false">H616*J616*SQRT(K616)</f>
        <v>139.936214123164</v>
      </c>
      <c r="M616" s="29" t="n">
        <v>730</v>
      </c>
      <c r="N616" s="24" t="n">
        <v>0.501369863013699</v>
      </c>
      <c r="O616" s="3" t="s">
        <v>774</v>
      </c>
      <c r="P616" s="30" t="n">
        <f aca="false">IF(AND(ISNUMBER(M616),ISNUMBER(N616)),M616*N616/7,"")</f>
        <v>52.2857142857143</v>
      </c>
      <c r="Q616" s="23" t="n">
        <f aca="false">IF(ISNUMBER(P616),I616*P616,"")</f>
        <v>22273.7142857143</v>
      </c>
      <c r="R616" s="23" t="n">
        <f aca="false">IF(ISNUMBER(Q616),MAX(0,MIN(L616,Q616-I616*K616)),L616)</f>
        <v>139.936214123164</v>
      </c>
      <c r="S616" s="23" t="n">
        <f aca="false">R616+I616*K616</f>
        <v>565.936214123164</v>
      </c>
      <c r="T616" s="23" t="n">
        <v>2124.5</v>
      </c>
      <c r="U616" s="23" t="n">
        <v>0</v>
      </c>
      <c r="V616" s="23" t="n">
        <f aca="false">T616+U616</f>
        <v>2124.5</v>
      </c>
      <c r="W616" s="30" t="n">
        <f aca="false">IF(I616&gt;0,V616/I616,"")</f>
        <v>4.98708920187793</v>
      </c>
      <c r="X616" s="3" t="str">
        <f aca="false">IF(I616&lt;=0,"SIN FCST",IF(V616&lt;R616,"BAJO SS",IF(T616&lt;R616,"BAJO SS (XLIB CUBRE)",IF(V616&lt;S616,"BAJO P.REORDEN",IF(AND(ISNUMBER(Q616),V616&gt;Q616),"SOBRE MAX VENDIBLE","OK")))))</f>
        <v>OK</v>
      </c>
    </row>
    <row r="617" customFormat="false" ht="15" hidden="false" customHeight="false" outlineLevel="0" collapsed="false">
      <c r="A617" s="3" t="n">
        <v>30002368</v>
      </c>
      <c r="B617" s="3" t="s">
        <v>1174</v>
      </c>
      <c r="C617" s="3" t="s">
        <v>133</v>
      </c>
      <c r="D617" s="3" t="s">
        <v>758</v>
      </c>
      <c r="E617" s="3"/>
      <c r="F617" s="3" t="str">
        <f aca="false">IFERROR(INDEX(ABC_XYZ!$L$5:$L$494,MATCH(A617,ABC_XYZ!$A$5:$A$494,0)),"SIN HIST")</f>
        <v>SIN HIST</v>
      </c>
      <c r="G617" s="24" t="n">
        <f aca="false">IF(LEFT(F617,1)="A",Parametros!$B$8,IF(LEFT(F617,1)="B",Parametros!$B$9,IF(LEFT(F617,1)="C",Parametros!$B$10,Parametros!$B$11)))</f>
        <v>0.95</v>
      </c>
      <c r="H617" s="27" t="n">
        <f aca="false">NORMSINV(G617)</f>
        <v>1.64485362695147</v>
      </c>
      <c r="I617" s="23" t="n">
        <v>420.9</v>
      </c>
      <c r="J617" s="23" t="n">
        <f aca="false">IFERROR(INDEX(ABC_XYZ!$R$5:$R$494,MATCH(A617,ABC_XYZ!$A$5:$A$494,0)),I617*Parametros!$B$13)</f>
        <v>126.27</v>
      </c>
      <c r="K617" s="27" t="n">
        <f aca="false">IFERROR(VLOOKUP(C617,Parametros!$A$36:$B$66,2,FALSE()),Parametros!$B$12)</f>
        <v>1</v>
      </c>
      <c r="L617" s="23" t="n">
        <f aca="false">H617*J617*SQRT(K617)</f>
        <v>207.695667475162</v>
      </c>
      <c r="M617" s="29"/>
      <c r="N617" s="24"/>
      <c r="O617" s="3"/>
      <c r="P617" s="30" t="str">
        <f aca="false">IF(AND(ISNUMBER(M617),ISNUMBER(N617)),M617*N617/7,"")</f>
        <v/>
      </c>
      <c r="Q617" s="23" t="str">
        <f aca="false">IF(ISNUMBER(P617),I617*P617,"")</f>
        <v/>
      </c>
      <c r="R617" s="23" t="n">
        <f aca="false">IF(ISNUMBER(Q617),MAX(0,MIN(L617,Q617-I617*K617)),L617)</f>
        <v>207.695667475162</v>
      </c>
      <c r="S617" s="23" t="n">
        <f aca="false">R617+I617*K617</f>
        <v>628.595667475162</v>
      </c>
      <c r="T617" s="23" t="n">
        <v>2112</v>
      </c>
      <c r="U617" s="23" t="n">
        <v>0</v>
      </c>
      <c r="V617" s="23" t="n">
        <f aca="false">T617+U617</f>
        <v>2112</v>
      </c>
      <c r="W617" s="30" t="n">
        <f aca="false">IF(I617&gt;0,V617/I617,"")</f>
        <v>5.01781895937277</v>
      </c>
      <c r="X617" s="3" t="str">
        <f aca="false">IF(I617&lt;=0,"SIN FCST",IF(V617&lt;R617,"BAJO SS",IF(T617&lt;R617,"BAJO SS (XLIB CUBRE)",IF(V617&lt;S617,"BAJO P.REORDEN",IF(AND(ISNUMBER(Q617),V617&gt;Q617),"SOBRE MAX VENDIBLE","OK")))))</f>
        <v>OK</v>
      </c>
    </row>
    <row r="618" customFormat="false" ht="15" hidden="false" customHeight="false" outlineLevel="0" collapsed="false">
      <c r="A618" s="3" t="n">
        <v>30001464</v>
      </c>
      <c r="B618" s="3" t="s">
        <v>1175</v>
      </c>
      <c r="C618" s="3" t="s">
        <v>133</v>
      </c>
      <c r="D618" s="3" t="s">
        <v>758</v>
      </c>
      <c r="E618" s="3"/>
      <c r="F618" s="3" t="str">
        <f aca="false">IFERROR(INDEX(ABC_XYZ!$L$5:$L$494,MATCH(A618,ABC_XYZ!$A$5:$A$494,0)),"SIN HIST")</f>
        <v>SIN HIST</v>
      </c>
      <c r="G618" s="24" t="n">
        <f aca="false">IF(LEFT(F618,1)="A",Parametros!$B$8,IF(LEFT(F618,1)="B",Parametros!$B$9,IF(LEFT(F618,1)="C",Parametros!$B$10,Parametros!$B$11)))</f>
        <v>0.95</v>
      </c>
      <c r="H618" s="27" t="n">
        <f aca="false">NORMSINV(G618)</f>
        <v>1.64485362695147</v>
      </c>
      <c r="I618" s="23" t="n">
        <v>420.5</v>
      </c>
      <c r="J618" s="23" t="n">
        <f aca="false">IFERROR(INDEX(ABC_XYZ!$R$5:$R$494,MATCH(A618,ABC_XYZ!$A$5:$A$494,0)),I618*Parametros!$B$13)</f>
        <v>126.15</v>
      </c>
      <c r="K618" s="27" t="n">
        <f aca="false">IFERROR(VLOOKUP(C618,Parametros!$A$36:$B$66,2,FALSE()),Parametros!$B$12)</f>
        <v>1</v>
      </c>
      <c r="L618" s="23" t="n">
        <f aca="false">H618*J618*SQRT(K618)</f>
        <v>207.498285039928</v>
      </c>
      <c r="M618" s="29"/>
      <c r="N618" s="24"/>
      <c r="O618" s="3"/>
      <c r="P618" s="30" t="str">
        <f aca="false">IF(AND(ISNUMBER(M618),ISNUMBER(N618)),M618*N618/7,"")</f>
        <v/>
      </c>
      <c r="Q618" s="23" t="str">
        <f aca="false">IF(ISNUMBER(P618),I618*P618,"")</f>
        <v/>
      </c>
      <c r="R618" s="23" t="n">
        <f aca="false">IF(ISNUMBER(Q618),MAX(0,MIN(L618,Q618-I618*K618)),L618)</f>
        <v>207.498285039928</v>
      </c>
      <c r="S618" s="23" t="n">
        <f aca="false">R618+I618*K618</f>
        <v>627.998285039928</v>
      </c>
      <c r="T618" s="23" t="n">
        <v>2430</v>
      </c>
      <c r="U618" s="23" t="n">
        <v>0</v>
      </c>
      <c r="V618" s="23" t="n">
        <f aca="false">T618+U618</f>
        <v>2430</v>
      </c>
      <c r="W618" s="30" t="n">
        <f aca="false">IF(I618&gt;0,V618/I618,"")</f>
        <v>5.77883472057075</v>
      </c>
      <c r="X618" s="3" t="str">
        <f aca="false">IF(I618&lt;=0,"SIN FCST",IF(V618&lt;R618,"BAJO SS",IF(T618&lt;R618,"BAJO SS (XLIB CUBRE)",IF(V618&lt;S618,"BAJO P.REORDEN",IF(AND(ISNUMBER(Q618),V618&gt;Q618),"SOBRE MAX VENDIBLE","OK")))))</f>
        <v>OK</v>
      </c>
    </row>
    <row r="619" customFormat="false" ht="15" hidden="false" customHeight="false" outlineLevel="0" collapsed="false">
      <c r="A619" s="3" t="n">
        <v>30002246</v>
      </c>
      <c r="B619" s="3" t="s">
        <v>1176</v>
      </c>
      <c r="C619" s="3" t="s">
        <v>133</v>
      </c>
      <c r="D619" s="3" t="s">
        <v>758</v>
      </c>
      <c r="E619" s="3"/>
      <c r="F619" s="3" t="str">
        <f aca="false">IFERROR(INDEX(ABC_XYZ!$L$5:$L$494,MATCH(A619,ABC_XYZ!$A$5:$A$494,0)),"SIN HIST")</f>
        <v>SIN HIST</v>
      </c>
      <c r="G619" s="24" t="n">
        <f aca="false">IF(LEFT(F619,1)="A",Parametros!$B$8,IF(LEFT(F619,1)="B",Parametros!$B$9,IF(LEFT(F619,1)="C",Parametros!$B$10,Parametros!$B$11)))</f>
        <v>0.95</v>
      </c>
      <c r="H619" s="27" t="n">
        <f aca="false">NORMSINV(G619)</f>
        <v>1.64485362695147</v>
      </c>
      <c r="I619" s="23" t="n">
        <v>418.6</v>
      </c>
      <c r="J619" s="23" t="n">
        <f aca="false">IFERROR(INDEX(ABC_XYZ!$R$5:$R$494,MATCH(A619,ABC_XYZ!$A$5:$A$494,0)),I619*Parametros!$B$13)</f>
        <v>125.58</v>
      </c>
      <c r="K619" s="27" t="n">
        <f aca="false">IFERROR(VLOOKUP(C619,Parametros!$A$36:$B$66,2,FALSE()),Parametros!$B$12)</f>
        <v>1</v>
      </c>
      <c r="L619" s="23" t="n">
        <f aca="false">H619*J619*SQRT(K619)</f>
        <v>206.560718472566</v>
      </c>
      <c r="M619" s="29"/>
      <c r="N619" s="24"/>
      <c r="O619" s="3"/>
      <c r="P619" s="30" t="str">
        <f aca="false">IF(AND(ISNUMBER(M619),ISNUMBER(N619)),M619*N619/7,"")</f>
        <v/>
      </c>
      <c r="Q619" s="23" t="str">
        <f aca="false">IF(ISNUMBER(P619),I619*P619,"")</f>
        <v/>
      </c>
      <c r="R619" s="23" t="n">
        <f aca="false">IF(ISNUMBER(Q619),MAX(0,MIN(L619,Q619-I619*K619)),L619)</f>
        <v>206.560718472566</v>
      </c>
      <c r="S619" s="23" t="n">
        <f aca="false">R619+I619*K619</f>
        <v>625.160718472566</v>
      </c>
      <c r="T619" s="23" t="n">
        <v>0</v>
      </c>
      <c r="U619" s="23" t="n">
        <v>0</v>
      </c>
      <c r="V619" s="23" t="n">
        <f aca="false">T619+U619</f>
        <v>0</v>
      </c>
      <c r="W619" s="30" t="n">
        <f aca="false">IF(I619&gt;0,V619/I619,"")</f>
        <v>0</v>
      </c>
      <c r="X619" s="3" t="str">
        <f aca="false">IF(I619&lt;=0,"SIN FCST",IF(V619&lt;R619,"BAJO SS",IF(T619&lt;R619,"BAJO SS (XLIB CUBRE)",IF(V619&lt;S619,"BAJO P.REORDEN",IF(AND(ISNUMBER(Q619),V619&gt;Q619),"SOBRE MAX VENDIBLE","OK")))))</f>
        <v>BAJO SS</v>
      </c>
    </row>
    <row r="620" customFormat="false" ht="15" hidden="false" customHeight="false" outlineLevel="0" collapsed="false">
      <c r="A620" s="3" t="n">
        <v>30000251</v>
      </c>
      <c r="B620" s="3" t="s">
        <v>1177</v>
      </c>
      <c r="C620" s="3" t="s">
        <v>135</v>
      </c>
      <c r="D620" s="3" t="s">
        <v>753</v>
      </c>
      <c r="E620" s="3" t="s">
        <v>762</v>
      </c>
      <c r="F620" s="3" t="str">
        <f aca="false">IFERROR(INDEX(ABC_XYZ!$L$5:$L$494,MATCH(A620,ABC_XYZ!$A$5:$A$494,0)),"SIN HIST")</f>
        <v>CY</v>
      </c>
      <c r="G620" s="24" t="n">
        <f aca="false">IF(LEFT(F620,1)="A",Parametros!$B$8,IF(LEFT(F620,1)="B",Parametros!$B$9,IF(LEFT(F620,1)="C",Parametros!$B$10,Parametros!$B$11)))</f>
        <v>0.9</v>
      </c>
      <c r="H620" s="27" t="n">
        <f aca="false">NORMSINV(G620)</f>
        <v>1.2815515655446</v>
      </c>
      <c r="I620" s="23" t="n">
        <v>408.5</v>
      </c>
      <c r="J620" s="23" t="n">
        <f aca="false">IFERROR(INDEX(ABC_XYZ!$R$5:$R$494,MATCH(A620,ABC_XYZ!$A$5:$A$494,0)),I620*Parametros!$B$13)</f>
        <v>256.88981652565</v>
      </c>
      <c r="K620" s="27" t="n">
        <f aca="false">IFERROR(VLOOKUP(C620,Parametros!$A$36:$B$66,2,FALSE()),Parametros!$B$12)</f>
        <v>1</v>
      </c>
      <c r="L620" s="23" t="n">
        <f aca="false">H620*J620*SQRT(K620)</f>
        <v>329.217546540912</v>
      </c>
      <c r="M620" s="29" t="n">
        <v>90</v>
      </c>
      <c r="N620" s="24" t="n">
        <v>0.233333333333333</v>
      </c>
      <c r="O620" s="3" t="s">
        <v>754</v>
      </c>
      <c r="P620" s="30" t="n">
        <f aca="false">IF(AND(ISNUMBER(M620),ISNUMBER(N620)),M620*N620/7,"")</f>
        <v>3</v>
      </c>
      <c r="Q620" s="23" t="n">
        <f aca="false">IF(ISNUMBER(P620),I620*P620,"")</f>
        <v>1225.5</v>
      </c>
      <c r="R620" s="23" t="n">
        <f aca="false">IF(ISNUMBER(Q620),MAX(0,MIN(L620,Q620-I620*K620)),L620)</f>
        <v>329.217546540912</v>
      </c>
      <c r="S620" s="23" t="n">
        <f aca="false">R620+I620*K620</f>
        <v>737.717546540912</v>
      </c>
      <c r="T620" s="23" t="n">
        <v>4026</v>
      </c>
      <c r="U620" s="23" t="n">
        <v>0</v>
      </c>
      <c r="V620" s="23" t="n">
        <f aca="false">T620+U620</f>
        <v>4026</v>
      </c>
      <c r="W620" s="30" t="n">
        <f aca="false">IF(I620&gt;0,V620/I620,"")</f>
        <v>9.85556915544676</v>
      </c>
      <c r="X620" s="3" t="str">
        <f aca="false">IF(I620&lt;=0,"SIN FCST",IF(V620&lt;R620,"BAJO SS",IF(T620&lt;R620,"BAJO SS (XLIB CUBRE)",IF(V620&lt;S620,"BAJO P.REORDEN",IF(AND(ISNUMBER(Q620),V620&gt;Q620),"SOBRE MAX VENDIBLE","OK")))))</f>
        <v>SOBRE MAX VENDIBLE</v>
      </c>
    </row>
    <row r="621" customFormat="false" ht="15" hidden="false" customHeight="false" outlineLevel="0" collapsed="false">
      <c r="A621" s="3" t="n">
        <v>30001411</v>
      </c>
      <c r="B621" s="3" t="s">
        <v>1178</v>
      </c>
      <c r="C621" s="3" t="s">
        <v>139</v>
      </c>
      <c r="D621" s="3" t="s">
        <v>753</v>
      </c>
      <c r="E621" s="3" t="s">
        <v>745</v>
      </c>
      <c r="F621" s="3" t="str">
        <f aca="false">IFERROR(INDEX(ABC_XYZ!$L$5:$L$494,MATCH(A621,ABC_XYZ!$A$5:$A$494,0)),"SIN HIST")</f>
        <v>CZ</v>
      </c>
      <c r="G621" s="24" t="n">
        <f aca="false">IF(LEFT(F621,1)="A",Parametros!$B$8,IF(LEFT(F621,1)="B",Parametros!$B$9,IF(LEFT(F621,1)="C",Parametros!$B$10,Parametros!$B$11)))</f>
        <v>0.9</v>
      </c>
      <c r="H621" s="27" t="n">
        <f aca="false">NORMSINV(G621)</f>
        <v>1.2815515655446</v>
      </c>
      <c r="I621" s="23" t="n">
        <v>407.9</v>
      </c>
      <c r="J621" s="23" t="n">
        <f aca="false">IFERROR(INDEX(ABC_XYZ!$R$5:$R$494,MATCH(A621,ABC_XYZ!$A$5:$A$494,0)),I621*Parametros!$B$13)</f>
        <v>394.386240803867</v>
      </c>
      <c r="K621" s="27" t="n">
        <f aca="false">IFERROR(VLOOKUP(C621,Parametros!$A$36:$B$66,2,FALSE()),Parametros!$B$12)</f>
        <v>1</v>
      </c>
      <c r="L621" s="23" t="n">
        <f aca="false">H621*J621*SQRT(K621)</f>
        <v>505.426304331445</v>
      </c>
      <c r="M621" s="29" t="n">
        <v>128</v>
      </c>
      <c r="N621" s="24" t="n">
        <v>0.21875</v>
      </c>
      <c r="O621" s="3" t="s">
        <v>746</v>
      </c>
      <c r="P621" s="30" t="n">
        <f aca="false">IF(AND(ISNUMBER(M621),ISNUMBER(N621)),M621*N621/7,"")</f>
        <v>4</v>
      </c>
      <c r="Q621" s="23" t="n">
        <f aca="false">IF(ISNUMBER(P621),I621*P621,"")</f>
        <v>1631.6</v>
      </c>
      <c r="R621" s="23" t="n">
        <f aca="false">IF(ISNUMBER(Q621),MAX(0,MIN(L621,Q621-I621*K621)),L621)</f>
        <v>505.426304331445</v>
      </c>
      <c r="S621" s="23" t="n">
        <f aca="false">R621+I621*K621</f>
        <v>913.326304331445</v>
      </c>
      <c r="T621" s="23" t="n">
        <v>0</v>
      </c>
      <c r="U621" s="23" t="n">
        <v>0</v>
      </c>
      <c r="V621" s="23" t="n">
        <f aca="false">T621+U621</f>
        <v>0</v>
      </c>
      <c r="W621" s="30" t="n">
        <f aca="false">IF(I621&gt;0,V621/I621,"")</f>
        <v>0</v>
      </c>
      <c r="X621" s="3" t="str">
        <f aca="false">IF(I621&lt;=0,"SIN FCST",IF(V621&lt;R621,"BAJO SS",IF(T621&lt;R621,"BAJO SS (XLIB CUBRE)",IF(V621&lt;S621,"BAJO P.REORDEN",IF(AND(ISNUMBER(Q621),V621&gt;Q621),"SOBRE MAX VENDIBLE","OK")))))</f>
        <v>BAJO SS</v>
      </c>
    </row>
    <row r="622" customFormat="false" ht="15" hidden="false" customHeight="false" outlineLevel="0" collapsed="false">
      <c r="A622" s="3" t="n">
        <v>30000495</v>
      </c>
      <c r="B622" s="3" t="s">
        <v>1179</v>
      </c>
      <c r="C622" s="3" t="s">
        <v>155</v>
      </c>
      <c r="D622" s="3" t="s">
        <v>761</v>
      </c>
      <c r="E622" s="3" t="s">
        <v>762</v>
      </c>
      <c r="F622" s="3" t="str">
        <f aca="false">IFERROR(INDEX(ABC_XYZ!$L$5:$L$494,MATCH(A622,ABC_XYZ!$A$5:$A$494,0)),"SIN HIST")</f>
        <v>CY</v>
      </c>
      <c r="G622" s="24" t="n">
        <f aca="false">IF(LEFT(F622,1)="A",Parametros!$B$8,IF(LEFT(F622,1)="B",Parametros!$B$9,IF(LEFT(F622,1)="C",Parametros!$B$10,Parametros!$B$11)))</f>
        <v>0.9</v>
      </c>
      <c r="H622" s="27" t="n">
        <f aca="false">NORMSINV(G622)</f>
        <v>1.2815515655446</v>
      </c>
      <c r="I622" s="23" t="n">
        <v>405.6</v>
      </c>
      <c r="J622" s="23" t="n">
        <f aca="false">IFERROR(INDEX(ABC_XYZ!$R$5:$R$494,MATCH(A622,ABC_XYZ!$A$5:$A$494,0)),I622*Parametros!$B$13)</f>
        <v>302.296071819679</v>
      </c>
      <c r="K622" s="27" t="n">
        <f aca="false">IFERROR(VLOOKUP(C622,Parametros!$A$36:$B$66,2,FALSE()),Parametros!$B$12)</f>
        <v>1</v>
      </c>
      <c r="L622" s="23" t="n">
        <f aca="false">H622*J622*SQRT(K622)</f>
        <v>387.408004098493</v>
      </c>
      <c r="M622" s="29" t="n">
        <v>71</v>
      </c>
      <c r="N622" s="24" t="n">
        <v>0.295774647887324</v>
      </c>
      <c r="O622" s="3" t="s">
        <v>774</v>
      </c>
      <c r="P622" s="30" t="n">
        <f aca="false">IF(AND(ISNUMBER(M622),ISNUMBER(N622)),M622*N622/7,"")</f>
        <v>3</v>
      </c>
      <c r="Q622" s="23" t="n">
        <f aca="false">IF(ISNUMBER(P622),I622*P622,"")</f>
        <v>1216.8</v>
      </c>
      <c r="R622" s="23" t="n">
        <f aca="false">IF(ISNUMBER(Q622),MAX(0,MIN(L622,Q622-I622*K622)),L622)</f>
        <v>387.408004098493</v>
      </c>
      <c r="S622" s="23" t="n">
        <f aca="false">R622+I622*K622</f>
        <v>793.008004098493</v>
      </c>
      <c r="T622" s="23" t="n">
        <v>1161</v>
      </c>
      <c r="U622" s="23" t="n">
        <v>0</v>
      </c>
      <c r="V622" s="23" t="n">
        <f aca="false">T622+U622</f>
        <v>1161</v>
      </c>
      <c r="W622" s="30" t="n">
        <f aca="false">IF(I622&gt;0,V622/I622,"")</f>
        <v>2.86242603550296</v>
      </c>
      <c r="X622" s="3" t="str">
        <f aca="false">IF(I622&lt;=0,"SIN FCST",IF(V622&lt;R622,"BAJO SS",IF(T622&lt;R622,"BAJO SS (XLIB CUBRE)",IF(V622&lt;S622,"BAJO P.REORDEN",IF(AND(ISNUMBER(Q622),V622&gt;Q622),"SOBRE MAX VENDIBLE","OK")))))</f>
        <v>OK</v>
      </c>
    </row>
    <row r="623" customFormat="false" ht="15" hidden="false" customHeight="false" outlineLevel="0" collapsed="false">
      <c r="A623" s="3" t="n">
        <v>30000067</v>
      </c>
      <c r="B623" s="3" t="s">
        <v>597</v>
      </c>
      <c r="C623" s="3" t="s">
        <v>143</v>
      </c>
      <c r="D623" s="3" t="s">
        <v>750</v>
      </c>
      <c r="E623" s="3" t="s">
        <v>762</v>
      </c>
      <c r="F623" s="3" t="str">
        <f aca="false">IFERROR(INDEX(ABC_XYZ!$L$5:$L$494,MATCH(A623,ABC_XYZ!$A$5:$A$494,0)),"SIN HIST")</f>
        <v>CY</v>
      </c>
      <c r="G623" s="24" t="n">
        <f aca="false">IF(LEFT(F623,1)="A",Parametros!$B$8,IF(LEFT(F623,1)="B",Parametros!$B$9,IF(LEFT(F623,1)="C",Parametros!$B$10,Parametros!$B$11)))</f>
        <v>0.9</v>
      </c>
      <c r="H623" s="27" t="n">
        <f aca="false">NORMSINV(G623)</f>
        <v>1.2815515655446</v>
      </c>
      <c r="I623" s="23" t="n">
        <v>400</v>
      </c>
      <c r="J623" s="23" t="n">
        <f aca="false">IFERROR(INDEX(ABC_XYZ!$R$5:$R$494,MATCH(A623,ABC_XYZ!$A$5:$A$494,0)),I623*Parametros!$B$13)</f>
        <v>592.642771634529</v>
      </c>
      <c r="K623" s="27" t="n">
        <f aca="false">IFERROR(VLOOKUP(C623,Parametros!$A$36:$B$66,2,FALSE()),Parametros!$B$12)</f>
        <v>1</v>
      </c>
      <c r="L623" s="23" t="n">
        <f aca="false">H623*J623*SQRT(K623)</f>
        <v>759.502271796922</v>
      </c>
      <c r="M623" s="29" t="n">
        <v>184</v>
      </c>
      <c r="N623" s="24" t="n">
        <v>0.244565217391304</v>
      </c>
      <c r="O623" s="3" t="s">
        <v>772</v>
      </c>
      <c r="P623" s="30" t="n">
        <f aca="false">IF(AND(ISNUMBER(M623),ISNUMBER(N623)),M623*N623/7,"")</f>
        <v>6.42857142857143</v>
      </c>
      <c r="Q623" s="23" t="n">
        <f aca="false">IF(ISNUMBER(P623),I623*P623,"")</f>
        <v>2571.42857142857</v>
      </c>
      <c r="R623" s="23" t="n">
        <f aca="false">IF(ISNUMBER(Q623),MAX(0,MIN(L623,Q623-I623*K623)),L623)</f>
        <v>759.502271796922</v>
      </c>
      <c r="S623" s="23" t="n">
        <f aca="false">R623+I623*K623</f>
        <v>1159.50227179692</v>
      </c>
      <c r="T623" s="23" t="n">
        <v>970</v>
      </c>
      <c r="U623" s="23" t="n">
        <v>0</v>
      </c>
      <c r="V623" s="23" t="n">
        <f aca="false">T623+U623</f>
        <v>970</v>
      </c>
      <c r="W623" s="30" t="n">
        <f aca="false">IF(I623&gt;0,V623/I623,"")</f>
        <v>2.425</v>
      </c>
      <c r="X623" s="3" t="str">
        <f aca="false">IF(I623&lt;=0,"SIN FCST",IF(V623&lt;R623,"BAJO SS",IF(T623&lt;R623,"BAJO SS (XLIB CUBRE)",IF(V623&lt;S623,"BAJO P.REORDEN",IF(AND(ISNUMBER(Q623),V623&gt;Q623),"SOBRE MAX VENDIBLE","OK")))))</f>
        <v>BAJO P.REORDEN</v>
      </c>
    </row>
    <row r="624" customFormat="false" ht="15" hidden="false" customHeight="false" outlineLevel="0" collapsed="false">
      <c r="A624" s="3" t="n">
        <v>30002103</v>
      </c>
      <c r="B624" s="3" t="s">
        <v>1180</v>
      </c>
      <c r="C624" s="3" t="s">
        <v>133</v>
      </c>
      <c r="D624" s="3" t="s">
        <v>769</v>
      </c>
      <c r="E624" s="3"/>
      <c r="F624" s="3" t="str">
        <f aca="false">IFERROR(INDEX(ABC_XYZ!$L$5:$L$494,MATCH(A624,ABC_XYZ!$A$5:$A$494,0)),"SIN HIST")</f>
        <v>SIN HIST</v>
      </c>
      <c r="G624" s="24" t="n">
        <f aca="false">IF(LEFT(F624,1)="A",Parametros!$B$8,IF(LEFT(F624,1)="B",Parametros!$B$9,IF(LEFT(F624,1)="C",Parametros!$B$10,Parametros!$B$11)))</f>
        <v>0.95</v>
      </c>
      <c r="H624" s="27" t="n">
        <f aca="false">NORMSINV(G624)</f>
        <v>1.64485362695147</v>
      </c>
      <c r="I624" s="23" t="n">
        <v>395.3</v>
      </c>
      <c r="J624" s="23" t="n">
        <f aca="false">IFERROR(INDEX(ABC_XYZ!$R$5:$R$494,MATCH(A624,ABC_XYZ!$A$5:$A$494,0)),I624*Parametros!$B$13)</f>
        <v>118.59</v>
      </c>
      <c r="K624" s="27" t="n">
        <f aca="false">IFERROR(VLOOKUP(C624,Parametros!$A$36:$B$66,2,FALSE()),Parametros!$B$12)</f>
        <v>1</v>
      </c>
      <c r="L624" s="23" t="n">
        <f aca="false">H624*J624*SQRT(K624)</f>
        <v>195.063191620175</v>
      </c>
      <c r="M624" s="29"/>
      <c r="N624" s="24"/>
      <c r="O624" s="3"/>
      <c r="P624" s="30" t="str">
        <f aca="false">IF(AND(ISNUMBER(M624),ISNUMBER(N624)),M624*N624/7,"")</f>
        <v/>
      </c>
      <c r="Q624" s="23" t="str">
        <f aca="false">IF(ISNUMBER(P624),I624*P624,"")</f>
        <v/>
      </c>
      <c r="R624" s="23" t="n">
        <f aca="false">IF(ISNUMBER(Q624),MAX(0,MIN(L624,Q624-I624*K624)),L624)</f>
        <v>195.063191620175</v>
      </c>
      <c r="S624" s="23" t="n">
        <f aca="false">R624+I624*K624</f>
        <v>590.363191620175</v>
      </c>
      <c r="T624" s="23" t="n">
        <v>135</v>
      </c>
      <c r="U624" s="23" t="n">
        <v>0</v>
      </c>
      <c r="V624" s="23" t="n">
        <f aca="false">T624+U624</f>
        <v>135</v>
      </c>
      <c r="W624" s="30" t="n">
        <f aca="false">IF(I624&gt;0,V624/I624,"")</f>
        <v>0.341512775107513</v>
      </c>
      <c r="X624" s="3" t="str">
        <f aca="false">IF(I624&lt;=0,"SIN FCST",IF(V624&lt;R624,"BAJO SS",IF(T624&lt;R624,"BAJO SS (XLIB CUBRE)",IF(V624&lt;S624,"BAJO P.REORDEN",IF(AND(ISNUMBER(Q624),V624&gt;Q624),"SOBRE MAX VENDIBLE","OK")))))</f>
        <v>BAJO SS</v>
      </c>
    </row>
    <row r="625" customFormat="false" ht="15" hidden="false" customHeight="false" outlineLevel="0" collapsed="false">
      <c r="A625" s="3" t="n">
        <v>30002043</v>
      </c>
      <c r="B625" s="3" t="s">
        <v>1181</v>
      </c>
      <c r="C625" s="3" t="s">
        <v>133</v>
      </c>
      <c r="D625" s="3" t="s">
        <v>769</v>
      </c>
      <c r="E625" s="3"/>
      <c r="F625" s="3" t="str">
        <f aca="false">IFERROR(INDEX(ABC_XYZ!$L$5:$L$494,MATCH(A625,ABC_XYZ!$A$5:$A$494,0)),"SIN HIST")</f>
        <v>SIN HIST</v>
      </c>
      <c r="G625" s="24" t="n">
        <f aca="false">IF(LEFT(F625,1)="A",Parametros!$B$8,IF(LEFT(F625,1)="B",Parametros!$B$9,IF(LEFT(F625,1)="C",Parametros!$B$10,Parametros!$B$11)))</f>
        <v>0.95</v>
      </c>
      <c r="H625" s="27" t="n">
        <f aca="false">NORMSINV(G625)</f>
        <v>1.64485362695147</v>
      </c>
      <c r="I625" s="23" t="n">
        <v>360.7</v>
      </c>
      <c r="J625" s="23" t="n">
        <f aca="false">IFERROR(INDEX(ABC_XYZ!$R$5:$R$494,MATCH(A625,ABC_XYZ!$A$5:$A$494,0)),I625*Parametros!$B$13)</f>
        <v>108.21</v>
      </c>
      <c r="K625" s="27" t="n">
        <f aca="false">IFERROR(VLOOKUP(C625,Parametros!$A$36:$B$66,2,FALSE()),Parametros!$B$12)</f>
        <v>1</v>
      </c>
      <c r="L625" s="23" t="n">
        <f aca="false">H625*J625*SQRT(K625)</f>
        <v>177.989610972419</v>
      </c>
      <c r="M625" s="29"/>
      <c r="N625" s="24"/>
      <c r="O625" s="3"/>
      <c r="P625" s="30" t="str">
        <f aca="false">IF(AND(ISNUMBER(M625),ISNUMBER(N625)),M625*N625/7,"")</f>
        <v/>
      </c>
      <c r="Q625" s="23" t="str">
        <f aca="false">IF(ISNUMBER(P625),I625*P625,"")</f>
        <v/>
      </c>
      <c r="R625" s="23" t="n">
        <f aca="false">IF(ISNUMBER(Q625),MAX(0,MIN(L625,Q625-I625*K625)),L625)</f>
        <v>177.989610972419</v>
      </c>
      <c r="S625" s="23" t="n">
        <f aca="false">R625+I625*K625</f>
        <v>538.689610972419</v>
      </c>
      <c r="T625" s="23" t="n">
        <v>484.1</v>
      </c>
      <c r="U625" s="23" t="n">
        <v>0</v>
      </c>
      <c r="V625" s="23" t="n">
        <f aca="false">T625+U625</f>
        <v>484.1</v>
      </c>
      <c r="W625" s="30" t="n">
        <f aca="false">IF(I625&gt;0,V625/I625,"")</f>
        <v>1.34211255891322</v>
      </c>
      <c r="X625" s="3" t="str">
        <f aca="false">IF(I625&lt;=0,"SIN FCST",IF(V625&lt;R625,"BAJO SS",IF(T625&lt;R625,"BAJO SS (XLIB CUBRE)",IF(V625&lt;S625,"BAJO P.REORDEN",IF(AND(ISNUMBER(Q625),V625&gt;Q625),"SOBRE MAX VENDIBLE","OK")))))</f>
        <v>BAJO P.REORDEN</v>
      </c>
    </row>
    <row r="626" customFormat="false" ht="15" hidden="false" customHeight="false" outlineLevel="0" collapsed="false">
      <c r="A626" s="3" t="n">
        <v>30002041</v>
      </c>
      <c r="B626" s="3" t="s">
        <v>1182</v>
      </c>
      <c r="C626" s="3" t="s">
        <v>133</v>
      </c>
      <c r="D626" s="3" t="s">
        <v>769</v>
      </c>
      <c r="E626" s="3"/>
      <c r="F626" s="3" t="str">
        <f aca="false">IFERROR(INDEX(ABC_XYZ!$L$5:$L$494,MATCH(A626,ABC_XYZ!$A$5:$A$494,0)),"SIN HIST")</f>
        <v>SIN HIST</v>
      </c>
      <c r="G626" s="24" t="n">
        <f aca="false">IF(LEFT(F626,1)="A",Parametros!$B$8,IF(LEFT(F626,1)="B",Parametros!$B$9,IF(LEFT(F626,1)="C",Parametros!$B$10,Parametros!$B$11)))</f>
        <v>0.95</v>
      </c>
      <c r="H626" s="27" t="n">
        <f aca="false">NORMSINV(G626)</f>
        <v>1.64485362695147</v>
      </c>
      <c r="I626" s="23" t="n">
        <v>354.8</v>
      </c>
      <c r="J626" s="23" t="n">
        <f aca="false">IFERROR(INDEX(ABC_XYZ!$R$5:$R$494,MATCH(A626,ABC_XYZ!$A$5:$A$494,0)),I626*Parametros!$B$13)</f>
        <v>106.44</v>
      </c>
      <c r="K626" s="27" t="n">
        <f aca="false">IFERROR(VLOOKUP(C626,Parametros!$A$36:$B$66,2,FALSE()),Parametros!$B$12)</f>
        <v>1</v>
      </c>
      <c r="L626" s="23" t="n">
        <f aca="false">H626*J626*SQRT(K626)</f>
        <v>175.078220052715</v>
      </c>
      <c r="M626" s="29"/>
      <c r="N626" s="24"/>
      <c r="O626" s="3"/>
      <c r="P626" s="30" t="str">
        <f aca="false">IF(AND(ISNUMBER(M626),ISNUMBER(N626)),M626*N626/7,"")</f>
        <v/>
      </c>
      <c r="Q626" s="23" t="str">
        <f aca="false">IF(ISNUMBER(P626),I626*P626,"")</f>
        <v/>
      </c>
      <c r="R626" s="23" t="n">
        <f aca="false">IF(ISNUMBER(Q626),MAX(0,MIN(L626,Q626-I626*K626)),L626)</f>
        <v>175.078220052715</v>
      </c>
      <c r="S626" s="23" t="n">
        <f aca="false">R626+I626*K626</f>
        <v>529.878220052715</v>
      </c>
      <c r="T626" s="23" t="n">
        <v>3019.4</v>
      </c>
      <c r="U626" s="23" t="n">
        <v>0</v>
      </c>
      <c r="V626" s="23" t="n">
        <f aca="false">T626+U626</f>
        <v>3019.4</v>
      </c>
      <c r="W626" s="30" t="n">
        <f aca="false">IF(I626&gt;0,V626/I626,"")</f>
        <v>8.51014656144307</v>
      </c>
      <c r="X626" s="3" t="str">
        <f aca="false">IF(I626&lt;=0,"SIN FCST",IF(V626&lt;R626,"BAJO SS",IF(T626&lt;R626,"BAJO SS (XLIB CUBRE)",IF(V626&lt;S626,"BAJO P.REORDEN",IF(AND(ISNUMBER(Q626),V626&gt;Q626),"SOBRE MAX VENDIBLE","OK")))))</f>
        <v>OK</v>
      </c>
    </row>
    <row r="627" customFormat="false" ht="15" hidden="false" customHeight="false" outlineLevel="0" collapsed="false">
      <c r="A627" s="3" t="n">
        <v>30001860</v>
      </c>
      <c r="B627" s="3" t="s">
        <v>626</v>
      </c>
      <c r="C627" s="3" t="s">
        <v>124</v>
      </c>
      <c r="D627" s="3" t="s">
        <v>769</v>
      </c>
      <c r="E627" s="3" t="s">
        <v>745</v>
      </c>
      <c r="F627" s="3" t="str">
        <f aca="false">IFERROR(INDEX(ABC_XYZ!$L$5:$L$494,MATCH(A627,ABC_XYZ!$A$5:$A$494,0)),"SIN HIST")</f>
        <v>CX</v>
      </c>
      <c r="G627" s="24" t="n">
        <f aca="false">IF(LEFT(F627,1)="A",Parametros!$B$8,IF(LEFT(F627,1)="B",Parametros!$B$9,IF(LEFT(F627,1)="C",Parametros!$B$10,Parametros!$B$11)))</f>
        <v>0.9</v>
      </c>
      <c r="H627" s="27" t="n">
        <f aca="false">NORMSINV(G627)</f>
        <v>1.2815515655446</v>
      </c>
      <c r="I627" s="23" t="n">
        <v>354.3</v>
      </c>
      <c r="J627" s="23" t="n">
        <f aca="false">IFERROR(INDEX(ABC_XYZ!$R$5:$R$494,MATCH(A627,ABC_XYZ!$A$5:$A$494,0)),I627*Parametros!$B$13)</f>
        <v>107.011680549368</v>
      </c>
      <c r="K627" s="27" t="n">
        <f aca="false">IFERROR(VLOOKUP(C627,Parametros!$A$36:$B$66,2,FALSE()),Parametros!$B$12)</f>
        <v>1</v>
      </c>
      <c r="L627" s="23" t="n">
        <f aca="false">H627*J627*SQRT(K627)</f>
        <v>137.140986739601</v>
      </c>
      <c r="M627" s="29" t="n">
        <v>365</v>
      </c>
      <c r="N627" s="24" t="n">
        <v>0.194520547945206</v>
      </c>
      <c r="O627" s="3" t="s">
        <v>746</v>
      </c>
      <c r="P627" s="30" t="n">
        <f aca="false">IF(AND(ISNUMBER(M627),ISNUMBER(N627)),M627*N627/7,"")</f>
        <v>10.1428571428571</v>
      </c>
      <c r="Q627" s="23" t="n">
        <f aca="false">IF(ISNUMBER(P627),I627*P627,"")</f>
        <v>3593.61428571429</v>
      </c>
      <c r="R627" s="23" t="n">
        <f aca="false">IF(ISNUMBER(Q627),MAX(0,MIN(L627,Q627-I627*K627)),L627)</f>
        <v>137.140986739601</v>
      </c>
      <c r="S627" s="23" t="n">
        <f aca="false">R627+I627*K627</f>
        <v>491.440986739601</v>
      </c>
      <c r="T627" s="23" t="n">
        <v>2916.9</v>
      </c>
      <c r="U627" s="23" t="n">
        <v>0</v>
      </c>
      <c r="V627" s="23" t="n">
        <f aca="false">T627+U627</f>
        <v>2916.9</v>
      </c>
      <c r="W627" s="30" t="n">
        <f aca="false">IF(I627&gt;0,V627/I627,"")</f>
        <v>8.23285351397121</v>
      </c>
      <c r="X627" s="3" t="str">
        <f aca="false">IF(I627&lt;=0,"SIN FCST",IF(V627&lt;R627,"BAJO SS",IF(T627&lt;R627,"BAJO SS (XLIB CUBRE)",IF(V627&lt;S627,"BAJO P.REORDEN",IF(AND(ISNUMBER(Q627),V627&gt;Q627),"SOBRE MAX VENDIBLE","OK")))))</f>
        <v>OK</v>
      </c>
    </row>
    <row r="628" customFormat="false" ht="15" hidden="false" customHeight="false" outlineLevel="0" collapsed="false">
      <c r="A628" s="3" t="n">
        <v>30002085</v>
      </c>
      <c r="B628" s="3" t="s">
        <v>1183</v>
      </c>
      <c r="C628" s="3" t="s">
        <v>155</v>
      </c>
      <c r="D628" s="3" t="s">
        <v>761</v>
      </c>
      <c r="E628" s="3" t="s">
        <v>762</v>
      </c>
      <c r="F628" s="3" t="str">
        <f aca="false">IFERROR(INDEX(ABC_XYZ!$L$5:$L$494,MATCH(A628,ABC_XYZ!$A$5:$A$494,0)),"SIN HIST")</f>
        <v>CX</v>
      </c>
      <c r="G628" s="24" t="n">
        <f aca="false">IF(LEFT(F628,1)="A",Parametros!$B$8,IF(LEFT(F628,1)="B",Parametros!$B$9,IF(LEFT(F628,1)="C",Parametros!$B$10,Parametros!$B$11)))</f>
        <v>0.9</v>
      </c>
      <c r="H628" s="27" t="n">
        <f aca="false">NORMSINV(G628)</f>
        <v>1.2815515655446</v>
      </c>
      <c r="I628" s="23" t="n">
        <v>354</v>
      </c>
      <c r="J628" s="23" t="n">
        <f aca="false">IFERROR(INDEX(ABC_XYZ!$R$5:$R$494,MATCH(A628,ABC_XYZ!$A$5:$A$494,0)),I628*Parametros!$B$13)</f>
        <v>211.577241265465</v>
      </c>
      <c r="K628" s="27" t="n">
        <f aca="false">IFERROR(VLOOKUP(C628,Parametros!$A$36:$B$66,2,FALSE()),Parametros!$B$12)</f>
        <v>1</v>
      </c>
      <c r="L628" s="23" t="n">
        <f aca="false">H628*J628*SQRT(K628)</f>
        <v>271.147144777365</v>
      </c>
      <c r="M628" s="29" t="n">
        <v>57</v>
      </c>
      <c r="N628" s="24" t="n">
        <v>0.228070175438597</v>
      </c>
      <c r="O628" s="3" t="s">
        <v>754</v>
      </c>
      <c r="P628" s="30" t="n">
        <f aca="false">IF(AND(ISNUMBER(M628),ISNUMBER(N628)),M628*N628/7,"")</f>
        <v>1.85714285714286</v>
      </c>
      <c r="Q628" s="23" t="n">
        <f aca="false">IF(ISNUMBER(P628),I628*P628,"")</f>
        <v>657.428571428571</v>
      </c>
      <c r="R628" s="23" t="n">
        <f aca="false">IF(ISNUMBER(Q628),MAX(0,MIN(L628,Q628-I628*K628)),L628)</f>
        <v>271.147144777365</v>
      </c>
      <c r="S628" s="23" t="n">
        <f aca="false">R628+I628*K628</f>
        <v>625.147144777365</v>
      </c>
      <c r="T628" s="23" t="n">
        <v>1122.2</v>
      </c>
      <c r="U628" s="23" t="n">
        <v>0</v>
      </c>
      <c r="V628" s="23" t="n">
        <f aca="false">T628+U628</f>
        <v>1122.2</v>
      </c>
      <c r="W628" s="30" t="n">
        <f aca="false">IF(I628&gt;0,V628/I628,"")</f>
        <v>3.17005649717514</v>
      </c>
      <c r="X628" s="3" t="str">
        <f aca="false">IF(I628&lt;=0,"SIN FCST",IF(V628&lt;R628,"BAJO SS",IF(T628&lt;R628,"BAJO SS (XLIB CUBRE)",IF(V628&lt;S628,"BAJO P.REORDEN",IF(AND(ISNUMBER(Q628),V628&gt;Q628),"SOBRE MAX VENDIBLE","OK")))))</f>
        <v>SOBRE MAX VENDIBLE</v>
      </c>
    </row>
    <row r="629" customFormat="false" ht="15" hidden="false" customHeight="false" outlineLevel="0" collapsed="false">
      <c r="A629" s="3" t="n">
        <v>30000760</v>
      </c>
      <c r="B629" s="3" t="s">
        <v>1184</v>
      </c>
      <c r="C629" s="3" t="s">
        <v>133</v>
      </c>
      <c r="D629" s="3" t="s">
        <v>758</v>
      </c>
      <c r="E629" s="3"/>
      <c r="F629" s="3" t="str">
        <f aca="false">IFERROR(INDEX(ABC_XYZ!$L$5:$L$494,MATCH(A629,ABC_XYZ!$A$5:$A$494,0)),"SIN HIST")</f>
        <v>SIN HIST</v>
      </c>
      <c r="G629" s="24" t="n">
        <f aca="false">IF(LEFT(F629,1)="A",Parametros!$B$8,IF(LEFT(F629,1)="B",Parametros!$B$9,IF(LEFT(F629,1)="C",Parametros!$B$10,Parametros!$B$11)))</f>
        <v>0.95</v>
      </c>
      <c r="H629" s="27" t="n">
        <f aca="false">NORMSINV(G629)</f>
        <v>1.64485362695147</v>
      </c>
      <c r="I629" s="23" t="n">
        <v>348.8</v>
      </c>
      <c r="J629" s="23" t="n">
        <f aca="false">IFERROR(INDEX(ABC_XYZ!$R$5:$R$494,MATCH(A629,ABC_XYZ!$A$5:$A$494,0)),I629*Parametros!$B$13)</f>
        <v>104.64</v>
      </c>
      <c r="K629" s="27" t="n">
        <f aca="false">IFERROR(VLOOKUP(C629,Parametros!$A$36:$B$66,2,FALSE()),Parametros!$B$12)</f>
        <v>1</v>
      </c>
      <c r="L629" s="23" t="n">
        <f aca="false">H629*J629*SQRT(K629)</f>
        <v>172.117483524202</v>
      </c>
      <c r="M629" s="29"/>
      <c r="N629" s="24"/>
      <c r="O629" s="3"/>
      <c r="P629" s="30" t="str">
        <f aca="false">IF(AND(ISNUMBER(M629),ISNUMBER(N629)),M629*N629/7,"")</f>
        <v/>
      </c>
      <c r="Q629" s="23" t="str">
        <f aca="false">IF(ISNUMBER(P629),I629*P629,"")</f>
        <v/>
      </c>
      <c r="R629" s="23" t="n">
        <f aca="false">IF(ISNUMBER(Q629),MAX(0,MIN(L629,Q629-I629*K629)),L629)</f>
        <v>172.117483524202</v>
      </c>
      <c r="S629" s="23" t="n">
        <f aca="false">R629+I629*K629</f>
        <v>520.917483524202</v>
      </c>
      <c r="T629" s="23" t="n">
        <v>10704</v>
      </c>
      <c r="U629" s="23" t="n">
        <v>0</v>
      </c>
      <c r="V629" s="23" t="n">
        <f aca="false">T629+U629</f>
        <v>10704</v>
      </c>
      <c r="W629" s="30" t="n">
        <f aca="false">IF(I629&gt;0,V629/I629,"")</f>
        <v>30.6880733944954</v>
      </c>
      <c r="X629" s="3" t="str">
        <f aca="false">IF(I629&lt;=0,"SIN FCST",IF(V629&lt;R629,"BAJO SS",IF(T629&lt;R629,"BAJO SS (XLIB CUBRE)",IF(V629&lt;S629,"BAJO P.REORDEN",IF(AND(ISNUMBER(Q629),V629&gt;Q629),"SOBRE MAX VENDIBLE","OK")))))</f>
        <v>OK</v>
      </c>
    </row>
    <row r="630" customFormat="false" ht="15" hidden="false" customHeight="false" outlineLevel="0" collapsed="false">
      <c r="A630" s="3" t="n">
        <v>30002251</v>
      </c>
      <c r="B630" s="3" t="s">
        <v>1185</v>
      </c>
      <c r="C630" s="3" t="s">
        <v>133</v>
      </c>
      <c r="D630" s="3" t="s">
        <v>758</v>
      </c>
      <c r="E630" s="3"/>
      <c r="F630" s="3" t="str">
        <f aca="false">IFERROR(INDEX(ABC_XYZ!$L$5:$L$494,MATCH(A630,ABC_XYZ!$A$5:$A$494,0)),"SIN HIST")</f>
        <v>SIN HIST</v>
      </c>
      <c r="G630" s="24" t="n">
        <f aca="false">IF(LEFT(F630,1)="A",Parametros!$B$8,IF(LEFT(F630,1)="B",Parametros!$B$9,IF(LEFT(F630,1)="C",Parametros!$B$10,Parametros!$B$11)))</f>
        <v>0.95</v>
      </c>
      <c r="H630" s="27" t="n">
        <f aca="false">NORMSINV(G630)</f>
        <v>1.64485362695147</v>
      </c>
      <c r="I630" s="23" t="n">
        <v>348.8</v>
      </c>
      <c r="J630" s="23" t="n">
        <f aca="false">IFERROR(INDEX(ABC_XYZ!$R$5:$R$494,MATCH(A630,ABC_XYZ!$A$5:$A$494,0)),I630*Parametros!$B$13)</f>
        <v>104.64</v>
      </c>
      <c r="K630" s="27" t="n">
        <f aca="false">IFERROR(VLOOKUP(C630,Parametros!$A$36:$B$66,2,FALSE()),Parametros!$B$12)</f>
        <v>1</v>
      </c>
      <c r="L630" s="23" t="n">
        <f aca="false">H630*J630*SQRT(K630)</f>
        <v>172.117483524202</v>
      </c>
      <c r="M630" s="29"/>
      <c r="N630" s="24"/>
      <c r="O630" s="3"/>
      <c r="P630" s="30" t="str">
        <f aca="false">IF(AND(ISNUMBER(M630),ISNUMBER(N630)),M630*N630/7,"")</f>
        <v/>
      </c>
      <c r="Q630" s="23" t="str">
        <f aca="false">IF(ISNUMBER(P630),I630*P630,"")</f>
        <v/>
      </c>
      <c r="R630" s="23" t="n">
        <f aca="false">IF(ISNUMBER(Q630),MAX(0,MIN(L630,Q630-I630*K630)),L630)</f>
        <v>172.117483524202</v>
      </c>
      <c r="S630" s="23" t="n">
        <f aca="false">R630+I630*K630</f>
        <v>520.917483524202</v>
      </c>
      <c r="T630" s="23" t="n">
        <v>651</v>
      </c>
      <c r="U630" s="23" t="n">
        <v>0</v>
      </c>
      <c r="V630" s="23" t="n">
        <f aca="false">T630+U630</f>
        <v>651</v>
      </c>
      <c r="W630" s="30" t="n">
        <f aca="false">IF(I630&gt;0,V630/I630,"")</f>
        <v>1.86639908256881</v>
      </c>
      <c r="X630" s="3" t="str">
        <f aca="false">IF(I630&lt;=0,"SIN FCST",IF(V630&lt;R630,"BAJO SS",IF(T630&lt;R630,"BAJO SS (XLIB CUBRE)",IF(V630&lt;S630,"BAJO P.REORDEN",IF(AND(ISNUMBER(Q630),V630&gt;Q630),"SOBRE MAX VENDIBLE","OK")))))</f>
        <v>OK</v>
      </c>
    </row>
    <row r="631" customFormat="false" ht="15" hidden="false" customHeight="false" outlineLevel="0" collapsed="false">
      <c r="A631" s="3" t="n">
        <v>30000133</v>
      </c>
      <c r="B631" s="3" t="s">
        <v>1186</v>
      </c>
      <c r="C631" s="3" t="s">
        <v>144</v>
      </c>
      <c r="D631" s="3" t="s">
        <v>753</v>
      </c>
      <c r="E631" s="3" t="s">
        <v>745</v>
      </c>
      <c r="F631" s="3" t="str">
        <f aca="false">IFERROR(INDEX(ABC_XYZ!$L$5:$L$494,MATCH(A631,ABC_XYZ!$A$5:$A$494,0)),"SIN HIST")</f>
        <v>SIN HIST</v>
      </c>
      <c r="G631" s="24" t="n">
        <f aca="false">IF(LEFT(F631,1)="A",Parametros!$B$8,IF(LEFT(F631,1)="B",Parametros!$B$9,IF(LEFT(F631,1)="C",Parametros!$B$10,Parametros!$B$11)))</f>
        <v>0.95</v>
      </c>
      <c r="H631" s="27" t="n">
        <f aca="false">NORMSINV(G631)</f>
        <v>1.64485362695147</v>
      </c>
      <c r="I631" s="23" t="n">
        <v>348.8</v>
      </c>
      <c r="J631" s="23" t="n">
        <f aca="false">IFERROR(INDEX(ABC_XYZ!$R$5:$R$494,MATCH(A631,ABC_XYZ!$A$5:$A$494,0)),I631*Parametros!$B$13)</f>
        <v>104.64</v>
      </c>
      <c r="K631" s="27" t="n">
        <f aca="false">IFERROR(VLOOKUP(C631,Parametros!$A$36:$B$66,2,FALSE()),Parametros!$B$12)</f>
        <v>1</v>
      </c>
      <c r="L631" s="23" t="n">
        <f aca="false">H631*J631*SQRT(K631)</f>
        <v>172.117483524202</v>
      </c>
      <c r="M631" s="29" t="n">
        <v>245</v>
      </c>
      <c r="N631" s="24" t="n">
        <v>0.253061224489796</v>
      </c>
      <c r="O631" s="3" t="s">
        <v>754</v>
      </c>
      <c r="P631" s="30" t="n">
        <f aca="false">IF(AND(ISNUMBER(M631),ISNUMBER(N631)),M631*N631/7,"")</f>
        <v>8.85714285714286</v>
      </c>
      <c r="Q631" s="23" t="n">
        <f aca="false">IF(ISNUMBER(P631),I631*P631,"")</f>
        <v>3089.37142857143</v>
      </c>
      <c r="R631" s="23" t="n">
        <f aca="false">IF(ISNUMBER(Q631),MAX(0,MIN(L631,Q631-I631*K631)),L631)</f>
        <v>172.117483524202</v>
      </c>
      <c r="S631" s="23" t="n">
        <f aca="false">R631+I631*K631</f>
        <v>520.917483524202</v>
      </c>
      <c r="T631" s="23" t="n">
        <v>2410</v>
      </c>
      <c r="U631" s="23" t="n">
        <v>0</v>
      </c>
      <c r="V631" s="23" t="n">
        <f aca="false">T631+U631</f>
        <v>2410</v>
      </c>
      <c r="W631" s="30" t="n">
        <f aca="false">IF(I631&gt;0,V631/I631,"")</f>
        <v>6.90940366972477</v>
      </c>
      <c r="X631" s="3" t="str">
        <f aca="false">IF(I631&lt;=0,"SIN FCST",IF(V631&lt;R631,"BAJO SS",IF(T631&lt;R631,"BAJO SS (XLIB CUBRE)",IF(V631&lt;S631,"BAJO P.REORDEN",IF(AND(ISNUMBER(Q631),V631&gt;Q631),"SOBRE MAX VENDIBLE","OK")))))</f>
        <v>OK</v>
      </c>
    </row>
    <row r="632" customFormat="false" ht="15" hidden="false" customHeight="false" outlineLevel="0" collapsed="false">
      <c r="A632" s="3" t="n">
        <v>30000972</v>
      </c>
      <c r="B632" s="3" t="s">
        <v>1187</v>
      </c>
      <c r="C632" s="3" t="s">
        <v>133</v>
      </c>
      <c r="D632" s="3" t="s">
        <v>758</v>
      </c>
      <c r="E632" s="3"/>
      <c r="F632" s="3" t="str">
        <f aca="false">IFERROR(INDEX(ABC_XYZ!$L$5:$L$494,MATCH(A632,ABC_XYZ!$A$5:$A$494,0)),"SIN HIST")</f>
        <v>SIN HIST</v>
      </c>
      <c r="G632" s="24" t="n">
        <f aca="false">IF(LEFT(F632,1)="A",Parametros!$B$8,IF(LEFT(F632,1)="B",Parametros!$B$9,IF(LEFT(F632,1)="C",Parametros!$B$10,Parametros!$B$11)))</f>
        <v>0.95</v>
      </c>
      <c r="H632" s="27" t="n">
        <f aca="false">NORMSINV(G632)</f>
        <v>1.64485362695147</v>
      </c>
      <c r="I632" s="23" t="n">
        <v>348.8</v>
      </c>
      <c r="J632" s="23" t="n">
        <f aca="false">IFERROR(INDEX(ABC_XYZ!$R$5:$R$494,MATCH(A632,ABC_XYZ!$A$5:$A$494,0)),I632*Parametros!$B$13)</f>
        <v>104.64</v>
      </c>
      <c r="K632" s="27" t="n">
        <f aca="false">IFERROR(VLOOKUP(C632,Parametros!$A$36:$B$66,2,FALSE()),Parametros!$B$12)</f>
        <v>1</v>
      </c>
      <c r="L632" s="23" t="n">
        <f aca="false">H632*J632*SQRT(K632)</f>
        <v>172.117483524202</v>
      </c>
      <c r="M632" s="29"/>
      <c r="N632" s="24"/>
      <c r="O632" s="3"/>
      <c r="P632" s="30" t="str">
        <f aca="false">IF(AND(ISNUMBER(M632),ISNUMBER(N632)),M632*N632/7,"")</f>
        <v/>
      </c>
      <c r="Q632" s="23" t="str">
        <f aca="false">IF(ISNUMBER(P632),I632*P632,"")</f>
        <v/>
      </c>
      <c r="R632" s="23" t="n">
        <f aca="false">IF(ISNUMBER(Q632),MAX(0,MIN(L632,Q632-I632*K632)),L632)</f>
        <v>172.117483524202</v>
      </c>
      <c r="S632" s="23" t="n">
        <f aca="false">R632+I632*K632</f>
        <v>520.917483524202</v>
      </c>
      <c r="T632" s="23" t="n">
        <v>6800</v>
      </c>
      <c r="U632" s="23" t="n">
        <v>0</v>
      </c>
      <c r="V632" s="23" t="n">
        <f aca="false">T632+U632</f>
        <v>6800</v>
      </c>
      <c r="W632" s="30" t="n">
        <f aca="false">IF(I632&gt;0,V632/I632,"")</f>
        <v>19.4954128440367</v>
      </c>
      <c r="X632" s="3" t="str">
        <f aca="false">IF(I632&lt;=0,"SIN FCST",IF(V632&lt;R632,"BAJO SS",IF(T632&lt;R632,"BAJO SS (XLIB CUBRE)",IF(V632&lt;S632,"BAJO P.REORDEN",IF(AND(ISNUMBER(Q632),V632&gt;Q632),"SOBRE MAX VENDIBLE","OK")))))</f>
        <v>OK</v>
      </c>
    </row>
    <row r="633" customFormat="false" ht="15" hidden="false" customHeight="false" outlineLevel="0" collapsed="false">
      <c r="A633" s="3" t="n">
        <v>30000183</v>
      </c>
      <c r="B633" s="3" t="s">
        <v>1188</v>
      </c>
      <c r="C633" s="3" t="s">
        <v>144</v>
      </c>
      <c r="D633" s="3" t="s">
        <v>753</v>
      </c>
      <c r="E633" s="3" t="s">
        <v>745</v>
      </c>
      <c r="F633" s="3" t="str">
        <f aca="false">IFERROR(INDEX(ABC_XYZ!$L$5:$L$494,MATCH(A633,ABC_XYZ!$A$5:$A$494,0)),"SIN HIST")</f>
        <v>SIN HIST</v>
      </c>
      <c r="G633" s="24" t="n">
        <f aca="false">IF(LEFT(F633,1)="A",Parametros!$B$8,IF(LEFT(F633,1)="B",Parametros!$B$9,IF(LEFT(F633,1)="C",Parametros!$B$10,Parametros!$B$11)))</f>
        <v>0.95</v>
      </c>
      <c r="H633" s="27" t="n">
        <f aca="false">NORMSINV(G633)</f>
        <v>1.64485362695147</v>
      </c>
      <c r="I633" s="23" t="n">
        <v>348.8</v>
      </c>
      <c r="J633" s="23" t="n">
        <f aca="false">IFERROR(INDEX(ABC_XYZ!$R$5:$R$494,MATCH(A633,ABC_XYZ!$A$5:$A$494,0)),I633*Parametros!$B$13)</f>
        <v>104.64</v>
      </c>
      <c r="K633" s="27" t="n">
        <f aca="false">IFERROR(VLOOKUP(C633,Parametros!$A$36:$B$66,2,FALSE()),Parametros!$B$12)</f>
        <v>1</v>
      </c>
      <c r="L633" s="23" t="n">
        <f aca="false">H633*J633*SQRT(K633)</f>
        <v>172.117483524202</v>
      </c>
      <c r="M633" s="29" t="n">
        <v>245</v>
      </c>
      <c r="N633" s="24" t="n">
        <v>0.253061224489796</v>
      </c>
      <c r="O633" s="3" t="s">
        <v>754</v>
      </c>
      <c r="P633" s="30" t="n">
        <f aca="false">IF(AND(ISNUMBER(M633),ISNUMBER(N633)),M633*N633/7,"")</f>
        <v>8.85714285714286</v>
      </c>
      <c r="Q633" s="23" t="n">
        <f aca="false">IF(ISNUMBER(P633),I633*P633,"")</f>
        <v>3089.37142857143</v>
      </c>
      <c r="R633" s="23" t="n">
        <f aca="false">IF(ISNUMBER(Q633),MAX(0,MIN(L633,Q633-I633*K633)),L633)</f>
        <v>172.117483524202</v>
      </c>
      <c r="S633" s="23" t="n">
        <f aca="false">R633+I633*K633</f>
        <v>520.917483524202</v>
      </c>
      <c r="T633" s="23" t="n">
        <v>4420</v>
      </c>
      <c r="U633" s="23" t="n">
        <v>0</v>
      </c>
      <c r="V633" s="23" t="n">
        <f aca="false">T633+U633</f>
        <v>4420</v>
      </c>
      <c r="W633" s="30" t="n">
        <f aca="false">IF(I633&gt;0,V633/I633,"")</f>
        <v>12.6720183486239</v>
      </c>
      <c r="X633" s="3" t="str">
        <f aca="false">IF(I633&lt;=0,"SIN FCST",IF(V633&lt;R633,"BAJO SS",IF(T633&lt;R633,"BAJO SS (XLIB CUBRE)",IF(V633&lt;S633,"BAJO P.REORDEN",IF(AND(ISNUMBER(Q633),V633&gt;Q633),"SOBRE MAX VENDIBLE","OK")))))</f>
        <v>SOBRE MAX VENDIBLE</v>
      </c>
    </row>
    <row r="634" customFormat="false" ht="15" hidden="false" customHeight="false" outlineLevel="0" collapsed="false">
      <c r="A634" s="3" t="n">
        <v>30002087</v>
      </c>
      <c r="B634" s="3" t="s">
        <v>1189</v>
      </c>
      <c r="C634" s="3" t="s">
        <v>155</v>
      </c>
      <c r="D634" s="3" t="s">
        <v>761</v>
      </c>
      <c r="E634" s="3" t="s">
        <v>762</v>
      </c>
      <c r="F634" s="3" t="str">
        <f aca="false">IFERROR(INDEX(ABC_XYZ!$L$5:$L$494,MATCH(A634,ABC_XYZ!$A$5:$A$494,0)),"SIN HIST")</f>
        <v>CX</v>
      </c>
      <c r="G634" s="24" t="n">
        <f aca="false">IF(LEFT(F634,1)="A",Parametros!$B$8,IF(LEFT(F634,1)="B",Parametros!$B$9,IF(LEFT(F634,1)="C",Parametros!$B$10,Parametros!$B$11)))</f>
        <v>0.9</v>
      </c>
      <c r="H634" s="27" t="n">
        <f aca="false">NORMSINV(G634)</f>
        <v>1.2815515655446</v>
      </c>
      <c r="I634" s="23" t="n">
        <v>340.9</v>
      </c>
      <c r="J634" s="23" t="n">
        <f aca="false">IFERROR(INDEX(ABC_XYZ!$R$5:$R$494,MATCH(A634,ABC_XYZ!$A$5:$A$494,0)),I634*Parametros!$B$13)</f>
        <v>256.502963378879</v>
      </c>
      <c r="K634" s="27" t="n">
        <f aca="false">IFERROR(VLOOKUP(C634,Parametros!$A$36:$B$66,2,FALSE()),Parametros!$B$12)</f>
        <v>1</v>
      </c>
      <c r="L634" s="23" t="n">
        <f aca="false">H634*J634*SQRT(K634)</f>
        <v>328.721774285032</v>
      </c>
      <c r="M634" s="29" t="n">
        <v>57</v>
      </c>
      <c r="N634" s="24" t="n">
        <v>0.228070175438597</v>
      </c>
      <c r="O634" s="3" t="s">
        <v>754</v>
      </c>
      <c r="P634" s="30" t="n">
        <f aca="false">IF(AND(ISNUMBER(M634),ISNUMBER(N634)),M634*N634/7,"")</f>
        <v>1.85714285714286</v>
      </c>
      <c r="Q634" s="23" t="n">
        <f aca="false">IF(ISNUMBER(P634),I634*P634,"")</f>
        <v>633.1</v>
      </c>
      <c r="R634" s="23" t="n">
        <f aca="false">IF(ISNUMBER(Q634),MAX(0,MIN(L634,Q634-I634*K634)),L634)</f>
        <v>292.2</v>
      </c>
      <c r="S634" s="23" t="n">
        <f aca="false">R634+I634*K634</f>
        <v>633.1</v>
      </c>
      <c r="T634" s="23" t="n">
        <v>406.6</v>
      </c>
      <c r="U634" s="23" t="n">
        <v>0</v>
      </c>
      <c r="V634" s="23" t="n">
        <f aca="false">T634+U634</f>
        <v>406.6</v>
      </c>
      <c r="W634" s="30" t="n">
        <f aca="false">IF(I634&gt;0,V634/I634,"")</f>
        <v>1.19272513933705</v>
      </c>
      <c r="X634" s="3" t="str">
        <f aca="false">IF(I634&lt;=0,"SIN FCST",IF(V634&lt;R634,"BAJO SS",IF(T634&lt;R634,"BAJO SS (XLIB CUBRE)",IF(V634&lt;S634,"BAJO P.REORDEN",IF(AND(ISNUMBER(Q634),V634&gt;Q634),"SOBRE MAX VENDIBLE","OK")))))</f>
        <v>BAJO P.REORDEN</v>
      </c>
    </row>
    <row r="635" customFormat="false" ht="15" hidden="false" customHeight="false" outlineLevel="0" collapsed="false">
      <c r="A635" s="3" t="n">
        <v>30002145</v>
      </c>
      <c r="B635" s="3" t="s">
        <v>631</v>
      </c>
      <c r="C635" s="3" t="s">
        <v>149</v>
      </c>
      <c r="D635" s="3"/>
      <c r="E635" s="3" t="s">
        <v>762</v>
      </c>
      <c r="F635" s="3" t="str">
        <f aca="false">IFERROR(INDEX(ABC_XYZ!$L$5:$L$494,MATCH(A635,ABC_XYZ!$A$5:$A$494,0)),"SIN HIST")</f>
        <v>CX</v>
      </c>
      <c r="G635" s="24" t="n">
        <f aca="false">IF(LEFT(F635,1)="A",Parametros!$B$8,IF(LEFT(F635,1)="B",Parametros!$B$9,IF(LEFT(F635,1)="C",Parametros!$B$10,Parametros!$B$11)))</f>
        <v>0.9</v>
      </c>
      <c r="H635" s="27" t="n">
        <f aca="false">NORMSINV(G635)</f>
        <v>1.2815515655446</v>
      </c>
      <c r="I635" s="23" t="n">
        <v>330</v>
      </c>
      <c r="J635" s="23" t="n">
        <f aca="false">IFERROR(INDEX(ABC_XYZ!$R$5:$R$494,MATCH(A635,ABC_XYZ!$A$5:$A$494,0)),I635*Parametros!$B$13)</f>
        <v>227.065331796628</v>
      </c>
      <c r="K635" s="27" t="n">
        <f aca="false">IFERROR(VLOOKUP(C635,Parametros!$A$36:$B$66,2,FALSE()),Parametros!$B$12)</f>
        <v>1</v>
      </c>
      <c r="L635" s="23" t="n">
        <f aca="false">H635*J635*SQRT(K635)</f>
        <v>290.995931444873</v>
      </c>
      <c r="M635" s="29" t="n">
        <v>184</v>
      </c>
      <c r="N635" s="24" t="n">
        <v>0.211956521739131</v>
      </c>
      <c r="O635" s="3" t="s">
        <v>754</v>
      </c>
      <c r="P635" s="30" t="n">
        <f aca="false">IF(AND(ISNUMBER(M635),ISNUMBER(N635)),M635*N635/7,"")</f>
        <v>5.57142857142857</v>
      </c>
      <c r="Q635" s="23" t="n">
        <f aca="false">IF(ISNUMBER(P635),I635*P635,"")</f>
        <v>1838.57142857143</v>
      </c>
      <c r="R635" s="23" t="n">
        <f aca="false">IF(ISNUMBER(Q635),MAX(0,MIN(L635,Q635-I635*K635)),L635)</f>
        <v>290.995931444873</v>
      </c>
      <c r="S635" s="23" t="n">
        <f aca="false">R635+I635*K635</f>
        <v>620.995931444873</v>
      </c>
      <c r="T635" s="23" t="n">
        <v>1075.2</v>
      </c>
      <c r="U635" s="23" t="n">
        <v>0</v>
      </c>
      <c r="V635" s="23" t="n">
        <f aca="false">T635+U635</f>
        <v>1075.2</v>
      </c>
      <c r="W635" s="30" t="n">
        <f aca="false">IF(I635&gt;0,V635/I635,"")</f>
        <v>3.25818181818182</v>
      </c>
      <c r="X635" s="3" t="str">
        <f aca="false">IF(I635&lt;=0,"SIN FCST",IF(V635&lt;R635,"BAJO SS",IF(T635&lt;R635,"BAJO SS (XLIB CUBRE)",IF(V635&lt;S635,"BAJO P.REORDEN",IF(AND(ISNUMBER(Q635),V635&gt;Q635),"SOBRE MAX VENDIBLE","OK")))))</f>
        <v>OK</v>
      </c>
    </row>
    <row r="636" customFormat="false" ht="15" hidden="false" customHeight="false" outlineLevel="0" collapsed="false">
      <c r="A636" s="3" t="n">
        <v>30000809</v>
      </c>
      <c r="B636" s="3" t="s">
        <v>1190</v>
      </c>
      <c r="C636" s="3" t="s">
        <v>133</v>
      </c>
      <c r="D636" s="3" t="s">
        <v>758</v>
      </c>
      <c r="E636" s="3"/>
      <c r="F636" s="3" t="str">
        <f aca="false">IFERROR(INDEX(ABC_XYZ!$L$5:$L$494,MATCH(A636,ABC_XYZ!$A$5:$A$494,0)),"SIN HIST")</f>
        <v>SIN HIST</v>
      </c>
      <c r="G636" s="24" t="n">
        <f aca="false">IF(LEFT(F636,1)="A",Parametros!$B$8,IF(LEFT(F636,1)="B",Parametros!$B$9,IF(LEFT(F636,1)="C",Parametros!$B$10,Parametros!$B$11)))</f>
        <v>0.95</v>
      </c>
      <c r="H636" s="27" t="n">
        <f aca="false">NORMSINV(G636)</f>
        <v>1.64485362695147</v>
      </c>
      <c r="I636" s="23" t="n">
        <v>324.6</v>
      </c>
      <c r="J636" s="23" t="n">
        <f aca="false">IFERROR(INDEX(ABC_XYZ!$R$5:$R$494,MATCH(A636,ABC_XYZ!$A$5:$A$494,0)),I636*Parametros!$B$13)</f>
        <v>97.38</v>
      </c>
      <c r="K636" s="27" t="n">
        <f aca="false">IFERROR(VLOOKUP(C636,Parametros!$A$36:$B$66,2,FALSE()),Parametros!$B$12)</f>
        <v>1</v>
      </c>
      <c r="L636" s="23" t="n">
        <f aca="false">H636*J636*SQRT(K636)</f>
        <v>160.175846192534</v>
      </c>
      <c r="M636" s="29"/>
      <c r="N636" s="24"/>
      <c r="O636" s="3"/>
      <c r="P636" s="30" t="str">
        <f aca="false">IF(AND(ISNUMBER(M636),ISNUMBER(N636)),M636*N636/7,"")</f>
        <v/>
      </c>
      <c r="Q636" s="23" t="str">
        <f aca="false">IF(ISNUMBER(P636),I636*P636,"")</f>
        <v/>
      </c>
      <c r="R636" s="23" t="n">
        <f aca="false">IF(ISNUMBER(Q636),MAX(0,MIN(L636,Q636-I636*K636)),L636)</f>
        <v>160.175846192534</v>
      </c>
      <c r="S636" s="23" t="n">
        <f aca="false">R636+I636*K636</f>
        <v>484.775846192534</v>
      </c>
      <c r="T636" s="23" t="n">
        <v>1365</v>
      </c>
      <c r="U636" s="23" t="n">
        <v>0</v>
      </c>
      <c r="V636" s="23" t="n">
        <f aca="false">T636+U636</f>
        <v>1365</v>
      </c>
      <c r="W636" s="30" t="n">
        <f aca="false">IF(I636&gt;0,V636/I636,"")</f>
        <v>4.20517560073937</v>
      </c>
      <c r="X636" s="3" t="str">
        <f aca="false">IF(I636&lt;=0,"SIN FCST",IF(V636&lt;R636,"BAJO SS",IF(T636&lt;R636,"BAJO SS (XLIB CUBRE)",IF(V636&lt;S636,"BAJO P.REORDEN",IF(AND(ISNUMBER(Q636),V636&gt;Q636),"SOBRE MAX VENDIBLE","OK")))))</f>
        <v>OK</v>
      </c>
    </row>
    <row r="637" customFormat="false" ht="15" hidden="false" customHeight="false" outlineLevel="0" collapsed="false">
      <c r="A637" s="3" t="n">
        <v>30000848</v>
      </c>
      <c r="B637" s="3" t="s">
        <v>1191</v>
      </c>
      <c r="C637" s="3" t="s">
        <v>133</v>
      </c>
      <c r="D637" s="3" t="s">
        <v>769</v>
      </c>
      <c r="E637" s="3"/>
      <c r="F637" s="3" t="str">
        <f aca="false">IFERROR(INDEX(ABC_XYZ!$L$5:$L$494,MATCH(A637,ABC_XYZ!$A$5:$A$494,0)),"SIN HIST")</f>
        <v>SIN HIST</v>
      </c>
      <c r="G637" s="24" t="n">
        <f aca="false">IF(LEFT(F637,1)="A",Parametros!$B$8,IF(LEFT(F637,1)="B",Parametros!$B$9,IF(LEFT(F637,1)="C",Parametros!$B$10,Parametros!$B$11)))</f>
        <v>0.95</v>
      </c>
      <c r="H637" s="27" t="n">
        <f aca="false">NORMSINV(G637)</f>
        <v>1.64485362695147</v>
      </c>
      <c r="I637" s="23" t="n">
        <v>320.4</v>
      </c>
      <c r="J637" s="23" t="n">
        <f aca="false">IFERROR(INDEX(ABC_XYZ!$R$5:$R$494,MATCH(A637,ABC_XYZ!$A$5:$A$494,0)),I637*Parametros!$B$13)</f>
        <v>96.12</v>
      </c>
      <c r="K637" s="27" t="n">
        <f aca="false">IFERROR(VLOOKUP(C637,Parametros!$A$36:$B$66,2,FALSE()),Parametros!$B$12)</f>
        <v>1</v>
      </c>
      <c r="L637" s="23" t="n">
        <f aca="false">H637*J637*SQRT(K637)</f>
        <v>158.103330622575</v>
      </c>
      <c r="M637" s="29"/>
      <c r="N637" s="24"/>
      <c r="O637" s="3"/>
      <c r="P637" s="30" t="str">
        <f aca="false">IF(AND(ISNUMBER(M637),ISNUMBER(N637)),M637*N637/7,"")</f>
        <v/>
      </c>
      <c r="Q637" s="23" t="str">
        <f aca="false">IF(ISNUMBER(P637),I637*P637,"")</f>
        <v/>
      </c>
      <c r="R637" s="23" t="n">
        <f aca="false">IF(ISNUMBER(Q637),MAX(0,MIN(L637,Q637-I637*K637)),L637)</f>
        <v>158.103330622575</v>
      </c>
      <c r="S637" s="23" t="n">
        <f aca="false">R637+I637*K637</f>
        <v>478.503330622575</v>
      </c>
      <c r="T637" s="23" t="n">
        <v>1670</v>
      </c>
      <c r="U637" s="23" t="n">
        <v>0</v>
      </c>
      <c r="V637" s="23" t="n">
        <f aca="false">T637+U637</f>
        <v>1670</v>
      </c>
      <c r="W637" s="30" t="n">
        <f aca="false">IF(I637&gt;0,V637/I637,"")</f>
        <v>5.21223470661673</v>
      </c>
      <c r="X637" s="3" t="str">
        <f aca="false">IF(I637&lt;=0,"SIN FCST",IF(V637&lt;R637,"BAJO SS",IF(T637&lt;R637,"BAJO SS (XLIB CUBRE)",IF(V637&lt;S637,"BAJO P.REORDEN",IF(AND(ISNUMBER(Q637),V637&gt;Q637),"SOBRE MAX VENDIBLE","OK")))))</f>
        <v>OK</v>
      </c>
    </row>
    <row r="638" customFormat="false" ht="15" hidden="false" customHeight="false" outlineLevel="0" collapsed="false">
      <c r="A638" s="3" t="n">
        <v>30002084</v>
      </c>
      <c r="B638" s="3" t="s">
        <v>1192</v>
      </c>
      <c r="C638" s="3" t="s">
        <v>133</v>
      </c>
      <c r="D638" s="3" t="s">
        <v>769</v>
      </c>
      <c r="E638" s="3"/>
      <c r="F638" s="3" t="str">
        <f aca="false">IFERROR(INDEX(ABC_XYZ!$L$5:$L$494,MATCH(A638,ABC_XYZ!$A$5:$A$494,0)),"SIN HIST")</f>
        <v>SIN HIST</v>
      </c>
      <c r="G638" s="24" t="n">
        <f aca="false">IF(LEFT(F638,1)="A",Parametros!$B$8,IF(LEFT(F638,1)="B",Parametros!$B$9,IF(LEFT(F638,1)="C",Parametros!$B$10,Parametros!$B$11)))</f>
        <v>0.95</v>
      </c>
      <c r="H638" s="27" t="n">
        <f aca="false">NORMSINV(G638)</f>
        <v>1.64485362695147</v>
      </c>
      <c r="I638" s="23" t="n">
        <v>311.6</v>
      </c>
      <c r="J638" s="23" t="n">
        <f aca="false">IFERROR(INDEX(ABC_XYZ!$R$5:$R$494,MATCH(A638,ABC_XYZ!$A$5:$A$494,0)),I638*Parametros!$B$13)</f>
        <v>93.48</v>
      </c>
      <c r="K638" s="27" t="n">
        <f aca="false">IFERROR(VLOOKUP(C638,Parametros!$A$36:$B$66,2,FALSE()),Parametros!$B$12)</f>
        <v>1</v>
      </c>
      <c r="L638" s="23" t="n">
        <f aca="false">H638*J638*SQRT(K638)</f>
        <v>153.760917047424</v>
      </c>
      <c r="M638" s="29"/>
      <c r="N638" s="24"/>
      <c r="O638" s="3"/>
      <c r="P638" s="30" t="str">
        <f aca="false">IF(AND(ISNUMBER(M638),ISNUMBER(N638)),M638*N638/7,"")</f>
        <v/>
      </c>
      <c r="Q638" s="23" t="str">
        <f aca="false">IF(ISNUMBER(P638),I638*P638,"")</f>
        <v/>
      </c>
      <c r="R638" s="23" t="n">
        <f aca="false">IF(ISNUMBER(Q638),MAX(0,MIN(L638,Q638-I638*K638)),L638)</f>
        <v>153.760917047424</v>
      </c>
      <c r="S638" s="23" t="n">
        <f aca="false">R638+I638*K638</f>
        <v>465.360917047424</v>
      </c>
      <c r="T638" s="23" t="n">
        <v>952</v>
      </c>
      <c r="U638" s="23" t="n">
        <v>0</v>
      </c>
      <c r="V638" s="23" t="n">
        <f aca="false">T638+U638</f>
        <v>952</v>
      </c>
      <c r="W638" s="30" t="n">
        <f aca="false">IF(I638&gt;0,V638/I638,"")</f>
        <v>3.05519897304236</v>
      </c>
      <c r="X638" s="3" t="str">
        <f aca="false">IF(I638&lt;=0,"SIN FCST",IF(V638&lt;R638,"BAJO SS",IF(T638&lt;R638,"BAJO SS (XLIB CUBRE)",IF(V638&lt;S638,"BAJO P.REORDEN",IF(AND(ISNUMBER(Q638),V638&gt;Q638),"SOBRE MAX VENDIBLE","OK")))))</f>
        <v>OK</v>
      </c>
    </row>
    <row r="639" customFormat="false" ht="15" hidden="false" customHeight="false" outlineLevel="0" collapsed="false">
      <c r="A639" s="3" t="n">
        <v>30000662</v>
      </c>
      <c r="B639" s="3" t="s">
        <v>628</v>
      </c>
      <c r="C639" s="3" t="s">
        <v>129</v>
      </c>
      <c r="D639" s="3" t="s">
        <v>753</v>
      </c>
      <c r="E639" s="3" t="s">
        <v>745</v>
      </c>
      <c r="F639" s="3" t="str">
        <f aca="false">IFERROR(INDEX(ABC_XYZ!$L$5:$L$494,MATCH(A639,ABC_XYZ!$A$5:$A$494,0)),"SIN HIST")</f>
        <v>CY</v>
      </c>
      <c r="G639" s="24" t="n">
        <f aca="false">IF(LEFT(F639,1)="A",Parametros!$B$8,IF(LEFT(F639,1)="B",Parametros!$B$9,IF(LEFT(F639,1)="C",Parametros!$B$10,Parametros!$B$11)))</f>
        <v>0.9</v>
      </c>
      <c r="H639" s="27" t="n">
        <f aca="false">NORMSINV(G639)</f>
        <v>1.2815515655446</v>
      </c>
      <c r="I639" s="23" t="n">
        <v>308.6</v>
      </c>
      <c r="J639" s="23" t="n">
        <f aca="false">IFERROR(INDEX(ABC_XYZ!$R$5:$R$494,MATCH(A639,ABC_XYZ!$A$5:$A$494,0)),I639*Parametros!$B$13)</f>
        <v>160.71378036746</v>
      </c>
      <c r="K639" s="27" t="n">
        <f aca="false">IFERROR(VLOOKUP(C639,Parametros!$A$36:$B$66,2,FALSE()),Parametros!$B$12)</f>
        <v>1</v>
      </c>
      <c r="L639" s="23" t="n">
        <f aca="false">H639*J639*SQRT(K639)</f>
        <v>205.962996834509</v>
      </c>
      <c r="M639" s="29" t="n">
        <v>730</v>
      </c>
      <c r="N639" s="24" t="n">
        <v>0.328767123287671</v>
      </c>
      <c r="O639" s="3" t="s">
        <v>772</v>
      </c>
      <c r="P639" s="30" t="n">
        <f aca="false">IF(AND(ISNUMBER(M639),ISNUMBER(N639)),M639*N639/7,"")</f>
        <v>34.2857142857143</v>
      </c>
      <c r="Q639" s="23" t="n">
        <f aca="false">IF(ISNUMBER(P639),I639*P639,"")</f>
        <v>10580.5714285714</v>
      </c>
      <c r="R639" s="23" t="n">
        <f aca="false">IF(ISNUMBER(Q639),MAX(0,MIN(L639,Q639-I639*K639)),L639)</f>
        <v>205.962996834509</v>
      </c>
      <c r="S639" s="23" t="n">
        <f aca="false">R639+I639*K639</f>
        <v>514.562996834509</v>
      </c>
      <c r="T639" s="23" t="n">
        <v>4778.9</v>
      </c>
      <c r="U639" s="23" t="n">
        <v>0</v>
      </c>
      <c r="V639" s="23" t="n">
        <f aca="false">T639+U639</f>
        <v>4778.9</v>
      </c>
      <c r="W639" s="30" t="n">
        <f aca="false">IF(I639&gt;0,V639/I639,"")</f>
        <v>15.4857420609203</v>
      </c>
      <c r="X639" s="3" t="str">
        <f aca="false">IF(I639&lt;=0,"SIN FCST",IF(V639&lt;R639,"BAJO SS",IF(T639&lt;R639,"BAJO SS (XLIB CUBRE)",IF(V639&lt;S639,"BAJO P.REORDEN",IF(AND(ISNUMBER(Q639),V639&gt;Q639),"SOBRE MAX VENDIBLE","OK")))))</f>
        <v>OK</v>
      </c>
    </row>
    <row r="640" customFormat="false" ht="15" hidden="false" customHeight="false" outlineLevel="0" collapsed="false">
      <c r="A640" s="3" t="n">
        <v>30002042</v>
      </c>
      <c r="B640" s="3" t="s">
        <v>1193</v>
      </c>
      <c r="C640" s="3" t="s">
        <v>133</v>
      </c>
      <c r="D640" s="3" t="s">
        <v>769</v>
      </c>
      <c r="E640" s="3"/>
      <c r="F640" s="3" t="str">
        <f aca="false">IFERROR(INDEX(ABC_XYZ!$L$5:$L$494,MATCH(A640,ABC_XYZ!$A$5:$A$494,0)),"SIN HIST")</f>
        <v>SIN HIST</v>
      </c>
      <c r="G640" s="24" t="n">
        <f aca="false">IF(LEFT(F640,1)="A",Parametros!$B$8,IF(LEFT(F640,1)="B",Parametros!$B$9,IF(LEFT(F640,1)="C",Parametros!$B$10,Parametros!$B$11)))</f>
        <v>0.95</v>
      </c>
      <c r="H640" s="27" t="n">
        <f aca="false">NORMSINV(G640)</f>
        <v>1.64485362695147</v>
      </c>
      <c r="I640" s="23" t="n">
        <v>306.8</v>
      </c>
      <c r="J640" s="23" t="n">
        <f aca="false">IFERROR(INDEX(ABC_XYZ!$R$5:$R$494,MATCH(A640,ABC_XYZ!$A$5:$A$494,0)),I640*Parametros!$B$13)</f>
        <v>92.04</v>
      </c>
      <c r="K640" s="27" t="n">
        <f aca="false">IFERROR(VLOOKUP(C640,Parametros!$A$36:$B$66,2,FALSE()),Parametros!$B$12)</f>
        <v>1</v>
      </c>
      <c r="L640" s="23" t="n">
        <f aca="false">H640*J640*SQRT(K640)</f>
        <v>151.392327824613</v>
      </c>
      <c r="M640" s="29"/>
      <c r="N640" s="24"/>
      <c r="O640" s="3"/>
      <c r="P640" s="30" t="str">
        <f aca="false">IF(AND(ISNUMBER(M640),ISNUMBER(N640)),M640*N640/7,"")</f>
        <v/>
      </c>
      <c r="Q640" s="23" t="str">
        <f aca="false">IF(ISNUMBER(P640),I640*P640,"")</f>
        <v/>
      </c>
      <c r="R640" s="23" t="n">
        <f aca="false">IF(ISNUMBER(Q640),MAX(0,MIN(L640,Q640-I640*K640)),L640)</f>
        <v>151.392327824613</v>
      </c>
      <c r="S640" s="23" t="n">
        <f aca="false">R640+I640*K640</f>
        <v>458.192327824613</v>
      </c>
      <c r="T640" s="23" t="n">
        <v>5032.3</v>
      </c>
      <c r="U640" s="23" t="n">
        <v>0</v>
      </c>
      <c r="V640" s="23" t="n">
        <f aca="false">T640+U640</f>
        <v>5032.3</v>
      </c>
      <c r="W640" s="30" t="n">
        <f aca="false">IF(I640&gt;0,V640/I640,"")</f>
        <v>16.4025423728814</v>
      </c>
      <c r="X640" s="3" t="str">
        <f aca="false">IF(I640&lt;=0,"SIN FCST",IF(V640&lt;R640,"BAJO SS",IF(T640&lt;R640,"BAJO SS (XLIB CUBRE)",IF(V640&lt;S640,"BAJO P.REORDEN",IF(AND(ISNUMBER(Q640),V640&gt;Q640),"SOBRE MAX VENDIBLE","OK")))))</f>
        <v>OK</v>
      </c>
    </row>
    <row r="641" customFormat="false" ht="15" hidden="false" customHeight="false" outlineLevel="0" collapsed="false">
      <c r="A641" s="3" t="n">
        <v>30000847</v>
      </c>
      <c r="B641" s="3" t="s">
        <v>1194</v>
      </c>
      <c r="C641" s="3" t="s">
        <v>133</v>
      </c>
      <c r="D641" s="3" t="s">
        <v>769</v>
      </c>
      <c r="E641" s="3"/>
      <c r="F641" s="3" t="str">
        <f aca="false">IFERROR(INDEX(ABC_XYZ!$L$5:$L$494,MATCH(A641,ABC_XYZ!$A$5:$A$494,0)),"SIN HIST")</f>
        <v>SIN HIST</v>
      </c>
      <c r="G641" s="24" t="n">
        <f aca="false">IF(LEFT(F641,1)="A",Parametros!$B$8,IF(LEFT(F641,1)="B",Parametros!$B$9,IF(LEFT(F641,1)="C",Parametros!$B$10,Parametros!$B$11)))</f>
        <v>0.95</v>
      </c>
      <c r="H641" s="27" t="n">
        <f aca="false">NORMSINV(G641)</f>
        <v>1.64485362695147</v>
      </c>
      <c r="I641" s="23" t="n">
        <v>305.8</v>
      </c>
      <c r="J641" s="23" t="n">
        <f aca="false">IFERROR(INDEX(ABC_XYZ!$R$5:$R$494,MATCH(A641,ABC_XYZ!$A$5:$A$494,0)),I641*Parametros!$B$13)</f>
        <v>91.74</v>
      </c>
      <c r="K641" s="27" t="n">
        <f aca="false">IFERROR(VLOOKUP(C641,Parametros!$A$36:$B$66,2,FALSE()),Parametros!$B$12)</f>
        <v>1</v>
      </c>
      <c r="L641" s="23" t="n">
        <f aca="false">H641*J641*SQRT(K641)</f>
        <v>150.898871736528</v>
      </c>
      <c r="M641" s="29"/>
      <c r="N641" s="24"/>
      <c r="O641" s="3"/>
      <c r="P641" s="30" t="str">
        <f aca="false">IF(AND(ISNUMBER(M641),ISNUMBER(N641)),M641*N641/7,"")</f>
        <v/>
      </c>
      <c r="Q641" s="23" t="str">
        <f aca="false">IF(ISNUMBER(P641),I641*P641,"")</f>
        <v/>
      </c>
      <c r="R641" s="23" t="n">
        <f aca="false">IF(ISNUMBER(Q641),MAX(0,MIN(L641,Q641-I641*K641)),L641)</f>
        <v>150.898871736528</v>
      </c>
      <c r="S641" s="23" t="n">
        <f aca="false">R641+I641*K641</f>
        <v>456.698871736528</v>
      </c>
      <c r="T641" s="23" t="n">
        <v>2020</v>
      </c>
      <c r="U641" s="23" t="n">
        <v>0</v>
      </c>
      <c r="V641" s="23" t="n">
        <f aca="false">T641+U641</f>
        <v>2020</v>
      </c>
      <c r="W641" s="30" t="n">
        <f aca="false">IF(I641&gt;0,V641/I641,"")</f>
        <v>6.6056245912361</v>
      </c>
      <c r="X641" s="3" t="str">
        <f aca="false">IF(I641&lt;=0,"SIN FCST",IF(V641&lt;R641,"BAJO SS",IF(T641&lt;R641,"BAJO SS (XLIB CUBRE)",IF(V641&lt;S641,"BAJO P.REORDEN",IF(AND(ISNUMBER(Q641),V641&gt;Q641),"SOBRE MAX VENDIBLE","OK")))))</f>
        <v>OK</v>
      </c>
    </row>
    <row r="642" customFormat="false" ht="15" hidden="false" customHeight="false" outlineLevel="0" collapsed="false">
      <c r="A642" s="3" t="n">
        <v>30002079</v>
      </c>
      <c r="B642" s="3" t="s">
        <v>1195</v>
      </c>
      <c r="C642" s="3" t="s">
        <v>133</v>
      </c>
      <c r="D642" s="3" t="s">
        <v>769</v>
      </c>
      <c r="E642" s="3"/>
      <c r="F642" s="3" t="str">
        <f aca="false">IFERROR(INDEX(ABC_XYZ!$L$5:$L$494,MATCH(A642,ABC_XYZ!$A$5:$A$494,0)),"SIN HIST")</f>
        <v>SIN HIST</v>
      </c>
      <c r="G642" s="24" t="n">
        <f aca="false">IF(LEFT(F642,1)="A",Parametros!$B$8,IF(LEFT(F642,1)="B",Parametros!$B$9,IF(LEFT(F642,1)="C",Parametros!$B$10,Parametros!$B$11)))</f>
        <v>0.95</v>
      </c>
      <c r="H642" s="27" t="n">
        <f aca="false">NORMSINV(G642)</f>
        <v>1.64485362695147</v>
      </c>
      <c r="I642" s="23" t="n">
        <v>302.3</v>
      </c>
      <c r="J642" s="23" t="n">
        <f aca="false">IFERROR(INDEX(ABC_XYZ!$R$5:$R$494,MATCH(A642,ABC_XYZ!$A$5:$A$494,0)),I642*Parametros!$B$13)</f>
        <v>90.69</v>
      </c>
      <c r="K642" s="27" t="n">
        <f aca="false">IFERROR(VLOOKUP(C642,Parametros!$A$36:$B$66,2,FALSE()),Parametros!$B$12)</f>
        <v>1</v>
      </c>
      <c r="L642" s="23" t="n">
        <f aca="false">H642*J642*SQRT(K642)</f>
        <v>149.171775428229</v>
      </c>
      <c r="M642" s="29"/>
      <c r="N642" s="24"/>
      <c r="O642" s="3"/>
      <c r="P642" s="30" t="str">
        <f aca="false">IF(AND(ISNUMBER(M642),ISNUMBER(N642)),M642*N642/7,"")</f>
        <v/>
      </c>
      <c r="Q642" s="23" t="str">
        <f aca="false">IF(ISNUMBER(P642),I642*P642,"")</f>
        <v/>
      </c>
      <c r="R642" s="23" t="n">
        <f aca="false">IF(ISNUMBER(Q642),MAX(0,MIN(L642,Q642-I642*K642)),L642)</f>
        <v>149.171775428229</v>
      </c>
      <c r="S642" s="23" t="n">
        <f aca="false">R642+I642*K642</f>
        <v>451.471775428229</v>
      </c>
      <c r="T642" s="23" t="n">
        <v>2525.6</v>
      </c>
      <c r="U642" s="23" t="n">
        <v>0</v>
      </c>
      <c r="V642" s="23" t="n">
        <f aca="false">T642+U642</f>
        <v>2525.6</v>
      </c>
      <c r="W642" s="30" t="n">
        <f aca="false">IF(I642&gt;0,V642/I642,"")</f>
        <v>8.35461462123718</v>
      </c>
      <c r="X642" s="3" t="str">
        <f aca="false">IF(I642&lt;=0,"SIN FCST",IF(V642&lt;R642,"BAJO SS",IF(T642&lt;R642,"BAJO SS (XLIB CUBRE)",IF(V642&lt;S642,"BAJO P.REORDEN",IF(AND(ISNUMBER(Q642),V642&gt;Q642),"SOBRE MAX VENDIBLE","OK")))))</f>
        <v>OK</v>
      </c>
    </row>
    <row r="643" customFormat="false" ht="15" hidden="false" customHeight="false" outlineLevel="0" collapsed="false">
      <c r="A643" s="3" t="n">
        <v>30001005</v>
      </c>
      <c r="B643" s="3" t="s">
        <v>1196</v>
      </c>
      <c r="C643" s="3" t="s">
        <v>133</v>
      </c>
      <c r="D643" s="3" t="s">
        <v>758</v>
      </c>
      <c r="E643" s="3"/>
      <c r="F643" s="3" t="str">
        <f aca="false">IFERROR(INDEX(ABC_XYZ!$L$5:$L$494,MATCH(A643,ABC_XYZ!$A$5:$A$494,0)),"SIN HIST")</f>
        <v>SIN HIST</v>
      </c>
      <c r="G643" s="24" t="n">
        <f aca="false">IF(LEFT(F643,1)="A",Parametros!$B$8,IF(LEFT(F643,1)="B",Parametros!$B$9,IF(LEFT(F643,1)="C",Parametros!$B$10,Parametros!$B$11)))</f>
        <v>0.95</v>
      </c>
      <c r="H643" s="27" t="n">
        <f aca="false">NORMSINV(G643)</f>
        <v>1.64485362695147</v>
      </c>
      <c r="I643" s="23" t="n">
        <v>294.9</v>
      </c>
      <c r="J643" s="23" t="n">
        <f aca="false">IFERROR(INDEX(ABC_XYZ!$R$5:$R$494,MATCH(A643,ABC_XYZ!$A$5:$A$494,0)),I643*Parametros!$B$13)</f>
        <v>88.47</v>
      </c>
      <c r="K643" s="27" t="n">
        <f aca="false">IFERROR(VLOOKUP(C643,Parametros!$A$36:$B$66,2,FALSE()),Parametros!$B$12)</f>
        <v>1</v>
      </c>
      <c r="L643" s="23" t="n">
        <f aca="false">H643*J643*SQRT(K643)</f>
        <v>145.520200376397</v>
      </c>
      <c r="M643" s="29"/>
      <c r="N643" s="24"/>
      <c r="O643" s="3"/>
      <c r="P643" s="30" t="str">
        <f aca="false">IF(AND(ISNUMBER(M643),ISNUMBER(N643)),M643*N643/7,"")</f>
        <v/>
      </c>
      <c r="Q643" s="23" t="str">
        <f aca="false">IF(ISNUMBER(P643),I643*P643,"")</f>
        <v/>
      </c>
      <c r="R643" s="23" t="n">
        <f aca="false">IF(ISNUMBER(Q643),MAX(0,MIN(L643,Q643-I643*K643)),L643)</f>
        <v>145.520200376397</v>
      </c>
      <c r="S643" s="23" t="n">
        <f aca="false">R643+I643*K643</f>
        <v>440.420200376397</v>
      </c>
      <c r="T643" s="23" t="n">
        <v>3078</v>
      </c>
      <c r="U643" s="23" t="n">
        <v>0</v>
      </c>
      <c r="V643" s="23" t="n">
        <f aca="false">T643+U643</f>
        <v>3078</v>
      </c>
      <c r="W643" s="30" t="n">
        <f aca="false">IF(I643&gt;0,V643/I643,"")</f>
        <v>10.4374364191251</v>
      </c>
      <c r="X643" s="3" t="str">
        <f aca="false">IF(I643&lt;=0,"SIN FCST",IF(V643&lt;R643,"BAJO SS",IF(T643&lt;R643,"BAJO SS (XLIB CUBRE)",IF(V643&lt;S643,"BAJO P.REORDEN",IF(AND(ISNUMBER(Q643),V643&gt;Q643),"SOBRE MAX VENDIBLE","OK")))))</f>
        <v>OK</v>
      </c>
    </row>
    <row r="644" customFormat="false" ht="15" hidden="false" customHeight="false" outlineLevel="0" collapsed="false">
      <c r="A644" s="3" t="n">
        <v>30002045</v>
      </c>
      <c r="B644" s="3" t="s">
        <v>1197</v>
      </c>
      <c r="C644" s="3" t="s">
        <v>133</v>
      </c>
      <c r="D644" s="3" t="s">
        <v>769</v>
      </c>
      <c r="E644" s="3"/>
      <c r="F644" s="3" t="str">
        <f aca="false">IFERROR(INDEX(ABC_XYZ!$L$5:$L$494,MATCH(A644,ABC_XYZ!$A$5:$A$494,0)),"SIN HIST")</f>
        <v>SIN HIST</v>
      </c>
      <c r="G644" s="24" t="n">
        <f aca="false">IF(LEFT(F644,1)="A",Parametros!$B$8,IF(LEFT(F644,1)="B",Parametros!$B$9,IF(LEFT(F644,1)="C",Parametros!$B$10,Parametros!$B$11)))</f>
        <v>0.95</v>
      </c>
      <c r="H644" s="27" t="n">
        <f aca="false">NORMSINV(G644)</f>
        <v>1.64485362695147</v>
      </c>
      <c r="I644" s="23" t="n">
        <v>263.2</v>
      </c>
      <c r="J644" s="23" t="n">
        <f aca="false">IFERROR(INDEX(ABC_XYZ!$R$5:$R$494,MATCH(A644,ABC_XYZ!$A$5:$A$494,0)),I644*Parametros!$B$13)</f>
        <v>78.96</v>
      </c>
      <c r="K644" s="27" t="n">
        <f aca="false">IFERROR(VLOOKUP(C644,Parametros!$A$36:$B$66,2,FALSE()),Parametros!$B$12)</f>
        <v>1</v>
      </c>
      <c r="L644" s="23" t="n">
        <f aca="false">H644*J644*SQRT(K644)</f>
        <v>129.877642384088</v>
      </c>
      <c r="M644" s="29"/>
      <c r="N644" s="24"/>
      <c r="O644" s="3"/>
      <c r="P644" s="30" t="str">
        <f aca="false">IF(AND(ISNUMBER(M644),ISNUMBER(N644)),M644*N644/7,"")</f>
        <v/>
      </c>
      <c r="Q644" s="23" t="str">
        <f aca="false">IF(ISNUMBER(P644),I644*P644,"")</f>
        <v/>
      </c>
      <c r="R644" s="23" t="n">
        <f aca="false">IF(ISNUMBER(Q644),MAX(0,MIN(L644,Q644-I644*K644)),L644)</f>
        <v>129.877642384088</v>
      </c>
      <c r="S644" s="23" t="n">
        <f aca="false">R644+I644*K644</f>
        <v>393.077642384088</v>
      </c>
      <c r="T644" s="23" t="n">
        <v>1981.1</v>
      </c>
      <c r="U644" s="23" t="n">
        <v>0</v>
      </c>
      <c r="V644" s="23" t="n">
        <f aca="false">T644+U644</f>
        <v>1981.1</v>
      </c>
      <c r="W644" s="30" t="n">
        <f aca="false">IF(I644&gt;0,V644/I644,"")</f>
        <v>7.52697568389058</v>
      </c>
      <c r="X644" s="3" t="str">
        <f aca="false">IF(I644&lt;=0,"SIN FCST",IF(V644&lt;R644,"BAJO SS",IF(T644&lt;R644,"BAJO SS (XLIB CUBRE)",IF(V644&lt;S644,"BAJO P.REORDEN",IF(AND(ISNUMBER(Q644),V644&gt;Q644),"SOBRE MAX VENDIBLE","OK")))))</f>
        <v>OK</v>
      </c>
    </row>
    <row r="645" customFormat="false" ht="15" hidden="false" customHeight="false" outlineLevel="0" collapsed="false">
      <c r="A645" s="3" t="n">
        <v>30000973</v>
      </c>
      <c r="B645" s="3" t="s">
        <v>1198</v>
      </c>
      <c r="C645" s="3" t="s">
        <v>133</v>
      </c>
      <c r="D645" s="3" t="s">
        <v>758</v>
      </c>
      <c r="E645" s="3"/>
      <c r="F645" s="3" t="str">
        <f aca="false">IFERROR(INDEX(ABC_XYZ!$L$5:$L$494,MATCH(A645,ABC_XYZ!$A$5:$A$494,0)),"SIN HIST")</f>
        <v>SIN HIST</v>
      </c>
      <c r="G645" s="24" t="n">
        <f aca="false">IF(LEFT(F645,1)="A",Parametros!$B$8,IF(LEFT(F645,1)="B",Parametros!$B$9,IF(LEFT(F645,1)="C",Parametros!$B$10,Parametros!$B$11)))</f>
        <v>0.95</v>
      </c>
      <c r="H645" s="27" t="n">
        <f aca="false">NORMSINV(G645)</f>
        <v>1.64485362695147</v>
      </c>
      <c r="I645" s="23" t="n">
        <v>262.5</v>
      </c>
      <c r="J645" s="23" t="n">
        <f aca="false">IFERROR(INDEX(ABC_XYZ!$R$5:$R$494,MATCH(A645,ABC_XYZ!$A$5:$A$494,0)),I645*Parametros!$B$13)</f>
        <v>78.75</v>
      </c>
      <c r="K645" s="27" t="n">
        <f aca="false">IFERROR(VLOOKUP(C645,Parametros!$A$36:$B$66,2,FALSE()),Parametros!$B$12)</f>
        <v>1</v>
      </c>
      <c r="L645" s="23" t="n">
        <f aca="false">H645*J645*SQRT(K645)</f>
        <v>129.532223122428</v>
      </c>
      <c r="M645" s="29"/>
      <c r="N645" s="24"/>
      <c r="O645" s="3"/>
      <c r="P645" s="30" t="str">
        <f aca="false">IF(AND(ISNUMBER(M645),ISNUMBER(N645)),M645*N645/7,"")</f>
        <v/>
      </c>
      <c r="Q645" s="23" t="str">
        <f aca="false">IF(ISNUMBER(P645),I645*P645,"")</f>
        <v/>
      </c>
      <c r="R645" s="23" t="n">
        <f aca="false">IF(ISNUMBER(Q645),MAX(0,MIN(L645,Q645-I645*K645)),L645)</f>
        <v>129.532223122428</v>
      </c>
      <c r="S645" s="23" t="n">
        <f aca="false">R645+I645*K645</f>
        <v>392.032223122428</v>
      </c>
      <c r="T645" s="23" t="n">
        <v>3424</v>
      </c>
      <c r="U645" s="23" t="n">
        <v>0</v>
      </c>
      <c r="V645" s="23" t="n">
        <f aca="false">T645+U645</f>
        <v>3424</v>
      </c>
      <c r="W645" s="30" t="n">
        <f aca="false">IF(I645&gt;0,V645/I645,"")</f>
        <v>13.0438095238095</v>
      </c>
      <c r="X645" s="3" t="str">
        <f aca="false">IF(I645&lt;=0,"SIN FCST",IF(V645&lt;R645,"BAJO SS",IF(T645&lt;R645,"BAJO SS (XLIB CUBRE)",IF(V645&lt;S645,"BAJO P.REORDEN",IF(AND(ISNUMBER(Q645),V645&gt;Q645),"SOBRE MAX VENDIBLE","OK")))))</f>
        <v>OK</v>
      </c>
    </row>
    <row r="646" customFormat="false" ht="15" hidden="false" customHeight="false" outlineLevel="0" collapsed="false">
      <c r="A646" s="3" t="n">
        <v>30000665</v>
      </c>
      <c r="B646" s="3" t="s">
        <v>1199</v>
      </c>
      <c r="C646" s="3" t="s">
        <v>129</v>
      </c>
      <c r="D646" s="3" t="s">
        <v>753</v>
      </c>
      <c r="E646" s="3" t="s">
        <v>745</v>
      </c>
      <c r="F646" s="3" t="str">
        <f aca="false">IFERROR(INDEX(ABC_XYZ!$L$5:$L$494,MATCH(A646,ABC_XYZ!$A$5:$A$494,0)),"SIN HIST")</f>
        <v>CY</v>
      </c>
      <c r="G646" s="24" t="n">
        <f aca="false">IF(LEFT(F646,1)="A",Parametros!$B$8,IF(LEFT(F646,1)="B",Parametros!$B$9,IF(LEFT(F646,1)="C",Parametros!$B$10,Parametros!$B$11)))</f>
        <v>0.9</v>
      </c>
      <c r="H646" s="27" t="n">
        <f aca="false">NORMSINV(G646)</f>
        <v>1.2815515655446</v>
      </c>
      <c r="I646" s="23" t="n">
        <v>256.8</v>
      </c>
      <c r="J646" s="23" t="n">
        <f aca="false">IFERROR(INDEX(ABC_XYZ!$R$5:$R$494,MATCH(A646,ABC_XYZ!$A$5:$A$494,0)),I646*Parametros!$B$13)</f>
        <v>268.021896617919</v>
      </c>
      <c r="K646" s="27" t="n">
        <f aca="false">IFERROR(VLOOKUP(C646,Parametros!$A$36:$B$66,2,FALSE()),Parametros!$B$12)</f>
        <v>1</v>
      </c>
      <c r="L646" s="23" t="n">
        <f aca="false">H646*J646*SQRT(K646)</f>
        <v>343.483881210928</v>
      </c>
      <c r="M646" s="29" t="n">
        <v>730</v>
      </c>
      <c r="N646" s="24" t="n">
        <v>0.328767123287671</v>
      </c>
      <c r="O646" s="3" t="s">
        <v>772</v>
      </c>
      <c r="P646" s="30" t="n">
        <f aca="false">IF(AND(ISNUMBER(M646),ISNUMBER(N646)),M646*N646/7,"")</f>
        <v>34.2857142857143</v>
      </c>
      <c r="Q646" s="23" t="n">
        <f aca="false">IF(ISNUMBER(P646),I646*P646,"")</f>
        <v>8804.57142857143</v>
      </c>
      <c r="R646" s="23" t="n">
        <f aca="false">IF(ISNUMBER(Q646),MAX(0,MIN(L646,Q646-I646*K646)),L646)</f>
        <v>343.483881210928</v>
      </c>
      <c r="S646" s="23" t="n">
        <f aca="false">R646+I646*K646</f>
        <v>600.283881210928</v>
      </c>
      <c r="T646" s="23" t="n">
        <v>3988.5</v>
      </c>
      <c r="U646" s="23" t="n">
        <v>0</v>
      </c>
      <c r="V646" s="23" t="n">
        <f aca="false">T646+U646</f>
        <v>3988.5</v>
      </c>
      <c r="W646" s="30" t="n">
        <f aca="false">IF(I646&gt;0,V646/I646,"")</f>
        <v>15.5315420560748</v>
      </c>
      <c r="X646" s="3" t="str">
        <f aca="false">IF(I646&lt;=0,"SIN FCST",IF(V646&lt;R646,"BAJO SS",IF(T646&lt;R646,"BAJO SS (XLIB CUBRE)",IF(V646&lt;S646,"BAJO P.REORDEN",IF(AND(ISNUMBER(Q646),V646&gt;Q646),"SOBRE MAX VENDIBLE","OK")))))</f>
        <v>OK</v>
      </c>
    </row>
    <row r="647" customFormat="false" ht="15" hidden="false" customHeight="false" outlineLevel="0" collapsed="false">
      <c r="A647" s="3" t="n">
        <v>30001036</v>
      </c>
      <c r="B647" s="3" t="s">
        <v>1200</v>
      </c>
      <c r="C647" s="3" t="s">
        <v>155</v>
      </c>
      <c r="D647" s="3" t="s">
        <v>761</v>
      </c>
      <c r="E647" s="3" t="s">
        <v>762</v>
      </c>
      <c r="F647" s="3" t="str">
        <f aca="false">IFERROR(INDEX(ABC_XYZ!$L$5:$L$494,MATCH(A647,ABC_XYZ!$A$5:$A$494,0)),"SIN HIST")</f>
        <v>CX</v>
      </c>
      <c r="G647" s="24" t="n">
        <f aca="false">IF(LEFT(F647,1)="A",Parametros!$B$8,IF(LEFT(F647,1)="B",Parametros!$B$9,IF(LEFT(F647,1)="C",Parametros!$B$10,Parametros!$B$11)))</f>
        <v>0.9</v>
      </c>
      <c r="H647" s="27" t="n">
        <f aca="false">NORMSINV(G647)</f>
        <v>1.2815515655446</v>
      </c>
      <c r="I647" s="23" t="n">
        <v>253.8</v>
      </c>
      <c r="J647" s="23" t="n">
        <f aca="false">IFERROR(INDEX(ABC_XYZ!$R$5:$R$494,MATCH(A647,ABC_XYZ!$A$5:$A$494,0)),I647*Parametros!$B$13)</f>
        <v>257.043116348206</v>
      </c>
      <c r="K647" s="27" t="n">
        <f aca="false">IFERROR(VLOOKUP(C647,Parametros!$A$36:$B$66,2,FALSE()),Parametros!$B$12)</f>
        <v>1</v>
      </c>
      <c r="L647" s="23" t="n">
        <f aca="false">H647*J647*SQRT(K647)</f>
        <v>329.414008168507</v>
      </c>
      <c r="M647" s="29" t="n">
        <v>62</v>
      </c>
      <c r="N647" s="24" t="n">
        <v>0.193548387096774</v>
      </c>
      <c r="O647" s="3" t="s">
        <v>774</v>
      </c>
      <c r="P647" s="30" t="n">
        <f aca="false">IF(AND(ISNUMBER(M647),ISNUMBER(N647)),M647*N647/7,"")</f>
        <v>1.71428571428571</v>
      </c>
      <c r="Q647" s="23" t="n">
        <f aca="false">IF(ISNUMBER(P647),I647*P647,"")</f>
        <v>435.085714285714</v>
      </c>
      <c r="R647" s="23" t="n">
        <f aca="false">IF(ISNUMBER(Q647),MAX(0,MIN(L647,Q647-I647*K647)),L647)</f>
        <v>181.285714285714</v>
      </c>
      <c r="S647" s="23" t="n">
        <f aca="false">R647+I647*K647</f>
        <v>435.085714285714</v>
      </c>
      <c r="T647" s="23" t="n">
        <v>1279.8</v>
      </c>
      <c r="U647" s="23" t="n">
        <v>0</v>
      </c>
      <c r="V647" s="23" t="n">
        <f aca="false">T647+U647</f>
        <v>1279.8</v>
      </c>
      <c r="W647" s="30" t="n">
        <f aca="false">IF(I647&gt;0,V647/I647,"")</f>
        <v>5.04255319148936</v>
      </c>
      <c r="X647" s="3" t="str">
        <f aca="false">IF(I647&lt;=0,"SIN FCST",IF(V647&lt;R647,"BAJO SS",IF(T647&lt;R647,"BAJO SS (XLIB CUBRE)",IF(V647&lt;S647,"BAJO P.REORDEN",IF(AND(ISNUMBER(Q647),V647&gt;Q647),"SOBRE MAX VENDIBLE","OK")))))</f>
        <v>SOBRE MAX VENDIBLE</v>
      </c>
    </row>
    <row r="648" customFormat="false" ht="15" hidden="false" customHeight="false" outlineLevel="0" collapsed="false">
      <c r="A648" s="3" t="n">
        <v>30002102</v>
      </c>
      <c r="B648" s="3" t="s">
        <v>1201</v>
      </c>
      <c r="C648" s="3" t="s">
        <v>133</v>
      </c>
      <c r="D648" s="3" t="s">
        <v>769</v>
      </c>
      <c r="E648" s="3"/>
      <c r="F648" s="3" t="str">
        <f aca="false">IFERROR(INDEX(ABC_XYZ!$L$5:$L$494,MATCH(A648,ABC_XYZ!$A$5:$A$494,0)),"SIN HIST")</f>
        <v>SIN HIST</v>
      </c>
      <c r="G648" s="24" t="n">
        <f aca="false">IF(LEFT(F648,1)="A",Parametros!$B$8,IF(LEFT(F648,1)="B",Parametros!$B$9,IF(LEFT(F648,1)="C",Parametros!$B$10,Parametros!$B$11)))</f>
        <v>0.95</v>
      </c>
      <c r="H648" s="27" t="n">
        <f aca="false">NORMSINV(G648)</f>
        <v>1.64485362695147</v>
      </c>
      <c r="I648" s="23" t="n">
        <v>244.2</v>
      </c>
      <c r="J648" s="23" t="n">
        <f aca="false">IFERROR(INDEX(ABC_XYZ!$R$5:$R$494,MATCH(A648,ABC_XYZ!$A$5:$A$494,0)),I648*Parametros!$B$13)</f>
        <v>73.26</v>
      </c>
      <c r="K648" s="27" t="n">
        <f aca="false">IFERROR(VLOOKUP(C648,Parametros!$A$36:$B$66,2,FALSE()),Parametros!$B$12)</f>
        <v>1</v>
      </c>
      <c r="L648" s="23" t="n">
        <f aca="false">H648*J648*SQRT(K648)</f>
        <v>120.501976710465</v>
      </c>
      <c r="M648" s="29"/>
      <c r="N648" s="24"/>
      <c r="O648" s="3"/>
      <c r="P648" s="30" t="str">
        <f aca="false">IF(AND(ISNUMBER(M648),ISNUMBER(N648)),M648*N648/7,"")</f>
        <v/>
      </c>
      <c r="Q648" s="23" t="str">
        <f aca="false">IF(ISNUMBER(P648),I648*P648,"")</f>
        <v/>
      </c>
      <c r="R648" s="23" t="n">
        <f aca="false">IF(ISNUMBER(Q648),MAX(0,MIN(L648,Q648-I648*K648)),L648)</f>
        <v>120.501976710465</v>
      </c>
      <c r="S648" s="23" t="n">
        <f aca="false">R648+I648*K648</f>
        <v>364.701976710465</v>
      </c>
      <c r="T648" s="23" t="n">
        <v>960</v>
      </c>
      <c r="U648" s="23" t="n">
        <v>0</v>
      </c>
      <c r="V648" s="23" t="n">
        <f aca="false">T648+U648</f>
        <v>960</v>
      </c>
      <c r="W648" s="30" t="n">
        <f aca="false">IF(I648&gt;0,V648/I648,"")</f>
        <v>3.93120393120393</v>
      </c>
      <c r="X648" s="3" t="str">
        <f aca="false">IF(I648&lt;=0,"SIN FCST",IF(V648&lt;R648,"BAJO SS",IF(T648&lt;R648,"BAJO SS (XLIB CUBRE)",IF(V648&lt;S648,"BAJO P.REORDEN",IF(AND(ISNUMBER(Q648),V648&gt;Q648),"SOBRE MAX VENDIBLE","OK")))))</f>
        <v>OK</v>
      </c>
    </row>
    <row r="649" customFormat="false" ht="15" hidden="false" customHeight="false" outlineLevel="0" collapsed="false">
      <c r="A649" s="3" t="n">
        <v>30002163</v>
      </c>
      <c r="B649" s="3" t="s">
        <v>630</v>
      </c>
      <c r="C649" s="3" t="s">
        <v>149</v>
      </c>
      <c r="D649" s="3"/>
      <c r="E649" s="3" t="s">
        <v>762</v>
      </c>
      <c r="F649" s="3" t="str">
        <f aca="false">IFERROR(INDEX(ABC_XYZ!$L$5:$L$494,MATCH(A649,ABC_XYZ!$A$5:$A$494,0)),"SIN HIST")</f>
        <v>CX</v>
      </c>
      <c r="G649" s="24" t="n">
        <f aca="false">IF(LEFT(F649,1)="A",Parametros!$B$8,IF(LEFT(F649,1)="B",Parametros!$B$9,IF(LEFT(F649,1)="C",Parametros!$B$10,Parametros!$B$11)))</f>
        <v>0.9</v>
      </c>
      <c r="H649" s="27" t="n">
        <f aca="false">NORMSINV(G649)</f>
        <v>1.2815515655446</v>
      </c>
      <c r="I649" s="23" t="n">
        <v>240</v>
      </c>
      <c r="J649" s="23" t="n">
        <f aca="false">IFERROR(INDEX(ABC_XYZ!$R$5:$R$494,MATCH(A649,ABC_XYZ!$A$5:$A$494,0)),I649*Parametros!$B$13)</f>
        <v>154.630333857355</v>
      </c>
      <c r="K649" s="27" t="n">
        <f aca="false">IFERROR(VLOOKUP(C649,Parametros!$A$36:$B$66,2,FALSE()),Parametros!$B$12)</f>
        <v>1</v>
      </c>
      <c r="L649" s="23" t="n">
        <f aca="false">H649*J649*SQRT(K649)</f>
        <v>198.166746435578</v>
      </c>
      <c r="M649" s="29" t="n">
        <v>180</v>
      </c>
      <c r="N649" s="24" t="n">
        <v>0.211111111111111</v>
      </c>
      <c r="O649" s="3" t="s">
        <v>754</v>
      </c>
      <c r="P649" s="30" t="n">
        <f aca="false">IF(AND(ISNUMBER(M649),ISNUMBER(N649)),M649*N649/7,"")</f>
        <v>5.42857142857143</v>
      </c>
      <c r="Q649" s="23" t="n">
        <f aca="false">IF(ISNUMBER(P649),I649*P649,"")</f>
        <v>1302.85714285714</v>
      </c>
      <c r="R649" s="23" t="n">
        <f aca="false">IF(ISNUMBER(Q649),MAX(0,MIN(L649,Q649-I649*K649)),L649)</f>
        <v>198.166746435578</v>
      </c>
      <c r="S649" s="23" t="n">
        <f aca="false">R649+I649*K649</f>
        <v>438.166746435578</v>
      </c>
      <c r="T649" s="23" t="n">
        <v>345.6</v>
      </c>
      <c r="U649" s="23" t="n">
        <v>540.8</v>
      </c>
      <c r="V649" s="23" t="n">
        <f aca="false">T649+U649</f>
        <v>886.4</v>
      </c>
      <c r="W649" s="30" t="n">
        <f aca="false">IF(I649&gt;0,V649/I649,"")</f>
        <v>3.69333333333333</v>
      </c>
      <c r="X649" s="3" t="str">
        <f aca="false">IF(I649&lt;=0,"SIN FCST",IF(V649&lt;R649,"BAJO SS",IF(T649&lt;R649,"BAJO SS (XLIB CUBRE)",IF(V649&lt;S649,"BAJO P.REORDEN",IF(AND(ISNUMBER(Q649),V649&gt;Q649),"SOBRE MAX VENDIBLE","OK")))))</f>
        <v>OK</v>
      </c>
    </row>
    <row r="650" customFormat="false" ht="15" hidden="false" customHeight="false" outlineLevel="0" collapsed="false">
      <c r="A650" s="3" t="n">
        <v>30002181</v>
      </c>
      <c r="B650" s="3" t="s">
        <v>1202</v>
      </c>
      <c r="C650" s="3" t="s">
        <v>133</v>
      </c>
      <c r="D650" s="3" t="s">
        <v>1203</v>
      </c>
      <c r="E650" s="3"/>
      <c r="F650" s="3" t="str">
        <f aca="false">IFERROR(INDEX(ABC_XYZ!$L$5:$L$494,MATCH(A650,ABC_XYZ!$A$5:$A$494,0)),"SIN HIST")</f>
        <v>SIN HIST</v>
      </c>
      <c r="G650" s="24" t="n">
        <f aca="false">IF(LEFT(F650,1)="A",Parametros!$B$8,IF(LEFT(F650,1)="B",Parametros!$B$9,IF(LEFT(F650,1)="C",Parametros!$B$10,Parametros!$B$11)))</f>
        <v>0.95</v>
      </c>
      <c r="H650" s="27" t="n">
        <f aca="false">NORMSINV(G650)</f>
        <v>1.64485362695147</v>
      </c>
      <c r="I650" s="23" t="n">
        <v>232.6</v>
      </c>
      <c r="J650" s="23" t="n">
        <f aca="false">IFERROR(INDEX(ABC_XYZ!$R$5:$R$494,MATCH(A650,ABC_XYZ!$A$5:$A$494,0)),I650*Parametros!$B$13)</f>
        <v>69.78</v>
      </c>
      <c r="K650" s="27" t="n">
        <f aca="false">IFERROR(VLOOKUP(C650,Parametros!$A$36:$B$66,2,FALSE()),Parametros!$B$12)</f>
        <v>1</v>
      </c>
      <c r="L650" s="23" t="n">
        <f aca="false">H650*J650*SQRT(K650)</f>
        <v>114.777886088674</v>
      </c>
      <c r="M650" s="29"/>
      <c r="N650" s="24"/>
      <c r="O650" s="3"/>
      <c r="P650" s="30" t="str">
        <f aca="false">IF(AND(ISNUMBER(M650),ISNUMBER(N650)),M650*N650/7,"")</f>
        <v/>
      </c>
      <c r="Q650" s="23" t="str">
        <f aca="false">IF(ISNUMBER(P650),I650*P650,"")</f>
        <v/>
      </c>
      <c r="R650" s="23" t="n">
        <f aca="false">IF(ISNUMBER(Q650),MAX(0,MIN(L650,Q650-I650*K650)),L650)</f>
        <v>114.777886088674</v>
      </c>
      <c r="S650" s="23" t="n">
        <f aca="false">R650+I650*K650</f>
        <v>347.377886088674</v>
      </c>
      <c r="T650" s="23" t="n">
        <v>730.8</v>
      </c>
      <c r="U650" s="23" t="n">
        <v>0</v>
      </c>
      <c r="V650" s="23" t="n">
        <f aca="false">T650+U650</f>
        <v>730.8</v>
      </c>
      <c r="W650" s="30" t="n">
        <f aca="false">IF(I650&gt;0,V650/I650,"")</f>
        <v>3.14187446259673</v>
      </c>
      <c r="X650" s="3" t="str">
        <f aca="false">IF(I650&lt;=0,"SIN FCST",IF(V650&lt;R650,"BAJO SS",IF(T650&lt;R650,"BAJO SS (XLIB CUBRE)",IF(V650&lt;S650,"BAJO P.REORDEN",IF(AND(ISNUMBER(Q650),V650&gt;Q650),"SOBRE MAX VENDIBLE","OK")))))</f>
        <v>OK</v>
      </c>
    </row>
    <row r="651" customFormat="false" ht="15" hidden="false" customHeight="false" outlineLevel="0" collapsed="false">
      <c r="A651" s="3" t="n">
        <v>30002128</v>
      </c>
      <c r="B651" s="3" t="s">
        <v>1204</v>
      </c>
      <c r="C651" s="3" t="s">
        <v>143</v>
      </c>
      <c r="D651" s="3" t="s">
        <v>769</v>
      </c>
      <c r="E651" s="3"/>
      <c r="F651" s="3" t="str">
        <f aca="false">IFERROR(INDEX(ABC_XYZ!$L$5:$L$494,MATCH(A651,ABC_XYZ!$A$5:$A$494,0)),"SIN HIST")</f>
        <v>SIN HIST</v>
      </c>
      <c r="G651" s="24" t="n">
        <f aca="false">IF(LEFT(F651,1)="A",Parametros!$B$8,IF(LEFT(F651,1)="B",Parametros!$B$9,IF(LEFT(F651,1)="C",Parametros!$B$10,Parametros!$B$11)))</f>
        <v>0.95</v>
      </c>
      <c r="H651" s="27" t="n">
        <f aca="false">NORMSINV(G651)</f>
        <v>1.64485362695147</v>
      </c>
      <c r="I651" s="23" t="n">
        <v>232.6</v>
      </c>
      <c r="J651" s="23" t="n">
        <f aca="false">IFERROR(INDEX(ABC_XYZ!$R$5:$R$494,MATCH(A651,ABC_XYZ!$A$5:$A$494,0)),I651*Parametros!$B$13)</f>
        <v>69.78</v>
      </c>
      <c r="K651" s="27" t="n">
        <f aca="false">IFERROR(VLOOKUP(C651,Parametros!$A$36:$B$66,2,FALSE()),Parametros!$B$12)</f>
        <v>1</v>
      </c>
      <c r="L651" s="23" t="n">
        <f aca="false">H651*J651*SQRT(K651)</f>
        <v>114.777886088674</v>
      </c>
      <c r="M651" s="29"/>
      <c r="N651" s="24"/>
      <c r="O651" s="3"/>
      <c r="P651" s="30" t="str">
        <f aca="false">IF(AND(ISNUMBER(M651),ISNUMBER(N651)),M651*N651/7,"")</f>
        <v/>
      </c>
      <c r="Q651" s="23" t="str">
        <f aca="false">IF(ISNUMBER(P651),I651*P651,"")</f>
        <v/>
      </c>
      <c r="R651" s="23" t="n">
        <f aca="false">IF(ISNUMBER(Q651),MAX(0,MIN(L651,Q651-I651*K651)),L651)</f>
        <v>114.777886088674</v>
      </c>
      <c r="S651" s="23" t="n">
        <f aca="false">R651+I651*K651</f>
        <v>347.377886088674</v>
      </c>
      <c r="T651" s="23" t="n">
        <v>980</v>
      </c>
      <c r="U651" s="23" t="n">
        <v>0</v>
      </c>
      <c r="V651" s="23" t="n">
        <f aca="false">T651+U651</f>
        <v>980</v>
      </c>
      <c r="W651" s="30" t="n">
        <f aca="false">IF(I651&gt;0,V651/I651,"")</f>
        <v>4.21324161650903</v>
      </c>
      <c r="X651" s="3" t="str">
        <f aca="false">IF(I651&lt;=0,"SIN FCST",IF(V651&lt;R651,"BAJO SS",IF(T651&lt;R651,"BAJO SS (XLIB CUBRE)",IF(V651&lt;S651,"BAJO P.REORDEN",IF(AND(ISNUMBER(Q651),V651&gt;Q651),"SOBRE MAX VENDIBLE","OK")))))</f>
        <v>OK</v>
      </c>
    </row>
    <row r="652" customFormat="false" ht="15" hidden="false" customHeight="false" outlineLevel="0" collapsed="false">
      <c r="A652" s="3" t="n">
        <v>30000813</v>
      </c>
      <c r="B652" s="3" t="s">
        <v>1205</v>
      </c>
      <c r="C652" s="3" t="s">
        <v>133</v>
      </c>
      <c r="D652" s="3" t="s">
        <v>758</v>
      </c>
      <c r="E652" s="3"/>
      <c r="F652" s="3" t="str">
        <f aca="false">IFERROR(INDEX(ABC_XYZ!$L$5:$L$494,MATCH(A652,ABC_XYZ!$A$5:$A$494,0)),"SIN HIST")</f>
        <v>SIN HIST</v>
      </c>
      <c r="G652" s="24" t="n">
        <f aca="false">IF(LEFT(F652,1)="A",Parametros!$B$8,IF(LEFT(F652,1)="B",Parametros!$B$9,IF(LEFT(F652,1)="C",Parametros!$B$10,Parametros!$B$11)))</f>
        <v>0.95</v>
      </c>
      <c r="H652" s="27" t="n">
        <f aca="false">NORMSINV(G652)</f>
        <v>1.64485362695147</v>
      </c>
      <c r="I652" s="23" t="n">
        <v>232.6</v>
      </c>
      <c r="J652" s="23" t="n">
        <f aca="false">IFERROR(INDEX(ABC_XYZ!$R$5:$R$494,MATCH(A652,ABC_XYZ!$A$5:$A$494,0)),I652*Parametros!$B$13)</f>
        <v>69.78</v>
      </c>
      <c r="K652" s="27" t="n">
        <f aca="false">IFERROR(VLOOKUP(C652,Parametros!$A$36:$B$66,2,FALSE()),Parametros!$B$12)</f>
        <v>1</v>
      </c>
      <c r="L652" s="23" t="n">
        <f aca="false">H652*J652*SQRT(K652)</f>
        <v>114.777886088674</v>
      </c>
      <c r="M652" s="29"/>
      <c r="N652" s="24"/>
      <c r="O652" s="3"/>
      <c r="P652" s="30" t="str">
        <f aca="false">IF(AND(ISNUMBER(M652),ISNUMBER(N652)),M652*N652/7,"")</f>
        <v/>
      </c>
      <c r="Q652" s="23" t="str">
        <f aca="false">IF(ISNUMBER(P652),I652*P652,"")</f>
        <v/>
      </c>
      <c r="R652" s="23" t="n">
        <f aca="false">IF(ISNUMBER(Q652),MAX(0,MIN(L652,Q652-I652*K652)),L652)</f>
        <v>114.777886088674</v>
      </c>
      <c r="S652" s="23" t="n">
        <f aca="false">R652+I652*K652</f>
        <v>347.377886088674</v>
      </c>
      <c r="T652" s="23" t="n">
        <v>5712</v>
      </c>
      <c r="U652" s="23" t="n">
        <v>0</v>
      </c>
      <c r="V652" s="23" t="n">
        <f aca="false">T652+U652</f>
        <v>5712</v>
      </c>
      <c r="W652" s="30" t="n">
        <f aca="false">IF(I652&gt;0,V652/I652,"")</f>
        <v>24.5571797076526</v>
      </c>
      <c r="X652" s="3" t="str">
        <f aca="false">IF(I652&lt;=0,"SIN FCST",IF(V652&lt;R652,"BAJO SS",IF(T652&lt;R652,"BAJO SS (XLIB CUBRE)",IF(V652&lt;S652,"BAJO P.REORDEN",IF(AND(ISNUMBER(Q652),V652&gt;Q652),"SOBRE MAX VENDIBLE","OK")))))</f>
        <v>OK</v>
      </c>
    </row>
    <row r="653" customFormat="false" ht="15" hidden="false" customHeight="false" outlineLevel="0" collapsed="false">
      <c r="A653" s="3" t="n">
        <v>30002130</v>
      </c>
      <c r="B653" s="3" t="s">
        <v>1206</v>
      </c>
      <c r="C653" s="3" t="s">
        <v>143</v>
      </c>
      <c r="D653" s="3" t="s">
        <v>769</v>
      </c>
      <c r="E653" s="3"/>
      <c r="F653" s="3" t="str">
        <f aca="false">IFERROR(INDEX(ABC_XYZ!$L$5:$L$494,MATCH(A653,ABC_XYZ!$A$5:$A$494,0)),"SIN HIST")</f>
        <v>SIN HIST</v>
      </c>
      <c r="G653" s="24" t="n">
        <f aca="false">IF(LEFT(F653,1)="A",Parametros!$B$8,IF(LEFT(F653,1)="B",Parametros!$B$9,IF(LEFT(F653,1)="C",Parametros!$B$10,Parametros!$B$11)))</f>
        <v>0.95</v>
      </c>
      <c r="H653" s="27" t="n">
        <f aca="false">NORMSINV(G653)</f>
        <v>1.64485362695147</v>
      </c>
      <c r="I653" s="23" t="n">
        <v>232.6</v>
      </c>
      <c r="J653" s="23" t="n">
        <f aca="false">IFERROR(INDEX(ABC_XYZ!$R$5:$R$494,MATCH(A653,ABC_XYZ!$A$5:$A$494,0)),I653*Parametros!$B$13)</f>
        <v>69.78</v>
      </c>
      <c r="K653" s="27" t="n">
        <f aca="false">IFERROR(VLOOKUP(C653,Parametros!$A$36:$B$66,2,FALSE()),Parametros!$B$12)</f>
        <v>1</v>
      </c>
      <c r="L653" s="23" t="n">
        <f aca="false">H653*J653*SQRT(K653)</f>
        <v>114.777886088674</v>
      </c>
      <c r="M653" s="29"/>
      <c r="N653" s="24"/>
      <c r="O653" s="3"/>
      <c r="P653" s="30" t="str">
        <f aca="false">IF(AND(ISNUMBER(M653),ISNUMBER(N653)),M653*N653/7,"")</f>
        <v/>
      </c>
      <c r="Q653" s="23" t="str">
        <f aca="false">IF(ISNUMBER(P653),I653*P653,"")</f>
        <v/>
      </c>
      <c r="R653" s="23" t="n">
        <f aca="false">IF(ISNUMBER(Q653),MAX(0,MIN(L653,Q653-I653*K653)),L653)</f>
        <v>114.777886088674</v>
      </c>
      <c r="S653" s="23" t="n">
        <f aca="false">R653+I653*K653</f>
        <v>347.377886088674</v>
      </c>
      <c r="T653" s="23" t="n">
        <v>4460</v>
      </c>
      <c r="U653" s="23" t="n">
        <v>0</v>
      </c>
      <c r="V653" s="23" t="n">
        <f aca="false">T653+U653</f>
        <v>4460</v>
      </c>
      <c r="W653" s="30" t="n">
        <f aca="false">IF(I653&gt;0,V653/I653,"")</f>
        <v>19.1745485812554</v>
      </c>
      <c r="X653" s="3" t="str">
        <f aca="false">IF(I653&lt;=0,"SIN FCST",IF(V653&lt;R653,"BAJO SS",IF(T653&lt;R653,"BAJO SS (XLIB CUBRE)",IF(V653&lt;S653,"BAJO P.REORDEN",IF(AND(ISNUMBER(Q653),V653&gt;Q653),"SOBRE MAX VENDIBLE","OK")))))</f>
        <v>OK</v>
      </c>
    </row>
    <row r="654" customFormat="false" ht="15" hidden="false" customHeight="false" outlineLevel="0" collapsed="false">
      <c r="A654" s="3" t="n">
        <v>30002127</v>
      </c>
      <c r="B654" s="3" t="s">
        <v>1207</v>
      </c>
      <c r="C654" s="3" t="s">
        <v>143</v>
      </c>
      <c r="D654" s="3" t="s">
        <v>769</v>
      </c>
      <c r="E654" s="3"/>
      <c r="F654" s="3" t="str">
        <f aca="false">IFERROR(INDEX(ABC_XYZ!$L$5:$L$494,MATCH(A654,ABC_XYZ!$A$5:$A$494,0)),"SIN HIST")</f>
        <v>SIN HIST</v>
      </c>
      <c r="G654" s="24" t="n">
        <f aca="false">IF(LEFT(F654,1)="A",Parametros!$B$8,IF(LEFT(F654,1)="B",Parametros!$B$9,IF(LEFT(F654,1)="C",Parametros!$B$10,Parametros!$B$11)))</f>
        <v>0.95</v>
      </c>
      <c r="H654" s="27" t="n">
        <f aca="false">NORMSINV(G654)</f>
        <v>1.64485362695147</v>
      </c>
      <c r="I654" s="23" t="n">
        <v>232.6</v>
      </c>
      <c r="J654" s="23" t="n">
        <f aca="false">IFERROR(INDEX(ABC_XYZ!$R$5:$R$494,MATCH(A654,ABC_XYZ!$A$5:$A$494,0)),I654*Parametros!$B$13)</f>
        <v>69.78</v>
      </c>
      <c r="K654" s="27" t="n">
        <f aca="false">IFERROR(VLOOKUP(C654,Parametros!$A$36:$B$66,2,FALSE()),Parametros!$B$12)</f>
        <v>1</v>
      </c>
      <c r="L654" s="23" t="n">
        <f aca="false">H654*J654*SQRT(K654)</f>
        <v>114.777886088674</v>
      </c>
      <c r="M654" s="29"/>
      <c r="N654" s="24"/>
      <c r="O654" s="3"/>
      <c r="P654" s="30" t="str">
        <f aca="false">IF(AND(ISNUMBER(M654),ISNUMBER(N654)),M654*N654/7,"")</f>
        <v/>
      </c>
      <c r="Q654" s="23" t="str">
        <f aca="false">IF(ISNUMBER(P654),I654*P654,"")</f>
        <v/>
      </c>
      <c r="R654" s="23" t="n">
        <f aca="false">IF(ISNUMBER(Q654),MAX(0,MIN(L654,Q654-I654*K654)),L654)</f>
        <v>114.777886088674</v>
      </c>
      <c r="S654" s="23" t="n">
        <f aca="false">R654+I654*K654</f>
        <v>347.377886088674</v>
      </c>
      <c r="T654" s="23" t="n">
        <v>960</v>
      </c>
      <c r="U654" s="23" t="n">
        <v>0</v>
      </c>
      <c r="V654" s="23" t="n">
        <f aca="false">T654+U654</f>
        <v>960</v>
      </c>
      <c r="W654" s="30" t="n">
        <f aca="false">IF(I654&gt;0,V654/I654,"")</f>
        <v>4.12725709372313</v>
      </c>
      <c r="X654" s="3" t="str">
        <f aca="false">IF(I654&lt;=0,"SIN FCST",IF(V654&lt;R654,"BAJO SS",IF(T654&lt;R654,"BAJO SS (XLIB CUBRE)",IF(V654&lt;S654,"BAJO P.REORDEN",IF(AND(ISNUMBER(Q654),V654&gt;Q654),"SOBRE MAX VENDIBLE","OK")))))</f>
        <v>OK</v>
      </c>
    </row>
    <row r="655" customFormat="false" ht="15" hidden="false" customHeight="false" outlineLevel="0" collapsed="false">
      <c r="A655" s="3" t="n">
        <v>30002295</v>
      </c>
      <c r="B655" s="3" t="s">
        <v>1208</v>
      </c>
      <c r="C655" s="3" t="s">
        <v>133</v>
      </c>
      <c r="D655" s="3" t="s">
        <v>1203</v>
      </c>
      <c r="E655" s="3"/>
      <c r="F655" s="3" t="str">
        <f aca="false">IFERROR(INDEX(ABC_XYZ!$L$5:$L$494,MATCH(A655,ABC_XYZ!$A$5:$A$494,0)),"SIN HIST")</f>
        <v>SIN HIST</v>
      </c>
      <c r="G655" s="24" t="n">
        <f aca="false">IF(LEFT(F655,1)="A",Parametros!$B$8,IF(LEFT(F655,1)="B",Parametros!$B$9,IF(LEFT(F655,1)="C",Parametros!$B$10,Parametros!$B$11)))</f>
        <v>0.95</v>
      </c>
      <c r="H655" s="27" t="n">
        <f aca="false">NORMSINV(G655)</f>
        <v>1.64485362695147</v>
      </c>
      <c r="I655" s="23" t="n">
        <v>232.6</v>
      </c>
      <c r="J655" s="23" t="n">
        <f aca="false">IFERROR(INDEX(ABC_XYZ!$R$5:$R$494,MATCH(A655,ABC_XYZ!$A$5:$A$494,0)),I655*Parametros!$B$13)</f>
        <v>69.78</v>
      </c>
      <c r="K655" s="27" t="n">
        <f aca="false">IFERROR(VLOOKUP(C655,Parametros!$A$36:$B$66,2,FALSE()),Parametros!$B$12)</f>
        <v>1</v>
      </c>
      <c r="L655" s="23" t="n">
        <f aca="false">H655*J655*SQRT(K655)</f>
        <v>114.777886088674</v>
      </c>
      <c r="M655" s="29"/>
      <c r="N655" s="24"/>
      <c r="O655" s="3"/>
      <c r="P655" s="30" t="str">
        <f aca="false">IF(AND(ISNUMBER(M655),ISNUMBER(N655)),M655*N655/7,"")</f>
        <v/>
      </c>
      <c r="Q655" s="23" t="str">
        <f aca="false">IF(ISNUMBER(P655),I655*P655,"")</f>
        <v/>
      </c>
      <c r="R655" s="23" t="n">
        <f aca="false">IF(ISNUMBER(Q655),MAX(0,MIN(L655,Q655-I655*K655)),L655)</f>
        <v>114.777886088674</v>
      </c>
      <c r="S655" s="23" t="n">
        <f aca="false">R655+I655*K655</f>
        <v>347.377886088674</v>
      </c>
      <c r="T655" s="23" t="n">
        <v>574.2</v>
      </c>
      <c r="U655" s="23" t="n">
        <v>0</v>
      </c>
      <c r="V655" s="23" t="n">
        <f aca="false">T655+U655</f>
        <v>574.2</v>
      </c>
      <c r="W655" s="30" t="n">
        <f aca="false">IF(I655&gt;0,V655/I655,"")</f>
        <v>2.46861564918315</v>
      </c>
      <c r="X655" s="3" t="str">
        <f aca="false">IF(I655&lt;=0,"SIN FCST",IF(V655&lt;R655,"BAJO SS",IF(T655&lt;R655,"BAJO SS (XLIB CUBRE)",IF(V655&lt;S655,"BAJO P.REORDEN",IF(AND(ISNUMBER(Q655),V655&gt;Q655),"SOBRE MAX VENDIBLE","OK")))))</f>
        <v>OK</v>
      </c>
    </row>
    <row r="656" customFormat="false" ht="15" hidden="false" customHeight="false" outlineLevel="0" collapsed="false">
      <c r="A656" s="3" t="n">
        <v>30002294</v>
      </c>
      <c r="B656" s="3" t="s">
        <v>1209</v>
      </c>
      <c r="C656" s="3" t="s">
        <v>133</v>
      </c>
      <c r="D656" s="3" t="s">
        <v>1203</v>
      </c>
      <c r="E656" s="3"/>
      <c r="F656" s="3" t="str">
        <f aca="false">IFERROR(INDEX(ABC_XYZ!$L$5:$L$494,MATCH(A656,ABC_XYZ!$A$5:$A$494,0)),"SIN HIST")</f>
        <v>SIN HIST</v>
      </c>
      <c r="G656" s="24" t="n">
        <f aca="false">IF(LEFT(F656,1)="A",Parametros!$B$8,IF(LEFT(F656,1)="B",Parametros!$B$9,IF(LEFT(F656,1)="C",Parametros!$B$10,Parametros!$B$11)))</f>
        <v>0.95</v>
      </c>
      <c r="H656" s="27" t="n">
        <f aca="false">NORMSINV(G656)</f>
        <v>1.64485362695147</v>
      </c>
      <c r="I656" s="23" t="n">
        <v>232.6</v>
      </c>
      <c r="J656" s="23" t="n">
        <f aca="false">IFERROR(INDEX(ABC_XYZ!$R$5:$R$494,MATCH(A656,ABC_XYZ!$A$5:$A$494,0)),I656*Parametros!$B$13)</f>
        <v>69.78</v>
      </c>
      <c r="K656" s="27" t="n">
        <f aca="false">IFERROR(VLOOKUP(C656,Parametros!$A$36:$B$66,2,FALSE()),Parametros!$B$12)</f>
        <v>1</v>
      </c>
      <c r="L656" s="23" t="n">
        <f aca="false">H656*J656*SQRT(K656)</f>
        <v>114.777886088674</v>
      </c>
      <c r="M656" s="29"/>
      <c r="N656" s="24"/>
      <c r="O656" s="3"/>
      <c r="P656" s="30" t="str">
        <f aca="false">IF(AND(ISNUMBER(M656),ISNUMBER(N656)),M656*N656/7,"")</f>
        <v/>
      </c>
      <c r="Q656" s="23" t="str">
        <f aca="false">IF(ISNUMBER(P656),I656*P656,"")</f>
        <v/>
      </c>
      <c r="R656" s="23" t="n">
        <f aca="false">IF(ISNUMBER(Q656),MAX(0,MIN(L656,Q656-I656*K656)),L656)</f>
        <v>114.777886088674</v>
      </c>
      <c r="S656" s="23" t="n">
        <f aca="false">R656+I656*K656</f>
        <v>347.377886088674</v>
      </c>
      <c r="T656" s="23" t="n">
        <v>1683</v>
      </c>
      <c r="U656" s="23" t="n">
        <v>0</v>
      </c>
      <c r="V656" s="23" t="n">
        <f aca="false">T656+U656</f>
        <v>1683</v>
      </c>
      <c r="W656" s="30" t="n">
        <f aca="false">IF(I656&gt;0,V656/I656,"")</f>
        <v>7.23559759243336</v>
      </c>
      <c r="X656" s="3" t="str">
        <f aca="false">IF(I656&lt;=0,"SIN FCST",IF(V656&lt;R656,"BAJO SS",IF(T656&lt;R656,"BAJO SS (XLIB CUBRE)",IF(V656&lt;S656,"BAJO P.REORDEN",IF(AND(ISNUMBER(Q656),V656&gt;Q656),"SOBRE MAX VENDIBLE","OK")))))</f>
        <v>OK</v>
      </c>
    </row>
    <row r="657" customFormat="false" ht="15" hidden="false" customHeight="false" outlineLevel="0" collapsed="false">
      <c r="A657" s="3" t="n">
        <v>30002129</v>
      </c>
      <c r="B657" s="3" t="s">
        <v>1210</v>
      </c>
      <c r="C657" s="3" t="s">
        <v>143</v>
      </c>
      <c r="D657" s="3" t="s">
        <v>769</v>
      </c>
      <c r="E657" s="3"/>
      <c r="F657" s="3" t="str">
        <f aca="false">IFERROR(INDEX(ABC_XYZ!$L$5:$L$494,MATCH(A657,ABC_XYZ!$A$5:$A$494,0)),"SIN HIST")</f>
        <v>SIN HIST</v>
      </c>
      <c r="G657" s="24" t="n">
        <f aca="false">IF(LEFT(F657,1)="A",Parametros!$B$8,IF(LEFT(F657,1)="B",Parametros!$B$9,IF(LEFT(F657,1)="C",Parametros!$B$10,Parametros!$B$11)))</f>
        <v>0.95</v>
      </c>
      <c r="H657" s="27" t="n">
        <f aca="false">NORMSINV(G657)</f>
        <v>1.64485362695147</v>
      </c>
      <c r="I657" s="23" t="n">
        <v>232.6</v>
      </c>
      <c r="J657" s="23" t="n">
        <f aca="false">IFERROR(INDEX(ABC_XYZ!$R$5:$R$494,MATCH(A657,ABC_XYZ!$A$5:$A$494,0)),I657*Parametros!$B$13)</f>
        <v>69.78</v>
      </c>
      <c r="K657" s="27" t="n">
        <f aca="false">IFERROR(VLOOKUP(C657,Parametros!$A$36:$B$66,2,FALSE()),Parametros!$B$12)</f>
        <v>1</v>
      </c>
      <c r="L657" s="23" t="n">
        <f aca="false">H657*J657*SQRT(K657)</f>
        <v>114.777886088674</v>
      </c>
      <c r="M657" s="29"/>
      <c r="N657" s="24"/>
      <c r="O657" s="3"/>
      <c r="P657" s="30" t="str">
        <f aca="false">IF(AND(ISNUMBER(M657),ISNUMBER(N657)),M657*N657/7,"")</f>
        <v/>
      </c>
      <c r="Q657" s="23" t="str">
        <f aca="false">IF(ISNUMBER(P657),I657*P657,"")</f>
        <v/>
      </c>
      <c r="R657" s="23" t="n">
        <f aca="false">IF(ISNUMBER(Q657),MAX(0,MIN(L657,Q657-I657*K657)),L657)</f>
        <v>114.777886088674</v>
      </c>
      <c r="S657" s="23" t="n">
        <f aca="false">R657+I657*K657</f>
        <v>347.377886088674</v>
      </c>
      <c r="T657" s="23" t="n">
        <v>4380</v>
      </c>
      <c r="U657" s="23" t="n">
        <v>0</v>
      </c>
      <c r="V657" s="23" t="n">
        <f aca="false">T657+U657</f>
        <v>4380</v>
      </c>
      <c r="W657" s="30" t="n">
        <f aca="false">IF(I657&gt;0,V657/I657,"")</f>
        <v>18.8306104901118</v>
      </c>
      <c r="X657" s="3" t="str">
        <f aca="false">IF(I657&lt;=0,"SIN FCST",IF(V657&lt;R657,"BAJO SS",IF(T657&lt;R657,"BAJO SS (XLIB CUBRE)",IF(V657&lt;S657,"BAJO P.REORDEN",IF(AND(ISNUMBER(Q657),V657&gt;Q657),"SOBRE MAX VENDIBLE","OK")))))</f>
        <v>OK</v>
      </c>
    </row>
    <row r="658" customFormat="false" ht="15" hidden="false" customHeight="false" outlineLevel="0" collapsed="false">
      <c r="A658" s="3" t="n">
        <v>30000810</v>
      </c>
      <c r="B658" s="3" t="s">
        <v>1211</v>
      </c>
      <c r="C658" s="3" t="s">
        <v>133</v>
      </c>
      <c r="D658" s="3" t="s">
        <v>769</v>
      </c>
      <c r="E658" s="3"/>
      <c r="F658" s="3" t="str">
        <f aca="false">IFERROR(INDEX(ABC_XYZ!$L$5:$L$494,MATCH(A658,ABC_XYZ!$A$5:$A$494,0)),"SIN HIST")</f>
        <v>SIN HIST</v>
      </c>
      <c r="G658" s="24" t="n">
        <f aca="false">IF(LEFT(F658,1)="A",Parametros!$B$8,IF(LEFT(F658,1)="B",Parametros!$B$9,IF(LEFT(F658,1)="C",Parametros!$B$10,Parametros!$B$11)))</f>
        <v>0.95</v>
      </c>
      <c r="H658" s="27" t="n">
        <f aca="false">NORMSINV(G658)</f>
        <v>1.64485362695147</v>
      </c>
      <c r="I658" s="23" t="n">
        <v>232.6</v>
      </c>
      <c r="J658" s="23" t="n">
        <f aca="false">IFERROR(INDEX(ABC_XYZ!$R$5:$R$494,MATCH(A658,ABC_XYZ!$A$5:$A$494,0)),I658*Parametros!$B$13)</f>
        <v>69.78</v>
      </c>
      <c r="K658" s="27" t="n">
        <f aca="false">IFERROR(VLOOKUP(C658,Parametros!$A$36:$B$66,2,FALSE()),Parametros!$B$12)</f>
        <v>1</v>
      </c>
      <c r="L658" s="23" t="n">
        <f aca="false">H658*J658*SQRT(K658)</f>
        <v>114.777886088674</v>
      </c>
      <c r="M658" s="29"/>
      <c r="N658" s="24"/>
      <c r="O658" s="3"/>
      <c r="P658" s="30" t="str">
        <f aca="false">IF(AND(ISNUMBER(M658),ISNUMBER(N658)),M658*N658/7,"")</f>
        <v/>
      </c>
      <c r="Q658" s="23" t="str">
        <f aca="false">IF(ISNUMBER(P658),I658*P658,"")</f>
        <v/>
      </c>
      <c r="R658" s="23" t="n">
        <f aca="false">IF(ISNUMBER(Q658),MAX(0,MIN(L658,Q658-I658*K658)),L658)</f>
        <v>114.777886088674</v>
      </c>
      <c r="S658" s="23" t="n">
        <f aca="false">R658+I658*K658</f>
        <v>347.377886088674</v>
      </c>
      <c r="T658" s="23" t="n">
        <v>5160</v>
      </c>
      <c r="U658" s="23" t="n">
        <v>4800</v>
      </c>
      <c r="V658" s="23" t="n">
        <f aca="false">T658+U658</f>
        <v>9960</v>
      </c>
      <c r="W658" s="30" t="n">
        <f aca="false">IF(I658&gt;0,V658/I658,"")</f>
        <v>42.8202923473775</v>
      </c>
      <c r="X658" s="3" t="str">
        <f aca="false">IF(I658&lt;=0,"SIN FCST",IF(V658&lt;R658,"BAJO SS",IF(T658&lt;R658,"BAJO SS (XLIB CUBRE)",IF(V658&lt;S658,"BAJO P.REORDEN",IF(AND(ISNUMBER(Q658),V658&gt;Q658),"SOBRE MAX VENDIBLE","OK")))))</f>
        <v>OK</v>
      </c>
    </row>
    <row r="659" customFormat="false" ht="15" hidden="false" customHeight="false" outlineLevel="0" collapsed="false">
      <c r="A659" s="3" t="n">
        <v>30000935</v>
      </c>
      <c r="B659" s="3" t="s">
        <v>1212</v>
      </c>
      <c r="C659" s="3" t="s">
        <v>133</v>
      </c>
      <c r="D659" s="3" t="s">
        <v>769</v>
      </c>
      <c r="E659" s="3"/>
      <c r="F659" s="3" t="str">
        <f aca="false">IFERROR(INDEX(ABC_XYZ!$L$5:$L$494,MATCH(A659,ABC_XYZ!$A$5:$A$494,0)),"SIN HIST")</f>
        <v>SIN HIST</v>
      </c>
      <c r="G659" s="24" t="n">
        <f aca="false">IF(LEFT(F659,1)="A",Parametros!$B$8,IF(LEFT(F659,1)="B",Parametros!$B$9,IF(LEFT(F659,1)="C",Parametros!$B$10,Parametros!$B$11)))</f>
        <v>0.95</v>
      </c>
      <c r="H659" s="27" t="n">
        <f aca="false">NORMSINV(G659)</f>
        <v>1.64485362695147</v>
      </c>
      <c r="I659" s="23" t="n">
        <v>232.6</v>
      </c>
      <c r="J659" s="23" t="n">
        <f aca="false">IFERROR(INDEX(ABC_XYZ!$R$5:$R$494,MATCH(A659,ABC_XYZ!$A$5:$A$494,0)),I659*Parametros!$B$13)</f>
        <v>69.78</v>
      </c>
      <c r="K659" s="27" t="n">
        <f aca="false">IFERROR(VLOOKUP(C659,Parametros!$A$36:$B$66,2,FALSE()),Parametros!$B$12)</f>
        <v>1</v>
      </c>
      <c r="L659" s="23" t="n">
        <f aca="false">H659*J659*SQRT(K659)</f>
        <v>114.777886088674</v>
      </c>
      <c r="M659" s="29"/>
      <c r="N659" s="24"/>
      <c r="O659" s="3"/>
      <c r="P659" s="30" t="str">
        <f aca="false">IF(AND(ISNUMBER(M659),ISNUMBER(N659)),M659*N659/7,"")</f>
        <v/>
      </c>
      <c r="Q659" s="23" t="str">
        <f aca="false">IF(ISNUMBER(P659),I659*P659,"")</f>
        <v/>
      </c>
      <c r="R659" s="23" t="n">
        <f aca="false">IF(ISNUMBER(Q659),MAX(0,MIN(L659,Q659-I659*K659)),L659)</f>
        <v>114.777886088674</v>
      </c>
      <c r="S659" s="23" t="n">
        <f aca="false">R659+I659*K659</f>
        <v>347.377886088674</v>
      </c>
      <c r="T659" s="23" t="n">
        <v>40</v>
      </c>
      <c r="U659" s="23" t="n">
        <v>0</v>
      </c>
      <c r="V659" s="23" t="n">
        <f aca="false">T659+U659</f>
        <v>40</v>
      </c>
      <c r="W659" s="30" t="n">
        <f aca="false">IF(I659&gt;0,V659/I659,"")</f>
        <v>0.171969045571797</v>
      </c>
      <c r="X659" s="3" t="str">
        <f aca="false">IF(I659&lt;=0,"SIN FCST",IF(V659&lt;R659,"BAJO SS",IF(T659&lt;R659,"BAJO SS (XLIB CUBRE)",IF(V659&lt;S659,"BAJO P.REORDEN",IF(AND(ISNUMBER(Q659),V659&gt;Q659),"SOBRE MAX VENDIBLE","OK")))))</f>
        <v>BAJO SS</v>
      </c>
    </row>
    <row r="660" customFormat="false" ht="15" hidden="false" customHeight="false" outlineLevel="0" collapsed="false">
      <c r="A660" s="3" t="n">
        <v>30000047</v>
      </c>
      <c r="B660" s="3" t="s">
        <v>1213</v>
      </c>
      <c r="C660" s="3" t="s">
        <v>124</v>
      </c>
      <c r="D660" s="3" t="s">
        <v>750</v>
      </c>
      <c r="E660" s="3" t="s">
        <v>745</v>
      </c>
      <c r="F660" s="3" t="str">
        <f aca="false">IFERROR(INDEX(ABC_XYZ!$L$5:$L$494,MATCH(A660,ABC_XYZ!$A$5:$A$494,0)),"SIN HIST")</f>
        <v>SIN HIST</v>
      </c>
      <c r="G660" s="24" t="n">
        <f aca="false">IF(LEFT(F660,1)="A",Parametros!$B$8,IF(LEFT(F660,1)="B",Parametros!$B$9,IF(LEFT(F660,1)="C",Parametros!$B$10,Parametros!$B$11)))</f>
        <v>0.95</v>
      </c>
      <c r="H660" s="27" t="n">
        <f aca="false">NORMSINV(G660)</f>
        <v>1.64485362695147</v>
      </c>
      <c r="I660" s="23" t="n">
        <v>232.6</v>
      </c>
      <c r="J660" s="23" t="n">
        <f aca="false">IFERROR(INDEX(ABC_XYZ!$R$5:$R$494,MATCH(A660,ABC_XYZ!$A$5:$A$494,0)),I660*Parametros!$B$13)</f>
        <v>69.78</v>
      </c>
      <c r="K660" s="27" t="n">
        <f aca="false">IFERROR(VLOOKUP(C660,Parametros!$A$36:$B$66,2,FALSE()),Parametros!$B$12)</f>
        <v>1</v>
      </c>
      <c r="L660" s="23" t="n">
        <f aca="false">H660*J660*SQRT(K660)</f>
        <v>114.777886088674</v>
      </c>
      <c r="M660" s="29" t="n">
        <v>305</v>
      </c>
      <c r="N660" s="24" t="n">
        <v>0.272131147540984</v>
      </c>
      <c r="O660" s="3" t="s">
        <v>746</v>
      </c>
      <c r="P660" s="30" t="n">
        <f aca="false">IF(AND(ISNUMBER(M660),ISNUMBER(N660)),M660*N660/7,"")</f>
        <v>11.8571428571429</v>
      </c>
      <c r="Q660" s="23" t="n">
        <f aca="false">IF(ISNUMBER(P660),I660*P660,"")</f>
        <v>2757.97142857143</v>
      </c>
      <c r="R660" s="23" t="n">
        <f aca="false">IF(ISNUMBER(Q660),MAX(0,MIN(L660,Q660-I660*K660)),L660)</f>
        <v>114.777886088674</v>
      </c>
      <c r="S660" s="23" t="n">
        <f aca="false">R660+I660*K660</f>
        <v>347.377886088674</v>
      </c>
      <c r="T660" s="23" t="n">
        <v>1619.2</v>
      </c>
      <c r="U660" s="23" t="n">
        <v>0</v>
      </c>
      <c r="V660" s="23" t="n">
        <f aca="false">T660+U660</f>
        <v>1619.2</v>
      </c>
      <c r="W660" s="30" t="n">
        <f aca="false">IF(I660&gt;0,V660/I660,"")</f>
        <v>6.96130696474635</v>
      </c>
      <c r="X660" s="3" t="str">
        <f aca="false">IF(I660&lt;=0,"SIN FCST",IF(V660&lt;R660,"BAJO SS",IF(T660&lt;R660,"BAJO SS (XLIB CUBRE)",IF(V660&lt;S660,"BAJO P.REORDEN",IF(AND(ISNUMBER(Q660),V660&gt;Q660),"SOBRE MAX VENDIBLE","OK")))))</f>
        <v>OK</v>
      </c>
    </row>
    <row r="661" customFormat="false" ht="15" hidden="false" customHeight="false" outlineLevel="0" collapsed="false">
      <c r="A661" s="3" t="n">
        <v>30000933</v>
      </c>
      <c r="B661" s="3" t="s">
        <v>1214</v>
      </c>
      <c r="C661" s="3" t="s">
        <v>133</v>
      </c>
      <c r="D661" s="3" t="s">
        <v>758</v>
      </c>
      <c r="E661" s="3"/>
      <c r="F661" s="3" t="str">
        <f aca="false">IFERROR(INDEX(ABC_XYZ!$L$5:$L$494,MATCH(A661,ABC_XYZ!$A$5:$A$494,0)),"SIN HIST")</f>
        <v>SIN HIST</v>
      </c>
      <c r="G661" s="24" t="n">
        <f aca="false">IF(LEFT(F661,1)="A",Parametros!$B$8,IF(LEFT(F661,1)="B",Parametros!$B$9,IF(LEFT(F661,1)="C",Parametros!$B$10,Parametros!$B$11)))</f>
        <v>0.95</v>
      </c>
      <c r="H661" s="27" t="n">
        <f aca="false">NORMSINV(G661)</f>
        <v>1.64485362695147</v>
      </c>
      <c r="I661" s="23" t="n">
        <v>232.5</v>
      </c>
      <c r="J661" s="23" t="n">
        <f aca="false">IFERROR(INDEX(ABC_XYZ!$R$5:$R$494,MATCH(A661,ABC_XYZ!$A$5:$A$494,0)),I661*Parametros!$B$13)</f>
        <v>69.75</v>
      </c>
      <c r="K661" s="27" t="n">
        <f aca="false">IFERROR(VLOOKUP(C661,Parametros!$A$36:$B$66,2,FALSE()),Parametros!$B$12)</f>
        <v>1</v>
      </c>
      <c r="L661" s="23" t="n">
        <f aca="false">H661*J661*SQRT(K661)</f>
        <v>114.728540479865</v>
      </c>
      <c r="M661" s="29"/>
      <c r="N661" s="24"/>
      <c r="O661" s="3"/>
      <c r="P661" s="30" t="str">
        <f aca="false">IF(AND(ISNUMBER(M661),ISNUMBER(N661)),M661*N661/7,"")</f>
        <v/>
      </c>
      <c r="Q661" s="23" t="str">
        <f aca="false">IF(ISNUMBER(P661),I661*P661,"")</f>
        <v/>
      </c>
      <c r="R661" s="23" t="n">
        <f aca="false">IF(ISNUMBER(Q661),MAX(0,MIN(L661,Q661-I661*K661)),L661)</f>
        <v>114.728540479865</v>
      </c>
      <c r="S661" s="23" t="n">
        <f aca="false">R661+I661*K661</f>
        <v>347.228540479865</v>
      </c>
      <c r="T661" s="23" t="n">
        <v>11830</v>
      </c>
      <c r="U661" s="23" t="n">
        <v>710</v>
      </c>
      <c r="V661" s="23" t="n">
        <f aca="false">T661+U661</f>
        <v>12540</v>
      </c>
      <c r="W661" s="30" t="n">
        <f aca="false">IF(I661&gt;0,V661/I661,"")</f>
        <v>53.9354838709677</v>
      </c>
      <c r="X661" s="3" t="str">
        <f aca="false">IF(I661&lt;=0,"SIN FCST",IF(V661&lt;R661,"BAJO SS",IF(T661&lt;R661,"BAJO SS (XLIB CUBRE)",IF(V661&lt;S661,"BAJO P.REORDEN",IF(AND(ISNUMBER(Q661),V661&gt;Q661),"SOBRE MAX VENDIBLE","OK")))))</f>
        <v>OK</v>
      </c>
    </row>
    <row r="662" customFormat="false" ht="15" hidden="false" customHeight="false" outlineLevel="0" collapsed="false">
      <c r="A662" s="3" t="n">
        <v>30001006</v>
      </c>
      <c r="B662" s="3" t="s">
        <v>1215</v>
      </c>
      <c r="C662" s="3" t="s">
        <v>133</v>
      </c>
      <c r="D662" s="3" t="s">
        <v>758</v>
      </c>
      <c r="E662" s="3"/>
      <c r="F662" s="3" t="str">
        <f aca="false">IFERROR(INDEX(ABC_XYZ!$L$5:$L$494,MATCH(A662,ABC_XYZ!$A$5:$A$494,0)),"SIN HIST")</f>
        <v>SIN HIST</v>
      </c>
      <c r="G662" s="24" t="n">
        <f aca="false">IF(LEFT(F662,1)="A",Parametros!$B$8,IF(LEFT(F662,1)="B",Parametros!$B$9,IF(LEFT(F662,1)="C",Parametros!$B$10,Parametros!$B$11)))</f>
        <v>0.95</v>
      </c>
      <c r="H662" s="27" t="n">
        <f aca="false">NORMSINV(G662)</f>
        <v>1.64485362695147</v>
      </c>
      <c r="I662" s="23" t="n">
        <v>205.9</v>
      </c>
      <c r="J662" s="23" t="n">
        <f aca="false">IFERROR(INDEX(ABC_XYZ!$R$5:$R$494,MATCH(A662,ABC_XYZ!$A$5:$A$494,0)),I662*Parametros!$B$13)</f>
        <v>61.77</v>
      </c>
      <c r="K662" s="27" t="n">
        <f aca="false">IFERROR(VLOOKUP(C662,Parametros!$A$36:$B$66,2,FALSE()),Parametros!$B$12)</f>
        <v>1</v>
      </c>
      <c r="L662" s="23" t="n">
        <f aca="false">H662*J662*SQRT(K662)</f>
        <v>101.602608536792</v>
      </c>
      <c r="M662" s="29"/>
      <c r="N662" s="24"/>
      <c r="O662" s="3"/>
      <c r="P662" s="30" t="str">
        <f aca="false">IF(AND(ISNUMBER(M662),ISNUMBER(N662)),M662*N662/7,"")</f>
        <v/>
      </c>
      <c r="Q662" s="23" t="str">
        <f aca="false">IF(ISNUMBER(P662),I662*P662,"")</f>
        <v/>
      </c>
      <c r="R662" s="23" t="n">
        <f aca="false">IF(ISNUMBER(Q662),MAX(0,MIN(L662,Q662-I662*K662)),L662)</f>
        <v>101.602608536792</v>
      </c>
      <c r="S662" s="23" t="n">
        <f aca="false">R662+I662*K662</f>
        <v>307.502608536792</v>
      </c>
      <c r="T662" s="23" t="n">
        <v>5376</v>
      </c>
      <c r="U662" s="23" t="n">
        <v>0</v>
      </c>
      <c r="V662" s="23" t="n">
        <f aca="false">T662+U662</f>
        <v>5376</v>
      </c>
      <c r="W662" s="30" t="n">
        <f aca="false">IF(I662&gt;0,V662/I662,"")</f>
        <v>26.1097620203983</v>
      </c>
      <c r="X662" s="3" t="str">
        <f aca="false">IF(I662&lt;=0,"SIN FCST",IF(V662&lt;R662,"BAJO SS",IF(T662&lt;R662,"BAJO SS (XLIB CUBRE)",IF(V662&lt;S662,"BAJO P.REORDEN",IF(AND(ISNUMBER(Q662),V662&gt;Q662),"SOBRE MAX VENDIBLE","OK")))))</f>
        <v>OK</v>
      </c>
    </row>
    <row r="663" customFormat="false" ht="15" hidden="false" customHeight="false" outlineLevel="0" collapsed="false">
      <c r="A663" s="3" t="n">
        <v>30002284</v>
      </c>
      <c r="B663" s="3" t="s">
        <v>625</v>
      </c>
      <c r="C663" s="3" t="s">
        <v>140</v>
      </c>
      <c r="D663" s="3" t="s">
        <v>1203</v>
      </c>
      <c r="E663" s="3"/>
      <c r="F663" s="3" t="str">
        <f aca="false">IFERROR(INDEX(ABC_XYZ!$L$5:$L$494,MATCH(A663,ABC_XYZ!$A$5:$A$494,0)),"SIN HIST")</f>
        <v>CY</v>
      </c>
      <c r="G663" s="24" t="n">
        <f aca="false">IF(LEFT(F663,1)="A",Parametros!$B$8,IF(LEFT(F663,1)="B",Parametros!$B$9,IF(LEFT(F663,1)="C",Parametros!$B$10,Parametros!$B$11)))</f>
        <v>0.9</v>
      </c>
      <c r="H663" s="27" t="n">
        <f aca="false">NORMSINV(G663)</f>
        <v>1.2815515655446</v>
      </c>
      <c r="I663" s="23" t="n">
        <v>193.6</v>
      </c>
      <c r="J663" s="23" t="n">
        <f aca="false">IFERROR(INDEX(ABC_XYZ!$R$5:$R$494,MATCH(A663,ABC_XYZ!$A$5:$A$494,0)),I663*Parametros!$B$13)</f>
        <v>298.976327107738</v>
      </c>
      <c r="K663" s="27" t="n">
        <f aca="false">IFERROR(VLOOKUP(C663,Parametros!$A$36:$B$66,2,FALSE()),Parametros!$B$12)</f>
        <v>1</v>
      </c>
      <c r="L663" s="23" t="n">
        <f aca="false">H663*J663*SQRT(K663)</f>
        <v>383.153580065697</v>
      </c>
      <c r="M663" s="29"/>
      <c r="N663" s="24"/>
      <c r="O663" s="3"/>
      <c r="P663" s="30" t="str">
        <f aca="false">IF(AND(ISNUMBER(M663),ISNUMBER(N663)),M663*N663/7,"")</f>
        <v/>
      </c>
      <c r="Q663" s="23" t="str">
        <f aca="false">IF(ISNUMBER(P663),I663*P663,"")</f>
        <v/>
      </c>
      <c r="R663" s="23" t="n">
        <f aca="false">IF(ISNUMBER(Q663),MAX(0,MIN(L663,Q663-I663*K663)),L663)</f>
        <v>383.153580065697</v>
      </c>
      <c r="S663" s="23" t="n">
        <f aca="false">R663+I663*K663</f>
        <v>576.753580065697</v>
      </c>
      <c r="T663" s="23" t="n">
        <v>1617</v>
      </c>
      <c r="U663" s="23" t="n">
        <v>0</v>
      </c>
      <c r="V663" s="23" t="n">
        <f aca="false">T663+U663</f>
        <v>1617</v>
      </c>
      <c r="W663" s="30" t="n">
        <f aca="false">IF(I663&gt;0,V663/I663,"")</f>
        <v>8.35227272727273</v>
      </c>
      <c r="X663" s="3" t="str">
        <f aca="false">IF(I663&lt;=0,"SIN FCST",IF(V663&lt;R663,"BAJO SS",IF(T663&lt;R663,"BAJO SS (XLIB CUBRE)",IF(V663&lt;S663,"BAJO P.REORDEN",IF(AND(ISNUMBER(Q663),V663&gt;Q663),"SOBRE MAX VENDIBLE","OK")))))</f>
        <v>OK</v>
      </c>
    </row>
    <row r="664" customFormat="false" ht="15" hidden="false" customHeight="false" outlineLevel="0" collapsed="false">
      <c r="A664" s="3" t="n">
        <v>30002104</v>
      </c>
      <c r="B664" s="3" t="s">
        <v>1216</v>
      </c>
      <c r="C664" s="3" t="s">
        <v>133</v>
      </c>
      <c r="D664" s="3" t="s">
        <v>769</v>
      </c>
      <c r="E664" s="3"/>
      <c r="F664" s="3" t="str">
        <f aca="false">IFERROR(INDEX(ABC_XYZ!$L$5:$L$494,MATCH(A664,ABC_XYZ!$A$5:$A$494,0)),"SIN HIST")</f>
        <v>SIN HIST</v>
      </c>
      <c r="G664" s="24" t="n">
        <f aca="false">IF(LEFT(F664,1)="A",Parametros!$B$8,IF(LEFT(F664,1)="B",Parametros!$B$9,IF(LEFT(F664,1)="C",Parametros!$B$10,Parametros!$B$11)))</f>
        <v>0.95</v>
      </c>
      <c r="H664" s="27" t="n">
        <f aca="false">NORMSINV(G664)</f>
        <v>1.64485362695147</v>
      </c>
      <c r="I664" s="23" t="n">
        <v>181.4</v>
      </c>
      <c r="J664" s="23" t="n">
        <f aca="false">IFERROR(INDEX(ABC_XYZ!$R$5:$R$494,MATCH(A664,ABC_XYZ!$A$5:$A$494,0)),I664*Parametros!$B$13)</f>
        <v>54.42</v>
      </c>
      <c r="K664" s="27" t="n">
        <f aca="false">IFERROR(VLOOKUP(C664,Parametros!$A$36:$B$66,2,FALSE()),Parametros!$B$12)</f>
        <v>1</v>
      </c>
      <c r="L664" s="23" t="n">
        <f aca="false">H664*J664*SQRT(K664)</f>
        <v>89.5129343786991</v>
      </c>
      <c r="M664" s="29"/>
      <c r="N664" s="24"/>
      <c r="O664" s="3"/>
      <c r="P664" s="30" t="str">
        <f aca="false">IF(AND(ISNUMBER(M664),ISNUMBER(N664)),M664*N664/7,"")</f>
        <v/>
      </c>
      <c r="Q664" s="23" t="str">
        <f aca="false">IF(ISNUMBER(P664),I664*P664,"")</f>
        <v/>
      </c>
      <c r="R664" s="23" t="n">
        <f aca="false">IF(ISNUMBER(Q664),MAX(0,MIN(L664,Q664-I664*K664)),L664)</f>
        <v>89.5129343786991</v>
      </c>
      <c r="S664" s="23" t="n">
        <f aca="false">R664+I664*K664</f>
        <v>270.912934378699</v>
      </c>
      <c r="T664" s="23" t="n">
        <v>890</v>
      </c>
      <c r="U664" s="23" t="n">
        <v>0</v>
      </c>
      <c r="V664" s="23" t="n">
        <f aca="false">T664+U664</f>
        <v>890</v>
      </c>
      <c r="W664" s="30" t="n">
        <f aca="false">IF(I664&gt;0,V664/I664,"")</f>
        <v>4.90628445424476</v>
      </c>
      <c r="X664" s="3" t="str">
        <f aca="false">IF(I664&lt;=0,"SIN FCST",IF(V664&lt;R664,"BAJO SS",IF(T664&lt;R664,"BAJO SS (XLIB CUBRE)",IF(V664&lt;S664,"BAJO P.REORDEN",IF(AND(ISNUMBER(Q664),V664&gt;Q664),"SOBRE MAX VENDIBLE","OK")))))</f>
        <v>OK</v>
      </c>
    </row>
    <row r="665" customFormat="false" ht="15" hidden="false" customHeight="false" outlineLevel="0" collapsed="false">
      <c r="A665" s="3" t="n">
        <v>30002164</v>
      </c>
      <c r="B665" s="3" t="s">
        <v>632</v>
      </c>
      <c r="C665" s="3" t="s">
        <v>149</v>
      </c>
      <c r="D665" s="3"/>
      <c r="E665" s="3" t="s">
        <v>762</v>
      </c>
      <c r="F665" s="3" t="str">
        <f aca="false">IFERROR(INDEX(ABC_XYZ!$L$5:$L$494,MATCH(A665,ABC_XYZ!$A$5:$A$494,0)),"SIN HIST")</f>
        <v>CX</v>
      </c>
      <c r="G665" s="24" t="n">
        <f aca="false">IF(LEFT(F665,1)="A",Parametros!$B$8,IF(LEFT(F665,1)="B",Parametros!$B$9,IF(LEFT(F665,1)="C",Parametros!$B$10,Parametros!$B$11)))</f>
        <v>0.9</v>
      </c>
      <c r="H665" s="27" t="n">
        <f aca="false">NORMSINV(G665)</f>
        <v>1.2815515655446</v>
      </c>
      <c r="I665" s="23" t="n">
        <v>180</v>
      </c>
      <c r="J665" s="23" t="n">
        <f aca="false">IFERROR(INDEX(ABC_XYZ!$R$5:$R$494,MATCH(A665,ABC_XYZ!$A$5:$A$494,0)),I665*Parametros!$B$13)</f>
        <v>175.146306659174</v>
      </c>
      <c r="K665" s="27" t="n">
        <f aca="false">IFERROR(VLOOKUP(C665,Parametros!$A$36:$B$66,2,FALSE()),Parametros!$B$12)</f>
        <v>1</v>
      </c>
      <c r="L665" s="23" t="n">
        <f aca="false">H665*J665*SQRT(K665)</f>
        <v>224.459023498419</v>
      </c>
      <c r="M665" s="29" t="n">
        <v>180</v>
      </c>
      <c r="N665" s="24" t="n">
        <v>0.211111111111111</v>
      </c>
      <c r="O665" s="3" t="s">
        <v>754</v>
      </c>
      <c r="P665" s="30" t="n">
        <f aca="false">IF(AND(ISNUMBER(M665),ISNUMBER(N665)),M665*N665/7,"")</f>
        <v>5.42857142857143</v>
      </c>
      <c r="Q665" s="23" t="n">
        <f aca="false">IF(ISNUMBER(P665),I665*P665,"")</f>
        <v>977.142857142857</v>
      </c>
      <c r="R665" s="23" t="n">
        <f aca="false">IF(ISNUMBER(Q665),MAX(0,MIN(L665,Q665-I665*K665)),L665)</f>
        <v>224.459023498419</v>
      </c>
      <c r="S665" s="23" t="n">
        <f aca="false">R665+I665*K665</f>
        <v>404.459023498419</v>
      </c>
      <c r="T665" s="23" t="n">
        <v>870.4</v>
      </c>
      <c r="U665" s="23" t="n">
        <v>284.8</v>
      </c>
      <c r="V665" s="23" t="n">
        <f aca="false">T665+U665</f>
        <v>1155.2</v>
      </c>
      <c r="W665" s="30" t="n">
        <f aca="false">IF(I665&gt;0,V665/I665,"")</f>
        <v>6.41777777777778</v>
      </c>
      <c r="X665" s="3" t="str">
        <f aca="false">IF(I665&lt;=0,"SIN FCST",IF(V665&lt;R665,"BAJO SS",IF(T665&lt;R665,"BAJO SS (XLIB CUBRE)",IF(V665&lt;S665,"BAJO P.REORDEN",IF(AND(ISNUMBER(Q665),V665&gt;Q665),"SOBRE MAX VENDIBLE","OK")))))</f>
        <v>SOBRE MAX VENDIBLE</v>
      </c>
    </row>
    <row r="666" customFormat="false" ht="15" hidden="false" customHeight="false" outlineLevel="0" collapsed="false">
      <c r="A666" s="3" t="n">
        <v>30002189</v>
      </c>
      <c r="B666" s="3" t="s">
        <v>1217</v>
      </c>
      <c r="C666" s="3" t="s">
        <v>150</v>
      </c>
      <c r="D666" s="3" t="s">
        <v>769</v>
      </c>
      <c r="E666" s="3"/>
      <c r="F666" s="3" t="str">
        <f aca="false">IFERROR(INDEX(ABC_XYZ!$L$5:$L$494,MATCH(A666,ABC_XYZ!$A$5:$A$494,0)),"SIN HIST")</f>
        <v>SIN HIST</v>
      </c>
      <c r="G666" s="24" t="n">
        <f aca="false">IF(LEFT(F666,1)="A",Parametros!$B$8,IF(LEFT(F666,1)="B",Parametros!$B$9,IF(LEFT(F666,1)="C",Parametros!$B$10,Parametros!$B$11)))</f>
        <v>0.95</v>
      </c>
      <c r="H666" s="27" t="n">
        <f aca="false">NORMSINV(G666)</f>
        <v>1.64485362695147</v>
      </c>
      <c r="I666" s="23" t="n">
        <v>176.8</v>
      </c>
      <c r="J666" s="23" t="n">
        <f aca="false">IFERROR(INDEX(ABC_XYZ!$R$5:$R$494,MATCH(A666,ABC_XYZ!$A$5:$A$494,0)),I666*Parametros!$B$13)</f>
        <v>53.04</v>
      </c>
      <c r="K666" s="27" t="n">
        <f aca="false">IFERROR(VLOOKUP(C666,Parametros!$A$36:$B$66,2,FALSE()),Parametros!$B$12)</f>
        <v>1</v>
      </c>
      <c r="L666" s="23" t="n">
        <f aca="false">H666*J666*SQRT(K666)</f>
        <v>87.243036373506</v>
      </c>
      <c r="M666" s="29"/>
      <c r="N666" s="24"/>
      <c r="O666" s="3"/>
      <c r="P666" s="30" t="str">
        <f aca="false">IF(AND(ISNUMBER(M666),ISNUMBER(N666)),M666*N666/7,"")</f>
        <v/>
      </c>
      <c r="Q666" s="23" t="str">
        <f aca="false">IF(ISNUMBER(P666),I666*P666,"")</f>
        <v/>
      </c>
      <c r="R666" s="23" t="n">
        <f aca="false">IF(ISNUMBER(Q666),MAX(0,MIN(L666,Q666-I666*K666)),L666)</f>
        <v>87.243036373506</v>
      </c>
      <c r="S666" s="23" t="n">
        <f aca="false">R666+I666*K666</f>
        <v>264.043036373506</v>
      </c>
      <c r="T666" s="23" t="n">
        <v>24</v>
      </c>
      <c r="U666" s="23" t="n">
        <v>0</v>
      </c>
      <c r="V666" s="23" t="n">
        <f aca="false">T666+U666</f>
        <v>24</v>
      </c>
      <c r="W666" s="30" t="n">
        <f aca="false">IF(I666&gt;0,V666/I666,"")</f>
        <v>0.135746606334842</v>
      </c>
      <c r="X666" s="3" t="str">
        <f aca="false">IF(I666&lt;=0,"SIN FCST",IF(V666&lt;R666,"BAJO SS",IF(T666&lt;R666,"BAJO SS (XLIB CUBRE)",IF(V666&lt;S666,"BAJO P.REORDEN",IF(AND(ISNUMBER(Q666),V666&gt;Q666),"SOBRE MAX VENDIBLE","OK")))))</f>
        <v>BAJO SS</v>
      </c>
    </row>
    <row r="667" customFormat="false" ht="15" hidden="false" customHeight="false" outlineLevel="0" collapsed="false">
      <c r="A667" s="3" t="n">
        <v>30002101</v>
      </c>
      <c r="B667" s="3" t="s">
        <v>629</v>
      </c>
      <c r="C667" s="3" t="s">
        <v>124</v>
      </c>
      <c r="D667" s="3" t="s">
        <v>750</v>
      </c>
      <c r="E667" s="3" t="s">
        <v>745</v>
      </c>
      <c r="F667" s="3" t="str">
        <f aca="false">IFERROR(INDEX(ABC_XYZ!$L$5:$L$494,MATCH(A667,ABC_XYZ!$A$5:$A$494,0)),"SIN HIST")</f>
        <v>CY</v>
      </c>
      <c r="G667" s="24" t="n">
        <f aca="false">IF(LEFT(F667,1)="A",Parametros!$B$8,IF(LEFT(F667,1)="B",Parametros!$B$9,IF(LEFT(F667,1)="C",Parametros!$B$10,Parametros!$B$11)))</f>
        <v>0.9</v>
      </c>
      <c r="H667" s="27" t="n">
        <f aca="false">NORMSINV(G667)</f>
        <v>1.2815515655446</v>
      </c>
      <c r="I667" s="23" t="n">
        <v>175</v>
      </c>
      <c r="J667" s="23" t="n">
        <f aca="false">IFERROR(INDEX(ABC_XYZ!$R$5:$R$494,MATCH(A667,ABC_XYZ!$A$5:$A$494,0)),I667*Parametros!$B$13)</f>
        <v>160.471018359495</v>
      </c>
      <c r="K667" s="27" t="n">
        <f aca="false">IFERROR(VLOOKUP(C667,Parametros!$A$36:$B$66,2,FALSE()),Parametros!$B$12)</f>
        <v>1</v>
      </c>
      <c r="L667" s="23" t="n">
        <f aca="false">H667*J667*SQRT(K667)</f>
        <v>205.651884803147</v>
      </c>
      <c r="M667" s="29" t="n">
        <v>365</v>
      </c>
      <c r="N667" s="24" t="n">
        <v>0.273972602739726</v>
      </c>
      <c r="O667" s="3" t="s">
        <v>746</v>
      </c>
      <c r="P667" s="30" t="n">
        <f aca="false">IF(AND(ISNUMBER(M667),ISNUMBER(N667)),M667*N667/7,"")</f>
        <v>14.2857142857143</v>
      </c>
      <c r="Q667" s="23" t="n">
        <f aca="false">IF(ISNUMBER(P667),I667*P667,"")</f>
        <v>2500</v>
      </c>
      <c r="R667" s="23" t="n">
        <f aca="false">IF(ISNUMBER(Q667),MAX(0,MIN(L667,Q667-I667*K667)),L667)</f>
        <v>205.651884803147</v>
      </c>
      <c r="S667" s="23" t="n">
        <f aca="false">R667+I667*K667</f>
        <v>380.651884803147</v>
      </c>
      <c r="T667" s="23" t="n">
        <v>612.7</v>
      </c>
      <c r="U667" s="23" t="n">
        <v>0</v>
      </c>
      <c r="V667" s="23" t="n">
        <f aca="false">T667+U667</f>
        <v>612.7</v>
      </c>
      <c r="W667" s="30" t="n">
        <f aca="false">IF(I667&gt;0,V667/I667,"")</f>
        <v>3.50114285714286</v>
      </c>
      <c r="X667" s="3" t="str">
        <f aca="false">IF(I667&lt;=0,"SIN FCST",IF(V667&lt;R667,"BAJO SS",IF(T667&lt;R667,"BAJO SS (XLIB CUBRE)",IF(V667&lt;S667,"BAJO P.REORDEN",IF(AND(ISNUMBER(Q667),V667&gt;Q667),"SOBRE MAX VENDIBLE","OK")))))</f>
        <v>OK</v>
      </c>
    </row>
    <row r="668" customFormat="false" ht="15" hidden="false" customHeight="false" outlineLevel="0" collapsed="false">
      <c r="A668" s="3" t="n">
        <v>30002095</v>
      </c>
      <c r="B668" s="3" t="s">
        <v>1218</v>
      </c>
      <c r="C668" s="3" t="s">
        <v>149</v>
      </c>
      <c r="D668" s="3" t="s">
        <v>744</v>
      </c>
      <c r="E668" s="3" t="s">
        <v>762</v>
      </c>
      <c r="F668" s="3" t="str">
        <f aca="false">IFERROR(INDEX(ABC_XYZ!$L$5:$L$494,MATCH(A668,ABC_XYZ!$A$5:$A$494,0)),"SIN HIST")</f>
        <v>SIN HIST</v>
      </c>
      <c r="G668" s="24" t="n">
        <f aca="false">IF(LEFT(F668,1)="A",Parametros!$B$8,IF(LEFT(F668,1)="B",Parametros!$B$9,IF(LEFT(F668,1)="C",Parametros!$B$10,Parametros!$B$11)))</f>
        <v>0.95</v>
      </c>
      <c r="H668" s="27" t="n">
        <f aca="false">NORMSINV(G668)</f>
        <v>1.64485362695147</v>
      </c>
      <c r="I668" s="23" t="n">
        <v>160</v>
      </c>
      <c r="J668" s="23" t="n">
        <f aca="false">IFERROR(INDEX(ABC_XYZ!$R$5:$R$494,MATCH(A668,ABC_XYZ!$A$5:$A$494,0)),I668*Parametros!$B$13)</f>
        <v>48</v>
      </c>
      <c r="K668" s="27" t="n">
        <f aca="false">IFERROR(VLOOKUP(C668,Parametros!$A$36:$B$66,2,FALSE()),Parametros!$B$12)</f>
        <v>1</v>
      </c>
      <c r="L668" s="23" t="n">
        <f aca="false">H668*J668*SQRT(K668)</f>
        <v>78.9529740936706</v>
      </c>
      <c r="M668" s="29" t="n">
        <v>180</v>
      </c>
      <c r="N668" s="24" t="n">
        <v>0.211111111111111</v>
      </c>
      <c r="O668" s="3" t="s">
        <v>754</v>
      </c>
      <c r="P668" s="30" t="n">
        <f aca="false">IF(AND(ISNUMBER(M668),ISNUMBER(N668)),M668*N668/7,"")</f>
        <v>5.42857142857143</v>
      </c>
      <c r="Q668" s="23" t="n">
        <f aca="false">IF(ISNUMBER(P668),I668*P668,"")</f>
        <v>868.571428571429</v>
      </c>
      <c r="R668" s="23" t="n">
        <f aca="false">IF(ISNUMBER(Q668),MAX(0,MIN(L668,Q668-I668*K668)),L668)</f>
        <v>78.9529740936706</v>
      </c>
      <c r="S668" s="23" t="n">
        <f aca="false">R668+I668*K668</f>
        <v>238.952974093671</v>
      </c>
      <c r="T668" s="23" t="n">
        <v>332</v>
      </c>
      <c r="U668" s="23" t="n">
        <v>0</v>
      </c>
      <c r="V668" s="23" t="n">
        <f aca="false">T668+U668</f>
        <v>332</v>
      </c>
      <c r="W668" s="30" t="n">
        <f aca="false">IF(I668&gt;0,V668/I668,"")</f>
        <v>2.075</v>
      </c>
      <c r="X668" s="3" t="str">
        <f aca="false">IF(I668&lt;=0,"SIN FCST",IF(V668&lt;R668,"BAJO SS",IF(T668&lt;R668,"BAJO SS (XLIB CUBRE)",IF(V668&lt;S668,"BAJO P.REORDEN",IF(AND(ISNUMBER(Q668),V668&gt;Q668),"SOBRE MAX VENDIBLE","OK")))))</f>
        <v>OK</v>
      </c>
    </row>
    <row r="669" customFormat="false" ht="15" hidden="false" customHeight="false" outlineLevel="0" collapsed="false">
      <c r="A669" s="3" t="n">
        <v>30000187</v>
      </c>
      <c r="B669" s="3" t="s">
        <v>1219</v>
      </c>
      <c r="C669" s="3" t="s">
        <v>144</v>
      </c>
      <c r="D669" s="3" t="s">
        <v>753</v>
      </c>
      <c r="E669" s="3" t="s">
        <v>745</v>
      </c>
      <c r="F669" s="3" t="str">
        <f aca="false">IFERROR(INDEX(ABC_XYZ!$L$5:$L$494,MATCH(A669,ABC_XYZ!$A$5:$A$494,0)),"SIN HIST")</f>
        <v>SIN HIST</v>
      </c>
      <c r="G669" s="24" t="n">
        <f aca="false">IF(LEFT(F669,1)="A",Parametros!$B$8,IF(LEFT(F669,1)="B",Parametros!$B$9,IF(LEFT(F669,1)="C",Parametros!$B$10,Parametros!$B$11)))</f>
        <v>0.95</v>
      </c>
      <c r="H669" s="27" t="n">
        <f aca="false">NORMSINV(G669)</f>
        <v>1.64485362695147</v>
      </c>
      <c r="I669" s="23" t="n">
        <v>139.5</v>
      </c>
      <c r="J669" s="23" t="n">
        <f aca="false">IFERROR(INDEX(ABC_XYZ!$R$5:$R$494,MATCH(A669,ABC_XYZ!$A$5:$A$494,0)),I669*Parametros!$B$13)</f>
        <v>41.85</v>
      </c>
      <c r="K669" s="27" t="n">
        <f aca="false">IFERROR(VLOOKUP(C669,Parametros!$A$36:$B$66,2,FALSE()),Parametros!$B$12)</f>
        <v>1</v>
      </c>
      <c r="L669" s="23" t="n">
        <f aca="false">H669*J669*SQRT(K669)</f>
        <v>68.8371242879191</v>
      </c>
      <c r="M669" s="29" t="n">
        <v>245</v>
      </c>
      <c r="N669" s="24" t="n">
        <v>0.220408163265306</v>
      </c>
      <c r="O669" s="3" t="s">
        <v>754</v>
      </c>
      <c r="P669" s="30" t="n">
        <f aca="false">IF(AND(ISNUMBER(M669),ISNUMBER(N669)),M669*N669/7,"")</f>
        <v>7.71428571428571</v>
      </c>
      <c r="Q669" s="23" t="n">
        <f aca="false">IF(ISNUMBER(P669),I669*P669,"")</f>
        <v>1076.14285714286</v>
      </c>
      <c r="R669" s="23" t="n">
        <f aca="false">IF(ISNUMBER(Q669),MAX(0,MIN(L669,Q669-I669*K669)),L669)</f>
        <v>68.8371242879191</v>
      </c>
      <c r="S669" s="23" t="n">
        <f aca="false">R669+I669*K669</f>
        <v>208.337124287919</v>
      </c>
      <c r="T669" s="23" t="n">
        <v>2220</v>
      </c>
      <c r="U669" s="23" t="n">
        <v>0</v>
      </c>
      <c r="V669" s="23" t="n">
        <f aca="false">T669+U669</f>
        <v>2220</v>
      </c>
      <c r="W669" s="30" t="n">
        <f aca="false">IF(I669&gt;0,V669/I669,"")</f>
        <v>15.9139784946237</v>
      </c>
      <c r="X669" s="3" t="str">
        <f aca="false">IF(I669&lt;=0,"SIN FCST",IF(V669&lt;R669,"BAJO SS",IF(T669&lt;R669,"BAJO SS (XLIB CUBRE)",IF(V669&lt;S669,"BAJO P.REORDEN",IF(AND(ISNUMBER(Q669),V669&gt;Q669),"SOBRE MAX VENDIBLE","OK")))))</f>
        <v>SOBRE MAX VENDIBLE</v>
      </c>
    </row>
    <row r="670" customFormat="false" ht="15" hidden="false" customHeight="false" outlineLevel="0" collapsed="false">
      <c r="A670" s="3" t="n">
        <v>30002193</v>
      </c>
      <c r="B670" s="3" t="s">
        <v>1220</v>
      </c>
      <c r="C670" s="3" t="s">
        <v>126</v>
      </c>
      <c r="D670" s="3" t="s">
        <v>769</v>
      </c>
      <c r="E670" s="3"/>
      <c r="F670" s="3" t="str">
        <f aca="false">IFERROR(INDEX(ABC_XYZ!$L$5:$L$494,MATCH(A670,ABC_XYZ!$A$5:$A$494,0)),"SIN HIST")</f>
        <v>SIN HIST</v>
      </c>
      <c r="G670" s="24" t="n">
        <f aca="false">IF(LEFT(F670,1)="A",Parametros!$B$8,IF(LEFT(F670,1)="B",Parametros!$B$9,IF(LEFT(F670,1)="C",Parametros!$B$10,Parametros!$B$11)))</f>
        <v>0.95</v>
      </c>
      <c r="H670" s="27" t="n">
        <f aca="false">NORMSINV(G670)</f>
        <v>1.64485362695147</v>
      </c>
      <c r="I670" s="23" t="n">
        <v>132.6</v>
      </c>
      <c r="J670" s="23" t="n">
        <f aca="false">IFERROR(INDEX(ABC_XYZ!$R$5:$R$494,MATCH(A670,ABC_XYZ!$A$5:$A$494,0)),I670*Parametros!$B$13)</f>
        <v>39.78</v>
      </c>
      <c r="K670" s="27" t="n">
        <f aca="false">IFERROR(VLOOKUP(C670,Parametros!$A$36:$B$66,2,FALSE()),Parametros!$B$12)</f>
        <v>1</v>
      </c>
      <c r="L670" s="23" t="n">
        <f aca="false">H670*J670*SQRT(K670)</f>
        <v>65.4322772801295</v>
      </c>
      <c r="M670" s="29"/>
      <c r="N670" s="24"/>
      <c r="O670" s="3"/>
      <c r="P670" s="30" t="str">
        <f aca="false">IF(AND(ISNUMBER(M670),ISNUMBER(N670)),M670*N670/7,"")</f>
        <v/>
      </c>
      <c r="Q670" s="23" t="str">
        <f aca="false">IF(ISNUMBER(P670),I670*P670,"")</f>
        <v/>
      </c>
      <c r="R670" s="23" t="n">
        <f aca="false">IF(ISNUMBER(Q670),MAX(0,MIN(L670,Q670-I670*K670)),L670)</f>
        <v>65.4322772801295</v>
      </c>
      <c r="S670" s="23" t="n">
        <f aca="false">R670+I670*K670</f>
        <v>198.03227728013</v>
      </c>
      <c r="T670" s="23" t="n">
        <v>42</v>
      </c>
      <c r="U670" s="23" t="n">
        <v>0</v>
      </c>
      <c r="V670" s="23" t="n">
        <f aca="false">T670+U670</f>
        <v>42</v>
      </c>
      <c r="W670" s="30" t="n">
        <f aca="false">IF(I670&gt;0,V670/I670,"")</f>
        <v>0.316742081447964</v>
      </c>
      <c r="X670" s="3" t="str">
        <f aca="false">IF(I670&lt;=0,"SIN FCST",IF(V670&lt;R670,"BAJO SS",IF(T670&lt;R670,"BAJO SS (XLIB CUBRE)",IF(V670&lt;S670,"BAJO P.REORDEN",IF(AND(ISNUMBER(Q670),V670&gt;Q670),"SOBRE MAX VENDIBLE","OK")))))</f>
        <v>BAJO SS</v>
      </c>
    </row>
    <row r="671" customFormat="false" ht="15" hidden="false" customHeight="false" outlineLevel="0" collapsed="false">
      <c r="A671" s="3" t="n">
        <v>30000186</v>
      </c>
      <c r="B671" s="3" t="s">
        <v>1221</v>
      </c>
      <c r="C671" s="3" t="s">
        <v>144</v>
      </c>
      <c r="D671" s="3" t="s">
        <v>753</v>
      </c>
      <c r="E671" s="3" t="s">
        <v>745</v>
      </c>
      <c r="F671" s="3" t="str">
        <f aca="false">IFERROR(INDEX(ABC_XYZ!$L$5:$L$494,MATCH(A671,ABC_XYZ!$A$5:$A$494,0)),"SIN HIST")</f>
        <v>SIN HIST</v>
      </c>
      <c r="G671" s="24" t="n">
        <f aca="false">IF(LEFT(F671,1)="A",Parametros!$B$8,IF(LEFT(F671,1)="B",Parametros!$B$9,IF(LEFT(F671,1)="C",Parametros!$B$10,Parametros!$B$11)))</f>
        <v>0.95</v>
      </c>
      <c r="H671" s="27" t="n">
        <f aca="false">NORMSINV(G671)</f>
        <v>1.64485362695147</v>
      </c>
      <c r="I671" s="23" t="n">
        <v>132.5</v>
      </c>
      <c r="J671" s="23" t="n">
        <f aca="false">IFERROR(INDEX(ABC_XYZ!$R$5:$R$494,MATCH(A671,ABC_XYZ!$A$5:$A$494,0)),I671*Parametros!$B$13)</f>
        <v>39.75</v>
      </c>
      <c r="K671" s="27" t="n">
        <f aca="false">IFERROR(VLOOKUP(C671,Parametros!$A$36:$B$66,2,FALSE()),Parametros!$B$12)</f>
        <v>1</v>
      </c>
      <c r="L671" s="23" t="n">
        <f aca="false">H671*J671*SQRT(K671)</f>
        <v>65.382931671321</v>
      </c>
      <c r="M671" s="29" t="n">
        <v>184</v>
      </c>
      <c r="N671" s="24" t="n">
        <v>0.271739130434783</v>
      </c>
      <c r="O671" s="3" t="s">
        <v>746</v>
      </c>
      <c r="P671" s="30" t="n">
        <f aca="false">IF(AND(ISNUMBER(M671),ISNUMBER(N671)),M671*N671/7,"")</f>
        <v>7.14285714285714</v>
      </c>
      <c r="Q671" s="23" t="n">
        <f aca="false">IF(ISNUMBER(P671),I671*P671,"")</f>
        <v>946.428571428571</v>
      </c>
      <c r="R671" s="23" t="n">
        <f aca="false">IF(ISNUMBER(Q671),MAX(0,MIN(L671,Q671-I671*K671)),L671)</f>
        <v>65.382931671321</v>
      </c>
      <c r="S671" s="23" t="n">
        <f aca="false">R671+I671*K671</f>
        <v>197.882931671321</v>
      </c>
      <c r="T671" s="23" t="n">
        <v>925</v>
      </c>
      <c r="U671" s="23" t="n">
        <v>0</v>
      </c>
      <c r="V671" s="23" t="n">
        <f aca="false">T671+U671</f>
        <v>925</v>
      </c>
      <c r="W671" s="30" t="n">
        <f aca="false">IF(I671&gt;0,V671/I671,"")</f>
        <v>6.9811320754717</v>
      </c>
      <c r="X671" s="3" t="str">
        <f aca="false">IF(I671&lt;=0,"SIN FCST",IF(V671&lt;R671,"BAJO SS",IF(T671&lt;R671,"BAJO SS (XLIB CUBRE)",IF(V671&lt;S671,"BAJO P.REORDEN",IF(AND(ISNUMBER(Q671),V671&gt;Q671),"SOBRE MAX VENDIBLE","OK")))))</f>
        <v>OK</v>
      </c>
    </row>
    <row r="672" customFormat="false" ht="15" hidden="false" customHeight="false" outlineLevel="0" collapsed="false">
      <c r="A672" s="3" t="n">
        <v>30002192</v>
      </c>
      <c r="B672" s="3" t="s">
        <v>1222</v>
      </c>
      <c r="C672" s="3" t="s">
        <v>150</v>
      </c>
      <c r="D672" s="3" t="s">
        <v>769</v>
      </c>
      <c r="E672" s="3"/>
      <c r="F672" s="3" t="str">
        <f aca="false">IFERROR(INDEX(ABC_XYZ!$L$5:$L$494,MATCH(A672,ABC_XYZ!$A$5:$A$494,0)),"SIN HIST")</f>
        <v>SIN HIST</v>
      </c>
      <c r="G672" s="24" t="n">
        <f aca="false">IF(LEFT(F672,1)="A",Parametros!$B$8,IF(LEFT(F672,1)="B",Parametros!$B$9,IF(LEFT(F672,1)="C",Parametros!$B$10,Parametros!$B$11)))</f>
        <v>0.95</v>
      </c>
      <c r="H672" s="27" t="n">
        <f aca="false">NORMSINV(G672)</f>
        <v>1.64485362695147</v>
      </c>
      <c r="I672" s="23" t="n">
        <v>125.6</v>
      </c>
      <c r="J672" s="23" t="n">
        <f aca="false">IFERROR(INDEX(ABC_XYZ!$R$5:$R$494,MATCH(A672,ABC_XYZ!$A$5:$A$494,0)),I672*Parametros!$B$13)</f>
        <v>37.68</v>
      </c>
      <c r="K672" s="27" t="n">
        <f aca="false">IFERROR(VLOOKUP(C672,Parametros!$A$36:$B$66,2,FALSE()),Parametros!$B$12)</f>
        <v>1</v>
      </c>
      <c r="L672" s="23" t="n">
        <f aca="false">H672*J672*SQRT(K672)</f>
        <v>61.9780846635315</v>
      </c>
      <c r="M672" s="29"/>
      <c r="N672" s="24"/>
      <c r="O672" s="3"/>
      <c r="P672" s="30" t="str">
        <f aca="false">IF(AND(ISNUMBER(M672),ISNUMBER(N672)),M672*N672/7,"")</f>
        <v/>
      </c>
      <c r="Q672" s="23" t="str">
        <f aca="false">IF(ISNUMBER(P672),I672*P672,"")</f>
        <v/>
      </c>
      <c r="R672" s="23" t="n">
        <f aca="false">IF(ISNUMBER(Q672),MAX(0,MIN(L672,Q672-I672*K672)),L672)</f>
        <v>61.9780846635315</v>
      </c>
      <c r="S672" s="23" t="n">
        <f aca="false">R672+I672*K672</f>
        <v>187.578084663531</v>
      </c>
      <c r="T672" s="23" t="n">
        <v>0</v>
      </c>
      <c r="U672" s="23" t="n">
        <v>0</v>
      </c>
      <c r="V672" s="23" t="n">
        <f aca="false">T672+U672</f>
        <v>0</v>
      </c>
      <c r="W672" s="30" t="n">
        <f aca="false">IF(I672&gt;0,V672/I672,"")</f>
        <v>0</v>
      </c>
      <c r="X672" s="3" t="str">
        <f aca="false">IF(I672&lt;=0,"SIN FCST",IF(V672&lt;R672,"BAJO SS",IF(T672&lt;R672,"BAJO SS (XLIB CUBRE)",IF(V672&lt;S672,"BAJO P.REORDEN",IF(AND(ISNUMBER(Q672),V672&gt;Q672),"SOBRE MAX VENDIBLE","OK")))))</f>
        <v>BAJO SS</v>
      </c>
    </row>
    <row r="673" customFormat="false" ht="15" hidden="false" customHeight="false" outlineLevel="0" collapsed="false">
      <c r="A673" s="3" t="n">
        <v>30000818</v>
      </c>
      <c r="B673" s="3" t="s">
        <v>1223</v>
      </c>
      <c r="C673" s="3" t="s">
        <v>133</v>
      </c>
      <c r="D673" s="3" t="s">
        <v>758</v>
      </c>
      <c r="E673" s="3"/>
      <c r="F673" s="3" t="str">
        <f aca="false">IFERROR(INDEX(ABC_XYZ!$L$5:$L$494,MATCH(A673,ABC_XYZ!$A$5:$A$494,0)),"SIN HIST")</f>
        <v>SIN HIST</v>
      </c>
      <c r="G673" s="24" t="n">
        <f aca="false">IF(LEFT(F673,1)="A",Parametros!$B$8,IF(LEFT(F673,1)="B",Parametros!$B$9,IF(LEFT(F673,1)="C",Parametros!$B$10,Parametros!$B$11)))</f>
        <v>0.95</v>
      </c>
      <c r="H673" s="27" t="n">
        <f aca="false">NORMSINV(G673)</f>
        <v>1.64485362695147</v>
      </c>
      <c r="I673" s="23" t="n">
        <v>116.3</v>
      </c>
      <c r="J673" s="23" t="n">
        <f aca="false">IFERROR(INDEX(ABC_XYZ!$R$5:$R$494,MATCH(A673,ABC_XYZ!$A$5:$A$494,0)),I673*Parametros!$B$13)</f>
        <v>34.89</v>
      </c>
      <c r="K673" s="27" t="n">
        <f aca="false">IFERROR(VLOOKUP(C673,Parametros!$A$36:$B$66,2,FALSE()),Parametros!$B$12)</f>
        <v>1</v>
      </c>
      <c r="L673" s="23" t="n">
        <f aca="false">H673*J673*SQRT(K673)</f>
        <v>57.3889430443368</v>
      </c>
      <c r="M673" s="29"/>
      <c r="N673" s="24"/>
      <c r="O673" s="3"/>
      <c r="P673" s="30" t="str">
        <f aca="false">IF(AND(ISNUMBER(M673),ISNUMBER(N673)),M673*N673/7,"")</f>
        <v/>
      </c>
      <c r="Q673" s="23" t="str">
        <f aca="false">IF(ISNUMBER(P673),I673*P673,"")</f>
        <v/>
      </c>
      <c r="R673" s="23" t="n">
        <f aca="false">IF(ISNUMBER(Q673),MAX(0,MIN(L673,Q673-I673*K673)),L673)</f>
        <v>57.3889430443368</v>
      </c>
      <c r="S673" s="23" t="n">
        <f aca="false">R673+I673*K673</f>
        <v>173.688943044337</v>
      </c>
      <c r="T673" s="23" t="n">
        <v>2352</v>
      </c>
      <c r="U673" s="23" t="n">
        <v>0</v>
      </c>
      <c r="V673" s="23" t="n">
        <f aca="false">T673+U673</f>
        <v>2352</v>
      </c>
      <c r="W673" s="30" t="n">
        <f aca="false">IF(I673&gt;0,V673/I673,"")</f>
        <v>20.2235597592433</v>
      </c>
      <c r="X673" s="3" t="str">
        <f aca="false">IF(I673&lt;=0,"SIN FCST",IF(V673&lt;R673,"BAJO SS",IF(T673&lt;R673,"BAJO SS (XLIB CUBRE)",IF(V673&lt;S673,"BAJO P.REORDEN",IF(AND(ISNUMBER(Q673),V673&gt;Q673),"SOBRE MAX VENDIBLE","OK")))))</f>
        <v>OK</v>
      </c>
    </row>
    <row r="674" customFormat="false" ht="15" hidden="false" customHeight="false" outlineLevel="0" collapsed="false">
      <c r="A674" s="3" t="n">
        <v>30001867</v>
      </c>
      <c r="B674" s="3" t="s">
        <v>1224</v>
      </c>
      <c r="C674" s="3" t="s">
        <v>133</v>
      </c>
      <c r="D674" s="3" t="s">
        <v>769</v>
      </c>
      <c r="E674" s="3"/>
      <c r="F674" s="3" t="str">
        <f aca="false">IFERROR(INDEX(ABC_XYZ!$L$5:$L$494,MATCH(A674,ABC_XYZ!$A$5:$A$494,0)),"SIN HIST")</f>
        <v>SIN HIST</v>
      </c>
      <c r="G674" s="24" t="n">
        <f aca="false">IF(LEFT(F674,1)="A",Parametros!$B$8,IF(LEFT(F674,1)="B",Parametros!$B$9,IF(LEFT(F674,1)="C",Parametros!$B$10,Parametros!$B$11)))</f>
        <v>0.95</v>
      </c>
      <c r="H674" s="27" t="n">
        <f aca="false">NORMSINV(G674)</f>
        <v>1.64485362695147</v>
      </c>
      <c r="I674" s="23" t="n">
        <v>104.6</v>
      </c>
      <c r="J674" s="23" t="n">
        <f aca="false">IFERROR(INDEX(ABC_XYZ!$R$5:$R$494,MATCH(A674,ABC_XYZ!$A$5:$A$494,0)),I674*Parametros!$B$13)</f>
        <v>31.38</v>
      </c>
      <c r="K674" s="27" t="n">
        <f aca="false">IFERROR(VLOOKUP(C674,Parametros!$A$36:$B$66,2,FALSE()),Parametros!$B$12)</f>
        <v>1</v>
      </c>
      <c r="L674" s="23" t="n">
        <f aca="false">H674*J674*SQRT(K674)</f>
        <v>51.6155068137372</v>
      </c>
      <c r="M674" s="29"/>
      <c r="N674" s="24"/>
      <c r="O674" s="3"/>
      <c r="P674" s="30" t="str">
        <f aca="false">IF(AND(ISNUMBER(M674),ISNUMBER(N674)),M674*N674/7,"")</f>
        <v/>
      </c>
      <c r="Q674" s="23" t="str">
        <f aca="false">IF(ISNUMBER(P674),I674*P674,"")</f>
        <v/>
      </c>
      <c r="R674" s="23" t="n">
        <f aca="false">IF(ISNUMBER(Q674),MAX(0,MIN(L674,Q674-I674*K674)),L674)</f>
        <v>51.6155068137372</v>
      </c>
      <c r="S674" s="23" t="n">
        <f aca="false">R674+I674*K674</f>
        <v>156.215506813737</v>
      </c>
      <c r="T674" s="23" t="n">
        <v>877.8</v>
      </c>
      <c r="U674" s="23" t="n">
        <v>0</v>
      </c>
      <c r="V674" s="23" t="n">
        <f aca="false">T674+U674</f>
        <v>877.8</v>
      </c>
      <c r="W674" s="30" t="n">
        <f aca="false">IF(I674&gt;0,V674/I674,"")</f>
        <v>8.39196940726577</v>
      </c>
      <c r="X674" s="3" t="str">
        <f aca="false">IF(I674&lt;=0,"SIN FCST",IF(V674&lt;R674,"BAJO SS",IF(T674&lt;R674,"BAJO SS (XLIB CUBRE)",IF(V674&lt;S674,"BAJO P.REORDEN",IF(AND(ISNUMBER(Q674),V674&gt;Q674),"SOBRE MAX VENDIBLE","OK")))))</f>
        <v>OK</v>
      </c>
    </row>
    <row r="675" customFormat="false" ht="15" hidden="false" customHeight="false" outlineLevel="0" collapsed="false">
      <c r="A675" s="3" t="n">
        <v>30001037</v>
      </c>
      <c r="B675" s="3" t="s">
        <v>1225</v>
      </c>
      <c r="C675" s="3" t="s">
        <v>155</v>
      </c>
      <c r="D675" s="3" t="s">
        <v>761</v>
      </c>
      <c r="E675" s="3" t="s">
        <v>762</v>
      </c>
      <c r="F675" s="3" t="str">
        <f aca="false">IFERROR(INDEX(ABC_XYZ!$L$5:$L$494,MATCH(A675,ABC_XYZ!$A$5:$A$494,0)),"SIN HIST")</f>
        <v>CX</v>
      </c>
      <c r="G675" s="24" t="n">
        <f aca="false">IF(LEFT(F675,1)="A",Parametros!$B$8,IF(LEFT(F675,1)="B",Parametros!$B$9,IF(LEFT(F675,1)="C",Parametros!$B$10,Parametros!$B$11)))</f>
        <v>0.9</v>
      </c>
      <c r="H675" s="27" t="n">
        <f aca="false">NORMSINV(G675)</f>
        <v>1.2815515655446</v>
      </c>
      <c r="I675" s="23" t="n">
        <v>86.7</v>
      </c>
      <c r="J675" s="23" t="n">
        <f aca="false">IFERROR(INDEX(ABC_XYZ!$R$5:$R$494,MATCH(A675,ABC_XYZ!$A$5:$A$494,0)),I675*Parametros!$B$13)</f>
        <v>322.781964613247</v>
      </c>
      <c r="K675" s="27" t="n">
        <f aca="false">IFERROR(VLOOKUP(C675,Parametros!$A$36:$B$66,2,FALSE()),Parametros!$B$12)</f>
        <v>1</v>
      </c>
      <c r="L675" s="23" t="n">
        <f aca="false">H675*J675*SQRT(K675)</f>
        <v>413.661732079669</v>
      </c>
      <c r="M675" s="29" t="n">
        <v>62</v>
      </c>
      <c r="N675" s="24" t="n">
        <v>0.193548387096774</v>
      </c>
      <c r="O675" s="3" t="s">
        <v>774</v>
      </c>
      <c r="P675" s="30" t="n">
        <f aca="false">IF(AND(ISNUMBER(M675),ISNUMBER(N675)),M675*N675/7,"")</f>
        <v>1.71428571428571</v>
      </c>
      <c r="Q675" s="23" t="n">
        <f aca="false">IF(ISNUMBER(P675),I675*P675,"")</f>
        <v>148.628571428571</v>
      </c>
      <c r="R675" s="23" t="n">
        <f aca="false">IF(ISNUMBER(Q675),MAX(0,MIN(L675,Q675-I675*K675)),L675)</f>
        <v>61.9285714285714</v>
      </c>
      <c r="S675" s="23" t="n">
        <f aca="false">R675+I675*K675</f>
        <v>148.628571428571</v>
      </c>
      <c r="T675" s="23" t="n">
        <v>1825.2</v>
      </c>
      <c r="U675" s="23" t="n">
        <v>0</v>
      </c>
      <c r="V675" s="23" t="n">
        <f aca="false">T675+U675</f>
        <v>1825.2</v>
      </c>
      <c r="W675" s="30" t="n">
        <f aca="false">IF(I675&gt;0,V675/I675,"")</f>
        <v>21.0519031141869</v>
      </c>
      <c r="X675" s="3" t="str">
        <f aca="false">IF(I675&lt;=0,"SIN FCST",IF(V675&lt;R675,"BAJO SS",IF(T675&lt;R675,"BAJO SS (XLIB CUBRE)",IF(V675&lt;S675,"BAJO P.REORDEN",IF(AND(ISNUMBER(Q675),V675&gt;Q675),"SOBRE MAX VENDIBLE","OK")))))</f>
        <v>SOBRE MAX VENDIBLE</v>
      </c>
    </row>
    <row r="676" customFormat="false" ht="15" hidden="false" customHeight="false" outlineLevel="0" collapsed="false">
      <c r="A676" s="3" t="n">
        <v>30002195</v>
      </c>
      <c r="B676" s="3" t="s">
        <v>1226</v>
      </c>
      <c r="C676" s="3" t="s">
        <v>126</v>
      </c>
      <c r="D676" s="3" t="s">
        <v>769</v>
      </c>
      <c r="E676" s="3"/>
      <c r="F676" s="3" t="str">
        <f aca="false">IFERROR(INDEX(ABC_XYZ!$L$5:$L$494,MATCH(A676,ABC_XYZ!$A$5:$A$494,0)),"SIN HIST")</f>
        <v>SIN HIST</v>
      </c>
      <c r="G676" s="24" t="n">
        <f aca="false">IF(LEFT(F676,1)="A",Parametros!$B$8,IF(LEFT(F676,1)="B",Parametros!$B$9,IF(LEFT(F676,1)="C",Parametros!$B$10,Parametros!$B$11)))</f>
        <v>0.95</v>
      </c>
      <c r="H676" s="27" t="n">
        <f aca="false">NORMSINV(G676)</f>
        <v>1.64485362695147</v>
      </c>
      <c r="I676" s="23" t="n">
        <v>83.7</v>
      </c>
      <c r="J676" s="23" t="n">
        <f aca="false">IFERROR(INDEX(ABC_XYZ!$R$5:$R$494,MATCH(A676,ABC_XYZ!$A$5:$A$494,0)),I676*Parametros!$B$13)</f>
        <v>25.11</v>
      </c>
      <c r="K676" s="27" t="n">
        <f aca="false">IFERROR(VLOOKUP(C676,Parametros!$A$36:$B$66,2,FALSE()),Parametros!$B$12)</f>
        <v>1</v>
      </c>
      <c r="L676" s="23" t="n">
        <f aca="false">H676*J676*SQRT(K676)</f>
        <v>41.3022745727515</v>
      </c>
      <c r="M676" s="29"/>
      <c r="N676" s="24"/>
      <c r="O676" s="3"/>
      <c r="P676" s="30" t="str">
        <f aca="false">IF(AND(ISNUMBER(M676),ISNUMBER(N676)),M676*N676/7,"")</f>
        <v/>
      </c>
      <c r="Q676" s="23" t="str">
        <f aca="false">IF(ISNUMBER(P676),I676*P676,"")</f>
        <v/>
      </c>
      <c r="R676" s="23" t="n">
        <f aca="false">IF(ISNUMBER(Q676),MAX(0,MIN(L676,Q676-I676*K676)),L676)</f>
        <v>41.3022745727515</v>
      </c>
      <c r="S676" s="23" t="n">
        <f aca="false">R676+I676*K676</f>
        <v>125.002274572751</v>
      </c>
      <c r="T676" s="23" t="n">
        <v>840</v>
      </c>
      <c r="U676" s="23" t="n">
        <v>0</v>
      </c>
      <c r="V676" s="23" t="n">
        <f aca="false">T676+U676</f>
        <v>840</v>
      </c>
      <c r="W676" s="30" t="n">
        <f aca="false">IF(I676&gt;0,V676/I676,"")</f>
        <v>10.0358422939068</v>
      </c>
      <c r="X676" s="3" t="str">
        <f aca="false">IF(I676&lt;=0,"SIN FCST",IF(V676&lt;R676,"BAJO SS",IF(T676&lt;R676,"BAJO SS (XLIB CUBRE)",IF(V676&lt;S676,"BAJO P.REORDEN",IF(AND(ISNUMBER(Q676),V676&gt;Q676),"SOBRE MAX VENDIBLE","OK")))))</f>
        <v>OK</v>
      </c>
    </row>
    <row r="677" customFormat="false" ht="15" hidden="false" customHeight="false" outlineLevel="0" collapsed="false">
      <c r="A677" s="3" t="n">
        <v>30001865</v>
      </c>
      <c r="B677" s="3" t="s">
        <v>1227</v>
      </c>
      <c r="C677" s="3" t="s">
        <v>133</v>
      </c>
      <c r="D677" s="3" t="s">
        <v>769</v>
      </c>
      <c r="E677" s="3"/>
      <c r="F677" s="3" t="str">
        <f aca="false">IFERROR(INDEX(ABC_XYZ!$L$5:$L$494,MATCH(A677,ABC_XYZ!$A$5:$A$494,0)),"SIN HIST")</f>
        <v>SIN HIST</v>
      </c>
      <c r="G677" s="24" t="n">
        <f aca="false">IF(LEFT(F677,1)="A",Parametros!$B$8,IF(LEFT(F677,1)="B",Parametros!$B$9,IF(LEFT(F677,1)="C",Parametros!$B$10,Parametros!$B$11)))</f>
        <v>0.95</v>
      </c>
      <c r="H677" s="27" t="n">
        <f aca="false">NORMSINV(G677)</f>
        <v>1.64485362695147</v>
      </c>
      <c r="I677" s="23" t="n">
        <v>74.4</v>
      </c>
      <c r="J677" s="23" t="n">
        <f aca="false">IFERROR(INDEX(ABC_XYZ!$R$5:$R$494,MATCH(A677,ABC_XYZ!$A$5:$A$494,0)),I677*Parametros!$B$13)</f>
        <v>22.32</v>
      </c>
      <c r="K677" s="27" t="n">
        <f aca="false">IFERROR(VLOOKUP(C677,Parametros!$A$36:$B$66,2,FALSE()),Parametros!$B$12)</f>
        <v>1</v>
      </c>
      <c r="L677" s="23" t="n">
        <f aca="false">H677*J677*SQRT(K677)</f>
        <v>36.7131329535568</v>
      </c>
      <c r="M677" s="29"/>
      <c r="N677" s="24"/>
      <c r="O677" s="3"/>
      <c r="P677" s="30" t="str">
        <f aca="false">IF(AND(ISNUMBER(M677),ISNUMBER(N677)),M677*N677/7,"")</f>
        <v/>
      </c>
      <c r="Q677" s="23" t="str">
        <f aca="false">IF(ISNUMBER(P677),I677*P677,"")</f>
        <v/>
      </c>
      <c r="R677" s="23" t="n">
        <f aca="false">IF(ISNUMBER(Q677),MAX(0,MIN(L677,Q677-I677*K677)),L677)</f>
        <v>36.7131329535568</v>
      </c>
      <c r="S677" s="23" t="n">
        <f aca="false">R677+I677*K677</f>
        <v>111.113132953557</v>
      </c>
      <c r="T677" s="23" t="n">
        <v>0</v>
      </c>
      <c r="U677" s="23" t="n">
        <v>0</v>
      </c>
      <c r="V677" s="23" t="n">
        <f aca="false">T677+U677</f>
        <v>0</v>
      </c>
      <c r="W677" s="30" t="n">
        <f aca="false">IF(I677&gt;0,V677/I677,"")</f>
        <v>0</v>
      </c>
      <c r="X677" s="3" t="str">
        <f aca="false">IF(I677&lt;=0,"SIN FCST",IF(V677&lt;R677,"BAJO SS",IF(T677&lt;R677,"BAJO SS (XLIB CUBRE)",IF(V677&lt;S677,"BAJO P.REORDEN",IF(AND(ISNUMBER(Q677),V677&gt;Q677),"SOBRE MAX VENDIBLE","OK")))))</f>
        <v>BAJO SS</v>
      </c>
    </row>
    <row r="678" customFormat="false" ht="15" hidden="false" customHeight="false" outlineLevel="0" collapsed="false">
      <c r="A678" s="3" t="n">
        <v>30001412</v>
      </c>
      <c r="B678" s="3" t="s">
        <v>1228</v>
      </c>
      <c r="C678" s="3" t="s">
        <v>139</v>
      </c>
      <c r="D678" s="3" t="s">
        <v>753</v>
      </c>
      <c r="E678" s="3" t="s">
        <v>745</v>
      </c>
      <c r="F678" s="3" t="str">
        <f aca="false">IFERROR(INDEX(ABC_XYZ!$L$5:$L$494,MATCH(A678,ABC_XYZ!$A$5:$A$494,0)),"SIN HIST")</f>
        <v>CZ</v>
      </c>
      <c r="G678" s="24" t="n">
        <f aca="false">IF(LEFT(F678,1)="A",Parametros!$B$8,IF(LEFT(F678,1)="B",Parametros!$B$9,IF(LEFT(F678,1)="C",Parametros!$B$10,Parametros!$B$11)))</f>
        <v>0.9</v>
      </c>
      <c r="H678" s="27" t="n">
        <f aca="false">NORMSINV(G678)</f>
        <v>1.2815515655446</v>
      </c>
      <c r="I678" s="23" t="n">
        <v>15.1</v>
      </c>
      <c r="J678" s="23" t="n">
        <f aca="false">IFERROR(INDEX(ABC_XYZ!$R$5:$R$494,MATCH(A678,ABC_XYZ!$A$5:$A$494,0)),I678*Parametros!$B$13)</f>
        <v>95.9199797767093</v>
      </c>
      <c r="K678" s="27" t="n">
        <f aca="false">IFERROR(VLOOKUP(C678,Parametros!$A$36:$B$66,2,FALSE()),Parametros!$B$12)</f>
        <v>1</v>
      </c>
      <c r="L678" s="23" t="n">
        <f aca="false">H678*J678*SQRT(K678)</f>
        <v>122.926400249848</v>
      </c>
      <c r="M678" s="29" t="n">
        <v>189</v>
      </c>
      <c r="N678" s="24" t="n">
        <v>0.211640211640212</v>
      </c>
      <c r="O678" s="3" t="s">
        <v>746</v>
      </c>
      <c r="P678" s="30" t="n">
        <f aca="false">IF(AND(ISNUMBER(M678),ISNUMBER(N678)),M678*N678/7,"")</f>
        <v>5.71428571428571</v>
      </c>
      <c r="Q678" s="23" t="n">
        <f aca="false">IF(ISNUMBER(P678),I678*P678,"")</f>
        <v>86.2857142857143</v>
      </c>
      <c r="R678" s="23" t="n">
        <f aca="false">IF(ISNUMBER(Q678),MAX(0,MIN(L678,Q678-I678*K678)),L678)</f>
        <v>71.1857142857143</v>
      </c>
      <c r="S678" s="23" t="n">
        <f aca="false">R678+I678*K678</f>
        <v>86.2857142857143</v>
      </c>
      <c r="T678" s="23" t="n">
        <v>291.6</v>
      </c>
      <c r="U678" s="23" t="n">
        <v>0</v>
      </c>
      <c r="V678" s="23" t="n">
        <f aca="false">T678+U678</f>
        <v>291.6</v>
      </c>
      <c r="W678" s="30" t="n">
        <f aca="false">IF(I678&gt;0,V678/I678,"")</f>
        <v>19.3112582781457</v>
      </c>
      <c r="X678" s="3" t="str">
        <f aca="false">IF(I678&lt;=0,"SIN FCST",IF(V678&lt;R678,"BAJO SS",IF(T678&lt;R678,"BAJO SS (XLIB CUBRE)",IF(V678&lt;S678,"BAJO P.REORDEN",IF(AND(ISNUMBER(Q678),V678&gt;Q678),"SOBRE MAX VENDIBLE","OK")))))</f>
        <v>SOBRE MAX VENDIBLE</v>
      </c>
    </row>
    <row r="679" customFormat="false" ht="15" hidden="false" customHeight="false" outlineLevel="0" collapsed="false">
      <c r="A679" s="3" t="n">
        <v>30000583</v>
      </c>
      <c r="B679" s="3" t="s">
        <v>1229</v>
      </c>
      <c r="C679" s="3" t="s">
        <v>154</v>
      </c>
      <c r="D679" s="3" t="s">
        <v>769</v>
      </c>
      <c r="E679" s="3" t="s">
        <v>745</v>
      </c>
      <c r="F679" s="3" t="str">
        <f aca="false">IFERROR(INDEX(ABC_XYZ!$L$5:$L$494,MATCH(A679,ABC_XYZ!$A$5:$A$494,0)),"SIN HIST")</f>
        <v>SIN HIST</v>
      </c>
      <c r="G679" s="24" t="n">
        <f aca="false">IF(LEFT(F679,1)="A",Parametros!$B$8,IF(LEFT(F679,1)="B",Parametros!$B$9,IF(LEFT(F679,1)="C",Parametros!$B$10,Parametros!$B$11)))</f>
        <v>0.95</v>
      </c>
      <c r="H679" s="27" t="n">
        <f aca="false">NORMSINV(G679)</f>
        <v>1.64485362695147</v>
      </c>
      <c r="I679" s="23" t="n">
        <v>3.7</v>
      </c>
      <c r="J679" s="23" t="n">
        <f aca="false">IFERROR(INDEX(ABC_XYZ!$R$5:$R$494,MATCH(A679,ABC_XYZ!$A$5:$A$494,0)),I679*Parametros!$B$13)</f>
        <v>1.11</v>
      </c>
      <c r="K679" s="27" t="n">
        <f aca="false">IFERROR(VLOOKUP(C679,Parametros!$A$36:$B$66,2,FALSE()),Parametros!$B$12)</f>
        <v>1</v>
      </c>
      <c r="L679" s="23" t="n">
        <f aca="false">H679*J679*SQRT(K679)</f>
        <v>1.82578752591613</v>
      </c>
      <c r="M679" s="29" t="n">
        <v>0</v>
      </c>
      <c r="N679" s="24"/>
      <c r="O679" s="3"/>
      <c r="P679" s="30" t="str">
        <f aca="false">IF(AND(ISNUMBER(M679),ISNUMBER(N679)),M679*N679/7,"")</f>
        <v/>
      </c>
      <c r="Q679" s="23" t="str">
        <f aca="false">IF(ISNUMBER(P679),I679*P679,"")</f>
        <v/>
      </c>
      <c r="R679" s="23" t="n">
        <f aca="false">IF(ISNUMBER(Q679),MAX(0,MIN(L679,Q679-I679*K679)),L679)</f>
        <v>1.82578752591613</v>
      </c>
      <c r="S679" s="23" t="n">
        <f aca="false">R679+I679*K679</f>
        <v>5.52578752591613</v>
      </c>
      <c r="T679" s="23" t="n">
        <v>1233</v>
      </c>
      <c r="U679" s="23" t="n">
        <v>0</v>
      </c>
      <c r="V679" s="23" t="n">
        <f aca="false">T679+U679</f>
        <v>1233</v>
      </c>
      <c r="W679" s="30" t="n">
        <f aca="false">IF(I679&gt;0,V679/I679,"")</f>
        <v>333.243243243243</v>
      </c>
      <c r="X679" s="3" t="str">
        <f aca="false">IF(I679&lt;=0,"SIN FCST",IF(V679&lt;R679,"BAJO SS",IF(T679&lt;R679,"BAJO SS (XLIB CUBRE)",IF(V679&lt;S679,"BAJO P.REORDEN",IF(AND(ISNUMBER(Q679),V679&gt;Q679),"SOBRE MAX VENDIBLE","OK")))))</f>
        <v>OK</v>
      </c>
    </row>
    <row r="680" customFormat="false" ht="15" hidden="false" customHeight="false" outlineLevel="0" collapsed="false">
      <c r="A680" s="3" t="n">
        <v>30001973</v>
      </c>
      <c r="B680" s="3" t="s">
        <v>699</v>
      </c>
      <c r="C680" s="3" t="s">
        <v>139</v>
      </c>
      <c r="D680" s="3" t="s">
        <v>769</v>
      </c>
      <c r="E680" s="3" t="s">
        <v>745</v>
      </c>
      <c r="F680" s="3" t="str">
        <f aca="false">IFERROR(INDEX(ABC_XYZ!$L$5:$L$494,MATCH(A680,ABC_XYZ!$A$5:$A$494,0)),"SIN HIST")</f>
        <v>CZ</v>
      </c>
      <c r="G680" s="24" t="n">
        <f aca="false">IF(LEFT(F680,1)="A",Parametros!$B$8,IF(LEFT(F680,1)="B",Parametros!$B$9,IF(LEFT(F680,1)="C",Parametros!$B$10,Parametros!$B$11)))</f>
        <v>0.9</v>
      </c>
      <c r="H680" s="27" t="n">
        <f aca="false">NORMSINV(G680)</f>
        <v>1.2815515655446</v>
      </c>
      <c r="I680" s="23" t="n">
        <v>3.4</v>
      </c>
      <c r="J680" s="23" t="n">
        <f aca="false">IFERROR(INDEX(ABC_XYZ!$R$5:$R$494,MATCH(A680,ABC_XYZ!$A$5:$A$494,0)),I680*Parametros!$B$13)</f>
        <v>51.5375430623871</v>
      </c>
      <c r="K680" s="27" t="n">
        <f aca="false">IFERROR(VLOOKUP(C680,Parametros!$A$36:$B$66,2,FALSE()),Parametros!$B$12)</f>
        <v>1</v>
      </c>
      <c r="L680" s="23" t="n">
        <f aca="false">H680*J680*SQRT(K680)</f>
        <v>66.0480189959245</v>
      </c>
      <c r="M680" s="29" t="n">
        <v>365</v>
      </c>
      <c r="N680" s="24" t="n">
        <v>0.498630136986301</v>
      </c>
      <c r="O680" s="3" t="s">
        <v>746</v>
      </c>
      <c r="P680" s="30" t="n">
        <f aca="false">IF(AND(ISNUMBER(M680),ISNUMBER(N680)),M680*N680/7,"")</f>
        <v>26</v>
      </c>
      <c r="Q680" s="23" t="n">
        <f aca="false">IF(ISNUMBER(P680),I680*P680,"")</f>
        <v>88.4</v>
      </c>
      <c r="R680" s="23" t="n">
        <f aca="false">IF(ISNUMBER(Q680),MAX(0,MIN(L680,Q680-I680*K680)),L680)</f>
        <v>66.0480189959245</v>
      </c>
      <c r="S680" s="23" t="n">
        <f aca="false">R680+I680*K680</f>
        <v>69.4480189959245</v>
      </c>
      <c r="T680" s="23" t="n">
        <v>0</v>
      </c>
      <c r="U680" s="23" t="n">
        <v>0</v>
      </c>
      <c r="V680" s="23" t="n">
        <f aca="false">T680+U680</f>
        <v>0</v>
      </c>
      <c r="W680" s="30" t="n">
        <f aca="false">IF(I680&gt;0,V680/I680,"")</f>
        <v>0</v>
      </c>
      <c r="X680" s="3" t="str">
        <f aca="false">IF(I680&lt;=0,"SIN FCST",IF(V680&lt;R680,"BAJO SS",IF(T680&lt;R680,"BAJO SS (XLIB CUBRE)",IF(V680&lt;S680,"BAJO P.REORDEN",IF(AND(ISNUMBER(Q680),V680&gt;Q680),"SOBRE MAX VENDIBLE","OK")))))</f>
        <v>BAJO SS</v>
      </c>
    </row>
    <row r="681" customFormat="false" ht="15" hidden="false" customHeight="false" outlineLevel="0" collapsed="false">
      <c r="A681" s="3" t="n">
        <v>30002062</v>
      </c>
      <c r="B681" s="3" t="s">
        <v>1230</v>
      </c>
      <c r="C681" s="3" t="s">
        <v>154</v>
      </c>
      <c r="D681" s="3" t="s">
        <v>769</v>
      </c>
      <c r="E681" s="3" t="s">
        <v>745</v>
      </c>
      <c r="F681" s="3" t="str">
        <f aca="false">IFERROR(INDEX(ABC_XYZ!$L$5:$L$494,MATCH(A681,ABC_XYZ!$A$5:$A$494,0)),"SIN HIST")</f>
        <v>SIN HIST</v>
      </c>
      <c r="G681" s="24" t="n">
        <f aca="false">IF(LEFT(F681,1)="A",Parametros!$B$8,IF(LEFT(F681,1)="B",Parametros!$B$9,IF(LEFT(F681,1)="C",Parametros!$B$10,Parametros!$B$11)))</f>
        <v>0.95</v>
      </c>
      <c r="H681" s="27" t="n">
        <f aca="false">NORMSINV(G681)</f>
        <v>1.64485362695147</v>
      </c>
      <c r="I681" s="23" t="n">
        <v>2.7</v>
      </c>
      <c r="J681" s="23" t="n">
        <f aca="false">IFERROR(INDEX(ABC_XYZ!$R$5:$R$494,MATCH(A681,ABC_XYZ!$A$5:$A$494,0)),I681*Parametros!$B$13)</f>
        <v>0.81</v>
      </c>
      <c r="K681" s="27" t="n">
        <f aca="false">IFERROR(VLOOKUP(C681,Parametros!$A$36:$B$66,2,FALSE()),Parametros!$B$12)</f>
        <v>1</v>
      </c>
      <c r="L681" s="23" t="n">
        <f aca="false">H681*J681*SQRT(K681)</f>
        <v>1.33233143783069</v>
      </c>
      <c r="M681" s="29"/>
      <c r="N681" s="24"/>
      <c r="O681" s="3"/>
      <c r="P681" s="30" t="str">
        <f aca="false">IF(AND(ISNUMBER(M681),ISNUMBER(N681)),M681*N681/7,"")</f>
        <v/>
      </c>
      <c r="Q681" s="23" t="str">
        <f aca="false">IF(ISNUMBER(P681),I681*P681,"")</f>
        <v/>
      </c>
      <c r="R681" s="23" t="n">
        <f aca="false">IF(ISNUMBER(Q681),MAX(0,MIN(L681,Q681-I681*K681)),L681)</f>
        <v>1.33233143783069</v>
      </c>
      <c r="S681" s="23" t="n">
        <f aca="false">R681+I681*K681</f>
        <v>4.03233143783069</v>
      </c>
      <c r="T681" s="23" t="n">
        <v>693</v>
      </c>
      <c r="U681" s="23" t="n">
        <v>0</v>
      </c>
      <c r="V681" s="23" t="n">
        <f aca="false">T681+U681</f>
        <v>693</v>
      </c>
      <c r="W681" s="30" t="n">
        <f aca="false">IF(I681&gt;0,V681/I681,"")</f>
        <v>256.666666666667</v>
      </c>
      <c r="X681" s="3" t="str">
        <f aca="false">IF(I681&lt;=0,"SIN FCST",IF(V681&lt;R681,"BAJO SS",IF(T681&lt;R681,"BAJO SS (XLIB CUBRE)",IF(V681&lt;S681,"BAJO P.REORDEN",IF(AND(ISNUMBER(Q681),V681&gt;Q681),"SOBRE MAX VENDIBLE","OK")))))</f>
        <v>OK</v>
      </c>
    </row>
    <row r="682" customFormat="false" ht="15" hidden="false" customHeight="false" outlineLevel="0" collapsed="false">
      <c r="A682" s="3" t="n">
        <v>30000859</v>
      </c>
      <c r="B682" s="3" t="s">
        <v>1231</v>
      </c>
      <c r="C682" s="3" t="s">
        <v>133</v>
      </c>
      <c r="D682" s="3" t="s">
        <v>758</v>
      </c>
      <c r="E682" s="3"/>
      <c r="F682" s="3" t="str">
        <f aca="false">IFERROR(INDEX(ABC_XYZ!$L$5:$L$494,MATCH(A682,ABC_XYZ!$A$5:$A$494,0)),"SIN HIST")</f>
        <v>SIN HIST</v>
      </c>
      <c r="G682" s="24" t="n">
        <f aca="false">IF(LEFT(F682,1)="A",Parametros!$B$8,IF(LEFT(F682,1)="B",Parametros!$B$9,IF(LEFT(F682,1)="C",Parametros!$B$10,Parametros!$B$11)))</f>
        <v>0.95</v>
      </c>
      <c r="H682" s="27" t="n">
        <f aca="false">NORMSINV(G682)</f>
        <v>1.64485362695147</v>
      </c>
      <c r="I682" s="23" t="n">
        <v>2.4</v>
      </c>
      <c r="J682" s="23" t="n">
        <f aca="false">IFERROR(INDEX(ABC_XYZ!$R$5:$R$494,MATCH(A682,ABC_XYZ!$A$5:$A$494,0)),I682*Parametros!$B$13)</f>
        <v>0.72</v>
      </c>
      <c r="K682" s="27" t="n">
        <f aca="false">IFERROR(VLOOKUP(C682,Parametros!$A$36:$B$66,2,FALSE()),Parametros!$B$12)</f>
        <v>1</v>
      </c>
      <c r="L682" s="23" t="n">
        <f aca="false">H682*J682*SQRT(K682)</f>
        <v>1.18429461140506</v>
      </c>
      <c r="M682" s="29"/>
      <c r="N682" s="24"/>
      <c r="O682" s="3"/>
      <c r="P682" s="30" t="str">
        <f aca="false">IF(AND(ISNUMBER(M682),ISNUMBER(N682)),M682*N682/7,"")</f>
        <v/>
      </c>
      <c r="Q682" s="23" t="str">
        <f aca="false">IF(ISNUMBER(P682),I682*P682,"")</f>
        <v/>
      </c>
      <c r="R682" s="23" t="n">
        <f aca="false">IF(ISNUMBER(Q682),MAX(0,MIN(L682,Q682-I682*K682)),L682)</f>
        <v>1.18429461140506</v>
      </c>
      <c r="S682" s="23" t="n">
        <f aca="false">R682+I682*K682</f>
        <v>3.58429461140506</v>
      </c>
      <c r="T682" s="23" t="n">
        <v>0</v>
      </c>
      <c r="U682" s="23" t="n">
        <v>0</v>
      </c>
      <c r="V682" s="23" t="n">
        <f aca="false">T682+U682</f>
        <v>0</v>
      </c>
      <c r="W682" s="30" t="n">
        <f aca="false">IF(I682&gt;0,V682/I682,"")</f>
        <v>0</v>
      </c>
      <c r="X682" s="3" t="str">
        <f aca="false">IF(I682&lt;=0,"SIN FCST",IF(V682&lt;R682,"BAJO SS",IF(T682&lt;R682,"BAJO SS (XLIB CUBRE)",IF(V682&lt;S682,"BAJO P.REORDEN",IF(AND(ISNUMBER(Q682),V682&gt;Q682),"SOBRE MAX VENDIBLE","OK")))))</f>
        <v>BAJO SS</v>
      </c>
    </row>
    <row r="683" customFormat="false" ht="15" hidden="false" customHeight="false" outlineLevel="0" collapsed="false">
      <c r="A683" s="3" t="n">
        <v>30000290</v>
      </c>
      <c r="B683" s="3" t="s">
        <v>1232</v>
      </c>
      <c r="C683" s="3" t="s">
        <v>154</v>
      </c>
      <c r="D683" s="3" t="s">
        <v>769</v>
      </c>
      <c r="E683" s="3" t="s">
        <v>745</v>
      </c>
      <c r="F683" s="3" t="str">
        <f aca="false">IFERROR(INDEX(ABC_XYZ!$L$5:$L$494,MATCH(A683,ABC_XYZ!$A$5:$A$494,0)),"SIN HIST")</f>
        <v>SIN HIST</v>
      </c>
      <c r="G683" s="24" t="n">
        <f aca="false">IF(LEFT(F683,1)="A",Parametros!$B$8,IF(LEFT(F683,1)="B",Parametros!$B$9,IF(LEFT(F683,1)="C",Parametros!$B$10,Parametros!$B$11)))</f>
        <v>0.95</v>
      </c>
      <c r="H683" s="27" t="n">
        <f aca="false">NORMSINV(G683)</f>
        <v>1.64485362695147</v>
      </c>
      <c r="I683" s="23" t="n">
        <v>2.2</v>
      </c>
      <c r="J683" s="23" t="n">
        <f aca="false">IFERROR(INDEX(ABC_XYZ!$R$5:$R$494,MATCH(A683,ABC_XYZ!$A$5:$A$494,0)),I683*Parametros!$B$13)</f>
        <v>0.66</v>
      </c>
      <c r="K683" s="27" t="n">
        <f aca="false">IFERROR(VLOOKUP(C683,Parametros!$A$36:$B$66,2,FALSE()),Parametros!$B$12)</f>
        <v>1</v>
      </c>
      <c r="L683" s="23" t="n">
        <f aca="false">H683*J683*SQRT(K683)</f>
        <v>1.08560339378797</v>
      </c>
      <c r="M683" s="29" t="n">
        <v>0</v>
      </c>
      <c r="N683" s="24"/>
      <c r="O683" s="3"/>
      <c r="P683" s="30" t="str">
        <f aca="false">IF(AND(ISNUMBER(M683),ISNUMBER(N683)),M683*N683/7,"")</f>
        <v/>
      </c>
      <c r="Q683" s="23" t="str">
        <f aca="false">IF(ISNUMBER(P683),I683*P683,"")</f>
        <v/>
      </c>
      <c r="R683" s="23" t="n">
        <f aca="false">IF(ISNUMBER(Q683),MAX(0,MIN(L683,Q683-I683*K683)),L683)</f>
        <v>1.08560339378797</v>
      </c>
      <c r="S683" s="23" t="n">
        <f aca="false">R683+I683*K683</f>
        <v>3.28560339378797</v>
      </c>
      <c r="T683" s="23" t="n">
        <v>1386</v>
      </c>
      <c r="U683" s="23" t="n">
        <v>0</v>
      </c>
      <c r="V683" s="23" t="n">
        <f aca="false">T683+U683</f>
        <v>1386</v>
      </c>
      <c r="W683" s="30" t="n">
        <f aca="false">IF(I683&gt;0,V683/I683,"")</f>
        <v>630</v>
      </c>
      <c r="X683" s="3" t="str">
        <f aca="false">IF(I683&lt;=0,"SIN FCST",IF(V683&lt;R683,"BAJO SS",IF(T683&lt;R683,"BAJO SS (XLIB CUBRE)",IF(V683&lt;S683,"BAJO P.REORDEN",IF(AND(ISNUMBER(Q683),V683&gt;Q683),"SOBRE MAX VENDIBLE","OK")))))</f>
        <v>OK</v>
      </c>
    </row>
    <row r="684" customFormat="false" ht="15" hidden="false" customHeight="false" outlineLevel="0" collapsed="false">
      <c r="A684" s="3" t="n">
        <v>30000273</v>
      </c>
      <c r="B684" s="3" t="s">
        <v>1233</v>
      </c>
      <c r="C684" s="3" t="s">
        <v>154</v>
      </c>
      <c r="D684" s="3" t="s">
        <v>769</v>
      </c>
      <c r="E684" s="3" t="s">
        <v>745</v>
      </c>
      <c r="F684" s="3" t="str">
        <f aca="false">IFERROR(INDEX(ABC_XYZ!$L$5:$L$494,MATCH(A684,ABC_XYZ!$A$5:$A$494,0)),"SIN HIST")</f>
        <v>SIN HIST</v>
      </c>
      <c r="G684" s="24" t="n">
        <f aca="false">IF(LEFT(F684,1)="A",Parametros!$B$8,IF(LEFT(F684,1)="B",Parametros!$B$9,IF(LEFT(F684,1)="C",Parametros!$B$10,Parametros!$B$11)))</f>
        <v>0.95</v>
      </c>
      <c r="H684" s="27" t="n">
        <f aca="false">NORMSINV(G684)</f>
        <v>1.64485362695147</v>
      </c>
      <c r="I684" s="23" t="n">
        <v>2.2</v>
      </c>
      <c r="J684" s="23" t="n">
        <f aca="false">IFERROR(INDEX(ABC_XYZ!$R$5:$R$494,MATCH(A684,ABC_XYZ!$A$5:$A$494,0)),I684*Parametros!$B$13)</f>
        <v>0.66</v>
      </c>
      <c r="K684" s="27" t="n">
        <f aca="false">IFERROR(VLOOKUP(C684,Parametros!$A$36:$B$66,2,FALSE()),Parametros!$B$12)</f>
        <v>1</v>
      </c>
      <c r="L684" s="23" t="n">
        <f aca="false">H684*J684*SQRT(K684)</f>
        <v>1.08560339378797</v>
      </c>
      <c r="M684" s="29" t="n">
        <v>0</v>
      </c>
      <c r="N684" s="24"/>
      <c r="O684" s="3"/>
      <c r="P684" s="30" t="str">
        <f aca="false">IF(AND(ISNUMBER(M684),ISNUMBER(N684)),M684*N684/7,"")</f>
        <v/>
      </c>
      <c r="Q684" s="23" t="str">
        <f aca="false">IF(ISNUMBER(P684),I684*P684,"")</f>
        <v/>
      </c>
      <c r="R684" s="23" t="n">
        <f aca="false">IF(ISNUMBER(Q684),MAX(0,MIN(L684,Q684-I684*K684)),L684)</f>
        <v>1.08560339378797</v>
      </c>
      <c r="S684" s="23" t="n">
        <f aca="false">R684+I684*K684</f>
        <v>3.28560339378797</v>
      </c>
      <c r="T684" s="23" t="n">
        <v>10818</v>
      </c>
      <c r="U684" s="23" t="n">
        <v>0</v>
      </c>
      <c r="V684" s="23" t="n">
        <f aca="false">T684+U684</f>
        <v>10818</v>
      </c>
      <c r="W684" s="30" t="n">
        <f aca="false">IF(I684&gt;0,V684/I684,"")</f>
        <v>4917.27272727273</v>
      </c>
      <c r="X684" s="3" t="str">
        <f aca="false">IF(I684&lt;=0,"SIN FCST",IF(V684&lt;R684,"BAJO SS",IF(T684&lt;R684,"BAJO SS (XLIB CUBRE)",IF(V684&lt;S684,"BAJO P.REORDEN",IF(AND(ISNUMBER(Q684),V684&gt;Q684),"SOBRE MAX VENDIBLE","OK")))))</f>
        <v>OK</v>
      </c>
    </row>
    <row r="685" customFormat="false" ht="15" hidden="false" customHeight="false" outlineLevel="0" collapsed="false">
      <c r="A685" s="3" t="n">
        <v>30000292</v>
      </c>
      <c r="B685" s="3" t="s">
        <v>1234</v>
      </c>
      <c r="C685" s="3" t="s">
        <v>154</v>
      </c>
      <c r="D685" s="3" t="s">
        <v>769</v>
      </c>
      <c r="E685" s="3" t="s">
        <v>745</v>
      </c>
      <c r="F685" s="3" t="str">
        <f aca="false">IFERROR(INDEX(ABC_XYZ!$L$5:$L$494,MATCH(A685,ABC_XYZ!$A$5:$A$494,0)),"SIN HIST")</f>
        <v>SIN HIST</v>
      </c>
      <c r="G685" s="24" t="n">
        <f aca="false">IF(LEFT(F685,1)="A",Parametros!$B$8,IF(LEFT(F685,1)="B",Parametros!$B$9,IF(LEFT(F685,1)="C",Parametros!$B$10,Parametros!$B$11)))</f>
        <v>0.95</v>
      </c>
      <c r="H685" s="27" t="n">
        <f aca="false">NORMSINV(G685)</f>
        <v>1.64485362695147</v>
      </c>
      <c r="I685" s="23" t="n">
        <v>2.2</v>
      </c>
      <c r="J685" s="23" t="n">
        <f aca="false">IFERROR(INDEX(ABC_XYZ!$R$5:$R$494,MATCH(A685,ABC_XYZ!$A$5:$A$494,0)),I685*Parametros!$B$13)</f>
        <v>0.66</v>
      </c>
      <c r="K685" s="27" t="n">
        <f aca="false">IFERROR(VLOOKUP(C685,Parametros!$A$36:$B$66,2,FALSE()),Parametros!$B$12)</f>
        <v>1</v>
      </c>
      <c r="L685" s="23" t="n">
        <f aca="false">H685*J685*SQRT(K685)</f>
        <v>1.08560339378797</v>
      </c>
      <c r="M685" s="29" t="n">
        <v>0</v>
      </c>
      <c r="N685" s="24"/>
      <c r="O685" s="3"/>
      <c r="P685" s="30" t="str">
        <f aca="false">IF(AND(ISNUMBER(M685),ISNUMBER(N685)),M685*N685/7,"")</f>
        <v/>
      </c>
      <c r="Q685" s="23" t="str">
        <f aca="false">IF(ISNUMBER(P685),I685*P685,"")</f>
        <v/>
      </c>
      <c r="R685" s="23" t="n">
        <f aca="false">IF(ISNUMBER(Q685),MAX(0,MIN(L685,Q685-I685*K685)),L685)</f>
        <v>1.08560339378797</v>
      </c>
      <c r="S685" s="23" t="n">
        <f aca="false">R685+I685*K685</f>
        <v>3.28560339378797</v>
      </c>
      <c r="T685" s="23" t="n">
        <v>3744</v>
      </c>
      <c r="U685" s="23" t="n">
        <v>0</v>
      </c>
      <c r="V685" s="23" t="n">
        <f aca="false">T685+U685</f>
        <v>3744</v>
      </c>
      <c r="W685" s="30" t="n">
        <f aca="false">IF(I685&gt;0,V685/I685,"")</f>
        <v>1701.81818181818</v>
      </c>
      <c r="X685" s="3" t="str">
        <f aca="false">IF(I685&lt;=0,"SIN FCST",IF(V685&lt;R685,"BAJO SS",IF(T685&lt;R685,"BAJO SS (XLIB CUBRE)",IF(V685&lt;S685,"BAJO P.REORDEN",IF(AND(ISNUMBER(Q685),V685&gt;Q685),"SOBRE MAX VENDIBLE","OK")))))</f>
        <v>OK</v>
      </c>
    </row>
    <row r="686" customFormat="false" ht="15" hidden="false" customHeight="false" outlineLevel="0" collapsed="false">
      <c r="A686" s="3" t="n">
        <v>30000289</v>
      </c>
      <c r="B686" s="3" t="s">
        <v>1235</v>
      </c>
      <c r="C686" s="3" t="s">
        <v>154</v>
      </c>
      <c r="D686" s="3" t="s">
        <v>769</v>
      </c>
      <c r="E686" s="3" t="s">
        <v>745</v>
      </c>
      <c r="F686" s="3" t="str">
        <f aca="false">IFERROR(INDEX(ABC_XYZ!$L$5:$L$494,MATCH(A686,ABC_XYZ!$A$5:$A$494,0)),"SIN HIST")</f>
        <v>SIN HIST</v>
      </c>
      <c r="G686" s="24" t="n">
        <f aca="false">IF(LEFT(F686,1)="A",Parametros!$B$8,IF(LEFT(F686,1)="B",Parametros!$B$9,IF(LEFT(F686,1)="C",Parametros!$B$10,Parametros!$B$11)))</f>
        <v>0.95</v>
      </c>
      <c r="H686" s="27" t="n">
        <f aca="false">NORMSINV(G686)</f>
        <v>1.64485362695147</v>
      </c>
      <c r="I686" s="23" t="n">
        <v>1.8</v>
      </c>
      <c r="J686" s="23" t="n">
        <f aca="false">IFERROR(INDEX(ABC_XYZ!$R$5:$R$494,MATCH(A686,ABC_XYZ!$A$5:$A$494,0)),I686*Parametros!$B$13)</f>
        <v>0.54</v>
      </c>
      <c r="K686" s="27" t="n">
        <f aca="false">IFERROR(VLOOKUP(C686,Parametros!$A$36:$B$66,2,FALSE()),Parametros!$B$12)</f>
        <v>1</v>
      </c>
      <c r="L686" s="23" t="n">
        <f aca="false">H686*J686*SQRT(K686)</f>
        <v>0.888220958553795</v>
      </c>
      <c r="M686" s="29" t="n">
        <v>0</v>
      </c>
      <c r="N686" s="24"/>
      <c r="O686" s="3"/>
      <c r="P686" s="30" t="str">
        <f aca="false">IF(AND(ISNUMBER(M686),ISNUMBER(N686)),M686*N686/7,"")</f>
        <v/>
      </c>
      <c r="Q686" s="23" t="str">
        <f aca="false">IF(ISNUMBER(P686),I686*P686,"")</f>
        <v/>
      </c>
      <c r="R686" s="23" t="n">
        <f aca="false">IF(ISNUMBER(Q686),MAX(0,MIN(L686,Q686-I686*K686)),L686)</f>
        <v>0.888220958553795</v>
      </c>
      <c r="S686" s="23" t="n">
        <f aca="false">R686+I686*K686</f>
        <v>2.6882209585538</v>
      </c>
      <c r="T686" s="23" t="n">
        <v>1755</v>
      </c>
      <c r="U686" s="23" t="n">
        <v>0</v>
      </c>
      <c r="V686" s="23" t="n">
        <f aca="false">T686+U686</f>
        <v>1755</v>
      </c>
      <c r="W686" s="30" t="n">
        <f aca="false">IF(I686&gt;0,V686/I686,"")</f>
        <v>975</v>
      </c>
      <c r="X686" s="3" t="str">
        <f aca="false">IF(I686&lt;=0,"SIN FCST",IF(V686&lt;R686,"BAJO SS",IF(T686&lt;R686,"BAJO SS (XLIB CUBRE)",IF(V686&lt;S686,"BAJO P.REORDEN",IF(AND(ISNUMBER(Q686),V686&gt;Q686),"SOBRE MAX VENDIBLE","OK")))))</f>
        <v>OK</v>
      </c>
    </row>
    <row r="687" customFormat="false" ht="15" hidden="false" customHeight="false" outlineLevel="0" collapsed="false">
      <c r="A687" s="3" t="n">
        <v>30000288</v>
      </c>
      <c r="B687" s="3" t="s">
        <v>1236</v>
      </c>
      <c r="C687" s="3" t="s">
        <v>154</v>
      </c>
      <c r="D687" s="3" t="s">
        <v>769</v>
      </c>
      <c r="E687" s="3" t="s">
        <v>745</v>
      </c>
      <c r="F687" s="3" t="str">
        <f aca="false">IFERROR(INDEX(ABC_XYZ!$L$5:$L$494,MATCH(A687,ABC_XYZ!$A$5:$A$494,0)),"SIN HIST")</f>
        <v>SIN HIST</v>
      </c>
      <c r="G687" s="24" t="n">
        <f aca="false">IF(LEFT(F687,1)="A",Parametros!$B$8,IF(LEFT(F687,1)="B",Parametros!$B$9,IF(LEFT(F687,1)="C",Parametros!$B$10,Parametros!$B$11)))</f>
        <v>0.95</v>
      </c>
      <c r="H687" s="27" t="n">
        <f aca="false">NORMSINV(G687)</f>
        <v>1.64485362695147</v>
      </c>
      <c r="I687" s="23" t="n">
        <v>1.8</v>
      </c>
      <c r="J687" s="23" t="n">
        <f aca="false">IFERROR(INDEX(ABC_XYZ!$R$5:$R$494,MATCH(A687,ABC_XYZ!$A$5:$A$494,0)),I687*Parametros!$B$13)</f>
        <v>0.54</v>
      </c>
      <c r="K687" s="27" t="n">
        <f aca="false">IFERROR(VLOOKUP(C687,Parametros!$A$36:$B$66,2,FALSE()),Parametros!$B$12)</f>
        <v>1</v>
      </c>
      <c r="L687" s="23" t="n">
        <f aca="false">H687*J687*SQRT(K687)</f>
        <v>0.888220958553795</v>
      </c>
      <c r="M687" s="29" t="n">
        <v>0</v>
      </c>
      <c r="N687" s="24"/>
      <c r="O687" s="3"/>
      <c r="P687" s="30" t="str">
        <f aca="false">IF(AND(ISNUMBER(M687),ISNUMBER(N687)),M687*N687/7,"")</f>
        <v/>
      </c>
      <c r="Q687" s="23" t="str">
        <f aca="false">IF(ISNUMBER(P687),I687*P687,"")</f>
        <v/>
      </c>
      <c r="R687" s="23" t="n">
        <f aca="false">IF(ISNUMBER(Q687),MAX(0,MIN(L687,Q687-I687*K687)),L687)</f>
        <v>0.888220958553795</v>
      </c>
      <c r="S687" s="23" t="n">
        <f aca="false">R687+I687*K687</f>
        <v>2.6882209585538</v>
      </c>
      <c r="T687" s="23" t="n">
        <v>2430</v>
      </c>
      <c r="U687" s="23" t="n">
        <v>0</v>
      </c>
      <c r="V687" s="23" t="n">
        <f aca="false">T687+U687</f>
        <v>2430</v>
      </c>
      <c r="W687" s="30" t="n">
        <f aca="false">IF(I687&gt;0,V687/I687,"")</f>
        <v>1350</v>
      </c>
      <c r="X687" s="3" t="str">
        <f aca="false">IF(I687&lt;=0,"SIN FCST",IF(V687&lt;R687,"BAJO SS",IF(T687&lt;R687,"BAJO SS (XLIB CUBRE)",IF(V687&lt;S687,"BAJO P.REORDEN",IF(AND(ISNUMBER(Q687),V687&gt;Q687),"SOBRE MAX VENDIBLE","OK")))))</f>
        <v>OK</v>
      </c>
    </row>
    <row r="688" customFormat="false" ht="15" hidden="false" customHeight="false" outlineLevel="0" collapsed="false">
      <c r="A688" s="3" t="n">
        <v>30001433</v>
      </c>
      <c r="B688" s="3" t="s">
        <v>1237</v>
      </c>
      <c r="C688" s="3" t="s">
        <v>154</v>
      </c>
      <c r="D688" s="3" t="s">
        <v>769</v>
      </c>
      <c r="E688" s="3" t="s">
        <v>745</v>
      </c>
      <c r="F688" s="3" t="str">
        <f aca="false">IFERROR(INDEX(ABC_XYZ!$L$5:$L$494,MATCH(A688,ABC_XYZ!$A$5:$A$494,0)),"SIN HIST")</f>
        <v>SIN HIST</v>
      </c>
      <c r="G688" s="24" t="n">
        <f aca="false">IF(LEFT(F688,1)="A",Parametros!$B$8,IF(LEFT(F688,1)="B",Parametros!$B$9,IF(LEFT(F688,1)="C",Parametros!$B$10,Parametros!$B$11)))</f>
        <v>0.95</v>
      </c>
      <c r="H688" s="27" t="n">
        <f aca="false">NORMSINV(G688)</f>
        <v>1.64485362695147</v>
      </c>
      <c r="I688" s="23" t="n">
        <v>1.3</v>
      </c>
      <c r="J688" s="23" t="n">
        <f aca="false">IFERROR(INDEX(ABC_XYZ!$R$5:$R$494,MATCH(A688,ABC_XYZ!$A$5:$A$494,0)),I688*Parametros!$B$13)</f>
        <v>0.39</v>
      </c>
      <c r="K688" s="27" t="n">
        <f aca="false">IFERROR(VLOOKUP(C688,Parametros!$A$36:$B$66,2,FALSE()),Parametros!$B$12)</f>
        <v>1</v>
      </c>
      <c r="L688" s="23" t="n">
        <f aca="false">H688*J688*SQRT(K688)</f>
        <v>0.641492914511074</v>
      </c>
      <c r="M688" s="29" t="n">
        <v>0</v>
      </c>
      <c r="N688" s="24"/>
      <c r="O688" s="3"/>
      <c r="P688" s="30" t="str">
        <f aca="false">IF(AND(ISNUMBER(M688),ISNUMBER(N688)),M688*N688/7,"")</f>
        <v/>
      </c>
      <c r="Q688" s="23" t="str">
        <f aca="false">IF(ISNUMBER(P688),I688*P688,"")</f>
        <v/>
      </c>
      <c r="R688" s="23" t="n">
        <f aca="false">IF(ISNUMBER(Q688),MAX(0,MIN(L688,Q688-I688*K688)),L688)</f>
        <v>0.641492914511074</v>
      </c>
      <c r="S688" s="23" t="n">
        <f aca="false">R688+I688*K688</f>
        <v>1.94149291451107</v>
      </c>
      <c r="T688" s="23" t="n">
        <v>1431</v>
      </c>
      <c r="U688" s="23" t="n">
        <v>0</v>
      </c>
      <c r="V688" s="23" t="n">
        <f aca="false">T688+U688</f>
        <v>1431</v>
      </c>
      <c r="W688" s="30" t="n">
        <f aca="false">IF(I688&gt;0,V688/I688,"")</f>
        <v>1100.76923076923</v>
      </c>
      <c r="X688" s="3" t="str">
        <f aca="false">IF(I688&lt;=0,"SIN FCST",IF(V688&lt;R688,"BAJO SS",IF(T688&lt;R688,"BAJO SS (XLIB CUBRE)",IF(V688&lt;S688,"BAJO P.REORDEN",IF(AND(ISNUMBER(Q688),V688&gt;Q688),"SOBRE MAX VENDIBLE","OK")))))</f>
        <v>OK</v>
      </c>
    </row>
    <row r="689" customFormat="false" ht="15" hidden="false" customHeight="false" outlineLevel="0" collapsed="false">
      <c r="A689" s="3" t="n">
        <v>30000285</v>
      </c>
      <c r="B689" s="3" t="s">
        <v>1238</v>
      </c>
      <c r="C689" s="3" t="s">
        <v>154</v>
      </c>
      <c r="D689" s="3" t="s">
        <v>769</v>
      </c>
      <c r="E689" s="3" t="s">
        <v>745</v>
      </c>
      <c r="F689" s="3" t="str">
        <f aca="false">IFERROR(INDEX(ABC_XYZ!$L$5:$L$494,MATCH(A689,ABC_XYZ!$A$5:$A$494,0)),"SIN HIST")</f>
        <v>SIN HIST</v>
      </c>
      <c r="G689" s="24" t="n">
        <f aca="false">IF(LEFT(F689,1)="A",Parametros!$B$8,IF(LEFT(F689,1)="B",Parametros!$B$9,IF(LEFT(F689,1)="C",Parametros!$B$10,Parametros!$B$11)))</f>
        <v>0.95</v>
      </c>
      <c r="H689" s="27" t="n">
        <f aca="false">NORMSINV(G689)</f>
        <v>1.64485362695147</v>
      </c>
      <c r="I689" s="23" t="n">
        <v>1.2</v>
      </c>
      <c r="J689" s="23" t="n">
        <f aca="false">IFERROR(INDEX(ABC_XYZ!$R$5:$R$494,MATCH(A689,ABC_XYZ!$A$5:$A$494,0)),I689*Parametros!$B$13)</f>
        <v>0.36</v>
      </c>
      <c r="K689" s="27" t="n">
        <f aca="false">IFERROR(VLOOKUP(C689,Parametros!$A$36:$B$66,2,FALSE()),Parametros!$B$12)</f>
        <v>1</v>
      </c>
      <c r="L689" s="23" t="n">
        <f aca="false">H689*J689*SQRT(K689)</f>
        <v>0.59214730570253</v>
      </c>
      <c r="M689" s="29" t="n">
        <v>0</v>
      </c>
      <c r="N689" s="24"/>
      <c r="O689" s="3"/>
      <c r="P689" s="30" t="str">
        <f aca="false">IF(AND(ISNUMBER(M689),ISNUMBER(N689)),M689*N689/7,"")</f>
        <v/>
      </c>
      <c r="Q689" s="23" t="str">
        <f aca="false">IF(ISNUMBER(P689),I689*P689,"")</f>
        <v/>
      </c>
      <c r="R689" s="23" t="n">
        <f aca="false">IF(ISNUMBER(Q689),MAX(0,MIN(L689,Q689-I689*K689)),L689)</f>
        <v>0.59214730570253</v>
      </c>
      <c r="S689" s="23" t="n">
        <f aca="false">R689+I689*K689</f>
        <v>1.79214730570253</v>
      </c>
      <c r="T689" s="23" t="n">
        <v>1728</v>
      </c>
      <c r="U689" s="23" t="n">
        <v>0</v>
      </c>
      <c r="V689" s="23" t="n">
        <f aca="false">T689+U689</f>
        <v>1728</v>
      </c>
      <c r="W689" s="30" t="n">
        <f aca="false">IF(I689&gt;0,V689/I689,"")</f>
        <v>1440</v>
      </c>
      <c r="X689" s="3" t="str">
        <f aca="false">IF(I689&lt;=0,"SIN FCST",IF(V689&lt;R689,"BAJO SS",IF(T689&lt;R689,"BAJO SS (XLIB CUBRE)",IF(V689&lt;S689,"BAJO P.REORDEN",IF(AND(ISNUMBER(Q689),V689&gt;Q689),"SOBRE MAX VENDIBLE","OK")))))</f>
        <v>OK</v>
      </c>
    </row>
    <row r="690" customFormat="false" ht="15" hidden="false" customHeight="false" outlineLevel="0" collapsed="false">
      <c r="A690" s="3" t="n">
        <v>30000590</v>
      </c>
      <c r="B690" s="3" t="s">
        <v>1239</v>
      </c>
      <c r="C690" s="3" t="s">
        <v>154</v>
      </c>
      <c r="D690" s="3" t="s">
        <v>769</v>
      </c>
      <c r="E690" s="3" t="s">
        <v>745</v>
      </c>
      <c r="F690" s="3" t="str">
        <f aca="false">IFERROR(INDEX(ABC_XYZ!$L$5:$L$494,MATCH(A690,ABC_XYZ!$A$5:$A$494,0)),"SIN HIST")</f>
        <v>SIN HIST</v>
      </c>
      <c r="G690" s="24" t="n">
        <f aca="false">IF(LEFT(F690,1)="A",Parametros!$B$8,IF(LEFT(F690,1)="B",Parametros!$B$9,IF(LEFT(F690,1)="C",Parametros!$B$10,Parametros!$B$11)))</f>
        <v>0.95</v>
      </c>
      <c r="H690" s="27" t="n">
        <f aca="false">NORMSINV(G690)</f>
        <v>1.64485362695147</v>
      </c>
      <c r="I690" s="23" t="n">
        <v>1.1</v>
      </c>
      <c r="J690" s="23" t="n">
        <f aca="false">IFERROR(INDEX(ABC_XYZ!$R$5:$R$494,MATCH(A690,ABC_XYZ!$A$5:$A$494,0)),I690*Parametros!$B$13)</f>
        <v>0.33</v>
      </c>
      <c r="K690" s="27" t="n">
        <f aca="false">IFERROR(VLOOKUP(C690,Parametros!$A$36:$B$66,2,FALSE()),Parametros!$B$12)</f>
        <v>1</v>
      </c>
      <c r="L690" s="23" t="n">
        <f aca="false">H690*J690*SQRT(K690)</f>
        <v>0.542801696893986</v>
      </c>
      <c r="M690" s="29" t="n">
        <v>0</v>
      </c>
      <c r="N690" s="24"/>
      <c r="O690" s="3"/>
      <c r="P690" s="30" t="str">
        <f aca="false">IF(AND(ISNUMBER(M690),ISNUMBER(N690)),M690*N690/7,"")</f>
        <v/>
      </c>
      <c r="Q690" s="23" t="str">
        <f aca="false">IF(ISNUMBER(P690),I690*P690,"")</f>
        <v/>
      </c>
      <c r="R690" s="23" t="n">
        <f aca="false">IF(ISNUMBER(Q690),MAX(0,MIN(L690,Q690-I690*K690)),L690)</f>
        <v>0.542801696893986</v>
      </c>
      <c r="S690" s="23" t="n">
        <f aca="false">R690+I690*K690</f>
        <v>1.64280169689399</v>
      </c>
      <c r="T690" s="23" t="n">
        <v>1570.5</v>
      </c>
      <c r="U690" s="23" t="n">
        <v>0</v>
      </c>
      <c r="V690" s="23" t="n">
        <f aca="false">T690+U690</f>
        <v>1570.5</v>
      </c>
      <c r="W690" s="30" t="n">
        <f aca="false">IF(I690&gt;0,V690/I690,"")</f>
        <v>1427.72727272727</v>
      </c>
      <c r="X690" s="3" t="str">
        <f aca="false">IF(I690&lt;=0,"SIN FCST",IF(V690&lt;R690,"BAJO SS",IF(T690&lt;R690,"BAJO SS (XLIB CUBRE)",IF(V690&lt;S690,"BAJO P.REORDEN",IF(AND(ISNUMBER(Q690),V690&gt;Q690),"SOBRE MAX VENDIBLE","OK")))))</f>
        <v>OK</v>
      </c>
    </row>
    <row r="691" customFormat="false" ht="15" hidden="false" customHeight="false" outlineLevel="0" collapsed="false">
      <c r="A691" s="3" t="n">
        <v>30000295</v>
      </c>
      <c r="B691" s="3" t="s">
        <v>1240</v>
      </c>
      <c r="C691" s="3" t="s">
        <v>154</v>
      </c>
      <c r="D691" s="3" t="s">
        <v>769</v>
      </c>
      <c r="E691" s="3" t="s">
        <v>745</v>
      </c>
      <c r="F691" s="3" t="str">
        <f aca="false">IFERROR(INDEX(ABC_XYZ!$L$5:$L$494,MATCH(A691,ABC_XYZ!$A$5:$A$494,0)),"SIN HIST")</f>
        <v>SIN HIST</v>
      </c>
      <c r="G691" s="24" t="n">
        <f aca="false">IF(LEFT(F691,1)="A",Parametros!$B$8,IF(LEFT(F691,1)="B",Parametros!$B$9,IF(LEFT(F691,1)="C",Parametros!$B$10,Parametros!$B$11)))</f>
        <v>0.95</v>
      </c>
      <c r="H691" s="27" t="n">
        <f aca="false">NORMSINV(G691)</f>
        <v>1.64485362695147</v>
      </c>
      <c r="I691" s="23" t="n">
        <v>0.9</v>
      </c>
      <c r="J691" s="23" t="n">
        <f aca="false">IFERROR(INDEX(ABC_XYZ!$R$5:$R$494,MATCH(A691,ABC_XYZ!$A$5:$A$494,0)),I691*Parametros!$B$13)</f>
        <v>0.27</v>
      </c>
      <c r="K691" s="27" t="n">
        <f aca="false">IFERROR(VLOOKUP(C691,Parametros!$A$36:$B$66,2,FALSE()),Parametros!$B$12)</f>
        <v>1</v>
      </c>
      <c r="L691" s="23" t="n">
        <f aca="false">H691*J691*SQRT(K691)</f>
        <v>0.444110479276897</v>
      </c>
      <c r="M691" s="29" t="n">
        <v>0</v>
      </c>
      <c r="N691" s="24"/>
      <c r="O691" s="3"/>
      <c r="P691" s="30" t="str">
        <f aca="false">IF(AND(ISNUMBER(M691),ISNUMBER(N691)),M691*N691/7,"")</f>
        <v/>
      </c>
      <c r="Q691" s="23" t="str">
        <f aca="false">IF(ISNUMBER(P691),I691*P691,"")</f>
        <v/>
      </c>
      <c r="R691" s="23" t="n">
        <f aca="false">IF(ISNUMBER(Q691),MAX(0,MIN(L691,Q691-I691*K691)),L691)</f>
        <v>0.444110479276897</v>
      </c>
      <c r="S691" s="23" t="n">
        <f aca="false">R691+I691*K691</f>
        <v>1.3441104792769</v>
      </c>
      <c r="T691" s="23" t="n">
        <v>594</v>
      </c>
      <c r="U691" s="23" t="n">
        <v>0</v>
      </c>
      <c r="V691" s="23" t="n">
        <f aca="false">T691+U691</f>
        <v>594</v>
      </c>
      <c r="W691" s="30" t="n">
        <f aca="false">IF(I691&gt;0,V691/I691,"")</f>
        <v>660</v>
      </c>
      <c r="X691" s="3" t="str">
        <f aca="false">IF(I691&lt;=0,"SIN FCST",IF(V691&lt;R691,"BAJO SS",IF(T691&lt;R691,"BAJO SS (XLIB CUBRE)",IF(V691&lt;S691,"BAJO P.REORDEN",IF(AND(ISNUMBER(Q691),V691&gt;Q691),"SOBRE MAX VENDIBLE","OK")))))</f>
        <v>OK</v>
      </c>
    </row>
    <row r="692" customFormat="false" ht="15" hidden="false" customHeight="false" outlineLevel="0" collapsed="false">
      <c r="A692" s="3" t="n">
        <v>30000591</v>
      </c>
      <c r="B692" s="3" t="s">
        <v>1241</v>
      </c>
      <c r="C692" s="3" t="s">
        <v>154</v>
      </c>
      <c r="D692" s="3" t="s">
        <v>769</v>
      </c>
      <c r="E692" s="3" t="s">
        <v>745</v>
      </c>
      <c r="F692" s="3" t="str">
        <f aca="false">IFERROR(INDEX(ABC_XYZ!$L$5:$L$494,MATCH(A692,ABC_XYZ!$A$5:$A$494,0)),"SIN HIST")</f>
        <v>SIN HIST</v>
      </c>
      <c r="G692" s="24" t="n">
        <f aca="false">IF(LEFT(F692,1)="A",Parametros!$B$8,IF(LEFT(F692,1)="B",Parametros!$B$9,IF(LEFT(F692,1)="C",Parametros!$B$10,Parametros!$B$11)))</f>
        <v>0.95</v>
      </c>
      <c r="H692" s="27" t="n">
        <f aca="false">NORMSINV(G692)</f>
        <v>1.64485362695147</v>
      </c>
      <c r="I692" s="23" t="n">
        <v>0.9</v>
      </c>
      <c r="J692" s="23" t="n">
        <f aca="false">IFERROR(INDEX(ABC_XYZ!$R$5:$R$494,MATCH(A692,ABC_XYZ!$A$5:$A$494,0)),I692*Parametros!$B$13)</f>
        <v>0.27</v>
      </c>
      <c r="K692" s="27" t="n">
        <f aca="false">IFERROR(VLOOKUP(C692,Parametros!$A$36:$B$66,2,FALSE()),Parametros!$B$12)</f>
        <v>1</v>
      </c>
      <c r="L692" s="23" t="n">
        <f aca="false">H692*J692*SQRT(K692)</f>
        <v>0.444110479276897</v>
      </c>
      <c r="M692" s="29" t="n">
        <v>0</v>
      </c>
      <c r="N692" s="24"/>
      <c r="O692" s="3"/>
      <c r="P692" s="30" t="str">
        <f aca="false">IF(AND(ISNUMBER(M692),ISNUMBER(N692)),M692*N692/7,"")</f>
        <v/>
      </c>
      <c r="Q692" s="23" t="str">
        <f aca="false">IF(ISNUMBER(P692),I692*P692,"")</f>
        <v/>
      </c>
      <c r="R692" s="23" t="n">
        <f aca="false">IF(ISNUMBER(Q692),MAX(0,MIN(L692,Q692-I692*K692)),L692)</f>
        <v>0.444110479276897</v>
      </c>
      <c r="S692" s="23" t="n">
        <f aca="false">R692+I692*K692</f>
        <v>1.3441104792769</v>
      </c>
      <c r="T692" s="23" t="n">
        <v>837</v>
      </c>
      <c r="U692" s="23" t="n">
        <v>0</v>
      </c>
      <c r="V692" s="23" t="n">
        <f aca="false">T692+U692</f>
        <v>837</v>
      </c>
      <c r="W692" s="30" t="n">
        <f aca="false">IF(I692&gt;0,V692/I692,"")</f>
        <v>930</v>
      </c>
      <c r="X692" s="3" t="str">
        <f aca="false">IF(I692&lt;=0,"SIN FCST",IF(V692&lt;R692,"BAJO SS",IF(T692&lt;R692,"BAJO SS (XLIB CUBRE)",IF(V692&lt;S692,"BAJO P.REORDEN",IF(AND(ISNUMBER(Q692),V692&gt;Q692),"SOBRE MAX VENDIBLE","OK")))))</f>
        <v>OK</v>
      </c>
    </row>
    <row r="693" customFormat="false" ht="15" hidden="false" customHeight="false" outlineLevel="0" collapsed="false">
      <c r="A693" s="3" t="n">
        <v>30000394</v>
      </c>
      <c r="B693" s="3" t="s">
        <v>1242</v>
      </c>
      <c r="C693" s="3" t="s">
        <v>138</v>
      </c>
      <c r="D693" s="3" t="s">
        <v>744</v>
      </c>
      <c r="E693" s="3" t="s">
        <v>745</v>
      </c>
      <c r="F693" s="3" t="str">
        <f aca="false">IFERROR(INDEX(ABC_XYZ!$L$5:$L$494,MATCH(A693,ABC_XYZ!$A$5:$A$494,0)),"SIN HIST")</f>
        <v>CZ</v>
      </c>
      <c r="G693" s="24" t="n">
        <f aca="false">IF(LEFT(F693,1)="A",Parametros!$B$8,IF(LEFT(F693,1)="B",Parametros!$B$9,IF(LEFT(F693,1)="C",Parametros!$B$10,Parametros!$B$11)))</f>
        <v>0.9</v>
      </c>
      <c r="H693" s="27" t="n">
        <f aca="false">NORMSINV(G693)</f>
        <v>1.2815515655446</v>
      </c>
      <c r="I693" s="23" t="n">
        <v>0</v>
      </c>
      <c r="J693" s="23" t="n">
        <f aca="false">IFERROR(INDEX(ABC_XYZ!$R$5:$R$494,MATCH(A693,ABC_XYZ!$A$5:$A$494,0)),I693*Parametros!$B$13)</f>
        <v>0</v>
      </c>
      <c r="K693" s="27" t="n">
        <f aca="false">IFERROR(VLOOKUP(C693,Parametros!$A$36:$B$66,2,FALSE()),Parametros!$B$12)</f>
        <v>1</v>
      </c>
      <c r="L693" s="23" t="n">
        <f aca="false">H693*J693*SQRT(K693)</f>
        <v>0</v>
      </c>
      <c r="M693" s="29" t="n">
        <v>365</v>
      </c>
      <c r="N693" s="24" t="n">
        <v>0.32054794520548</v>
      </c>
      <c r="O693" s="3" t="s">
        <v>754</v>
      </c>
      <c r="P693" s="30" t="n">
        <f aca="false">IF(AND(ISNUMBER(M693),ISNUMBER(N693)),M693*N693/7,"")</f>
        <v>16.7142857142857</v>
      </c>
      <c r="Q693" s="23" t="n">
        <f aca="false">IF(ISNUMBER(P693),I693*P693,"")</f>
        <v>0</v>
      </c>
      <c r="R693" s="23" t="n">
        <f aca="false">IF(ISNUMBER(Q693),MAX(0,MIN(L693,Q693-I693*K693)),L693)</f>
        <v>0</v>
      </c>
      <c r="S693" s="23" t="n">
        <f aca="false">R693+I693*K693</f>
        <v>0</v>
      </c>
      <c r="T693" s="23" t="n">
        <v>320</v>
      </c>
      <c r="U693" s="23" t="n">
        <v>0</v>
      </c>
      <c r="V693" s="23" t="n">
        <f aca="false">T693+U693</f>
        <v>320</v>
      </c>
      <c r="W693" s="30" t="str">
        <f aca="false">IF(I693&gt;0,V693/I693,"")</f>
        <v/>
      </c>
      <c r="X693" s="3" t="str">
        <f aca="false">IF(I693&lt;=0,"SIN FCST",IF(V693&lt;R693,"BAJO SS",IF(T693&lt;R693,"BAJO SS (XLIB CUBRE)",IF(V693&lt;S693,"BAJO P.REORDEN",IF(AND(ISNUMBER(Q693),V693&gt;Q693),"SOBRE MAX VENDIBLE","OK")))))</f>
        <v>SIN FCST</v>
      </c>
    </row>
    <row r="694" customFormat="false" ht="15" hidden="false" customHeight="false" outlineLevel="0" collapsed="false">
      <c r="A694" s="3" t="n">
        <v>30001746</v>
      </c>
      <c r="B694" s="3" t="s">
        <v>375</v>
      </c>
      <c r="C694" s="3" t="s">
        <v>127</v>
      </c>
      <c r="D694" s="3" t="s">
        <v>753</v>
      </c>
      <c r="E694" s="3" t="s">
        <v>745</v>
      </c>
      <c r="F694" s="3" t="str">
        <f aca="false">IFERROR(INDEX(ABC_XYZ!$L$5:$L$494,MATCH(A694,ABC_XYZ!$A$5:$A$494,0)),"SIN HIST")</f>
        <v>BY</v>
      </c>
      <c r="G694" s="24" t="n">
        <f aca="false">IF(LEFT(F694,1)="A",Parametros!$B$8,IF(LEFT(F694,1)="B",Parametros!$B$9,IF(LEFT(F694,1)="C",Parametros!$B$10,Parametros!$B$11)))</f>
        <v>0.95</v>
      </c>
      <c r="H694" s="27" t="n">
        <f aca="false">NORMSINV(G694)</f>
        <v>1.64485362695147</v>
      </c>
      <c r="I694" s="23" t="n">
        <v>0</v>
      </c>
      <c r="J694" s="23" t="n">
        <f aca="false">IFERROR(INDEX(ABC_XYZ!$R$5:$R$494,MATCH(A694,ABC_XYZ!$A$5:$A$494,0)),I694*Parametros!$B$13)</f>
        <v>2802.49797397488</v>
      </c>
      <c r="K694" s="27" t="n">
        <f aca="false">IFERROR(VLOOKUP(C694,Parametros!$A$36:$B$66,2,FALSE()),Parametros!$B$12)</f>
        <v>1</v>
      </c>
      <c r="L694" s="23" t="n">
        <f aca="false">H694*J694*SQRT(K694)</f>
        <v>4609.69895701674</v>
      </c>
      <c r="M694" s="29" t="n">
        <v>365</v>
      </c>
      <c r="N694" s="24" t="n">
        <v>0.273972602739726</v>
      </c>
      <c r="O694" s="3" t="s">
        <v>746</v>
      </c>
      <c r="P694" s="30" t="n">
        <f aca="false">IF(AND(ISNUMBER(M694),ISNUMBER(N694)),M694*N694/7,"")</f>
        <v>14.2857142857143</v>
      </c>
      <c r="Q694" s="23" t="n">
        <f aca="false">IF(ISNUMBER(P694),I694*P694,"")</f>
        <v>0</v>
      </c>
      <c r="R694" s="23" t="n">
        <f aca="false">IF(ISNUMBER(Q694),MAX(0,MIN(L694,Q694-I694*K694)),L694)</f>
        <v>0</v>
      </c>
      <c r="S694" s="23" t="n">
        <f aca="false">R694+I694*K694</f>
        <v>0</v>
      </c>
      <c r="T694" s="23" t="n">
        <v>392</v>
      </c>
      <c r="U694" s="23" t="n">
        <v>0</v>
      </c>
      <c r="V694" s="23" t="n">
        <f aca="false">T694+U694</f>
        <v>392</v>
      </c>
      <c r="W694" s="30" t="str">
        <f aca="false">IF(I694&gt;0,V694/I694,"")</f>
        <v/>
      </c>
      <c r="X694" s="3" t="str">
        <f aca="false">IF(I694&lt;=0,"SIN FCST",IF(V694&lt;R694,"BAJO SS",IF(T694&lt;R694,"BAJO SS (XLIB CUBRE)",IF(V694&lt;S694,"BAJO P.REORDEN",IF(AND(ISNUMBER(Q694),V694&gt;Q694),"SOBRE MAX VENDIBLE","OK")))))</f>
        <v>SIN FCST</v>
      </c>
    </row>
    <row r="695" customFormat="false" ht="15" hidden="false" customHeight="false" outlineLevel="0" collapsed="false">
      <c r="A695" s="3" t="n">
        <v>30001741</v>
      </c>
      <c r="B695" s="3" t="s">
        <v>1243</v>
      </c>
      <c r="C695" s="3" t="s">
        <v>129</v>
      </c>
      <c r="D695" s="3" t="s">
        <v>753</v>
      </c>
      <c r="E695" s="3" t="s">
        <v>745</v>
      </c>
      <c r="F695" s="3" t="str">
        <f aca="false">IFERROR(INDEX(ABC_XYZ!$L$5:$L$494,MATCH(A695,ABC_XYZ!$A$5:$A$494,0)),"SIN HIST")</f>
        <v>SIN HIST</v>
      </c>
      <c r="G695" s="24" t="n">
        <f aca="false">IF(LEFT(F695,1)="A",Parametros!$B$8,IF(LEFT(F695,1)="B",Parametros!$B$9,IF(LEFT(F695,1)="C",Parametros!$B$10,Parametros!$B$11)))</f>
        <v>0.95</v>
      </c>
      <c r="H695" s="27" t="n">
        <f aca="false">NORMSINV(G695)</f>
        <v>1.64485362695147</v>
      </c>
      <c r="I695" s="23" t="n">
        <v>0</v>
      </c>
      <c r="J695" s="23" t="n">
        <f aca="false">IFERROR(INDEX(ABC_XYZ!$R$5:$R$494,MATCH(A695,ABC_XYZ!$A$5:$A$494,0)),I695*Parametros!$B$13)</f>
        <v>0</v>
      </c>
      <c r="K695" s="27" t="n">
        <f aca="false">IFERROR(VLOOKUP(C695,Parametros!$A$36:$B$66,2,FALSE()),Parametros!$B$12)</f>
        <v>1</v>
      </c>
      <c r="L695" s="23" t="n">
        <f aca="false">H695*J695*SQRT(K695)</f>
        <v>0</v>
      </c>
      <c r="M695" s="29" t="n">
        <v>914</v>
      </c>
      <c r="N695" s="24" t="n">
        <v>0.277899343544858</v>
      </c>
      <c r="O695" s="3" t="s">
        <v>746</v>
      </c>
      <c r="P695" s="30" t="n">
        <f aca="false">IF(AND(ISNUMBER(M695),ISNUMBER(N695)),M695*N695/7,"")</f>
        <v>36.2857142857143</v>
      </c>
      <c r="Q695" s="23" t="n">
        <f aca="false">IF(ISNUMBER(P695),I695*P695,"")</f>
        <v>0</v>
      </c>
      <c r="R695" s="23" t="n">
        <f aca="false">IF(ISNUMBER(Q695),MAX(0,MIN(L695,Q695-I695*K695)),L695)</f>
        <v>0</v>
      </c>
      <c r="S695" s="23" t="n">
        <f aca="false">R695+I695*K695</f>
        <v>0</v>
      </c>
      <c r="T695" s="23" t="n">
        <v>70.7</v>
      </c>
      <c r="U695" s="23" t="n">
        <v>0</v>
      </c>
      <c r="V695" s="23" t="n">
        <f aca="false">T695+U695</f>
        <v>70.7</v>
      </c>
      <c r="W695" s="30" t="str">
        <f aca="false">IF(I695&gt;0,V695/I695,"")</f>
        <v/>
      </c>
      <c r="X695" s="3" t="str">
        <f aca="false">IF(I695&lt;=0,"SIN FCST",IF(V695&lt;R695,"BAJO SS",IF(T695&lt;R695,"BAJO SS (XLIB CUBRE)",IF(V695&lt;S695,"BAJO P.REORDEN",IF(AND(ISNUMBER(Q695),V695&gt;Q695),"SOBRE MAX VENDIBLE","OK")))))</f>
        <v>SIN FCST</v>
      </c>
    </row>
    <row r="696" customFormat="false" ht="15" hidden="false" customHeight="false" outlineLevel="0" collapsed="false">
      <c r="A696" s="3" t="n">
        <v>30000592</v>
      </c>
      <c r="B696" s="3" t="s">
        <v>1244</v>
      </c>
      <c r="C696" s="3" t="s">
        <v>132</v>
      </c>
      <c r="D696" s="3" t="s">
        <v>769</v>
      </c>
      <c r="E696" s="3" t="s">
        <v>745</v>
      </c>
      <c r="F696" s="3" t="str">
        <f aca="false">IFERROR(INDEX(ABC_XYZ!$L$5:$L$494,MATCH(A696,ABC_XYZ!$A$5:$A$494,0)),"SIN HIST")</f>
        <v>SIN HIST</v>
      </c>
      <c r="G696" s="24" t="n">
        <f aca="false">IF(LEFT(F696,1)="A",Parametros!$B$8,IF(LEFT(F696,1)="B",Parametros!$B$9,IF(LEFT(F696,1)="C",Parametros!$B$10,Parametros!$B$11)))</f>
        <v>0.95</v>
      </c>
      <c r="H696" s="27" t="n">
        <f aca="false">NORMSINV(G696)</f>
        <v>1.64485362695147</v>
      </c>
      <c r="I696" s="23" t="n">
        <v>0</v>
      </c>
      <c r="J696" s="23" t="n">
        <f aca="false">IFERROR(INDEX(ABC_XYZ!$R$5:$R$494,MATCH(A696,ABC_XYZ!$A$5:$A$494,0)),I696*Parametros!$B$13)</f>
        <v>0</v>
      </c>
      <c r="K696" s="27" t="n">
        <f aca="false">IFERROR(VLOOKUP(C696,Parametros!$A$36:$B$66,2,FALSE()),Parametros!$B$12)</f>
        <v>1</v>
      </c>
      <c r="L696" s="23" t="n">
        <f aca="false">H696*J696*SQRT(K696)</f>
        <v>0</v>
      </c>
      <c r="M696" s="29" t="n">
        <v>0</v>
      </c>
      <c r="N696" s="24"/>
      <c r="O696" s="3"/>
      <c r="P696" s="30" t="str">
        <f aca="false">IF(AND(ISNUMBER(M696),ISNUMBER(N696)),M696*N696/7,"")</f>
        <v/>
      </c>
      <c r="Q696" s="23" t="str">
        <f aca="false">IF(ISNUMBER(P696),I696*P696,"")</f>
        <v/>
      </c>
      <c r="R696" s="23" t="n">
        <f aca="false">IF(ISNUMBER(Q696),MAX(0,MIN(L696,Q696-I696*K696)),L696)</f>
        <v>0</v>
      </c>
      <c r="S696" s="23" t="n">
        <f aca="false">R696+I696*K696</f>
        <v>0</v>
      </c>
      <c r="T696" s="23" t="n">
        <v>10674</v>
      </c>
      <c r="U696" s="23" t="n">
        <v>0</v>
      </c>
      <c r="V696" s="23" t="n">
        <f aca="false">T696+U696</f>
        <v>10674</v>
      </c>
      <c r="W696" s="30" t="str">
        <f aca="false">IF(I696&gt;0,V696/I696,"")</f>
        <v/>
      </c>
      <c r="X696" s="3" t="str">
        <f aca="false">IF(I696&lt;=0,"SIN FCST",IF(V696&lt;R696,"BAJO SS",IF(T696&lt;R696,"BAJO SS (XLIB CUBRE)",IF(V696&lt;S696,"BAJO P.REORDEN",IF(AND(ISNUMBER(Q696),V696&gt;Q696),"SOBRE MAX VENDIBLE","OK")))))</f>
        <v>SIN FCST</v>
      </c>
    </row>
    <row r="697" customFormat="false" ht="15" hidden="false" customHeight="false" outlineLevel="0" collapsed="false">
      <c r="A697" s="3" t="n">
        <v>30000681</v>
      </c>
      <c r="B697" s="3" t="s">
        <v>633</v>
      </c>
      <c r="C697" s="3" t="s">
        <v>129</v>
      </c>
      <c r="D697" s="3" t="s">
        <v>753</v>
      </c>
      <c r="E697" s="3" t="s">
        <v>745</v>
      </c>
      <c r="F697" s="3" t="str">
        <f aca="false">IFERROR(INDEX(ABC_XYZ!$L$5:$L$494,MATCH(A697,ABC_XYZ!$A$5:$A$494,0)),"SIN HIST")</f>
        <v>CX</v>
      </c>
      <c r="G697" s="24" t="n">
        <f aca="false">IF(LEFT(F697,1)="A",Parametros!$B$8,IF(LEFT(F697,1)="B",Parametros!$B$9,IF(LEFT(F697,1)="C",Parametros!$B$10,Parametros!$B$11)))</f>
        <v>0.9</v>
      </c>
      <c r="H697" s="27" t="n">
        <f aca="false">NORMSINV(G697)</f>
        <v>1.2815515655446</v>
      </c>
      <c r="I697" s="23" t="n">
        <v>0</v>
      </c>
      <c r="J697" s="23" t="n">
        <f aca="false">IFERROR(INDEX(ABC_XYZ!$R$5:$R$494,MATCH(A697,ABC_XYZ!$A$5:$A$494,0)),I697*Parametros!$B$13)</f>
        <v>59.5091029451237</v>
      </c>
      <c r="K697" s="27" t="n">
        <f aca="false">IFERROR(VLOOKUP(C697,Parametros!$A$36:$B$66,2,FALSE()),Parametros!$B$12)</f>
        <v>1</v>
      </c>
      <c r="L697" s="23" t="n">
        <f aca="false">H697*J697*SQRT(K697)</f>
        <v>76.2639840434781</v>
      </c>
      <c r="M697" s="29" t="n">
        <v>914</v>
      </c>
      <c r="N697" s="24" t="n">
        <v>0.198030634573304</v>
      </c>
      <c r="O697" s="3" t="s">
        <v>746</v>
      </c>
      <c r="P697" s="30" t="n">
        <f aca="false">IF(AND(ISNUMBER(M697),ISNUMBER(N697)),M697*N697/7,"")</f>
        <v>25.8571428571429</v>
      </c>
      <c r="Q697" s="23" t="n">
        <f aca="false">IF(ISNUMBER(P697),I697*P697,"")</f>
        <v>0</v>
      </c>
      <c r="R697" s="23" t="n">
        <f aca="false">IF(ISNUMBER(Q697),MAX(0,MIN(L697,Q697-I697*K697)),L697)</f>
        <v>0</v>
      </c>
      <c r="S697" s="23" t="n">
        <f aca="false">R697+I697*K697</f>
        <v>0</v>
      </c>
      <c r="T697" s="23" t="n">
        <v>3600</v>
      </c>
      <c r="U697" s="23" t="n">
        <v>0</v>
      </c>
      <c r="V697" s="23" t="n">
        <f aca="false">T697+U697</f>
        <v>3600</v>
      </c>
      <c r="W697" s="30" t="str">
        <f aca="false">IF(I697&gt;0,V697/I697,"")</f>
        <v/>
      </c>
      <c r="X697" s="3" t="str">
        <f aca="false">IF(I697&lt;=0,"SIN FCST",IF(V697&lt;R697,"BAJO SS",IF(T697&lt;R697,"BAJO SS (XLIB CUBRE)",IF(V697&lt;S697,"BAJO P.REORDEN",IF(AND(ISNUMBER(Q697),V697&gt;Q697),"SOBRE MAX VENDIBLE","OK")))))</f>
        <v>SIN FCST</v>
      </c>
    </row>
    <row r="698" customFormat="false" ht="15" hidden="false" customHeight="false" outlineLevel="0" collapsed="false">
      <c r="A698" s="3" t="n">
        <v>30001151</v>
      </c>
      <c r="B698" s="3" t="s">
        <v>697</v>
      </c>
      <c r="C698" s="3" t="s">
        <v>129</v>
      </c>
      <c r="D698" s="3" t="s">
        <v>753</v>
      </c>
      <c r="E698" s="3" t="s">
        <v>745</v>
      </c>
      <c r="F698" s="3" t="str">
        <f aca="false">IFERROR(INDEX(ABC_XYZ!$L$5:$L$494,MATCH(A698,ABC_XYZ!$A$5:$A$494,0)),"SIN HIST")</f>
        <v>CZ</v>
      </c>
      <c r="G698" s="24" t="n">
        <f aca="false">IF(LEFT(F698,1)="A",Parametros!$B$8,IF(LEFT(F698,1)="B",Parametros!$B$9,IF(LEFT(F698,1)="C",Parametros!$B$10,Parametros!$B$11)))</f>
        <v>0.9</v>
      </c>
      <c r="H698" s="27" t="n">
        <f aca="false">NORMSINV(G698)</f>
        <v>1.2815515655446</v>
      </c>
      <c r="I698" s="23" t="n">
        <v>0</v>
      </c>
      <c r="J698" s="23" t="n">
        <f aca="false">IFERROR(INDEX(ABC_XYZ!$R$5:$R$494,MATCH(A698,ABC_XYZ!$A$5:$A$494,0)),I698*Parametros!$B$13)</f>
        <v>0</v>
      </c>
      <c r="K698" s="27" t="n">
        <f aca="false">IFERROR(VLOOKUP(C698,Parametros!$A$36:$B$66,2,FALSE()),Parametros!$B$12)</f>
        <v>1</v>
      </c>
      <c r="L698" s="23" t="n">
        <f aca="false">H698*J698*SQRT(K698)</f>
        <v>0</v>
      </c>
      <c r="M698" s="29" t="n">
        <v>914</v>
      </c>
      <c r="N698" s="24" t="n">
        <v>0.463894967177243</v>
      </c>
      <c r="O698" s="3" t="s">
        <v>772</v>
      </c>
      <c r="P698" s="30" t="n">
        <f aca="false">IF(AND(ISNUMBER(M698),ISNUMBER(N698)),M698*N698/7,"")</f>
        <v>60.5714285714286</v>
      </c>
      <c r="Q698" s="23" t="n">
        <f aca="false">IF(ISNUMBER(P698),I698*P698,"")</f>
        <v>0</v>
      </c>
      <c r="R698" s="23" t="n">
        <f aca="false">IF(ISNUMBER(Q698),MAX(0,MIN(L698,Q698-I698*K698)),L698)</f>
        <v>0</v>
      </c>
      <c r="S698" s="23" t="n">
        <f aca="false">R698+I698*K698</f>
        <v>0</v>
      </c>
      <c r="T698" s="23" t="n">
        <v>85.1</v>
      </c>
      <c r="U698" s="23" t="n">
        <v>0</v>
      </c>
      <c r="V698" s="23" t="n">
        <f aca="false">T698+U698</f>
        <v>85.1</v>
      </c>
      <c r="W698" s="30" t="str">
        <f aca="false">IF(I698&gt;0,V698/I698,"")</f>
        <v/>
      </c>
      <c r="X698" s="3" t="str">
        <f aca="false">IF(I698&lt;=0,"SIN FCST",IF(V698&lt;R698,"BAJO SS",IF(T698&lt;R698,"BAJO SS (XLIB CUBRE)",IF(V698&lt;S698,"BAJO P.REORDEN",IF(AND(ISNUMBER(Q698),V698&gt;Q698),"SOBRE MAX VENDIBLE","OK")))))</f>
        <v>SIN FCST</v>
      </c>
    </row>
    <row r="699" customFormat="false" ht="15" hidden="false" customHeight="false" outlineLevel="0" collapsed="false">
      <c r="A699" s="3" t="n">
        <v>30000971</v>
      </c>
      <c r="B699" s="3" t="s">
        <v>1245</v>
      </c>
      <c r="C699" s="3" t="s">
        <v>133</v>
      </c>
      <c r="D699" s="3" t="s">
        <v>758</v>
      </c>
      <c r="E699" s="3"/>
      <c r="F699" s="3" t="str">
        <f aca="false">IFERROR(INDEX(ABC_XYZ!$L$5:$L$494,MATCH(A699,ABC_XYZ!$A$5:$A$494,0)),"SIN HIST")</f>
        <v>SIN HIST</v>
      </c>
      <c r="G699" s="24" t="n">
        <f aca="false">IF(LEFT(F699,1)="A",Parametros!$B$8,IF(LEFT(F699,1)="B",Parametros!$B$9,IF(LEFT(F699,1)="C",Parametros!$B$10,Parametros!$B$11)))</f>
        <v>0.95</v>
      </c>
      <c r="H699" s="27" t="n">
        <f aca="false">NORMSINV(G699)</f>
        <v>1.64485362695147</v>
      </c>
      <c r="I699" s="23" t="n">
        <v>0</v>
      </c>
      <c r="J699" s="23" t="n">
        <f aca="false">IFERROR(INDEX(ABC_XYZ!$R$5:$R$494,MATCH(A699,ABC_XYZ!$A$5:$A$494,0)),I699*Parametros!$B$13)</f>
        <v>0</v>
      </c>
      <c r="K699" s="27" t="n">
        <f aca="false">IFERROR(VLOOKUP(C699,Parametros!$A$36:$B$66,2,FALSE()),Parametros!$B$12)</f>
        <v>1</v>
      </c>
      <c r="L699" s="23" t="n">
        <f aca="false">H699*J699*SQRT(K699)</f>
        <v>0</v>
      </c>
      <c r="M699" s="29"/>
      <c r="N699" s="24"/>
      <c r="O699" s="3"/>
      <c r="P699" s="30" t="str">
        <f aca="false">IF(AND(ISNUMBER(M699),ISNUMBER(N699)),M699*N699/7,"")</f>
        <v/>
      </c>
      <c r="Q699" s="23" t="str">
        <f aca="false">IF(ISNUMBER(P699),I699*P699,"")</f>
        <v/>
      </c>
      <c r="R699" s="23" t="n">
        <f aca="false">IF(ISNUMBER(Q699),MAX(0,MIN(L699,Q699-I699*K699)),L699)</f>
        <v>0</v>
      </c>
      <c r="S699" s="23" t="n">
        <f aca="false">R699+I699*K699</f>
        <v>0</v>
      </c>
      <c r="T699" s="23" t="n">
        <v>3432.2</v>
      </c>
      <c r="U699" s="23" t="n">
        <v>0</v>
      </c>
      <c r="V699" s="23" t="n">
        <f aca="false">T699+U699</f>
        <v>3432.2</v>
      </c>
      <c r="W699" s="30" t="str">
        <f aca="false">IF(I699&gt;0,V699/I699,"")</f>
        <v/>
      </c>
      <c r="X699" s="3" t="str">
        <f aca="false">IF(I699&lt;=0,"SIN FCST",IF(V699&lt;R699,"BAJO SS",IF(T699&lt;R699,"BAJO SS (XLIB CUBRE)",IF(V699&lt;S699,"BAJO P.REORDEN",IF(AND(ISNUMBER(Q699),V699&gt;Q699),"SOBRE MAX VENDIBLE","OK")))))</f>
        <v>SIN FCST</v>
      </c>
    </row>
    <row r="700" customFormat="false" ht="15" hidden="false" customHeight="false" outlineLevel="0" collapsed="false">
      <c r="A700" s="3" t="n">
        <v>30000968</v>
      </c>
      <c r="B700" s="3" t="s">
        <v>1246</v>
      </c>
      <c r="C700" s="3" t="s">
        <v>133</v>
      </c>
      <c r="D700" s="3" t="s">
        <v>758</v>
      </c>
      <c r="E700" s="3"/>
      <c r="F700" s="3" t="str">
        <f aca="false">IFERROR(INDEX(ABC_XYZ!$L$5:$L$494,MATCH(A700,ABC_XYZ!$A$5:$A$494,0)),"SIN HIST")</f>
        <v>SIN HIST</v>
      </c>
      <c r="G700" s="24" t="n">
        <f aca="false">IF(LEFT(F700,1)="A",Parametros!$B$8,IF(LEFT(F700,1)="B",Parametros!$B$9,IF(LEFT(F700,1)="C",Parametros!$B$10,Parametros!$B$11)))</f>
        <v>0.95</v>
      </c>
      <c r="H700" s="27" t="n">
        <f aca="false">NORMSINV(G700)</f>
        <v>1.64485362695147</v>
      </c>
      <c r="I700" s="23" t="n">
        <v>0</v>
      </c>
      <c r="J700" s="23" t="n">
        <f aca="false">IFERROR(INDEX(ABC_XYZ!$R$5:$R$494,MATCH(A700,ABC_XYZ!$A$5:$A$494,0)),I700*Parametros!$B$13)</f>
        <v>0</v>
      </c>
      <c r="K700" s="27" t="n">
        <f aca="false">IFERROR(VLOOKUP(C700,Parametros!$A$36:$B$66,2,FALSE()),Parametros!$B$12)</f>
        <v>1</v>
      </c>
      <c r="L700" s="23" t="n">
        <f aca="false">H700*J700*SQRT(K700)</f>
        <v>0</v>
      </c>
      <c r="M700" s="29"/>
      <c r="N700" s="24"/>
      <c r="O700" s="3"/>
      <c r="P700" s="30" t="str">
        <f aca="false">IF(AND(ISNUMBER(M700),ISNUMBER(N700)),M700*N700/7,"")</f>
        <v/>
      </c>
      <c r="Q700" s="23" t="str">
        <f aca="false">IF(ISNUMBER(P700),I700*P700,"")</f>
        <v/>
      </c>
      <c r="R700" s="23" t="n">
        <f aca="false">IF(ISNUMBER(Q700),MAX(0,MIN(L700,Q700-I700*K700)),L700)</f>
        <v>0</v>
      </c>
      <c r="S700" s="23" t="n">
        <f aca="false">R700+I700*K700</f>
        <v>0</v>
      </c>
      <c r="T700" s="23" t="n">
        <v>4480</v>
      </c>
      <c r="U700" s="23" t="n">
        <v>0</v>
      </c>
      <c r="V700" s="23" t="n">
        <f aca="false">T700+U700</f>
        <v>4480</v>
      </c>
      <c r="W700" s="30" t="str">
        <f aca="false">IF(I700&gt;0,V700/I700,"")</f>
        <v/>
      </c>
      <c r="X700" s="3" t="str">
        <f aca="false">IF(I700&lt;=0,"SIN FCST",IF(V700&lt;R700,"BAJO SS",IF(T700&lt;R700,"BAJO SS (XLIB CUBRE)",IF(V700&lt;S700,"BAJO P.REORDEN",IF(AND(ISNUMBER(Q700),V700&gt;Q700),"SOBRE MAX VENDIBLE","OK")))))</f>
        <v>SIN FCST</v>
      </c>
    </row>
    <row r="701" customFormat="false" ht="15" hidden="false" customHeight="false" outlineLevel="0" collapsed="false">
      <c r="A701" s="3" t="n">
        <v>30000963</v>
      </c>
      <c r="B701" s="3" t="s">
        <v>1247</v>
      </c>
      <c r="C701" s="3" t="s">
        <v>133</v>
      </c>
      <c r="D701" s="3" t="s">
        <v>769</v>
      </c>
      <c r="E701" s="3"/>
      <c r="F701" s="3" t="str">
        <f aca="false">IFERROR(INDEX(ABC_XYZ!$L$5:$L$494,MATCH(A701,ABC_XYZ!$A$5:$A$494,0)),"SIN HIST")</f>
        <v>SIN HIST</v>
      </c>
      <c r="G701" s="24" t="n">
        <f aca="false">IF(LEFT(F701,1)="A",Parametros!$B$8,IF(LEFT(F701,1)="B",Parametros!$B$9,IF(LEFT(F701,1)="C",Parametros!$B$10,Parametros!$B$11)))</f>
        <v>0.95</v>
      </c>
      <c r="H701" s="27" t="n">
        <f aca="false">NORMSINV(G701)</f>
        <v>1.64485362695147</v>
      </c>
      <c r="I701" s="23" t="n">
        <v>0</v>
      </c>
      <c r="J701" s="23" t="n">
        <f aca="false">IFERROR(INDEX(ABC_XYZ!$R$5:$R$494,MATCH(A701,ABC_XYZ!$A$5:$A$494,0)),I701*Parametros!$B$13)</f>
        <v>0</v>
      </c>
      <c r="K701" s="27" t="n">
        <f aca="false">IFERROR(VLOOKUP(C701,Parametros!$A$36:$B$66,2,FALSE()),Parametros!$B$12)</f>
        <v>1</v>
      </c>
      <c r="L701" s="23" t="n">
        <f aca="false">H701*J701*SQRT(K701)</f>
        <v>0</v>
      </c>
      <c r="M701" s="29"/>
      <c r="N701" s="24"/>
      <c r="O701" s="3"/>
      <c r="P701" s="30" t="str">
        <f aca="false">IF(AND(ISNUMBER(M701),ISNUMBER(N701)),M701*N701/7,"")</f>
        <v/>
      </c>
      <c r="Q701" s="23" t="str">
        <f aca="false">IF(ISNUMBER(P701),I701*P701,"")</f>
        <v/>
      </c>
      <c r="R701" s="23" t="n">
        <f aca="false">IF(ISNUMBER(Q701),MAX(0,MIN(L701,Q701-I701*K701)),L701)</f>
        <v>0</v>
      </c>
      <c r="S701" s="23" t="n">
        <f aca="false">R701+I701*K701</f>
        <v>0</v>
      </c>
      <c r="T701" s="23" t="n">
        <v>620</v>
      </c>
      <c r="U701" s="23" t="n">
        <v>0</v>
      </c>
      <c r="V701" s="23" t="n">
        <f aca="false">T701+U701</f>
        <v>620</v>
      </c>
      <c r="W701" s="30" t="str">
        <f aca="false">IF(I701&gt;0,V701/I701,"")</f>
        <v/>
      </c>
      <c r="X701" s="3" t="str">
        <f aca="false">IF(I701&lt;=0,"SIN FCST",IF(V701&lt;R701,"BAJO SS",IF(T701&lt;R701,"BAJO SS (XLIB CUBRE)",IF(V701&lt;S701,"BAJO P.REORDEN",IF(AND(ISNUMBER(Q701),V701&gt;Q701),"SOBRE MAX VENDIBLE","OK")))))</f>
        <v>SIN FCST</v>
      </c>
    </row>
    <row r="702" customFormat="false" ht="15" hidden="false" customHeight="false" outlineLevel="0" collapsed="false">
      <c r="A702" s="3" t="n">
        <v>30000956</v>
      </c>
      <c r="B702" s="3" t="s">
        <v>1248</v>
      </c>
      <c r="C702" s="3" t="s">
        <v>133</v>
      </c>
      <c r="D702" s="3" t="s">
        <v>758</v>
      </c>
      <c r="E702" s="3"/>
      <c r="F702" s="3" t="str">
        <f aca="false">IFERROR(INDEX(ABC_XYZ!$L$5:$L$494,MATCH(A702,ABC_XYZ!$A$5:$A$494,0)),"SIN HIST")</f>
        <v>SIN HIST</v>
      </c>
      <c r="G702" s="24" t="n">
        <f aca="false">IF(LEFT(F702,1)="A",Parametros!$B$8,IF(LEFT(F702,1)="B",Parametros!$B$9,IF(LEFT(F702,1)="C",Parametros!$B$10,Parametros!$B$11)))</f>
        <v>0.95</v>
      </c>
      <c r="H702" s="27" t="n">
        <f aca="false">NORMSINV(G702)</f>
        <v>1.64485362695147</v>
      </c>
      <c r="I702" s="23" t="n">
        <v>0</v>
      </c>
      <c r="J702" s="23" t="n">
        <f aca="false">IFERROR(INDEX(ABC_XYZ!$R$5:$R$494,MATCH(A702,ABC_XYZ!$A$5:$A$494,0)),I702*Parametros!$B$13)</f>
        <v>0</v>
      </c>
      <c r="K702" s="27" t="n">
        <f aca="false">IFERROR(VLOOKUP(C702,Parametros!$A$36:$B$66,2,FALSE()),Parametros!$B$12)</f>
        <v>1</v>
      </c>
      <c r="L702" s="23" t="n">
        <f aca="false">H702*J702*SQRT(K702)</f>
        <v>0</v>
      </c>
      <c r="M702" s="29"/>
      <c r="N702" s="24"/>
      <c r="O702" s="3"/>
      <c r="P702" s="30" t="str">
        <f aca="false">IF(AND(ISNUMBER(M702),ISNUMBER(N702)),M702*N702/7,"")</f>
        <v/>
      </c>
      <c r="Q702" s="23" t="str">
        <f aca="false">IF(ISNUMBER(P702),I702*P702,"")</f>
        <v/>
      </c>
      <c r="R702" s="23" t="n">
        <f aca="false">IF(ISNUMBER(Q702),MAX(0,MIN(L702,Q702-I702*K702)),L702)</f>
        <v>0</v>
      </c>
      <c r="S702" s="23" t="n">
        <f aca="false">R702+I702*K702</f>
        <v>0</v>
      </c>
      <c r="T702" s="23" t="n">
        <v>1568</v>
      </c>
      <c r="U702" s="23" t="n">
        <v>0</v>
      </c>
      <c r="V702" s="23" t="n">
        <f aca="false">T702+U702</f>
        <v>1568</v>
      </c>
      <c r="W702" s="30" t="str">
        <f aca="false">IF(I702&gt;0,V702/I702,"")</f>
        <v/>
      </c>
      <c r="X702" s="3" t="str">
        <f aca="false">IF(I702&lt;=0,"SIN FCST",IF(V702&lt;R702,"BAJO SS",IF(T702&lt;R702,"BAJO SS (XLIB CUBRE)",IF(V702&lt;S702,"BAJO P.REORDEN",IF(AND(ISNUMBER(Q702),V702&gt;Q702),"SOBRE MAX VENDIBLE","OK")))))</f>
        <v>SIN FCST</v>
      </c>
    </row>
    <row r="703" customFormat="false" ht="15" hidden="false" customHeight="false" outlineLevel="0" collapsed="false">
      <c r="A703" s="3" t="n">
        <v>30000944</v>
      </c>
      <c r="B703" s="3" t="s">
        <v>1249</v>
      </c>
      <c r="C703" s="3" t="s">
        <v>133</v>
      </c>
      <c r="D703" s="3" t="s">
        <v>758</v>
      </c>
      <c r="E703" s="3"/>
      <c r="F703" s="3" t="str">
        <f aca="false">IFERROR(INDEX(ABC_XYZ!$L$5:$L$494,MATCH(A703,ABC_XYZ!$A$5:$A$494,0)),"SIN HIST")</f>
        <v>SIN HIST</v>
      </c>
      <c r="G703" s="24" t="n">
        <f aca="false">IF(LEFT(F703,1)="A",Parametros!$B$8,IF(LEFT(F703,1)="B",Parametros!$B$9,IF(LEFT(F703,1)="C",Parametros!$B$10,Parametros!$B$11)))</f>
        <v>0.95</v>
      </c>
      <c r="H703" s="27" t="n">
        <f aca="false">NORMSINV(G703)</f>
        <v>1.64485362695147</v>
      </c>
      <c r="I703" s="23" t="n">
        <v>0</v>
      </c>
      <c r="J703" s="23" t="n">
        <f aca="false">IFERROR(INDEX(ABC_XYZ!$R$5:$R$494,MATCH(A703,ABC_XYZ!$A$5:$A$494,0)),I703*Parametros!$B$13)</f>
        <v>0</v>
      </c>
      <c r="K703" s="27" t="n">
        <f aca="false">IFERROR(VLOOKUP(C703,Parametros!$A$36:$B$66,2,FALSE()),Parametros!$B$12)</f>
        <v>1</v>
      </c>
      <c r="L703" s="23" t="n">
        <f aca="false">H703*J703*SQRT(K703)</f>
        <v>0</v>
      </c>
      <c r="M703" s="29"/>
      <c r="N703" s="24"/>
      <c r="O703" s="3"/>
      <c r="P703" s="30" t="str">
        <f aca="false">IF(AND(ISNUMBER(M703),ISNUMBER(N703)),M703*N703/7,"")</f>
        <v/>
      </c>
      <c r="Q703" s="23" t="str">
        <f aca="false">IF(ISNUMBER(P703),I703*P703,"")</f>
        <v/>
      </c>
      <c r="R703" s="23" t="n">
        <f aca="false">IF(ISNUMBER(Q703),MAX(0,MIN(L703,Q703-I703*K703)),L703)</f>
        <v>0</v>
      </c>
      <c r="S703" s="23" t="n">
        <f aca="false">R703+I703*K703</f>
        <v>0</v>
      </c>
      <c r="T703" s="23" t="n">
        <v>338</v>
      </c>
      <c r="U703" s="23" t="n">
        <v>0</v>
      </c>
      <c r="V703" s="23" t="n">
        <f aca="false">T703+U703</f>
        <v>338</v>
      </c>
      <c r="W703" s="30" t="str">
        <f aca="false">IF(I703&gt;0,V703/I703,"")</f>
        <v/>
      </c>
      <c r="X703" s="3" t="str">
        <f aca="false">IF(I703&lt;=0,"SIN FCST",IF(V703&lt;R703,"BAJO SS",IF(T703&lt;R703,"BAJO SS (XLIB CUBRE)",IF(V703&lt;S703,"BAJO P.REORDEN",IF(AND(ISNUMBER(Q703),V703&gt;Q703),"SOBRE MAX VENDIBLE","OK")))))</f>
        <v>SIN FCST</v>
      </c>
    </row>
    <row r="704" customFormat="false" ht="15" hidden="false" customHeight="false" outlineLevel="0" collapsed="false">
      <c r="A704" s="3" t="n">
        <v>30000954</v>
      </c>
      <c r="B704" s="3" t="s">
        <v>1250</v>
      </c>
      <c r="C704" s="3" t="s">
        <v>133</v>
      </c>
      <c r="D704" s="3" t="s">
        <v>758</v>
      </c>
      <c r="E704" s="3"/>
      <c r="F704" s="3" t="str">
        <f aca="false">IFERROR(INDEX(ABC_XYZ!$L$5:$L$494,MATCH(A704,ABC_XYZ!$A$5:$A$494,0)),"SIN HIST")</f>
        <v>SIN HIST</v>
      </c>
      <c r="G704" s="24" t="n">
        <f aca="false">IF(LEFT(F704,1)="A",Parametros!$B$8,IF(LEFT(F704,1)="B",Parametros!$B$9,IF(LEFT(F704,1)="C",Parametros!$B$10,Parametros!$B$11)))</f>
        <v>0.95</v>
      </c>
      <c r="H704" s="27" t="n">
        <f aca="false">NORMSINV(G704)</f>
        <v>1.64485362695147</v>
      </c>
      <c r="I704" s="23" t="n">
        <v>0</v>
      </c>
      <c r="J704" s="23" t="n">
        <f aca="false">IFERROR(INDEX(ABC_XYZ!$R$5:$R$494,MATCH(A704,ABC_XYZ!$A$5:$A$494,0)),I704*Parametros!$B$13)</f>
        <v>0</v>
      </c>
      <c r="K704" s="27" t="n">
        <f aca="false">IFERROR(VLOOKUP(C704,Parametros!$A$36:$B$66,2,FALSE()),Parametros!$B$12)</f>
        <v>1</v>
      </c>
      <c r="L704" s="23" t="n">
        <f aca="false">H704*J704*SQRT(K704)</f>
        <v>0</v>
      </c>
      <c r="M704" s="29"/>
      <c r="N704" s="24"/>
      <c r="O704" s="3"/>
      <c r="P704" s="30" t="str">
        <f aca="false">IF(AND(ISNUMBER(M704),ISNUMBER(N704)),M704*N704/7,"")</f>
        <v/>
      </c>
      <c r="Q704" s="23" t="str">
        <f aca="false">IF(ISNUMBER(P704),I704*P704,"")</f>
        <v/>
      </c>
      <c r="R704" s="23" t="n">
        <f aca="false">IF(ISNUMBER(Q704),MAX(0,MIN(L704,Q704-I704*K704)),L704)</f>
        <v>0</v>
      </c>
      <c r="S704" s="23" t="n">
        <f aca="false">R704+I704*K704</f>
        <v>0</v>
      </c>
      <c r="T704" s="23" t="n">
        <v>21126</v>
      </c>
      <c r="U704" s="23" t="n">
        <v>0</v>
      </c>
      <c r="V704" s="23" t="n">
        <f aca="false">T704+U704</f>
        <v>21126</v>
      </c>
      <c r="W704" s="30" t="str">
        <f aca="false">IF(I704&gt;0,V704/I704,"")</f>
        <v/>
      </c>
      <c r="X704" s="3" t="str">
        <f aca="false">IF(I704&lt;=0,"SIN FCST",IF(V704&lt;R704,"BAJO SS",IF(T704&lt;R704,"BAJO SS (XLIB CUBRE)",IF(V704&lt;S704,"BAJO P.REORDEN",IF(AND(ISNUMBER(Q704),V704&gt;Q704),"SOBRE MAX VENDIBLE","OK")))))</f>
        <v>SIN FCST</v>
      </c>
    </row>
    <row r="705" customFormat="false" ht="15" hidden="false" customHeight="false" outlineLevel="0" collapsed="false">
      <c r="A705" s="3" t="n">
        <v>30001679</v>
      </c>
      <c r="B705" s="3" t="s">
        <v>1251</v>
      </c>
      <c r="C705" s="3" t="s">
        <v>133</v>
      </c>
      <c r="D705" s="3" t="s">
        <v>758</v>
      </c>
      <c r="E705" s="3"/>
      <c r="F705" s="3" t="str">
        <f aca="false">IFERROR(INDEX(ABC_XYZ!$L$5:$L$494,MATCH(A705,ABC_XYZ!$A$5:$A$494,0)),"SIN HIST")</f>
        <v>SIN HIST</v>
      </c>
      <c r="G705" s="24" t="n">
        <f aca="false">IF(LEFT(F705,1)="A",Parametros!$B$8,IF(LEFT(F705,1)="B",Parametros!$B$9,IF(LEFT(F705,1)="C",Parametros!$B$10,Parametros!$B$11)))</f>
        <v>0.95</v>
      </c>
      <c r="H705" s="27" t="n">
        <f aca="false">NORMSINV(G705)</f>
        <v>1.64485362695147</v>
      </c>
      <c r="I705" s="23" t="n">
        <v>0</v>
      </c>
      <c r="J705" s="23" t="n">
        <f aca="false">IFERROR(INDEX(ABC_XYZ!$R$5:$R$494,MATCH(A705,ABC_XYZ!$A$5:$A$494,0)),I705*Parametros!$B$13)</f>
        <v>0</v>
      </c>
      <c r="K705" s="27" t="n">
        <f aca="false">IFERROR(VLOOKUP(C705,Parametros!$A$36:$B$66,2,FALSE()),Parametros!$B$12)</f>
        <v>1</v>
      </c>
      <c r="L705" s="23" t="n">
        <f aca="false">H705*J705*SQRT(K705)</f>
        <v>0</v>
      </c>
      <c r="M705" s="29"/>
      <c r="N705" s="24"/>
      <c r="O705" s="3"/>
      <c r="P705" s="30" t="str">
        <f aca="false">IF(AND(ISNUMBER(M705),ISNUMBER(N705)),M705*N705/7,"")</f>
        <v/>
      </c>
      <c r="Q705" s="23" t="str">
        <f aca="false">IF(ISNUMBER(P705),I705*P705,"")</f>
        <v/>
      </c>
      <c r="R705" s="23" t="n">
        <f aca="false">IF(ISNUMBER(Q705),MAX(0,MIN(L705,Q705-I705*K705)),L705)</f>
        <v>0</v>
      </c>
      <c r="S705" s="23" t="n">
        <f aca="false">R705+I705*K705</f>
        <v>0</v>
      </c>
      <c r="T705" s="23" t="n">
        <v>100</v>
      </c>
      <c r="U705" s="23" t="n">
        <v>0</v>
      </c>
      <c r="V705" s="23" t="n">
        <f aca="false">T705+U705</f>
        <v>100</v>
      </c>
      <c r="W705" s="30" t="str">
        <f aca="false">IF(I705&gt;0,V705/I705,"")</f>
        <v/>
      </c>
      <c r="X705" s="3" t="str">
        <f aca="false">IF(I705&lt;=0,"SIN FCST",IF(V705&lt;R705,"BAJO SS",IF(T705&lt;R705,"BAJO SS (XLIB CUBRE)",IF(V705&lt;S705,"BAJO P.REORDEN",IF(AND(ISNUMBER(Q705),V705&gt;Q705),"SOBRE MAX VENDIBLE","OK")))))</f>
        <v>SIN FCST</v>
      </c>
    </row>
    <row r="706" customFormat="false" ht="15" hidden="false" customHeight="false" outlineLevel="0" collapsed="false">
      <c r="A706" s="3" t="n">
        <v>30000876</v>
      </c>
      <c r="B706" s="3" t="s">
        <v>1252</v>
      </c>
      <c r="C706" s="3" t="s">
        <v>133</v>
      </c>
      <c r="D706" s="3" t="s">
        <v>758</v>
      </c>
      <c r="E706" s="3"/>
      <c r="F706" s="3" t="str">
        <f aca="false">IFERROR(INDEX(ABC_XYZ!$L$5:$L$494,MATCH(A706,ABC_XYZ!$A$5:$A$494,0)),"SIN HIST")</f>
        <v>SIN HIST</v>
      </c>
      <c r="G706" s="24" t="n">
        <f aca="false">IF(LEFT(F706,1)="A",Parametros!$B$8,IF(LEFT(F706,1)="B",Parametros!$B$9,IF(LEFT(F706,1)="C",Parametros!$B$10,Parametros!$B$11)))</f>
        <v>0.95</v>
      </c>
      <c r="H706" s="27" t="n">
        <f aca="false">NORMSINV(G706)</f>
        <v>1.64485362695147</v>
      </c>
      <c r="I706" s="23" t="n">
        <v>0</v>
      </c>
      <c r="J706" s="23" t="n">
        <f aca="false">IFERROR(INDEX(ABC_XYZ!$R$5:$R$494,MATCH(A706,ABC_XYZ!$A$5:$A$494,0)),I706*Parametros!$B$13)</f>
        <v>0</v>
      </c>
      <c r="K706" s="27" t="n">
        <f aca="false">IFERROR(VLOOKUP(C706,Parametros!$A$36:$B$66,2,FALSE()),Parametros!$B$12)</f>
        <v>1</v>
      </c>
      <c r="L706" s="23" t="n">
        <f aca="false">H706*J706*SQRT(K706)</f>
        <v>0</v>
      </c>
      <c r="M706" s="29"/>
      <c r="N706" s="24"/>
      <c r="O706" s="3"/>
      <c r="P706" s="30" t="str">
        <f aca="false">IF(AND(ISNUMBER(M706),ISNUMBER(N706)),M706*N706/7,"")</f>
        <v/>
      </c>
      <c r="Q706" s="23" t="str">
        <f aca="false">IF(ISNUMBER(P706),I706*P706,"")</f>
        <v/>
      </c>
      <c r="R706" s="23" t="n">
        <f aca="false">IF(ISNUMBER(Q706),MAX(0,MIN(L706,Q706-I706*K706)),L706)</f>
        <v>0</v>
      </c>
      <c r="S706" s="23" t="n">
        <f aca="false">R706+I706*K706</f>
        <v>0</v>
      </c>
      <c r="T706" s="23" t="n">
        <v>3640</v>
      </c>
      <c r="U706" s="23" t="n">
        <v>0</v>
      </c>
      <c r="V706" s="23" t="n">
        <f aca="false">T706+U706</f>
        <v>3640</v>
      </c>
      <c r="W706" s="30" t="str">
        <f aca="false">IF(I706&gt;0,V706/I706,"")</f>
        <v/>
      </c>
      <c r="X706" s="3" t="str">
        <f aca="false">IF(I706&lt;=0,"SIN FCST",IF(V706&lt;R706,"BAJO SS",IF(T706&lt;R706,"BAJO SS (XLIB CUBRE)",IF(V706&lt;S706,"BAJO P.REORDEN",IF(AND(ISNUMBER(Q706),V706&gt;Q706),"SOBRE MAX VENDIBLE","OK")))))</f>
        <v>SIN FCST</v>
      </c>
    </row>
    <row r="707" customFormat="false" ht="15" hidden="false" customHeight="false" outlineLevel="0" collapsed="false">
      <c r="A707" s="3" t="n">
        <v>30001705</v>
      </c>
      <c r="B707" s="3" t="s">
        <v>1253</v>
      </c>
      <c r="C707" s="3" t="s">
        <v>133</v>
      </c>
      <c r="D707" s="3" t="s">
        <v>769</v>
      </c>
      <c r="E707" s="3"/>
      <c r="F707" s="3" t="str">
        <f aca="false">IFERROR(INDEX(ABC_XYZ!$L$5:$L$494,MATCH(A707,ABC_XYZ!$A$5:$A$494,0)),"SIN HIST")</f>
        <v>SIN HIST</v>
      </c>
      <c r="G707" s="24" t="n">
        <f aca="false">IF(LEFT(F707,1)="A",Parametros!$B$8,IF(LEFT(F707,1)="B",Parametros!$B$9,IF(LEFT(F707,1)="C",Parametros!$B$10,Parametros!$B$11)))</f>
        <v>0.95</v>
      </c>
      <c r="H707" s="27" t="n">
        <f aca="false">NORMSINV(G707)</f>
        <v>1.64485362695147</v>
      </c>
      <c r="I707" s="23" t="n">
        <v>0</v>
      </c>
      <c r="J707" s="23" t="n">
        <f aca="false">IFERROR(INDEX(ABC_XYZ!$R$5:$R$494,MATCH(A707,ABC_XYZ!$A$5:$A$494,0)),I707*Parametros!$B$13)</f>
        <v>0</v>
      </c>
      <c r="K707" s="27" t="n">
        <f aca="false">IFERROR(VLOOKUP(C707,Parametros!$A$36:$B$66,2,FALSE()),Parametros!$B$12)</f>
        <v>1</v>
      </c>
      <c r="L707" s="23" t="n">
        <f aca="false">H707*J707*SQRT(K707)</f>
        <v>0</v>
      </c>
      <c r="M707" s="29"/>
      <c r="N707" s="24"/>
      <c r="O707" s="3"/>
      <c r="P707" s="30" t="str">
        <f aca="false">IF(AND(ISNUMBER(M707),ISNUMBER(N707)),M707*N707/7,"")</f>
        <v/>
      </c>
      <c r="Q707" s="23" t="str">
        <f aca="false">IF(ISNUMBER(P707),I707*P707,"")</f>
        <v/>
      </c>
      <c r="R707" s="23" t="n">
        <f aca="false">IF(ISNUMBER(Q707),MAX(0,MIN(L707,Q707-I707*K707)),L707)</f>
        <v>0</v>
      </c>
      <c r="S707" s="23" t="n">
        <f aca="false">R707+I707*K707</f>
        <v>0</v>
      </c>
      <c r="T707" s="23" t="n">
        <v>31090</v>
      </c>
      <c r="U707" s="23" t="n">
        <v>0</v>
      </c>
      <c r="V707" s="23" t="n">
        <f aca="false">T707+U707</f>
        <v>31090</v>
      </c>
      <c r="W707" s="30" t="str">
        <f aca="false">IF(I707&gt;0,V707/I707,"")</f>
        <v/>
      </c>
      <c r="X707" s="3" t="str">
        <f aca="false">IF(I707&lt;=0,"SIN FCST",IF(V707&lt;R707,"BAJO SS",IF(T707&lt;R707,"BAJO SS (XLIB CUBRE)",IF(V707&lt;S707,"BAJO P.REORDEN",IF(AND(ISNUMBER(Q707),V707&gt;Q707),"SOBRE MAX VENDIBLE","OK")))))</f>
        <v>SIN FCST</v>
      </c>
    </row>
    <row r="708" customFormat="false" ht="15" hidden="false" customHeight="false" outlineLevel="0" collapsed="false">
      <c r="A708" s="3" t="n">
        <v>30001725</v>
      </c>
      <c r="B708" s="3" t="s">
        <v>1254</v>
      </c>
      <c r="C708" s="3" t="s">
        <v>133</v>
      </c>
      <c r="D708" s="3" t="s">
        <v>769</v>
      </c>
      <c r="E708" s="3"/>
      <c r="F708" s="3" t="str">
        <f aca="false">IFERROR(INDEX(ABC_XYZ!$L$5:$L$494,MATCH(A708,ABC_XYZ!$A$5:$A$494,0)),"SIN HIST")</f>
        <v>SIN HIST</v>
      </c>
      <c r="G708" s="24" t="n">
        <f aca="false">IF(LEFT(F708,1)="A",Parametros!$B$8,IF(LEFT(F708,1)="B",Parametros!$B$9,IF(LEFT(F708,1)="C",Parametros!$B$10,Parametros!$B$11)))</f>
        <v>0.95</v>
      </c>
      <c r="H708" s="27" t="n">
        <f aca="false">NORMSINV(G708)</f>
        <v>1.64485362695147</v>
      </c>
      <c r="I708" s="23" t="n">
        <v>0</v>
      </c>
      <c r="J708" s="23" t="n">
        <f aca="false">IFERROR(INDEX(ABC_XYZ!$R$5:$R$494,MATCH(A708,ABC_XYZ!$A$5:$A$494,0)),I708*Parametros!$B$13)</f>
        <v>0</v>
      </c>
      <c r="K708" s="27" t="n">
        <f aca="false">IFERROR(VLOOKUP(C708,Parametros!$A$36:$B$66,2,FALSE()),Parametros!$B$12)</f>
        <v>1</v>
      </c>
      <c r="L708" s="23" t="n">
        <f aca="false">H708*J708*SQRT(K708)</f>
        <v>0</v>
      </c>
      <c r="M708" s="29"/>
      <c r="N708" s="24"/>
      <c r="O708" s="3"/>
      <c r="P708" s="30" t="str">
        <f aca="false">IF(AND(ISNUMBER(M708),ISNUMBER(N708)),M708*N708/7,"")</f>
        <v/>
      </c>
      <c r="Q708" s="23" t="str">
        <f aca="false">IF(ISNUMBER(P708),I708*P708,"")</f>
        <v/>
      </c>
      <c r="R708" s="23" t="n">
        <f aca="false">IF(ISNUMBER(Q708),MAX(0,MIN(L708,Q708-I708*K708)),L708)</f>
        <v>0</v>
      </c>
      <c r="S708" s="23" t="n">
        <f aca="false">R708+I708*K708</f>
        <v>0</v>
      </c>
      <c r="T708" s="23" t="n">
        <v>18456</v>
      </c>
      <c r="U708" s="23" t="n">
        <v>0</v>
      </c>
      <c r="V708" s="23" t="n">
        <f aca="false">T708+U708</f>
        <v>18456</v>
      </c>
      <c r="W708" s="30" t="str">
        <f aca="false">IF(I708&gt;0,V708/I708,"")</f>
        <v/>
      </c>
      <c r="X708" s="3" t="str">
        <f aca="false">IF(I708&lt;=0,"SIN FCST",IF(V708&lt;R708,"BAJO SS",IF(T708&lt;R708,"BAJO SS (XLIB CUBRE)",IF(V708&lt;S708,"BAJO P.REORDEN",IF(AND(ISNUMBER(Q708),V708&gt;Q708),"SOBRE MAX VENDIBLE","OK")))))</f>
        <v>SIN FCST</v>
      </c>
    </row>
    <row r="709" customFormat="false" ht="15" hidden="false" customHeight="false" outlineLevel="0" collapsed="false">
      <c r="A709" s="3" t="n">
        <v>30001457</v>
      </c>
      <c r="B709" s="3" t="s">
        <v>1255</v>
      </c>
      <c r="C709" s="3" t="s">
        <v>133</v>
      </c>
      <c r="D709" s="3" t="s">
        <v>758</v>
      </c>
      <c r="E709" s="3"/>
      <c r="F709" s="3" t="str">
        <f aca="false">IFERROR(INDEX(ABC_XYZ!$L$5:$L$494,MATCH(A709,ABC_XYZ!$A$5:$A$494,0)),"SIN HIST")</f>
        <v>SIN HIST</v>
      </c>
      <c r="G709" s="24" t="n">
        <f aca="false">IF(LEFT(F709,1)="A",Parametros!$B$8,IF(LEFT(F709,1)="B",Parametros!$B$9,IF(LEFT(F709,1)="C",Parametros!$B$10,Parametros!$B$11)))</f>
        <v>0.95</v>
      </c>
      <c r="H709" s="27" t="n">
        <f aca="false">NORMSINV(G709)</f>
        <v>1.64485362695147</v>
      </c>
      <c r="I709" s="23" t="n">
        <v>0</v>
      </c>
      <c r="J709" s="23" t="n">
        <f aca="false">IFERROR(INDEX(ABC_XYZ!$R$5:$R$494,MATCH(A709,ABC_XYZ!$A$5:$A$494,0)),I709*Parametros!$B$13)</f>
        <v>0</v>
      </c>
      <c r="K709" s="27" t="n">
        <f aca="false">IFERROR(VLOOKUP(C709,Parametros!$A$36:$B$66,2,FALSE()),Parametros!$B$12)</f>
        <v>1</v>
      </c>
      <c r="L709" s="23" t="n">
        <f aca="false">H709*J709*SQRT(K709)</f>
        <v>0</v>
      </c>
      <c r="M709" s="29"/>
      <c r="N709" s="24"/>
      <c r="O709" s="3"/>
      <c r="P709" s="30" t="str">
        <f aca="false">IF(AND(ISNUMBER(M709),ISNUMBER(N709)),M709*N709/7,"")</f>
        <v/>
      </c>
      <c r="Q709" s="23" t="str">
        <f aca="false">IF(ISNUMBER(P709),I709*P709,"")</f>
        <v/>
      </c>
      <c r="R709" s="23" t="n">
        <f aca="false">IF(ISNUMBER(Q709),MAX(0,MIN(L709,Q709-I709*K709)),L709)</f>
        <v>0</v>
      </c>
      <c r="S709" s="23" t="n">
        <f aca="false">R709+I709*K709</f>
        <v>0</v>
      </c>
      <c r="T709" s="23" t="n">
        <v>1918</v>
      </c>
      <c r="U709" s="23" t="n">
        <v>0</v>
      </c>
      <c r="V709" s="23" t="n">
        <f aca="false">T709+U709</f>
        <v>1918</v>
      </c>
      <c r="W709" s="30" t="str">
        <f aca="false">IF(I709&gt;0,V709/I709,"")</f>
        <v/>
      </c>
      <c r="X709" s="3" t="str">
        <f aca="false">IF(I709&lt;=0,"SIN FCST",IF(V709&lt;R709,"BAJO SS",IF(T709&lt;R709,"BAJO SS (XLIB CUBRE)",IF(V709&lt;S709,"BAJO P.REORDEN",IF(AND(ISNUMBER(Q709),V709&gt;Q709),"SOBRE MAX VENDIBLE","OK")))))</f>
        <v>SIN FCST</v>
      </c>
    </row>
    <row r="710" customFormat="false" ht="15" hidden="false" customHeight="false" outlineLevel="0" collapsed="false">
      <c r="A710" s="3" t="n">
        <v>30001513</v>
      </c>
      <c r="B710" s="3" t="s">
        <v>1256</v>
      </c>
      <c r="C710" s="3" t="s">
        <v>133</v>
      </c>
      <c r="D710" s="3" t="s">
        <v>758</v>
      </c>
      <c r="E710" s="3"/>
      <c r="F710" s="3" t="str">
        <f aca="false">IFERROR(INDEX(ABC_XYZ!$L$5:$L$494,MATCH(A710,ABC_XYZ!$A$5:$A$494,0)),"SIN HIST")</f>
        <v>SIN HIST</v>
      </c>
      <c r="G710" s="24" t="n">
        <f aca="false">IF(LEFT(F710,1)="A",Parametros!$B$8,IF(LEFT(F710,1)="B",Parametros!$B$9,IF(LEFT(F710,1)="C",Parametros!$B$10,Parametros!$B$11)))</f>
        <v>0.95</v>
      </c>
      <c r="H710" s="27" t="n">
        <f aca="false">NORMSINV(G710)</f>
        <v>1.64485362695147</v>
      </c>
      <c r="I710" s="23" t="n">
        <v>0</v>
      </c>
      <c r="J710" s="23" t="n">
        <f aca="false">IFERROR(INDEX(ABC_XYZ!$R$5:$R$494,MATCH(A710,ABC_XYZ!$A$5:$A$494,0)),I710*Parametros!$B$13)</f>
        <v>0</v>
      </c>
      <c r="K710" s="27" t="n">
        <f aca="false">IFERROR(VLOOKUP(C710,Parametros!$A$36:$B$66,2,FALSE()),Parametros!$B$12)</f>
        <v>1</v>
      </c>
      <c r="L710" s="23" t="n">
        <f aca="false">H710*J710*SQRT(K710)</f>
        <v>0</v>
      </c>
      <c r="M710" s="29"/>
      <c r="N710" s="24"/>
      <c r="O710" s="3"/>
      <c r="P710" s="30" t="str">
        <f aca="false">IF(AND(ISNUMBER(M710),ISNUMBER(N710)),M710*N710/7,"")</f>
        <v/>
      </c>
      <c r="Q710" s="23" t="str">
        <f aca="false">IF(ISNUMBER(P710),I710*P710,"")</f>
        <v/>
      </c>
      <c r="R710" s="23" t="n">
        <f aca="false">IF(ISNUMBER(Q710),MAX(0,MIN(L710,Q710-I710*K710)),L710)</f>
        <v>0</v>
      </c>
      <c r="S710" s="23" t="n">
        <f aca="false">R710+I710*K710</f>
        <v>0</v>
      </c>
      <c r="T710" s="23" t="n">
        <v>2290</v>
      </c>
      <c r="U710" s="23" t="n">
        <v>0</v>
      </c>
      <c r="V710" s="23" t="n">
        <f aca="false">T710+U710</f>
        <v>2290</v>
      </c>
      <c r="W710" s="30" t="str">
        <f aca="false">IF(I710&gt;0,V710/I710,"")</f>
        <v/>
      </c>
      <c r="X710" s="3" t="str">
        <f aca="false">IF(I710&lt;=0,"SIN FCST",IF(V710&lt;R710,"BAJO SS",IF(T710&lt;R710,"BAJO SS (XLIB CUBRE)",IF(V710&lt;S710,"BAJO P.REORDEN",IF(AND(ISNUMBER(Q710),V710&gt;Q710),"SOBRE MAX VENDIBLE","OK")))))</f>
        <v>SIN FCST</v>
      </c>
    </row>
    <row r="711" customFormat="false" ht="15" hidden="false" customHeight="false" outlineLevel="0" collapsed="false">
      <c r="A711" s="3" t="n">
        <v>30001525</v>
      </c>
      <c r="B711" s="3" t="s">
        <v>1257</v>
      </c>
      <c r="C711" s="3" t="s">
        <v>133</v>
      </c>
      <c r="D711" s="3" t="s">
        <v>758</v>
      </c>
      <c r="E711" s="3"/>
      <c r="F711" s="3" t="str">
        <f aca="false">IFERROR(INDEX(ABC_XYZ!$L$5:$L$494,MATCH(A711,ABC_XYZ!$A$5:$A$494,0)),"SIN HIST")</f>
        <v>SIN HIST</v>
      </c>
      <c r="G711" s="24" t="n">
        <f aca="false">IF(LEFT(F711,1)="A",Parametros!$B$8,IF(LEFT(F711,1)="B",Parametros!$B$9,IF(LEFT(F711,1)="C",Parametros!$B$10,Parametros!$B$11)))</f>
        <v>0.95</v>
      </c>
      <c r="H711" s="27" t="n">
        <f aca="false">NORMSINV(G711)</f>
        <v>1.64485362695147</v>
      </c>
      <c r="I711" s="23" t="n">
        <v>0</v>
      </c>
      <c r="J711" s="23" t="n">
        <f aca="false">IFERROR(INDEX(ABC_XYZ!$R$5:$R$494,MATCH(A711,ABC_XYZ!$A$5:$A$494,0)),I711*Parametros!$B$13)</f>
        <v>0</v>
      </c>
      <c r="K711" s="27" t="n">
        <f aca="false">IFERROR(VLOOKUP(C711,Parametros!$A$36:$B$66,2,FALSE()),Parametros!$B$12)</f>
        <v>1</v>
      </c>
      <c r="L711" s="23" t="n">
        <f aca="false">H711*J711*SQRT(K711)</f>
        <v>0</v>
      </c>
      <c r="M711" s="29"/>
      <c r="N711" s="24"/>
      <c r="O711" s="3"/>
      <c r="P711" s="30" t="str">
        <f aca="false">IF(AND(ISNUMBER(M711),ISNUMBER(N711)),M711*N711/7,"")</f>
        <v/>
      </c>
      <c r="Q711" s="23" t="str">
        <f aca="false">IF(ISNUMBER(P711),I711*P711,"")</f>
        <v/>
      </c>
      <c r="R711" s="23" t="n">
        <f aca="false">IF(ISNUMBER(Q711),MAX(0,MIN(L711,Q711-I711*K711)),L711)</f>
        <v>0</v>
      </c>
      <c r="S711" s="23" t="n">
        <f aca="false">R711+I711*K711</f>
        <v>0</v>
      </c>
      <c r="T711" s="23" t="n">
        <v>0</v>
      </c>
      <c r="U711" s="23" t="n">
        <v>0</v>
      </c>
      <c r="V711" s="23" t="n">
        <f aca="false">T711+U711</f>
        <v>0</v>
      </c>
      <c r="W711" s="30" t="str">
        <f aca="false">IF(I711&gt;0,V711/I711,"")</f>
        <v/>
      </c>
      <c r="X711" s="3" t="str">
        <f aca="false">IF(I711&lt;=0,"SIN FCST",IF(V711&lt;R711,"BAJO SS",IF(T711&lt;R711,"BAJO SS (XLIB CUBRE)",IF(V711&lt;S711,"BAJO P.REORDEN",IF(AND(ISNUMBER(Q711),V711&gt;Q711),"SOBRE MAX VENDIBLE","OK")))))</f>
        <v>SIN FCST</v>
      </c>
    </row>
    <row r="712" customFormat="false" ht="15" hidden="false" customHeight="false" outlineLevel="0" collapsed="false">
      <c r="A712" s="3" t="n">
        <v>30001538</v>
      </c>
      <c r="B712" s="3" t="s">
        <v>1258</v>
      </c>
      <c r="C712" s="3" t="s">
        <v>133</v>
      </c>
      <c r="D712" s="3" t="s">
        <v>758</v>
      </c>
      <c r="E712" s="3"/>
      <c r="F712" s="3" t="str">
        <f aca="false">IFERROR(INDEX(ABC_XYZ!$L$5:$L$494,MATCH(A712,ABC_XYZ!$A$5:$A$494,0)),"SIN HIST")</f>
        <v>SIN HIST</v>
      </c>
      <c r="G712" s="24" t="n">
        <f aca="false">IF(LEFT(F712,1)="A",Parametros!$B$8,IF(LEFT(F712,1)="B",Parametros!$B$9,IF(LEFT(F712,1)="C",Parametros!$B$10,Parametros!$B$11)))</f>
        <v>0.95</v>
      </c>
      <c r="H712" s="27" t="n">
        <f aca="false">NORMSINV(G712)</f>
        <v>1.64485362695147</v>
      </c>
      <c r="I712" s="23" t="n">
        <v>0</v>
      </c>
      <c r="J712" s="23" t="n">
        <f aca="false">IFERROR(INDEX(ABC_XYZ!$R$5:$R$494,MATCH(A712,ABC_XYZ!$A$5:$A$494,0)),I712*Parametros!$B$13)</f>
        <v>0</v>
      </c>
      <c r="K712" s="27" t="n">
        <f aca="false">IFERROR(VLOOKUP(C712,Parametros!$A$36:$B$66,2,FALSE()),Parametros!$B$12)</f>
        <v>1</v>
      </c>
      <c r="L712" s="23" t="n">
        <f aca="false">H712*J712*SQRT(K712)</f>
        <v>0</v>
      </c>
      <c r="M712" s="29"/>
      <c r="N712" s="24"/>
      <c r="O712" s="3"/>
      <c r="P712" s="30" t="str">
        <f aca="false">IF(AND(ISNUMBER(M712),ISNUMBER(N712)),M712*N712/7,"")</f>
        <v/>
      </c>
      <c r="Q712" s="23" t="str">
        <f aca="false">IF(ISNUMBER(P712),I712*P712,"")</f>
        <v/>
      </c>
      <c r="R712" s="23" t="n">
        <f aca="false">IF(ISNUMBER(Q712),MAX(0,MIN(L712,Q712-I712*K712)),L712)</f>
        <v>0</v>
      </c>
      <c r="S712" s="23" t="n">
        <f aca="false">R712+I712*K712</f>
        <v>0</v>
      </c>
      <c r="T712" s="23" t="n">
        <v>2848</v>
      </c>
      <c r="U712" s="23" t="n">
        <v>0</v>
      </c>
      <c r="V712" s="23" t="n">
        <f aca="false">T712+U712</f>
        <v>2848</v>
      </c>
      <c r="W712" s="30" t="str">
        <f aca="false">IF(I712&gt;0,V712/I712,"")</f>
        <v/>
      </c>
      <c r="X712" s="3" t="str">
        <f aca="false">IF(I712&lt;=0,"SIN FCST",IF(V712&lt;R712,"BAJO SS",IF(T712&lt;R712,"BAJO SS (XLIB CUBRE)",IF(V712&lt;S712,"BAJO P.REORDEN",IF(AND(ISNUMBER(Q712),V712&gt;Q712),"SOBRE MAX VENDIBLE","OK")))))</f>
        <v>SIN FCST</v>
      </c>
    </row>
    <row r="713" customFormat="false" ht="15" hidden="false" customHeight="false" outlineLevel="0" collapsed="false">
      <c r="A713" s="3" t="n">
        <v>30001539</v>
      </c>
      <c r="B713" s="3" t="s">
        <v>1259</v>
      </c>
      <c r="C713" s="3" t="s">
        <v>133</v>
      </c>
      <c r="D713" s="3" t="s">
        <v>758</v>
      </c>
      <c r="E713" s="3"/>
      <c r="F713" s="3" t="str">
        <f aca="false">IFERROR(INDEX(ABC_XYZ!$L$5:$L$494,MATCH(A713,ABC_XYZ!$A$5:$A$494,0)),"SIN HIST")</f>
        <v>SIN HIST</v>
      </c>
      <c r="G713" s="24" t="n">
        <f aca="false">IF(LEFT(F713,1)="A",Parametros!$B$8,IF(LEFT(F713,1)="B",Parametros!$B$9,IF(LEFT(F713,1)="C",Parametros!$B$10,Parametros!$B$11)))</f>
        <v>0.95</v>
      </c>
      <c r="H713" s="27" t="n">
        <f aca="false">NORMSINV(G713)</f>
        <v>1.64485362695147</v>
      </c>
      <c r="I713" s="23" t="n">
        <v>0</v>
      </c>
      <c r="J713" s="23" t="n">
        <f aca="false">IFERROR(INDEX(ABC_XYZ!$R$5:$R$494,MATCH(A713,ABC_XYZ!$A$5:$A$494,0)),I713*Parametros!$B$13)</f>
        <v>0</v>
      </c>
      <c r="K713" s="27" t="n">
        <f aca="false">IFERROR(VLOOKUP(C713,Parametros!$A$36:$B$66,2,FALSE()),Parametros!$B$12)</f>
        <v>1</v>
      </c>
      <c r="L713" s="23" t="n">
        <f aca="false">H713*J713*SQRT(K713)</f>
        <v>0</v>
      </c>
      <c r="M713" s="29"/>
      <c r="N713" s="24"/>
      <c r="O713" s="3"/>
      <c r="P713" s="30" t="str">
        <f aca="false">IF(AND(ISNUMBER(M713),ISNUMBER(N713)),M713*N713/7,"")</f>
        <v/>
      </c>
      <c r="Q713" s="23" t="str">
        <f aca="false">IF(ISNUMBER(P713),I713*P713,"")</f>
        <v/>
      </c>
      <c r="R713" s="23" t="n">
        <f aca="false">IF(ISNUMBER(Q713),MAX(0,MIN(L713,Q713-I713*K713)),L713)</f>
        <v>0</v>
      </c>
      <c r="S713" s="23" t="n">
        <f aca="false">R713+I713*K713</f>
        <v>0</v>
      </c>
      <c r="T713" s="23" t="n">
        <v>14384</v>
      </c>
      <c r="U713" s="23" t="n">
        <v>0</v>
      </c>
      <c r="V713" s="23" t="n">
        <f aca="false">T713+U713</f>
        <v>14384</v>
      </c>
      <c r="W713" s="30" t="str">
        <f aca="false">IF(I713&gt;0,V713/I713,"")</f>
        <v/>
      </c>
      <c r="X713" s="3" t="str">
        <f aca="false">IF(I713&lt;=0,"SIN FCST",IF(V713&lt;R713,"BAJO SS",IF(T713&lt;R713,"BAJO SS (XLIB CUBRE)",IF(V713&lt;S713,"BAJO P.REORDEN",IF(AND(ISNUMBER(Q713),V713&gt;Q713),"SOBRE MAX VENDIBLE","OK")))))</f>
        <v>SIN FCST</v>
      </c>
    </row>
    <row r="714" customFormat="false" ht="15" hidden="false" customHeight="false" outlineLevel="0" collapsed="false">
      <c r="A714" s="3" t="n">
        <v>30001570</v>
      </c>
      <c r="B714" s="3" t="s">
        <v>1260</v>
      </c>
      <c r="C714" s="3" t="s">
        <v>133</v>
      </c>
      <c r="D714" s="3" t="s">
        <v>769</v>
      </c>
      <c r="E714" s="3"/>
      <c r="F714" s="3" t="str">
        <f aca="false">IFERROR(INDEX(ABC_XYZ!$L$5:$L$494,MATCH(A714,ABC_XYZ!$A$5:$A$494,0)),"SIN HIST")</f>
        <v>SIN HIST</v>
      </c>
      <c r="G714" s="24" t="n">
        <f aca="false">IF(LEFT(F714,1)="A",Parametros!$B$8,IF(LEFT(F714,1)="B",Parametros!$B$9,IF(LEFT(F714,1)="C",Parametros!$B$10,Parametros!$B$11)))</f>
        <v>0.95</v>
      </c>
      <c r="H714" s="27" t="n">
        <f aca="false">NORMSINV(G714)</f>
        <v>1.64485362695147</v>
      </c>
      <c r="I714" s="23" t="n">
        <v>0</v>
      </c>
      <c r="J714" s="23" t="n">
        <f aca="false">IFERROR(INDEX(ABC_XYZ!$R$5:$R$494,MATCH(A714,ABC_XYZ!$A$5:$A$494,0)),I714*Parametros!$B$13)</f>
        <v>0</v>
      </c>
      <c r="K714" s="27" t="n">
        <f aca="false">IFERROR(VLOOKUP(C714,Parametros!$A$36:$B$66,2,FALSE()),Parametros!$B$12)</f>
        <v>1</v>
      </c>
      <c r="L714" s="23" t="n">
        <f aca="false">H714*J714*SQRT(K714)</f>
        <v>0</v>
      </c>
      <c r="M714" s="29"/>
      <c r="N714" s="24"/>
      <c r="O714" s="3"/>
      <c r="P714" s="30" t="str">
        <f aca="false">IF(AND(ISNUMBER(M714),ISNUMBER(N714)),M714*N714/7,"")</f>
        <v/>
      </c>
      <c r="Q714" s="23" t="str">
        <f aca="false">IF(ISNUMBER(P714),I714*P714,"")</f>
        <v/>
      </c>
      <c r="R714" s="23" t="n">
        <f aca="false">IF(ISNUMBER(Q714),MAX(0,MIN(L714,Q714-I714*K714)),L714)</f>
        <v>0</v>
      </c>
      <c r="S714" s="23" t="n">
        <f aca="false">R714+I714*K714</f>
        <v>0</v>
      </c>
      <c r="T714" s="23" t="n">
        <v>273</v>
      </c>
      <c r="U714" s="23" t="n">
        <v>0</v>
      </c>
      <c r="V714" s="23" t="n">
        <f aca="false">T714+U714</f>
        <v>273</v>
      </c>
      <c r="W714" s="30" t="str">
        <f aca="false">IF(I714&gt;0,V714/I714,"")</f>
        <v/>
      </c>
      <c r="X714" s="3" t="str">
        <f aca="false">IF(I714&lt;=0,"SIN FCST",IF(V714&lt;R714,"BAJO SS",IF(T714&lt;R714,"BAJO SS (XLIB CUBRE)",IF(V714&lt;S714,"BAJO P.REORDEN",IF(AND(ISNUMBER(Q714),V714&gt;Q714),"SOBRE MAX VENDIBLE","OK")))))</f>
        <v>SIN FCST</v>
      </c>
    </row>
    <row r="715" customFormat="false" ht="15" hidden="false" customHeight="false" outlineLevel="0" collapsed="false">
      <c r="A715" s="3" t="n">
        <v>30001153</v>
      </c>
      <c r="B715" s="3" t="s">
        <v>1261</v>
      </c>
      <c r="C715" s="3" t="s">
        <v>133</v>
      </c>
      <c r="D715" s="3" t="s">
        <v>758</v>
      </c>
      <c r="E715" s="3"/>
      <c r="F715" s="3" t="str">
        <f aca="false">IFERROR(INDEX(ABC_XYZ!$L$5:$L$494,MATCH(A715,ABC_XYZ!$A$5:$A$494,0)),"SIN HIST")</f>
        <v>SIN HIST</v>
      </c>
      <c r="G715" s="24" t="n">
        <f aca="false">IF(LEFT(F715,1)="A",Parametros!$B$8,IF(LEFT(F715,1)="B",Parametros!$B$9,IF(LEFT(F715,1)="C",Parametros!$B$10,Parametros!$B$11)))</f>
        <v>0.95</v>
      </c>
      <c r="H715" s="27" t="n">
        <f aca="false">NORMSINV(G715)</f>
        <v>1.64485362695147</v>
      </c>
      <c r="I715" s="23" t="n">
        <v>0</v>
      </c>
      <c r="J715" s="23" t="n">
        <f aca="false">IFERROR(INDEX(ABC_XYZ!$R$5:$R$494,MATCH(A715,ABC_XYZ!$A$5:$A$494,0)),I715*Parametros!$B$13)</f>
        <v>0</v>
      </c>
      <c r="K715" s="27" t="n">
        <f aca="false">IFERROR(VLOOKUP(C715,Parametros!$A$36:$B$66,2,FALSE()),Parametros!$B$12)</f>
        <v>1</v>
      </c>
      <c r="L715" s="23" t="n">
        <f aca="false">H715*J715*SQRT(K715)</f>
        <v>0</v>
      </c>
      <c r="M715" s="29"/>
      <c r="N715" s="24"/>
      <c r="O715" s="3"/>
      <c r="P715" s="30" t="str">
        <f aca="false">IF(AND(ISNUMBER(M715),ISNUMBER(N715)),M715*N715/7,"")</f>
        <v/>
      </c>
      <c r="Q715" s="23" t="str">
        <f aca="false">IF(ISNUMBER(P715),I715*P715,"")</f>
        <v/>
      </c>
      <c r="R715" s="23" t="n">
        <f aca="false">IF(ISNUMBER(Q715),MAX(0,MIN(L715,Q715-I715*K715)),L715)</f>
        <v>0</v>
      </c>
      <c r="S715" s="23" t="n">
        <f aca="false">R715+I715*K715</f>
        <v>0</v>
      </c>
      <c r="T715" s="23" t="n">
        <v>24736</v>
      </c>
      <c r="U715" s="23" t="n">
        <v>0</v>
      </c>
      <c r="V715" s="23" t="n">
        <f aca="false">T715+U715</f>
        <v>24736</v>
      </c>
      <c r="W715" s="30" t="str">
        <f aca="false">IF(I715&gt;0,V715/I715,"")</f>
        <v/>
      </c>
      <c r="X715" s="3" t="str">
        <f aca="false">IF(I715&lt;=0,"SIN FCST",IF(V715&lt;R715,"BAJO SS",IF(T715&lt;R715,"BAJO SS (XLIB CUBRE)",IF(V715&lt;S715,"BAJO P.REORDEN",IF(AND(ISNUMBER(Q715),V715&gt;Q715),"SOBRE MAX VENDIBLE","OK")))))</f>
        <v>SIN FCST</v>
      </c>
    </row>
    <row r="716" customFormat="false" ht="15" hidden="false" customHeight="false" outlineLevel="0" collapsed="false">
      <c r="A716" s="3" t="n">
        <v>30001354</v>
      </c>
      <c r="B716" s="3" t="s">
        <v>1262</v>
      </c>
      <c r="C716" s="3" t="s">
        <v>133</v>
      </c>
      <c r="D716" s="3" t="s">
        <v>758</v>
      </c>
      <c r="E716" s="3"/>
      <c r="F716" s="3" t="str">
        <f aca="false">IFERROR(INDEX(ABC_XYZ!$L$5:$L$494,MATCH(A716,ABC_XYZ!$A$5:$A$494,0)),"SIN HIST")</f>
        <v>SIN HIST</v>
      </c>
      <c r="G716" s="24" t="n">
        <f aca="false">IF(LEFT(F716,1)="A",Parametros!$B$8,IF(LEFT(F716,1)="B",Parametros!$B$9,IF(LEFT(F716,1)="C",Parametros!$B$10,Parametros!$B$11)))</f>
        <v>0.95</v>
      </c>
      <c r="H716" s="27" t="n">
        <f aca="false">NORMSINV(G716)</f>
        <v>1.64485362695147</v>
      </c>
      <c r="I716" s="23" t="n">
        <v>0</v>
      </c>
      <c r="J716" s="23" t="n">
        <f aca="false">IFERROR(INDEX(ABC_XYZ!$R$5:$R$494,MATCH(A716,ABC_XYZ!$A$5:$A$494,0)),I716*Parametros!$B$13)</f>
        <v>0</v>
      </c>
      <c r="K716" s="27" t="n">
        <f aca="false">IFERROR(VLOOKUP(C716,Parametros!$A$36:$B$66,2,FALSE()),Parametros!$B$12)</f>
        <v>1</v>
      </c>
      <c r="L716" s="23" t="n">
        <f aca="false">H716*J716*SQRT(K716)</f>
        <v>0</v>
      </c>
      <c r="M716" s="29"/>
      <c r="N716" s="24"/>
      <c r="O716" s="3"/>
      <c r="P716" s="30" t="str">
        <f aca="false">IF(AND(ISNUMBER(M716),ISNUMBER(N716)),M716*N716/7,"")</f>
        <v/>
      </c>
      <c r="Q716" s="23" t="str">
        <f aca="false">IF(ISNUMBER(P716),I716*P716,"")</f>
        <v/>
      </c>
      <c r="R716" s="23" t="n">
        <f aca="false">IF(ISNUMBER(Q716),MAX(0,MIN(L716,Q716-I716*K716)),L716)</f>
        <v>0</v>
      </c>
      <c r="S716" s="23" t="n">
        <f aca="false">R716+I716*K716</f>
        <v>0</v>
      </c>
      <c r="T716" s="23" t="n">
        <v>4592</v>
      </c>
      <c r="U716" s="23" t="n">
        <v>0</v>
      </c>
      <c r="V716" s="23" t="n">
        <f aca="false">T716+U716</f>
        <v>4592</v>
      </c>
      <c r="W716" s="30" t="str">
        <f aca="false">IF(I716&gt;0,V716/I716,"")</f>
        <v/>
      </c>
      <c r="X716" s="3" t="str">
        <f aca="false">IF(I716&lt;=0,"SIN FCST",IF(V716&lt;R716,"BAJO SS",IF(T716&lt;R716,"BAJO SS (XLIB CUBRE)",IF(V716&lt;S716,"BAJO P.REORDEN",IF(AND(ISNUMBER(Q716),V716&gt;Q716),"SOBRE MAX VENDIBLE","OK")))))</f>
        <v>SIN FCST</v>
      </c>
    </row>
    <row r="717" customFormat="false" ht="15" hidden="false" customHeight="false" outlineLevel="0" collapsed="false">
      <c r="A717" s="3" t="n">
        <v>30001162</v>
      </c>
      <c r="B717" s="3" t="s">
        <v>1263</v>
      </c>
      <c r="C717" s="3" t="s">
        <v>133</v>
      </c>
      <c r="D717" s="3" t="s">
        <v>758</v>
      </c>
      <c r="E717" s="3"/>
      <c r="F717" s="3" t="str">
        <f aca="false">IFERROR(INDEX(ABC_XYZ!$L$5:$L$494,MATCH(A717,ABC_XYZ!$A$5:$A$494,0)),"SIN HIST")</f>
        <v>SIN HIST</v>
      </c>
      <c r="G717" s="24" t="n">
        <f aca="false">IF(LEFT(F717,1)="A",Parametros!$B$8,IF(LEFT(F717,1)="B",Parametros!$B$9,IF(LEFT(F717,1)="C",Parametros!$B$10,Parametros!$B$11)))</f>
        <v>0.95</v>
      </c>
      <c r="H717" s="27" t="n">
        <f aca="false">NORMSINV(G717)</f>
        <v>1.64485362695147</v>
      </c>
      <c r="I717" s="23" t="n">
        <v>0</v>
      </c>
      <c r="J717" s="23" t="n">
        <f aca="false">IFERROR(INDEX(ABC_XYZ!$R$5:$R$494,MATCH(A717,ABC_XYZ!$A$5:$A$494,0)),I717*Parametros!$B$13)</f>
        <v>0</v>
      </c>
      <c r="K717" s="27" t="n">
        <f aca="false">IFERROR(VLOOKUP(C717,Parametros!$A$36:$B$66,2,FALSE()),Parametros!$B$12)</f>
        <v>1</v>
      </c>
      <c r="L717" s="23" t="n">
        <f aca="false">H717*J717*SQRT(K717)</f>
        <v>0</v>
      </c>
      <c r="M717" s="29"/>
      <c r="N717" s="24"/>
      <c r="O717" s="3"/>
      <c r="P717" s="30" t="str">
        <f aca="false">IF(AND(ISNUMBER(M717),ISNUMBER(N717)),M717*N717/7,"")</f>
        <v/>
      </c>
      <c r="Q717" s="23" t="str">
        <f aca="false">IF(ISNUMBER(P717),I717*P717,"")</f>
        <v/>
      </c>
      <c r="R717" s="23" t="n">
        <f aca="false">IF(ISNUMBER(Q717),MAX(0,MIN(L717,Q717-I717*K717)),L717)</f>
        <v>0</v>
      </c>
      <c r="S717" s="23" t="n">
        <f aca="false">R717+I717*K717</f>
        <v>0</v>
      </c>
      <c r="T717" s="23" t="n">
        <v>5325</v>
      </c>
      <c r="U717" s="23" t="n">
        <v>0</v>
      </c>
      <c r="V717" s="23" t="n">
        <f aca="false">T717+U717</f>
        <v>5325</v>
      </c>
      <c r="W717" s="30" t="str">
        <f aca="false">IF(I717&gt;0,V717/I717,"")</f>
        <v/>
      </c>
      <c r="X717" s="3" t="str">
        <f aca="false">IF(I717&lt;=0,"SIN FCST",IF(V717&lt;R717,"BAJO SS",IF(T717&lt;R717,"BAJO SS (XLIB CUBRE)",IF(V717&lt;S717,"BAJO P.REORDEN",IF(AND(ISNUMBER(Q717),V717&gt;Q717),"SOBRE MAX VENDIBLE","OK")))))</f>
        <v>SIN FCST</v>
      </c>
    </row>
    <row r="718" customFormat="false" ht="15" hidden="false" customHeight="false" outlineLevel="0" collapsed="false">
      <c r="A718" s="3" t="n">
        <v>30001161</v>
      </c>
      <c r="B718" s="3" t="s">
        <v>1264</v>
      </c>
      <c r="C718" s="3" t="s">
        <v>133</v>
      </c>
      <c r="D718" s="3" t="s">
        <v>758</v>
      </c>
      <c r="E718" s="3"/>
      <c r="F718" s="3" t="str">
        <f aca="false">IFERROR(INDEX(ABC_XYZ!$L$5:$L$494,MATCH(A718,ABC_XYZ!$A$5:$A$494,0)),"SIN HIST")</f>
        <v>SIN HIST</v>
      </c>
      <c r="G718" s="24" t="n">
        <f aca="false">IF(LEFT(F718,1)="A",Parametros!$B$8,IF(LEFT(F718,1)="B",Parametros!$B$9,IF(LEFT(F718,1)="C",Parametros!$B$10,Parametros!$B$11)))</f>
        <v>0.95</v>
      </c>
      <c r="H718" s="27" t="n">
        <f aca="false">NORMSINV(G718)</f>
        <v>1.64485362695147</v>
      </c>
      <c r="I718" s="23" t="n">
        <v>0</v>
      </c>
      <c r="J718" s="23" t="n">
        <f aca="false">IFERROR(INDEX(ABC_XYZ!$R$5:$R$494,MATCH(A718,ABC_XYZ!$A$5:$A$494,0)),I718*Parametros!$B$13)</f>
        <v>0</v>
      </c>
      <c r="K718" s="27" t="n">
        <f aca="false">IFERROR(VLOOKUP(C718,Parametros!$A$36:$B$66,2,FALSE()),Parametros!$B$12)</f>
        <v>1</v>
      </c>
      <c r="L718" s="23" t="n">
        <f aca="false">H718*J718*SQRT(K718)</f>
        <v>0</v>
      </c>
      <c r="M718" s="29"/>
      <c r="N718" s="24"/>
      <c r="O718" s="3"/>
      <c r="P718" s="30" t="str">
        <f aca="false">IF(AND(ISNUMBER(M718),ISNUMBER(N718)),M718*N718/7,"")</f>
        <v/>
      </c>
      <c r="Q718" s="23" t="str">
        <f aca="false">IF(ISNUMBER(P718),I718*P718,"")</f>
        <v/>
      </c>
      <c r="R718" s="23" t="n">
        <f aca="false">IF(ISNUMBER(Q718),MAX(0,MIN(L718,Q718-I718*K718)),L718)</f>
        <v>0</v>
      </c>
      <c r="S718" s="23" t="n">
        <f aca="false">R718+I718*K718</f>
        <v>0</v>
      </c>
      <c r="T718" s="23" t="n">
        <v>28.8</v>
      </c>
      <c r="U718" s="23" t="n">
        <v>0</v>
      </c>
      <c r="V718" s="23" t="n">
        <f aca="false">T718+U718</f>
        <v>28.8</v>
      </c>
      <c r="W718" s="30" t="str">
        <f aca="false">IF(I718&gt;0,V718/I718,"")</f>
        <v/>
      </c>
      <c r="X718" s="3" t="str">
        <f aca="false">IF(I718&lt;=0,"SIN FCST",IF(V718&lt;R718,"BAJO SS",IF(T718&lt;R718,"BAJO SS (XLIB CUBRE)",IF(V718&lt;S718,"BAJO P.REORDEN",IF(AND(ISNUMBER(Q718),V718&gt;Q718),"SOBRE MAX VENDIBLE","OK")))))</f>
        <v>SIN FCST</v>
      </c>
    </row>
    <row r="719" customFormat="false" ht="15" hidden="false" customHeight="false" outlineLevel="0" collapsed="false">
      <c r="A719" s="3" t="n">
        <v>30001398</v>
      </c>
      <c r="B719" s="3" t="s">
        <v>1265</v>
      </c>
      <c r="C719" s="3" t="s">
        <v>133</v>
      </c>
      <c r="D719" s="3" t="s">
        <v>758</v>
      </c>
      <c r="E719" s="3"/>
      <c r="F719" s="3" t="str">
        <f aca="false">IFERROR(INDEX(ABC_XYZ!$L$5:$L$494,MATCH(A719,ABC_XYZ!$A$5:$A$494,0)),"SIN HIST")</f>
        <v>SIN HIST</v>
      </c>
      <c r="G719" s="24" t="n">
        <f aca="false">IF(LEFT(F719,1)="A",Parametros!$B$8,IF(LEFT(F719,1)="B",Parametros!$B$9,IF(LEFT(F719,1)="C",Parametros!$B$10,Parametros!$B$11)))</f>
        <v>0.95</v>
      </c>
      <c r="H719" s="27" t="n">
        <f aca="false">NORMSINV(G719)</f>
        <v>1.64485362695147</v>
      </c>
      <c r="I719" s="23" t="n">
        <v>0</v>
      </c>
      <c r="J719" s="23" t="n">
        <f aca="false">IFERROR(INDEX(ABC_XYZ!$R$5:$R$494,MATCH(A719,ABC_XYZ!$A$5:$A$494,0)),I719*Parametros!$B$13)</f>
        <v>0</v>
      </c>
      <c r="K719" s="27" t="n">
        <f aca="false">IFERROR(VLOOKUP(C719,Parametros!$A$36:$B$66,2,FALSE()),Parametros!$B$12)</f>
        <v>1</v>
      </c>
      <c r="L719" s="23" t="n">
        <f aca="false">H719*J719*SQRT(K719)</f>
        <v>0</v>
      </c>
      <c r="M719" s="29"/>
      <c r="N719" s="24"/>
      <c r="O719" s="3"/>
      <c r="P719" s="30" t="str">
        <f aca="false">IF(AND(ISNUMBER(M719),ISNUMBER(N719)),M719*N719/7,"")</f>
        <v/>
      </c>
      <c r="Q719" s="23" t="str">
        <f aca="false">IF(ISNUMBER(P719),I719*P719,"")</f>
        <v/>
      </c>
      <c r="R719" s="23" t="n">
        <f aca="false">IF(ISNUMBER(Q719),MAX(0,MIN(L719,Q719-I719*K719)),L719)</f>
        <v>0</v>
      </c>
      <c r="S719" s="23" t="n">
        <f aca="false">R719+I719*K719</f>
        <v>0</v>
      </c>
      <c r="T719" s="23" t="n">
        <v>1410</v>
      </c>
      <c r="U719" s="23" t="n">
        <v>0</v>
      </c>
      <c r="V719" s="23" t="n">
        <f aca="false">T719+U719</f>
        <v>1410</v>
      </c>
      <c r="W719" s="30" t="str">
        <f aca="false">IF(I719&gt;0,V719/I719,"")</f>
        <v/>
      </c>
      <c r="X719" s="3" t="str">
        <f aca="false">IF(I719&lt;=0,"SIN FCST",IF(V719&lt;R719,"BAJO SS",IF(T719&lt;R719,"BAJO SS (XLIB CUBRE)",IF(V719&lt;S719,"BAJO P.REORDEN",IF(AND(ISNUMBER(Q719),V719&gt;Q719),"SOBRE MAX VENDIBLE","OK")))))</f>
        <v>SIN FCST</v>
      </c>
    </row>
    <row r="720" customFormat="false" ht="15" hidden="false" customHeight="false" outlineLevel="0" collapsed="false">
      <c r="A720" s="3" t="n">
        <v>30001388</v>
      </c>
      <c r="B720" s="3" t="s">
        <v>1266</v>
      </c>
      <c r="C720" s="3" t="s">
        <v>133</v>
      </c>
      <c r="D720" s="3" t="s">
        <v>758</v>
      </c>
      <c r="E720" s="3"/>
      <c r="F720" s="3" t="str">
        <f aca="false">IFERROR(INDEX(ABC_XYZ!$L$5:$L$494,MATCH(A720,ABC_XYZ!$A$5:$A$494,0)),"SIN HIST")</f>
        <v>SIN HIST</v>
      </c>
      <c r="G720" s="24" t="n">
        <f aca="false">IF(LEFT(F720,1)="A",Parametros!$B$8,IF(LEFT(F720,1)="B",Parametros!$B$9,IF(LEFT(F720,1)="C",Parametros!$B$10,Parametros!$B$11)))</f>
        <v>0.95</v>
      </c>
      <c r="H720" s="27" t="n">
        <f aca="false">NORMSINV(G720)</f>
        <v>1.64485362695147</v>
      </c>
      <c r="I720" s="23" t="n">
        <v>0</v>
      </c>
      <c r="J720" s="23" t="n">
        <f aca="false">IFERROR(INDEX(ABC_XYZ!$R$5:$R$494,MATCH(A720,ABC_XYZ!$A$5:$A$494,0)),I720*Parametros!$B$13)</f>
        <v>0</v>
      </c>
      <c r="K720" s="27" t="n">
        <f aca="false">IFERROR(VLOOKUP(C720,Parametros!$A$36:$B$66,2,FALSE()),Parametros!$B$12)</f>
        <v>1</v>
      </c>
      <c r="L720" s="23" t="n">
        <f aca="false">H720*J720*SQRT(K720)</f>
        <v>0</v>
      </c>
      <c r="M720" s="29"/>
      <c r="N720" s="24"/>
      <c r="O720" s="3"/>
      <c r="P720" s="30" t="str">
        <f aca="false">IF(AND(ISNUMBER(M720),ISNUMBER(N720)),M720*N720/7,"")</f>
        <v/>
      </c>
      <c r="Q720" s="23" t="str">
        <f aca="false">IF(ISNUMBER(P720),I720*P720,"")</f>
        <v/>
      </c>
      <c r="R720" s="23" t="n">
        <f aca="false">IF(ISNUMBER(Q720),MAX(0,MIN(L720,Q720-I720*K720)),L720)</f>
        <v>0</v>
      </c>
      <c r="S720" s="23" t="n">
        <f aca="false">R720+I720*K720</f>
        <v>0</v>
      </c>
      <c r="T720" s="23" t="n">
        <v>2928</v>
      </c>
      <c r="U720" s="23" t="n">
        <v>0</v>
      </c>
      <c r="V720" s="23" t="n">
        <f aca="false">T720+U720</f>
        <v>2928</v>
      </c>
      <c r="W720" s="30" t="str">
        <f aca="false">IF(I720&gt;0,V720/I720,"")</f>
        <v/>
      </c>
      <c r="X720" s="3" t="str">
        <f aca="false">IF(I720&lt;=0,"SIN FCST",IF(V720&lt;R720,"BAJO SS",IF(T720&lt;R720,"BAJO SS (XLIB CUBRE)",IF(V720&lt;S720,"BAJO P.REORDEN",IF(AND(ISNUMBER(Q720),V720&gt;Q720),"SOBRE MAX VENDIBLE","OK")))))</f>
        <v>SIN FCST</v>
      </c>
    </row>
    <row r="721" customFormat="false" ht="15" hidden="false" customHeight="false" outlineLevel="0" collapsed="false">
      <c r="A721" s="3" t="n">
        <v>30001947</v>
      </c>
      <c r="B721" s="3" t="s">
        <v>1267</v>
      </c>
      <c r="C721" s="3" t="s">
        <v>133</v>
      </c>
      <c r="D721" s="3" t="s">
        <v>769</v>
      </c>
      <c r="E721" s="3"/>
      <c r="F721" s="3" t="str">
        <f aca="false">IFERROR(INDEX(ABC_XYZ!$L$5:$L$494,MATCH(A721,ABC_XYZ!$A$5:$A$494,0)),"SIN HIST")</f>
        <v>SIN HIST</v>
      </c>
      <c r="G721" s="24" t="n">
        <f aca="false">IF(LEFT(F721,1)="A",Parametros!$B$8,IF(LEFT(F721,1)="B",Parametros!$B$9,IF(LEFT(F721,1)="C",Parametros!$B$10,Parametros!$B$11)))</f>
        <v>0.95</v>
      </c>
      <c r="H721" s="27" t="n">
        <f aca="false">NORMSINV(G721)</f>
        <v>1.64485362695147</v>
      </c>
      <c r="I721" s="23" t="n">
        <v>0</v>
      </c>
      <c r="J721" s="23" t="n">
        <f aca="false">IFERROR(INDEX(ABC_XYZ!$R$5:$R$494,MATCH(A721,ABC_XYZ!$A$5:$A$494,0)),I721*Parametros!$B$13)</f>
        <v>0</v>
      </c>
      <c r="K721" s="27" t="n">
        <f aca="false">IFERROR(VLOOKUP(C721,Parametros!$A$36:$B$66,2,FALSE()),Parametros!$B$12)</f>
        <v>1</v>
      </c>
      <c r="L721" s="23" t="n">
        <f aca="false">H721*J721*SQRT(K721)</f>
        <v>0</v>
      </c>
      <c r="M721" s="29"/>
      <c r="N721" s="24"/>
      <c r="O721" s="3"/>
      <c r="P721" s="30" t="str">
        <f aca="false">IF(AND(ISNUMBER(M721),ISNUMBER(N721)),M721*N721/7,"")</f>
        <v/>
      </c>
      <c r="Q721" s="23" t="str">
        <f aca="false">IF(ISNUMBER(P721),I721*P721,"")</f>
        <v/>
      </c>
      <c r="R721" s="23" t="n">
        <f aca="false">IF(ISNUMBER(Q721),MAX(0,MIN(L721,Q721-I721*K721)),L721)</f>
        <v>0</v>
      </c>
      <c r="S721" s="23" t="n">
        <f aca="false">R721+I721*K721</f>
        <v>0</v>
      </c>
      <c r="T721" s="23" t="n">
        <v>590</v>
      </c>
      <c r="U721" s="23" t="n">
        <v>0</v>
      </c>
      <c r="V721" s="23" t="n">
        <f aca="false">T721+U721</f>
        <v>590</v>
      </c>
      <c r="W721" s="30" t="str">
        <f aca="false">IF(I721&gt;0,V721/I721,"")</f>
        <v/>
      </c>
      <c r="X721" s="3" t="str">
        <f aca="false">IF(I721&lt;=0,"SIN FCST",IF(V721&lt;R721,"BAJO SS",IF(T721&lt;R721,"BAJO SS (XLIB CUBRE)",IF(V721&lt;S721,"BAJO P.REORDEN",IF(AND(ISNUMBER(Q721),V721&gt;Q721),"SOBRE MAX VENDIBLE","OK")))))</f>
        <v>SIN FCST</v>
      </c>
    </row>
    <row r="722" customFormat="false" ht="15" hidden="false" customHeight="false" outlineLevel="0" collapsed="false">
      <c r="A722" s="3" t="n">
        <v>30002047</v>
      </c>
      <c r="B722" s="3" t="s">
        <v>1268</v>
      </c>
      <c r="C722" s="3" t="s">
        <v>133</v>
      </c>
      <c r="D722" s="3" t="s">
        <v>758</v>
      </c>
      <c r="E722" s="3"/>
      <c r="F722" s="3" t="str">
        <f aca="false">IFERROR(INDEX(ABC_XYZ!$L$5:$L$494,MATCH(A722,ABC_XYZ!$A$5:$A$494,0)),"SIN HIST")</f>
        <v>SIN HIST</v>
      </c>
      <c r="G722" s="24" t="n">
        <f aca="false">IF(LEFT(F722,1)="A",Parametros!$B$8,IF(LEFT(F722,1)="B",Parametros!$B$9,IF(LEFT(F722,1)="C",Parametros!$B$10,Parametros!$B$11)))</f>
        <v>0.95</v>
      </c>
      <c r="H722" s="27" t="n">
        <f aca="false">NORMSINV(G722)</f>
        <v>1.64485362695147</v>
      </c>
      <c r="I722" s="23" t="n">
        <v>0</v>
      </c>
      <c r="J722" s="23" t="n">
        <f aca="false">IFERROR(INDEX(ABC_XYZ!$R$5:$R$494,MATCH(A722,ABC_XYZ!$A$5:$A$494,0)),I722*Parametros!$B$13)</f>
        <v>0</v>
      </c>
      <c r="K722" s="27" t="n">
        <f aca="false">IFERROR(VLOOKUP(C722,Parametros!$A$36:$B$66,2,FALSE()),Parametros!$B$12)</f>
        <v>1</v>
      </c>
      <c r="L722" s="23" t="n">
        <f aca="false">H722*J722*SQRT(K722)</f>
        <v>0</v>
      </c>
      <c r="M722" s="29"/>
      <c r="N722" s="24"/>
      <c r="O722" s="3"/>
      <c r="P722" s="30" t="str">
        <f aca="false">IF(AND(ISNUMBER(M722),ISNUMBER(N722)),M722*N722/7,"")</f>
        <v/>
      </c>
      <c r="Q722" s="23" t="str">
        <f aca="false">IF(ISNUMBER(P722),I722*P722,"")</f>
        <v/>
      </c>
      <c r="R722" s="23" t="n">
        <f aca="false">IF(ISNUMBER(Q722),MAX(0,MIN(L722,Q722-I722*K722)),L722)</f>
        <v>0</v>
      </c>
      <c r="S722" s="23" t="n">
        <f aca="false">R722+I722*K722</f>
        <v>0</v>
      </c>
      <c r="T722" s="23" t="n">
        <v>0</v>
      </c>
      <c r="U722" s="23" t="n">
        <v>0</v>
      </c>
      <c r="V722" s="23" t="n">
        <f aca="false">T722+U722</f>
        <v>0</v>
      </c>
      <c r="W722" s="30" t="str">
        <f aca="false">IF(I722&gt;0,V722/I722,"")</f>
        <v/>
      </c>
      <c r="X722" s="3" t="str">
        <f aca="false">IF(I722&lt;=0,"SIN FCST",IF(V722&lt;R722,"BAJO SS",IF(T722&lt;R722,"BAJO SS (XLIB CUBRE)",IF(V722&lt;S722,"BAJO P.REORDEN",IF(AND(ISNUMBER(Q722),V722&gt;Q722),"SOBRE MAX VENDIBLE","OK")))))</f>
        <v>SIN FCST</v>
      </c>
    </row>
    <row r="723" customFormat="false" ht="15" hidden="false" customHeight="false" outlineLevel="0" collapsed="false">
      <c r="A723" s="3" t="n">
        <v>30002058</v>
      </c>
      <c r="B723" s="3" t="s">
        <v>1269</v>
      </c>
      <c r="C723" s="3" t="s">
        <v>133</v>
      </c>
      <c r="D723" s="3" t="s">
        <v>758</v>
      </c>
      <c r="E723" s="3"/>
      <c r="F723" s="3" t="str">
        <f aca="false">IFERROR(INDEX(ABC_XYZ!$L$5:$L$494,MATCH(A723,ABC_XYZ!$A$5:$A$494,0)),"SIN HIST")</f>
        <v>SIN HIST</v>
      </c>
      <c r="G723" s="24" t="n">
        <f aca="false">IF(LEFT(F723,1)="A",Parametros!$B$8,IF(LEFT(F723,1)="B",Parametros!$B$9,IF(LEFT(F723,1)="C",Parametros!$B$10,Parametros!$B$11)))</f>
        <v>0.95</v>
      </c>
      <c r="H723" s="27" t="n">
        <f aca="false">NORMSINV(G723)</f>
        <v>1.64485362695147</v>
      </c>
      <c r="I723" s="23" t="n">
        <v>0</v>
      </c>
      <c r="J723" s="23" t="n">
        <f aca="false">IFERROR(INDEX(ABC_XYZ!$R$5:$R$494,MATCH(A723,ABC_XYZ!$A$5:$A$494,0)),I723*Parametros!$B$13)</f>
        <v>0</v>
      </c>
      <c r="K723" s="27" t="n">
        <f aca="false">IFERROR(VLOOKUP(C723,Parametros!$A$36:$B$66,2,FALSE()),Parametros!$B$12)</f>
        <v>1</v>
      </c>
      <c r="L723" s="23" t="n">
        <f aca="false">H723*J723*SQRT(K723)</f>
        <v>0</v>
      </c>
      <c r="M723" s="29"/>
      <c r="N723" s="24"/>
      <c r="O723" s="3"/>
      <c r="P723" s="30" t="str">
        <f aca="false">IF(AND(ISNUMBER(M723),ISNUMBER(N723)),M723*N723/7,"")</f>
        <v/>
      </c>
      <c r="Q723" s="23" t="str">
        <f aca="false">IF(ISNUMBER(P723),I723*P723,"")</f>
        <v/>
      </c>
      <c r="R723" s="23" t="n">
        <f aca="false">IF(ISNUMBER(Q723),MAX(0,MIN(L723,Q723-I723*K723)),L723)</f>
        <v>0</v>
      </c>
      <c r="S723" s="23" t="n">
        <f aca="false">R723+I723*K723</f>
        <v>0</v>
      </c>
      <c r="T723" s="23" t="n">
        <v>510</v>
      </c>
      <c r="U723" s="23" t="n">
        <v>0</v>
      </c>
      <c r="V723" s="23" t="n">
        <f aca="false">T723+U723</f>
        <v>510</v>
      </c>
      <c r="W723" s="30" t="str">
        <f aca="false">IF(I723&gt;0,V723/I723,"")</f>
        <v/>
      </c>
      <c r="X723" s="3" t="str">
        <f aca="false">IF(I723&lt;=0,"SIN FCST",IF(V723&lt;R723,"BAJO SS",IF(T723&lt;R723,"BAJO SS (XLIB CUBRE)",IF(V723&lt;S723,"BAJO P.REORDEN",IF(AND(ISNUMBER(Q723),V723&gt;Q723),"SOBRE MAX VENDIBLE","OK")))))</f>
        <v>SIN FCST</v>
      </c>
    </row>
    <row r="724" customFormat="false" ht="15" hidden="false" customHeight="false" outlineLevel="0" collapsed="false">
      <c r="A724" s="3" t="n">
        <v>30002056</v>
      </c>
      <c r="B724" s="3" t="s">
        <v>1270</v>
      </c>
      <c r="C724" s="3" t="s">
        <v>133</v>
      </c>
      <c r="D724" s="3" t="s">
        <v>758</v>
      </c>
      <c r="E724" s="3"/>
      <c r="F724" s="3" t="str">
        <f aca="false">IFERROR(INDEX(ABC_XYZ!$L$5:$L$494,MATCH(A724,ABC_XYZ!$A$5:$A$494,0)),"SIN HIST")</f>
        <v>SIN HIST</v>
      </c>
      <c r="G724" s="24" t="n">
        <f aca="false">IF(LEFT(F724,1)="A",Parametros!$B$8,IF(LEFT(F724,1)="B",Parametros!$B$9,IF(LEFT(F724,1)="C",Parametros!$B$10,Parametros!$B$11)))</f>
        <v>0.95</v>
      </c>
      <c r="H724" s="27" t="n">
        <f aca="false">NORMSINV(G724)</f>
        <v>1.64485362695147</v>
      </c>
      <c r="I724" s="23" t="n">
        <v>0</v>
      </c>
      <c r="J724" s="23" t="n">
        <f aca="false">IFERROR(INDEX(ABC_XYZ!$R$5:$R$494,MATCH(A724,ABC_XYZ!$A$5:$A$494,0)),I724*Parametros!$B$13)</f>
        <v>0</v>
      </c>
      <c r="K724" s="27" t="n">
        <f aca="false">IFERROR(VLOOKUP(C724,Parametros!$A$36:$B$66,2,FALSE()),Parametros!$B$12)</f>
        <v>1</v>
      </c>
      <c r="L724" s="23" t="n">
        <f aca="false">H724*J724*SQRT(K724)</f>
        <v>0</v>
      </c>
      <c r="M724" s="29"/>
      <c r="N724" s="24"/>
      <c r="O724" s="3"/>
      <c r="P724" s="30" t="str">
        <f aca="false">IF(AND(ISNUMBER(M724),ISNUMBER(N724)),M724*N724/7,"")</f>
        <v/>
      </c>
      <c r="Q724" s="23" t="str">
        <f aca="false">IF(ISNUMBER(P724),I724*P724,"")</f>
        <v/>
      </c>
      <c r="R724" s="23" t="n">
        <f aca="false">IF(ISNUMBER(Q724),MAX(0,MIN(L724,Q724-I724*K724)),L724)</f>
        <v>0</v>
      </c>
      <c r="S724" s="23" t="n">
        <f aca="false">R724+I724*K724</f>
        <v>0</v>
      </c>
      <c r="T724" s="23" t="n">
        <v>686.7</v>
      </c>
      <c r="U724" s="23" t="n">
        <v>0</v>
      </c>
      <c r="V724" s="23" t="n">
        <f aca="false">T724+U724</f>
        <v>686.7</v>
      </c>
      <c r="W724" s="30" t="str">
        <f aca="false">IF(I724&gt;0,V724/I724,"")</f>
        <v/>
      </c>
      <c r="X724" s="3" t="str">
        <f aca="false">IF(I724&lt;=0,"SIN FCST",IF(V724&lt;R724,"BAJO SS",IF(T724&lt;R724,"BAJO SS (XLIB CUBRE)",IF(V724&lt;S724,"BAJO P.REORDEN",IF(AND(ISNUMBER(Q724),V724&gt;Q724),"SOBRE MAX VENDIBLE","OK")))))</f>
        <v>SIN FCST</v>
      </c>
    </row>
    <row r="725" customFormat="false" ht="15" hidden="false" customHeight="false" outlineLevel="0" collapsed="false">
      <c r="A725" s="3" t="n">
        <v>30002055</v>
      </c>
      <c r="B725" s="3" t="s">
        <v>1271</v>
      </c>
      <c r="C725" s="3" t="s">
        <v>133</v>
      </c>
      <c r="D725" s="3" t="s">
        <v>758</v>
      </c>
      <c r="E725" s="3"/>
      <c r="F725" s="3" t="str">
        <f aca="false">IFERROR(INDEX(ABC_XYZ!$L$5:$L$494,MATCH(A725,ABC_XYZ!$A$5:$A$494,0)),"SIN HIST")</f>
        <v>SIN HIST</v>
      </c>
      <c r="G725" s="24" t="n">
        <f aca="false">IF(LEFT(F725,1)="A",Parametros!$B$8,IF(LEFT(F725,1)="B",Parametros!$B$9,IF(LEFT(F725,1)="C",Parametros!$B$10,Parametros!$B$11)))</f>
        <v>0.95</v>
      </c>
      <c r="H725" s="27" t="n">
        <f aca="false">NORMSINV(G725)</f>
        <v>1.64485362695147</v>
      </c>
      <c r="I725" s="23" t="n">
        <v>0</v>
      </c>
      <c r="J725" s="23" t="n">
        <f aca="false">IFERROR(INDEX(ABC_XYZ!$R$5:$R$494,MATCH(A725,ABC_XYZ!$A$5:$A$494,0)),I725*Parametros!$B$13)</f>
        <v>0</v>
      </c>
      <c r="K725" s="27" t="n">
        <f aca="false">IFERROR(VLOOKUP(C725,Parametros!$A$36:$B$66,2,FALSE()),Parametros!$B$12)</f>
        <v>1</v>
      </c>
      <c r="L725" s="23" t="n">
        <f aca="false">H725*J725*SQRT(K725)</f>
        <v>0</v>
      </c>
      <c r="M725" s="29"/>
      <c r="N725" s="24"/>
      <c r="O725" s="3"/>
      <c r="P725" s="30" t="str">
        <f aca="false">IF(AND(ISNUMBER(M725),ISNUMBER(N725)),M725*N725/7,"")</f>
        <v/>
      </c>
      <c r="Q725" s="23" t="str">
        <f aca="false">IF(ISNUMBER(P725),I725*P725,"")</f>
        <v/>
      </c>
      <c r="R725" s="23" t="n">
        <f aca="false">IF(ISNUMBER(Q725),MAX(0,MIN(L725,Q725-I725*K725)),L725)</f>
        <v>0</v>
      </c>
      <c r="S725" s="23" t="n">
        <f aca="false">R725+I725*K725</f>
        <v>0</v>
      </c>
      <c r="T725" s="23" t="n">
        <v>876.4</v>
      </c>
      <c r="U725" s="23" t="n">
        <v>0</v>
      </c>
      <c r="V725" s="23" t="n">
        <f aca="false">T725+U725</f>
        <v>876.4</v>
      </c>
      <c r="W725" s="30" t="str">
        <f aca="false">IF(I725&gt;0,V725/I725,"")</f>
        <v/>
      </c>
      <c r="X725" s="3" t="str">
        <f aca="false">IF(I725&lt;=0,"SIN FCST",IF(V725&lt;R725,"BAJO SS",IF(T725&lt;R725,"BAJO SS (XLIB CUBRE)",IF(V725&lt;S725,"BAJO P.REORDEN",IF(AND(ISNUMBER(Q725),V725&gt;Q725),"SOBRE MAX VENDIBLE","OK")))))</f>
        <v>SIN FCST</v>
      </c>
    </row>
    <row r="726" customFormat="false" ht="15" hidden="false" customHeight="false" outlineLevel="0" collapsed="false">
      <c r="A726" s="3" t="n">
        <v>30002054</v>
      </c>
      <c r="B726" s="3" t="s">
        <v>1272</v>
      </c>
      <c r="C726" s="3" t="s">
        <v>133</v>
      </c>
      <c r="D726" s="3" t="s">
        <v>758</v>
      </c>
      <c r="E726" s="3"/>
      <c r="F726" s="3" t="str">
        <f aca="false">IFERROR(INDEX(ABC_XYZ!$L$5:$L$494,MATCH(A726,ABC_XYZ!$A$5:$A$494,0)),"SIN HIST")</f>
        <v>SIN HIST</v>
      </c>
      <c r="G726" s="24" t="n">
        <f aca="false">IF(LEFT(F726,1)="A",Parametros!$B$8,IF(LEFT(F726,1)="B",Parametros!$B$9,IF(LEFT(F726,1)="C",Parametros!$B$10,Parametros!$B$11)))</f>
        <v>0.95</v>
      </c>
      <c r="H726" s="27" t="n">
        <f aca="false">NORMSINV(G726)</f>
        <v>1.64485362695147</v>
      </c>
      <c r="I726" s="23" t="n">
        <v>0</v>
      </c>
      <c r="J726" s="23" t="n">
        <f aca="false">IFERROR(INDEX(ABC_XYZ!$R$5:$R$494,MATCH(A726,ABC_XYZ!$A$5:$A$494,0)),I726*Parametros!$B$13)</f>
        <v>0</v>
      </c>
      <c r="K726" s="27" t="n">
        <f aca="false">IFERROR(VLOOKUP(C726,Parametros!$A$36:$B$66,2,FALSE()),Parametros!$B$12)</f>
        <v>1</v>
      </c>
      <c r="L726" s="23" t="n">
        <f aca="false">H726*J726*SQRT(K726)</f>
        <v>0</v>
      </c>
      <c r="M726" s="29"/>
      <c r="N726" s="24"/>
      <c r="O726" s="3"/>
      <c r="P726" s="30" t="str">
        <f aca="false">IF(AND(ISNUMBER(M726),ISNUMBER(N726)),M726*N726/7,"")</f>
        <v/>
      </c>
      <c r="Q726" s="23" t="str">
        <f aca="false">IF(ISNUMBER(P726),I726*P726,"")</f>
        <v/>
      </c>
      <c r="R726" s="23" t="n">
        <f aca="false">IF(ISNUMBER(Q726),MAX(0,MIN(L726,Q726-I726*K726)),L726)</f>
        <v>0</v>
      </c>
      <c r="S726" s="23" t="n">
        <f aca="false">R726+I726*K726</f>
        <v>0</v>
      </c>
      <c r="T726" s="23" t="n">
        <v>44.3</v>
      </c>
      <c r="U726" s="23" t="n">
        <v>0</v>
      </c>
      <c r="V726" s="23" t="n">
        <f aca="false">T726+U726</f>
        <v>44.3</v>
      </c>
      <c r="W726" s="30" t="str">
        <f aca="false">IF(I726&gt;0,V726/I726,"")</f>
        <v/>
      </c>
      <c r="X726" s="3" t="str">
        <f aca="false">IF(I726&lt;=0,"SIN FCST",IF(V726&lt;R726,"BAJO SS",IF(T726&lt;R726,"BAJO SS (XLIB CUBRE)",IF(V726&lt;S726,"BAJO P.REORDEN",IF(AND(ISNUMBER(Q726),V726&gt;Q726),"SOBRE MAX VENDIBLE","OK")))))</f>
        <v>SIN FCST</v>
      </c>
    </row>
    <row r="727" customFormat="false" ht="15" hidden="false" customHeight="false" outlineLevel="0" collapsed="false">
      <c r="A727" s="3" t="n">
        <v>30002053</v>
      </c>
      <c r="B727" s="3" t="s">
        <v>1273</v>
      </c>
      <c r="C727" s="3" t="s">
        <v>133</v>
      </c>
      <c r="D727" s="3" t="s">
        <v>758</v>
      </c>
      <c r="E727" s="3"/>
      <c r="F727" s="3" t="str">
        <f aca="false">IFERROR(INDEX(ABC_XYZ!$L$5:$L$494,MATCH(A727,ABC_XYZ!$A$5:$A$494,0)),"SIN HIST")</f>
        <v>SIN HIST</v>
      </c>
      <c r="G727" s="24" t="n">
        <f aca="false">IF(LEFT(F727,1)="A",Parametros!$B$8,IF(LEFT(F727,1)="B",Parametros!$B$9,IF(LEFT(F727,1)="C",Parametros!$B$10,Parametros!$B$11)))</f>
        <v>0.95</v>
      </c>
      <c r="H727" s="27" t="n">
        <f aca="false">NORMSINV(G727)</f>
        <v>1.64485362695147</v>
      </c>
      <c r="I727" s="23" t="n">
        <v>0</v>
      </c>
      <c r="J727" s="23" t="n">
        <f aca="false">IFERROR(INDEX(ABC_XYZ!$R$5:$R$494,MATCH(A727,ABC_XYZ!$A$5:$A$494,0)),I727*Parametros!$B$13)</f>
        <v>0</v>
      </c>
      <c r="K727" s="27" t="n">
        <f aca="false">IFERROR(VLOOKUP(C727,Parametros!$A$36:$B$66,2,FALSE()),Parametros!$B$12)</f>
        <v>1</v>
      </c>
      <c r="L727" s="23" t="n">
        <f aca="false">H727*J727*SQRT(K727)</f>
        <v>0</v>
      </c>
      <c r="M727" s="29"/>
      <c r="N727" s="24"/>
      <c r="O727" s="3"/>
      <c r="P727" s="30" t="str">
        <f aca="false">IF(AND(ISNUMBER(M727),ISNUMBER(N727)),M727*N727/7,"")</f>
        <v/>
      </c>
      <c r="Q727" s="23" t="str">
        <f aca="false">IF(ISNUMBER(P727),I727*P727,"")</f>
        <v/>
      </c>
      <c r="R727" s="23" t="n">
        <f aca="false">IF(ISNUMBER(Q727),MAX(0,MIN(L727,Q727-I727*K727)),L727)</f>
        <v>0</v>
      </c>
      <c r="S727" s="23" t="n">
        <f aca="false">R727+I727*K727</f>
        <v>0</v>
      </c>
      <c r="T727" s="23" t="n">
        <v>1005.4</v>
      </c>
      <c r="U727" s="23" t="n">
        <v>0</v>
      </c>
      <c r="V727" s="23" t="n">
        <f aca="false">T727+U727</f>
        <v>1005.4</v>
      </c>
      <c r="W727" s="30" t="str">
        <f aca="false">IF(I727&gt;0,V727/I727,"")</f>
        <v/>
      </c>
      <c r="X727" s="3" t="str">
        <f aca="false">IF(I727&lt;=0,"SIN FCST",IF(V727&lt;R727,"BAJO SS",IF(T727&lt;R727,"BAJO SS (XLIB CUBRE)",IF(V727&lt;S727,"BAJO P.REORDEN",IF(AND(ISNUMBER(Q727),V727&gt;Q727),"SOBRE MAX VENDIBLE","OK")))))</f>
        <v>SIN FCST</v>
      </c>
    </row>
    <row r="728" customFormat="false" ht="15" hidden="false" customHeight="false" outlineLevel="0" collapsed="false">
      <c r="A728" s="3" t="n">
        <v>30002052</v>
      </c>
      <c r="B728" s="3" t="s">
        <v>1274</v>
      </c>
      <c r="C728" s="3" t="s">
        <v>133</v>
      </c>
      <c r="D728" s="3" t="s">
        <v>758</v>
      </c>
      <c r="E728" s="3"/>
      <c r="F728" s="3" t="str">
        <f aca="false">IFERROR(INDEX(ABC_XYZ!$L$5:$L$494,MATCH(A728,ABC_XYZ!$A$5:$A$494,0)),"SIN HIST")</f>
        <v>SIN HIST</v>
      </c>
      <c r="G728" s="24" t="n">
        <f aca="false">IF(LEFT(F728,1)="A",Parametros!$B$8,IF(LEFT(F728,1)="B",Parametros!$B$9,IF(LEFT(F728,1)="C",Parametros!$B$10,Parametros!$B$11)))</f>
        <v>0.95</v>
      </c>
      <c r="H728" s="27" t="n">
        <f aca="false">NORMSINV(G728)</f>
        <v>1.64485362695147</v>
      </c>
      <c r="I728" s="23" t="n">
        <v>0</v>
      </c>
      <c r="J728" s="23" t="n">
        <f aca="false">IFERROR(INDEX(ABC_XYZ!$R$5:$R$494,MATCH(A728,ABC_XYZ!$A$5:$A$494,0)),I728*Parametros!$B$13)</f>
        <v>0</v>
      </c>
      <c r="K728" s="27" t="n">
        <f aca="false">IFERROR(VLOOKUP(C728,Parametros!$A$36:$B$66,2,FALSE()),Parametros!$B$12)</f>
        <v>1</v>
      </c>
      <c r="L728" s="23" t="n">
        <f aca="false">H728*J728*SQRT(K728)</f>
        <v>0</v>
      </c>
      <c r="M728" s="29"/>
      <c r="N728" s="24"/>
      <c r="O728" s="3"/>
      <c r="P728" s="30" t="str">
        <f aca="false">IF(AND(ISNUMBER(M728),ISNUMBER(N728)),M728*N728/7,"")</f>
        <v/>
      </c>
      <c r="Q728" s="23" t="str">
        <f aca="false">IF(ISNUMBER(P728),I728*P728,"")</f>
        <v/>
      </c>
      <c r="R728" s="23" t="n">
        <f aca="false">IF(ISNUMBER(Q728),MAX(0,MIN(L728,Q728-I728*K728)),L728)</f>
        <v>0</v>
      </c>
      <c r="S728" s="23" t="n">
        <f aca="false">R728+I728*K728</f>
        <v>0</v>
      </c>
      <c r="T728" s="23" t="n">
        <v>357</v>
      </c>
      <c r="U728" s="23" t="n">
        <v>0</v>
      </c>
      <c r="V728" s="23" t="n">
        <f aca="false">T728+U728</f>
        <v>357</v>
      </c>
      <c r="W728" s="30" t="str">
        <f aca="false">IF(I728&gt;0,V728/I728,"")</f>
        <v/>
      </c>
      <c r="X728" s="3" t="str">
        <f aca="false">IF(I728&lt;=0,"SIN FCST",IF(V728&lt;R728,"BAJO SS",IF(T728&lt;R728,"BAJO SS (XLIB CUBRE)",IF(V728&lt;S728,"BAJO P.REORDEN",IF(AND(ISNUMBER(Q728),V728&gt;Q728),"SOBRE MAX VENDIBLE","OK")))))</f>
        <v>SIN FCST</v>
      </c>
    </row>
    <row r="729" customFormat="false" ht="15" hidden="false" customHeight="false" outlineLevel="0" collapsed="false">
      <c r="A729" s="3" t="n">
        <v>30002050</v>
      </c>
      <c r="B729" s="3" t="s">
        <v>1275</v>
      </c>
      <c r="C729" s="3" t="s">
        <v>133</v>
      </c>
      <c r="D729" s="3" t="s">
        <v>758</v>
      </c>
      <c r="E729" s="3"/>
      <c r="F729" s="3" t="str">
        <f aca="false">IFERROR(INDEX(ABC_XYZ!$L$5:$L$494,MATCH(A729,ABC_XYZ!$A$5:$A$494,0)),"SIN HIST")</f>
        <v>SIN HIST</v>
      </c>
      <c r="G729" s="24" t="n">
        <f aca="false">IF(LEFT(F729,1)="A",Parametros!$B$8,IF(LEFT(F729,1)="B",Parametros!$B$9,IF(LEFT(F729,1)="C",Parametros!$B$10,Parametros!$B$11)))</f>
        <v>0.95</v>
      </c>
      <c r="H729" s="27" t="n">
        <f aca="false">NORMSINV(G729)</f>
        <v>1.64485362695147</v>
      </c>
      <c r="I729" s="23" t="n">
        <v>0</v>
      </c>
      <c r="J729" s="23" t="n">
        <f aca="false">IFERROR(INDEX(ABC_XYZ!$R$5:$R$494,MATCH(A729,ABC_XYZ!$A$5:$A$494,0)),I729*Parametros!$B$13)</f>
        <v>0</v>
      </c>
      <c r="K729" s="27" t="n">
        <f aca="false">IFERROR(VLOOKUP(C729,Parametros!$A$36:$B$66,2,FALSE()),Parametros!$B$12)</f>
        <v>1</v>
      </c>
      <c r="L729" s="23" t="n">
        <f aca="false">H729*J729*SQRT(K729)</f>
        <v>0</v>
      </c>
      <c r="M729" s="29"/>
      <c r="N729" s="24"/>
      <c r="O729" s="3"/>
      <c r="P729" s="30" t="str">
        <f aca="false">IF(AND(ISNUMBER(M729),ISNUMBER(N729)),M729*N729/7,"")</f>
        <v/>
      </c>
      <c r="Q729" s="23" t="str">
        <f aca="false">IF(ISNUMBER(P729),I729*P729,"")</f>
        <v/>
      </c>
      <c r="R729" s="23" t="n">
        <f aca="false">IF(ISNUMBER(Q729),MAX(0,MIN(L729,Q729-I729*K729)),L729)</f>
        <v>0</v>
      </c>
      <c r="S729" s="23" t="n">
        <f aca="false">R729+I729*K729</f>
        <v>0</v>
      </c>
      <c r="T729" s="23" t="n">
        <v>40.8</v>
      </c>
      <c r="U729" s="23" t="n">
        <v>0</v>
      </c>
      <c r="V729" s="23" t="n">
        <f aca="false">T729+U729</f>
        <v>40.8</v>
      </c>
      <c r="W729" s="30" t="str">
        <f aca="false">IF(I729&gt;0,V729/I729,"")</f>
        <v/>
      </c>
      <c r="X729" s="3" t="str">
        <f aca="false">IF(I729&lt;=0,"SIN FCST",IF(V729&lt;R729,"BAJO SS",IF(T729&lt;R729,"BAJO SS (XLIB CUBRE)",IF(V729&lt;S729,"BAJO P.REORDEN",IF(AND(ISNUMBER(Q729),V729&gt;Q729),"SOBRE MAX VENDIBLE","OK")))))</f>
        <v>SIN FCST</v>
      </c>
    </row>
    <row r="730" customFormat="false" ht="15" hidden="false" customHeight="false" outlineLevel="0" collapsed="false">
      <c r="A730" s="3" t="n">
        <v>30002060</v>
      </c>
      <c r="B730" s="3" t="s">
        <v>1276</v>
      </c>
      <c r="C730" s="3" t="s">
        <v>133</v>
      </c>
      <c r="D730" s="3" t="s">
        <v>758</v>
      </c>
      <c r="E730" s="3"/>
      <c r="F730" s="3" t="str">
        <f aca="false">IFERROR(INDEX(ABC_XYZ!$L$5:$L$494,MATCH(A730,ABC_XYZ!$A$5:$A$494,0)),"SIN HIST")</f>
        <v>SIN HIST</v>
      </c>
      <c r="G730" s="24" t="n">
        <f aca="false">IF(LEFT(F730,1)="A",Parametros!$B$8,IF(LEFT(F730,1)="B",Parametros!$B$9,IF(LEFT(F730,1)="C",Parametros!$B$10,Parametros!$B$11)))</f>
        <v>0.95</v>
      </c>
      <c r="H730" s="27" t="n">
        <f aca="false">NORMSINV(G730)</f>
        <v>1.64485362695147</v>
      </c>
      <c r="I730" s="23" t="n">
        <v>0</v>
      </c>
      <c r="J730" s="23" t="n">
        <f aca="false">IFERROR(INDEX(ABC_XYZ!$R$5:$R$494,MATCH(A730,ABC_XYZ!$A$5:$A$494,0)),I730*Parametros!$B$13)</f>
        <v>0</v>
      </c>
      <c r="K730" s="27" t="n">
        <f aca="false">IFERROR(VLOOKUP(C730,Parametros!$A$36:$B$66,2,FALSE()),Parametros!$B$12)</f>
        <v>1</v>
      </c>
      <c r="L730" s="23" t="n">
        <f aca="false">H730*J730*SQRT(K730)</f>
        <v>0</v>
      </c>
      <c r="M730" s="29"/>
      <c r="N730" s="24"/>
      <c r="O730" s="3"/>
      <c r="P730" s="30" t="str">
        <f aca="false">IF(AND(ISNUMBER(M730),ISNUMBER(N730)),M730*N730/7,"")</f>
        <v/>
      </c>
      <c r="Q730" s="23" t="str">
        <f aca="false">IF(ISNUMBER(P730),I730*P730,"")</f>
        <v/>
      </c>
      <c r="R730" s="23" t="n">
        <f aca="false">IF(ISNUMBER(Q730),MAX(0,MIN(L730,Q730-I730*K730)),L730)</f>
        <v>0</v>
      </c>
      <c r="S730" s="23" t="n">
        <f aca="false">R730+I730*K730</f>
        <v>0</v>
      </c>
      <c r="T730" s="23" t="n">
        <v>7295.8</v>
      </c>
      <c r="U730" s="23" t="n">
        <v>0</v>
      </c>
      <c r="V730" s="23" t="n">
        <f aca="false">T730+U730</f>
        <v>7295.8</v>
      </c>
      <c r="W730" s="30" t="str">
        <f aca="false">IF(I730&gt;0,V730/I730,"")</f>
        <v/>
      </c>
      <c r="X730" s="3" t="str">
        <f aca="false">IF(I730&lt;=0,"SIN FCST",IF(V730&lt;R730,"BAJO SS",IF(T730&lt;R730,"BAJO SS (XLIB CUBRE)",IF(V730&lt;S730,"BAJO P.REORDEN",IF(AND(ISNUMBER(Q730),V730&gt;Q730),"SOBRE MAX VENDIBLE","OK")))))</f>
        <v>SIN FCST</v>
      </c>
    </row>
    <row r="731" customFormat="false" ht="15" hidden="false" customHeight="false" outlineLevel="0" collapsed="false">
      <c r="A731" s="3" t="n">
        <v>30002006</v>
      </c>
      <c r="B731" s="3" t="s">
        <v>1277</v>
      </c>
      <c r="C731" s="3" t="s">
        <v>133</v>
      </c>
      <c r="D731" s="3" t="s">
        <v>769</v>
      </c>
      <c r="E731" s="3"/>
      <c r="F731" s="3" t="str">
        <f aca="false">IFERROR(INDEX(ABC_XYZ!$L$5:$L$494,MATCH(A731,ABC_XYZ!$A$5:$A$494,0)),"SIN HIST")</f>
        <v>SIN HIST</v>
      </c>
      <c r="G731" s="24" t="n">
        <f aca="false">IF(LEFT(F731,1)="A",Parametros!$B$8,IF(LEFT(F731,1)="B",Parametros!$B$9,IF(LEFT(F731,1)="C",Parametros!$B$10,Parametros!$B$11)))</f>
        <v>0.95</v>
      </c>
      <c r="H731" s="27" t="n">
        <f aca="false">NORMSINV(G731)</f>
        <v>1.64485362695147</v>
      </c>
      <c r="I731" s="23" t="n">
        <v>0</v>
      </c>
      <c r="J731" s="23" t="n">
        <f aca="false">IFERROR(INDEX(ABC_XYZ!$R$5:$R$494,MATCH(A731,ABC_XYZ!$A$5:$A$494,0)),I731*Parametros!$B$13)</f>
        <v>0</v>
      </c>
      <c r="K731" s="27" t="n">
        <f aca="false">IFERROR(VLOOKUP(C731,Parametros!$A$36:$B$66,2,FALSE()),Parametros!$B$12)</f>
        <v>1</v>
      </c>
      <c r="L731" s="23" t="n">
        <f aca="false">H731*J731*SQRT(K731)</f>
        <v>0</v>
      </c>
      <c r="M731" s="29"/>
      <c r="N731" s="24"/>
      <c r="O731" s="3"/>
      <c r="P731" s="30" t="str">
        <f aca="false">IF(AND(ISNUMBER(M731),ISNUMBER(N731)),M731*N731/7,"")</f>
        <v/>
      </c>
      <c r="Q731" s="23" t="str">
        <f aca="false">IF(ISNUMBER(P731),I731*P731,"")</f>
        <v/>
      </c>
      <c r="R731" s="23" t="n">
        <f aca="false">IF(ISNUMBER(Q731),MAX(0,MIN(L731,Q731-I731*K731)),L731)</f>
        <v>0</v>
      </c>
      <c r="S731" s="23" t="n">
        <f aca="false">R731+I731*K731</f>
        <v>0</v>
      </c>
      <c r="T731" s="23" t="n">
        <v>10080</v>
      </c>
      <c r="U731" s="23" t="n">
        <v>0</v>
      </c>
      <c r="V731" s="23" t="n">
        <f aca="false">T731+U731</f>
        <v>10080</v>
      </c>
      <c r="W731" s="30" t="str">
        <f aca="false">IF(I731&gt;0,V731/I731,"")</f>
        <v/>
      </c>
      <c r="X731" s="3" t="str">
        <f aca="false">IF(I731&lt;=0,"SIN FCST",IF(V731&lt;R731,"BAJO SS",IF(T731&lt;R731,"BAJO SS (XLIB CUBRE)",IF(V731&lt;S731,"BAJO P.REORDEN",IF(AND(ISNUMBER(Q731),V731&gt;Q731),"SOBRE MAX VENDIBLE","OK")))))</f>
        <v>SIN FCST</v>
      </c>
    </row>
    <row r="732" customFormat="false" ht="15" hidden="false" customHeight="false" outlineLevel="0" collapsed="false">
      <c r="A732" s="3" t="n">
        <v>30002039</v>
      </c>
      <c r="B732" s="3" t="s">
        <v>1278</v>
      </c>
      <c r="C732" s="3" t="s">
        <v>133</v>
      </c>
      <c r="D732" s="3" t="s">
        <v>758</v>
      </c>
      <c r="E732" s="3"/>
      <c r="F732" s="3" t="str">
        <f aca="false">IFERROR(INDEX(ABC_XYZ!$L$5:$L$494,MATCH(A732,ABC_XYZ!$A$5:$A$494,0)),"SIN HIST")</f>
        <v>SIN HIST</v>
      </c>
      <c r="G732" s="24" t="n">
        <f aca="false">IF(LEFT(F732,1)="A",Parametros!$B$8,IF(LEFT(F732,1)="B",Parametros!$B$9,IF(LEFT(F732,1)="C",Parametros!$B$10,Parametros!$B$11)))</f>
        <v>0.95</v>
      </c>
      <c r="H732" s="27" t="n">
        <f aca="false">NORMSINV(G732)</f>
        <v>1.64485362695147</v>
      </c>
      <c r="I732" s="23" t="n">
        <v>0</v>
      </c>
      <c r="J732" s="23" t="n">
        <f aca="false">IFERROR(INDEX(ABC_XYZ!$R$5:$R$494,MATCH(A732,ABC_XYZ!$A$5:$A$494,0)),I732*Parametros!$B$13)</f>
        <v>0</v>
      </c>
      <c r="K732" s="27" t="n">
        <f aca="false">IFERROR(VLOOKUP(C732,Parametros!$A$36:$B$66,2,FALSE()),Parametros!$B$12)</f>
        <v>1</v>
      </c>
      <c r="L732" s="23" t="n">
        <f aca="false">H732*J732*SQRT(K732)</f>
        <v>0</v>
      </c>
      <c r="M732" s="29"/>
      <c r="N732" s="24"/>
      <c r="O732" s="3"/>
      <c r="P732" s="30" t="str">
        <f aca="false">IF(AND(ISNUMBER(M732),ISNUMBER(N732)),M732*N732/7,"")</f>
        <v/>
      </c>
      <c r="Q732" s="23" t="str">
        <f aca="false">IF(ISNUMBER(P732),I732*P732,"")</f>
        <v/>
      </c>
      <c r="R732" s="23" t="n">
        <f aca="false">IF(ISNUMBER(Q732),MAX(0,MIN(L732,Q732-I732*K732)),L732)</f>
        <v>0</v>
      </c>
      <c r="S732" s="23" t="n">
        <f aca="false">R732+I732*K732</f>
        <v>0</v>
      </c>
      <c r="T732" s="23" t="n">
        <v>4161.6</v>
      </c>
      <c r="U732" s="23" t="n">
        <v>0</v>
      </c>
      <c r="V732" s="23" t="n">
        <f aca="false">T732+U732</f>
        <v>4161.6</v>
      </c>
      <c r="W732" s="30" t="str">
        <f aca="false">IF(I732&gt;0,V732/I732,"")</f>
        <v/>
      </c>
      <c r="X732" s="3" t="str">
        <f aca="false">IF(I732&lt;=0,"SIN FCST",IF(V732&lt;R732,"BAJO SS",IF(T732&lt;R732,"BAJO SS (XLIB CUBRE)",IF(V732&lt;S732,"BAJO P.REORDEN",IF(AND(ISNUMBER(Q732),V732&gt;Q732),"SOBRE MAX VENDIBLE","OK")))))</f>
        <v>SIN FCST</v>
      </c>
    </row>
    <row r="733" customFormat="false" ht="15" hidden="false" customHeight="false" outlineLevel="0" collapsed="false">
      <c r="A733" s="3" t="n">
        <v>30001914</v>
      </c>
      <c r="B733" s="3" t="s">
        <v>1279</v>
      </c>
      <c r="C733" s="3" t="s">
        <v>133</v>
      </c>
      <c r="D733" s="3" t="s">
        <v>769</v>
      </c>
      <c r="E733" s="3"/>
      <c r="F733" s="3" t="str">
        <f aca="false">IFERROR(INDEX(ABC_XYZ!$L$5:$L$494,MATCH(A733,ABC_XYZ!$A$5:$A$494,0)),"SIN HIST")</f>
        <v>SIN HIST</v>
      </c>
      <c r="G733" s="24" t="n">
        <f aca="false">IF(LEFT(F733,1)="A",Parametros!$B$8,IF(LEFT(F733,1)="B",Parametros!$B$9,IF(LEFT(F733,1)="C",Parametros!$B$10,Parametros!$B$11)))</f>
        <v>0.95</v>
      </c>
      <c r="H733" s="27" t="n">
        <f aca="false">NORMSINV(G733)</f>
        <v>1.64485362695147</v>
      </c>
      <c r="I733" s="23" t="n">
        <v>0</v>
      </c>
      <c r="J733" s="23" t="n">
        <f aca="false">IFERROR(INDEX(ABC_XYZ!$R$5:$R$494,MATCH(A733,ABC_XYZ!$A$5:$A$494,0)),I733*Parametros!$B$13)</f>
        <v>0</v>
      </c>
      <c r="K733" s="27" t="n">
        <f aca="false">IFERROR(VLOOKUP(C733,Parametros!$A$36:$B$66,2,FALSE()),Parametros!$B$12)</f>
        <v>1</v>
      </c>
      <c r="L733" s="23" t="n">
        <f aca="false">H733*J733*SQRT(K733)</f>
        <v>0</v>
      </c>
      <c r="M733" s="29"/>
      <c r="N733" s="24"/>
      <c r="O733" s="3"/>
      <c r="P733" s="30" t="str">
        <f aca="false">IF(AND(ISNUMBER(M733),ISNUMBER(N733)),M733*N733/7,"")</f>
        <v/>
      </c>
      <c r="Q733" s="23" t="str">
        <f aca="false">IF(ISNUMBER(P733),I733*P733,"")</f>
        <v/>
      </c>
      <c r="R733" s="23" t="n">
        <f aca="false">IF(ISNUMBER(Q733),MAX(0,MIN(L733,Q733-I733*K733)),L733)</f>
        <v>0</v>
      </c>
      <c r="S733" s="23" t="n">
        <f aca="false">R733+I733*K733</f>
        <v>0</v>
      </c>
      <c r="T733" s="23" t="n">
        <v>0</v>
      </c>
      <c r="U733" s="23" t="n">
        <v>0</v>
      </c>
      <c r="V733" s="23" t="n">
        <f aca="false">T733+U733</f>
        <v>0</v>
      </c>
      <c r="W733" s="30" t="str">
        <f aca="false">IF(I733&gt;0,V733/I733,"")</f>
        <v/>
      </c>
      <c r="X733" s="3" t="str">
        <f aca="false">IF(I733&lt;=0,"SIN FCST",IF(V733&lt;R733,"BAJO SS",IF(T733&lt;R733,"BAJO SS (XLIB CUBRE)",IF(V733&lt;S733,"BAJO P.REORDEN",IF(AND(ISNUMBER(Q733),V733&gt;Q733),"SOBRE MAX VENDIBLE","OK")))))</f>
        <v>SIN FCST</v>
      </c>
    </row>
    <row r="734" customFormat="false" ht="15" hidden="false" customHeight="false" outlineLevel="0" collapsed="false">
      <c r="A734" s="3" t="n">
        <v>30001908</v>
      </c>
      <c r="B734" s="3" t="s">
        <v>1280</v>
      </c>
      <c r="C734" s="3" t="s">
        <v>133</v>
      </c>
      <c r="D734" s="3" t="s">
        <v>758</v>
      </c>
      <c r="E734" s="3"/>
      <c r="F734" s="3" t="str">
        <f aca="false">IFERROR(INDEX(ABC_XYZ!$L$5:$L$494,MATCH(A734,ABC_XYZ!$A$5:$A$494,0)),"SIN HIST")</f>
        <v>SIN HIST</v>
      </c>
      <c r="G734" s="24" t="n">
        <f aca="false">IF(LEFT(F734,1)="A",Parametros!$B$8,IF(LEFT(F734,1)="B",Parametros!$B$9,IF(LEFT(F734,1)="C",Parametros!$B$10,Parametros!$B$11)))</f>
        <v>0.95</v>
      </c>
      <c r="H734" s="27" t="n">
        <f aca="false">NORMSINV(G734)</f>
        <v>1.64485362695147</v>
      </c>
      <c r="I734" s="23" t="n">
        <v>0</v>
      </c>
      <c r="J734" s="23" t="n">
        <f aca="false">IFERROR(INDEX(ABC_XYZ!$R$5:$R$494,MATCH(A734,ABC_XYZ!$A$5:$A$494,0)),I734*Parametros!$B$13)</f>
        <v>0</v>
      </c>
      <c r="K734" s="27" t="n">
        <f aca="false">IFERROR(VLOOKUP(C734,Parametros!$A$36:$B$66,2,FALSE()),Parametros!$B$12)</f>
        <v>1</v>
      </c>
      <c r="L734" s="23" t="n">
        <f aca="false">H734*J734*SQRT(K734)</f>
        <v>0</v>
      </c>
      <c r="M734" s="29"/>
      <c r="N734" s="24"/>
      <c r="O734" s="3"/>
      <c r="P734" s="30" t="str">
        <f aca="false">IF(AND(ISNUMBER(M734),ISNUMBER(N734)),M734*N734/7,"")</f>
        <v/>
      </c>
      <c r="Q734" s="23" t="str">
        <f aca="false">IF(ISNUMBER(P734),I734*P734,"")</f>
        <v/>
      </c>
      <c r="R734" s="23" t="n">
        <f aca="false">IF(ISNUMBER(Q734),MAX(0,MIN(L734,Q734-I734*K734)),L734)</f>
        <v>0</v>
      </c>
      <c r="S734" s="23" t="n">
        <f aca="false">R734+I734*K734</f>
        <v>0</v>
      </c>
      <c r="T734" s="23" t="n">
        <v>18496</v>
      </c>
      <c r="U734" s="23" t="n">
        <v>0</v>
      </c>
      <c r="V734" s="23" t="n">
        <f aca="false">T734+U734</f>
        <v>18496</v>
      </c>
      <c r="W734" s="30" t="str">
        <f aca="false">IF(I734&gt;0,V734/I734,"")</f>
        <v/>
      </c>
      <c r="X734" s="3" t="str">
        <f aca="false">IF(I734&lt;=0,"SIN FCST",IF(V734&lt;R734,"BAJO SS",IF(T734&lt;R734,"BAJO SS (XLIB CUBRE)",IF(V734&lt;S734,"BAJO P.REORDEN",IF(AND(ISNUMBER(Q734),V734&gt;Q734),"SOBRE MAX VENDIBLE","OK")))))</f>
        <v>SIN FCST</v>
      </c>
    </row>
    <row r="735" customFormat="false" ht="15" hidden="false" customHeight="false" outlineLevel="0" collapsed="false">
      <c r="A735" s="3" t="n">
        <v>30002040</v>
      </c>
      <c r="B735" s="3" t="s">
        <v>1281</v>
      </c>
      <c r="C735" s="3" t="s">
        <v>133</v>
      </c>
      <c r="D735" s="3" t="s">
        <v>758</v>
      </c>
      <c r="E735" s="3"/>
      <c r="F735" s="3" t="str">
        <f aca="false">IFERROR(INDEX(ABC_XYZ!$L$5:$L$494,MATCH(A735,ABC_XYZ!$A$5:$A$494,0)),"SIN HIST")</f>
        <v>SIN HIST</v>
      </c>
      <c r="G735" s="24" t="n">
        <f aca="false">IF(LEFT(F735,1)="A",Parametros!$B$8,IF(LEFT(F735,1)="B",Parametros!$B$9,IF(LEFT(F735,1)="C",Parametros!$B$10,Parametros!$B$11)))</f>
        <v>0.95</v>
      </c>
      <c r="H735" s="27" t="n">
        <f aca="false">NORMSINV(G735)</f>
        <v>1.64485362695147</v>
      </c>
      <c r="I735" s="23" t="n">
        <v>0</v>
      </c>
      <c r="J735" s="23" t="n">
        <f aca="false">IFERROR(INDEX(ABC_XYZ!$R$5:$R$494,MATCH(A735,ABC_XYZ!$A$5:$A$494,0)),I735*Parametros!$B$13)</f>
        <v>0</v>
      </c>
      <c r="K735" s="27" t="n">
        <f aca="false">IFERROR(VLOOKUP(C735,Parametros!$A$36:$B$66,2,FALSE()),Parametros!$B$12)</f>
        <v>1</v>
      </c>
      <c r="L735" s="23" t="n">
        <f aca="false">H735*J735*SQRT(K735)</f>
        <v>0</v>
      </c>
      <c r="M735" s="29"/>
      <c r="N735" s="24"/>
      <c r="O735" s="3"/>
      <c r="P735" s="30" t="str">
        <f aca="false">IF(AND(ISNUMBER(M735),ISNUMBER(N735)),M735*N735/7,"")</f>
        <v/>
      </c>
      <c r="Q735" s="23" t="str">
        <f aca="false">IF(ISNUMBER(P735),I735*P735,"")</f>
        <v/>
      </c>
      <c r="R735" s="23" t="n">
        <f aca="false">IF(ISNUMBER(Q735),MAX(0,MIN(L735,Q735-I735*K735)),L735)</f>
        <v>0</v>
      </c>
      <c r="S735" s="23" t="n">
        <f aca="false">R735+I735*K735</f>
        <v>0</v>
      </c>
      <c r="T735" s="23" t="n">
        <v>1554.5</v>
      </c>
      <c r="U735" s="23" t="n">
        <v>0</v>
      </c>
      <c r="V735" s="23" t="n">
        <f aca="false">T735+U735</f>
        <v>1554.5</v>
      </c>
      <c r="W735" s="30" t="str">
        <f aca="false">IF(I735&gt;0,V735/I735,"")</f>
        <v/>
      </c>
      <c r="X735" s="3" t="str">
        <f aca="false">IF(I735&lt;=0,"SIN FCST",IF(V735&lt;R735,"BAJO SS",IF(T735&lt;R735,"BAJO SS (XLIB CUBRE)",IF(V735&lt;S735,"BAJO P.REORDEN",IF(AND(ISNUMBER(Q735),V735&gt;Q735),"SOBRE MAX VENDIBLE","OK")))))</f>
        <v>SIN FCST</v>
      </c>
    </row>
    <row r="736" customFormat="false" ht="15" hidden="false" customHeight="false" outlineLevel="0" collapsed="false">
      <c r="A736" s="3" t="n">
        <v>30002032</v>
      </c>
      <c r="B736" s="3" t="s">
        <v>1282</v>
      </c>
      <c r="C736" s="3" t="s">
        <v>133</v>
      </c>
      <c r="D736" s="3" t="s">
        <v>758</v>
      </c>
      <c r="E736" s="3"/>
      <c r="F736" s="3" t="str">
        <f aca="false">IFERROR(INDEX(ABC_XYZ!$L$5:$L$494,MATCH(A736,ABC_XYZ!$A$5:$A$494,0)),"SIN HIST")</f>
        <v>SIN HIST</v>
      </c>
      <c r="G736" s="24" t="n">
        <f aca="false">IF(LEFT(F736,1)="A",Parametros!$B$8,IF(LEFT(F736,1)="B",Parametros!$B$9,IF(LEFT(F736,1)="C",Parametros!$B$10,Parametros!$B$11)))</f>
        <v>0.95</v>
      </c>
      <c r="H736" s="27" t="n">
        <f aca="false">NORMSINV(G736)</f>
        <v>1.64485362695147</v>
      </c>
      <c r="I736" s="23" t="n">
        <v>0</v>
      </c>
      <c r="J736" s="23" t="n">
        <f aca="false">IFERROR(INDEX(ABC_XYZ!$R$5:$R$494,MATCH(A736,ABC_XYZ!$A$5:$A$494,0)),I736*Parametros!$B$13)</f>
        <v>0</v>
      </c>
      <c r="K736" s="27" t="n">
        <f aca="false">IFERROR(VLOOKUP(C736,Parametros!$A$36:$B$66,2,FALSE()),Parametros!$B$12)</f>
        <v>1</v>
      </c>
      <c r="L736" s="23" t="n">
        <f aca="false">H736*J736*SQRT(K736)</f>
        <v>0</v>
      </c>
      <c r="M736" s="29"/>
      <c r="N736" s="24"/>
      <c r="O736" s="3"/>
      <c r="P736" s="30" t="str">
        <f aca="false">IF(AND(ISNUMBER(M736),ISNUMBER(N736)),M736*N736/7,"")</f>
        <v/>
      </c>
      <c r="Q736" s="23" t="str">
        <f aca="false">IF(ISNUMBER(P736),I736*P736,"")</f>
        <v/>
      </c>
      <c r="R736" s="23" t="n">
        <f aca="false">IF(ISNUMBER(Q736),MAX(0,MIN(L736,Q736-I736*K736)),L736)</f>
        <v>0</v>
      </c>
      <c r="S736" s="23" t="n">
        <f aca="false">R736+I736*K736</f>
        <v>0</v>
      </c>
      <c r="T736" s="23" t="n">
        <v>5189.8</v>
      </c>
      <c r="U736" s="23" t="n">
        <v>0</v>
      </c>
      <c r="V736" s="23" t="n">
        <f aca="false">T736+U736</f>
        <v>5189.8</v>
      </c>
      <c r="W736" s="30" t="str">
        <f aca="false">IF(I736&gt;0,V736/I736,"")</f>
        <v/>
      </c>
      <c r="X736" s="3" t="str">
        <f aca="false">IF(I736&lt;=0,"SIN FCST",IF(V736&lt;R736,"BAJO SS",IF(T736&lt;R736,"BAJO SS (XLIB CUBRE)",IF(V736&lt;S736,"BAJO P.REORDEN",IF(AND(ISNUMBER(Q736),V736&gt;Q736),"SOBRE MAX VENDIBLE","OK")))))</f>
        <v>SIN FCST</v>
      </c>
    </row>
    <row r="737" customFormat="false" ht="15" hidden="false" customHeight="false" outlineLevel="0" collapsed="false">
      <c r="A737" s="3" t="n">
        <v>30002035</v>
      </c>
      <c r="B737" s="3" t="s">
        <v>1283</v>
      </c>
      <c r="C737" s="3" t="s">
        <v>133</v>
      </c>
      <c r="D737" s="3" t="s">
        <v>758</v>
      </c>
      <c r="E737" s="3"/>
      <c r="F737" s="3" t="str">
        <f aca="false">IFERROR(INDEX(ABC_XYZ!$L$5:$L$494,MATCH(A737,ABC_XYZ!$A$5:$A$494,0)),"SIN HIST")</f>
        <v>SIN HIST</v>
      </c>
      <c r="G737" s="24" t="n">
        <f aca="false">IF(LEFT(F737,1)="A",Parametros!$B$8,IF(LEFT(F737,1)="B",Parametros!$B$9,IF(LEFT(F737,1)="C",Parametros!$B$10,Parametros!$B$11)))</f>
        <v>0.95</v>
      </c>
      <c r="H737" s="27" t="n">
        <f aca="false">NORMSINV(G737)</f>
        <v>1.64485362695147</v>
      </c>
      <c r="I737" s="23" t="n">
        <v>0</v>
      </c>
      <c r="J737" s="23" t="n">
        <f aca="false">IFERROR(INDEX(ABC_XYZ!$R$5:$R$494,MATCH(A737,ABC_XYZ!$A$5:$A$494,0)),I737*Parametros!$B$13)</f>
        <v>0</v>
      </c>
      <c r="K737" s="27" t="n">
        <f aca="false">IFERROR(VLOOKUP(C737,Parametros!$A$36:$B$66,2,FALSE()),Parametros!$B$12)</f>
        <v>1</v>
      </c>
      <c r="L737" s="23" t="n">
        <f aca="false">H737*J737*SQRT(K737)</f>
        <v>0</v>
      </c>
      <c r="M737" s="29"/>
      <c r="N737" s="24"/>
      <c r="O737" s="3"/>
      <c r="P737" s="30" t="str">
        <f aca="false">IF(AND(ISNUMBER(M737),ISNUMBER(N737)),M737*N737/7,"")</f>
        <v/>
      </c>
      <c r="Q737" s="23" t="str">
        <f aca="false">IF(ISNUMBER(P737),I737*P737,"")</f>
        <v/>
      </c>
      <c r="R737" s="23" t="n">
        <f aca="false">IF(ISNUMBER(Q737),MAX(0,MIN(L737,Q737-I737*K737)),L737)</f>
        <v>0</v>
      </c>
      <c r="S737" s="23" t="n">
        <f aca="false">R737+I737*K737</f>
        <v>0</v>
      </c>
      <c r="T737" s="23" t="n">
        <v>5654.9</v>
      </c>
      <c r="U737" s="23" t="n">
        <v>0</v>
      </c>
      <c r="V737" s="23" t="n">
        <f aca="false">T737+U737</f>
        <v>5654.9</v>
      </c>
      <c r="W737" s="30" t="str">
        <f aca="false">IF(I737&gt;0,V737/I737,"")</f>
        <v/>
      </c>
      <c r="X737" s="3" t="str">
        <f aca="false">IF(I737&lt;=0,"SIN FCST",IF(V737&lt;R737,"BAJO SS",IF(T737&lt;R737,"BAJO SS (XLIB CUBRE)",IF(V737&lt;S737,"BAJO P.REORDEN",IF(AND(ISNUMBER(Q737),V737&gt;Q737),"SOBRE MAX VENDIBLE","OK")))))</f>
        <v>SIN FCST</v>
      </c>
    </row>
    <row r="738" customFormat="false" ht="15" hidden="false" customHeight="false" outlineLevel="0" collapsed="false">
      <c r="A738" s="3" t="n">
        <v>30000395</v>
      </c>
      <c r="B738" s="3" t="s">
        <v>1284</v>
      </c>
      <c r="C738" s="3" t="s">
        <v>138</v>
      </c>
      <c r="D738" s="3" t="s">
        <v>744</v>
      </c>
      <c r="E738" s="3" t="s">
        <v>745</v>
      </c>
      <c r="F738" s="3" t="str">
        <f aca="false">IFERROR(INDEX(ABC_XYZ!$L$5:$L$494,MATCH(A738,ABC_XYZ!$A$5:$A$494,0)),"SIN HIST")</f>
        <v>CZ</v>
      </c>
      <c r="G738" s="24" t="n">
        <f aca="false">IF(LEFT(F738,1)="A",Parametros!$B$8,IF(LEFT(F738,1)="B",Parametros!$B$9,IF(LEFT(F738,1)="C",Parametros!$B$10,Parametros!$B$11)))</f>
        <v>0.9</v>
      </c>
      <c r="H738" s="27" t="n">
        <f aca="false">NORMSINV(G738)</f>
        <v>1.2815515655446</v>
      </c>
      <c r="I738" s="23" t="n">
        <v>0</v>
      </c>
      <c r="J738" s="23" t="n">
        <f aca="false">IFERROR(INDEX(ABC_XYZ!$R$5:$R$494,MATCH(A738,ABC_XYZ!$A$5:$A$494,0)),I738*Parametros!$B$13)</f>
        <v>0</v>
      </c>
      <c r="K738" s="27" t="n">
        <f aca="false">IFERROR(VLOOKUP(C738,Parametros!$A$36:$B$66,2,FALSE()),Parametros!$B$12)</f>
        <v>1</v>
      </c>
      <c r="L738" s="23" t="n">
        <f aca="false">H738*J738*SQRT(K738)</f>
        <v>0</v>
      </c>
      <c r="M738" s="29" t="n">
        <v>365</v>
      </c>
      <c r="N738" s="24" t="n">
        <v>0.32054794520548</v>
      </c>
      <c r="O738" s="3" t="s">
        <v>754</v>
      </c>
      <c r="P738" s="30" t="n">
        <f aca="false">IF(AND(ISNUMBER(M738),ISNUMBER(N738)),M738*N738/7,"")</f>
        <v>16.7142857142857</v>
      </c>
      <c r="Q738" s="23" t="n">
        <f aca="false">IF(ISNUMBER(P738),I738*P738,"")</f>
        <v>0</v>
      </c>
      <c r="R738" s="23" t="n">
        <f aca="false">IF(ISNUMBER(Q738),MAX(0,MIN(L738,Q738-I738*K738)),L738)</f>
        <v>0</v>
      </c>
      <c r="S738" s="23" t="n">
        <f aca="false">R738+I738*K738</f>
        <v>0</v>
      </c>
      <c r="T738" s="23" t="n">
        <v>120</v>
      </c>
      <c r="U738" s="23" t="n">
        <v>0</v>
      </c>
      <c r="V738" s="23" t="n">
        <f aca="false">T738+U738</f>
        <v>120</v>
      </c>
      <c r="W738" s="30" t="str">
        <f aca="false">IF(I738&gt;0,V738/I738,"")</f>
        <v/>
      </c>
      <c r="X738" s="3" t="str">
        <f aca="false">IF(I738&lt;=0,"SIN FCST",IF(V738&lt;R738,"BAJO SS",IF(T738&lt;R738,"BAJO SS (XLIB CUBRE)",IF(V738&lt;S738,"BAJO P.REORDEN",IF(AND(ISNUMBER(Q738),V738&gt;Q738),"SOBRE MAX VENDIBLE","OK")))))</f>
        <v>SIN FCST</v>
      </c>
    </row>
    <row r="739" customFormat="false" ht="15" hidden="false" customHeight="false" outlineLevel="0" collapsed="false">
      <c r="A739" s="3" t="n">
        <v>30000593</v>
      </c>
      <c r="B739" s="3" t="s">
        <v>1285</v>
      </c>
      <c r="C739" s="3" t="s">
        <v>132</v>
      </c>
      <c r="D739" s="3" t="s">
        <v>769</v>
      </c>
      <c r="E739" s="3" t="s">
        <v>745</v>
      </c>
      <c r="F739" s="3" t="str">
        <f aca="false">IFERROR(INDEX(ABC_XYZ!$L$5:$L$494,MATCH(A739,ABC_XYZ!$A$5:$A$494,0)),"SIN HIST")</f>
        <v>SIN HIST</v>
      </c>
      <c r="G739" s="24" t="n">
        <f aca="false">IF(LEFT(F739,1)="A",Parametros!$B$8,IF(LEFT(F739,1)="B",Parametros!$B$9,IF(LEFT(F739,1)="C",Parametros!$B$10,Parametros!$B$11)))</f>
        <v>0.95</v>
      </c>
      <c r="H739" s="27" t="n">
        <f aca="false">NORMSINV(G739)</f>
        <v>1.64485362695147</v>
      </c>
      <c r="I739" s="23" t="n">
        <v>0</v>
      </c>
      <c r="J739" s="23" t="n">
        <f aca="false">IFERROR(INDEX(ABC_XYZ!$R$5:$R$494,MATCH(A739,ABC_XYZ!$A$5:$A$494,0)),I739*Parametros!$B$13)</f>
        <v>0</v>
      </c>
      <c r="K739" s="27" t="n">
        <f aca="false">IFERROR(VLOOKUP(C739,Parametros!$A$36:$B$66,2,FALSE()),Parametros!$B$12)</f>
        <v>1</v>
      </c>
      <c r="L739" s="23" t="n">
        <f aca="false">H739*J739*SQRT(K739)</f>
        <v>0</v>
      </c>
      <c r="M739" s="29" t="n">
        <v>0</v>
      </c>
      <c r="N739" s="24"/>
      <c r="O739" s="3"/>
      <c r="P739" s="30" t="str">
        <f aca="false">IF(AND(ISNUMBER(M739),ISNUMBER(N739)),M739*N739/7,"")</f>
        <v/>
      </c>
      <c r="Q739" s="23" t="str">
        <f aca="false">IF(ISNUMBER(P739),I739*P739,"")</f>
        <v/>
      </c>
      <c r="R739" s="23" t="n">
        <f aca="false">IF(ISNUMBER(Q739),MAX(0,MIN(L739,Q739-I739*K739)),L739)</f>
        <v>0</v>
      </c>
      <c r="S739" s="23" t="n">
        <f aca="false">R739+I739*K739</f>
        <v>0</v>
      </c>
      <c r="T739" s="23" t="n">
        <v>6228</v>
      </c>
      <c r="U739" s="23" t="n">
        <v>0</v>
      </c>
      <c r="V739" s="23" t="n">
        <f aca="false">T739+U739</f>
        <v>6228</v>
      </c>
      <c r="W739" s="30" t="str">
        <f aca="false">IF(I739&gt;0,V739/I739,"")</f>
        <v/>
      </c>
      <c r="X739" s="3" t="str">
        <f aca="false">IF(I739&lt;=0,"SIN FCST",IF(V739&lt;R739,"BAJO SS",IF(T739&lt;R739,"BAJO SS (XLIB CUBRE)",IF(V739&lt;S739,"BAJO P.REORDEN",IF(AND(ISNUMBER(Q739),V739&gt;Q739),"SOBRE MAX VENDIBLE","OK")))))</f>
        <v>SIN FCST</v>
      </c>
    </row>
    <row r="740" customFormat="false" ht="15" hidden="false" customHeight="false" outlineLevel="0" collapsed="false">
      <c r="A740" s="3" t="n">
        <v>30001948</v>
      </c>
      <c r="B740" s="3" t="s">
        <v>1286</v>
      </c>
      <c r="C740" s="3" t="s">
        <v>132</v>
      </c>
      <c r="D740" s="3" t="s">
        <v>769</v>
      </c>
      <c r="E740" s="3"/>
      <c r="F740" s="3" t="str">
        <f aca="false">IFERROR(INDEX(ABC_XYZ!$L$5:$L$494,MATCH(A740,ABC_XYZ!$A$5:$A$494,0)),"SIN HIST")</f>
        <v>SIN HIST</v>
      </c>
      <c r="G740" s="24" t="n">
        <f aca="false">IF(LEFT(F740,1)="A",Parametros!$B$8,IF(LEFT(F740,1)="B",Parametros!$B$9,IF(LEFT(F740,1)="C",Parametros!$B$10,Parametros!$B$11)))</f>
        <v>0.95</v>
      </c>
      <c r="H740" s="27" t="n">
        <f aca="false">NORMSINV(G740)</f>
        <v>1.64485362695147</v>
      </c>
      <c r="I740" s="23" t="n">
        <v>0</v>
      </c>
      <c r="J740" s="23" t="n">
        <f aca="false">IFERROR(INDEX(ABC_XYZ!$R$5:$R$494,MATCH(A740,ABC_XYZ!$A$5:$A$494,0)),I740*Parametros!$B$13)</f>
        <v>0</v>
      </c>
      <c r="K740" s="27" t="n">
        <f aca="false">IFERROR(VLOOKUP(C740,Parametros!$A$36:$B$66,2,FALSE()),Parametros!$B$12)</f>
        <v>1</v>
      </c>
      <c r="L740" s="23" t="n">
        <f aca="false">H740*J740*SQRT(K740)</f>
        <v>0</v>
      </c>
      <c r="M740" s="29"/>
      <c r="N740" s="24"/>
      <c r="O740" s="3"/>
      <c r="P740" s="30" t="str">
        <f aca="false">IF(AND(ISNUMBER(M740),ISNUMBER(N740)),M740*N740/7,"")</f>
        <v/>
      </c>
      <c r="Q740" s="23" t="str">
        <f aca="false">IF(ISNUMBER(P740),I740*P740,"")</f>
        <v/>
      </c>
      <c r="R740" s="23" t="n">
        <f aca="false">IF(ISNUMBER(Q740),MAX(0,MIN(L740,Q740-I740*K740)),L740)</f>
        <v>0</v>
      </c>
      <c r="S740" s="23" t="n">
        <f aca="false">R740+I740*K740</f>
        <v>0</v>
      </c>
      <c r="T740" s="23" t="n">
        <v>742.5</v>
      </c>
      <c r="U740" s="23" t="n">
        <v>0</v>
      </c>
      <c r="V740" s="23" t="n">
        <f aca="false">T740+U740</f>
        <v>742.5</v>
      </c>
      <c r="W740" s="30" t="str">
        <f aca="false">IF(I740&gt;0,V740/I740,"")</f>
        <v/>
      </c>
      <c r="X740" s="3" t="str">
        <f aca="false">IF(I740&lt;=0,"SIN FCST",IF(V740&lt;R740,"BAJO SS",IF(T740&lt;R740,"BAJO SS (XLIB CUBRE)",IF(V740&lt;S740,"BAJO P.REORDEN",IF(AND(ISNUMBER(Q740),V740&gt;Q740),"SOBRE MAX VENDIBLE","OK")))))</f>
        <v>SIN FCST</v>
      </c>
    </row>
    <row r="741" customFormat="false" ht="15" hidden="false" customHeight="false" outlineLevel="0" collapsed="false">
      <c r="A741" s="3" t="n">
        <v>30001950</v>
      </c>
      <c r="B741" s="3" t="s">
        <v>1287</v>
      </c>
      <c r="C741" s="3" t="s">
        <v>132</v>
      </c>
      <c r="D741" s="3" t="s">
        <v>769</v>
      </c>
      <c r="E741" s="3" t="s">
        <v>745</v>
      </c>
      <c r="F741" s="3" t="str">
        <f aca="false">IFERROR(INDEX(ABC_XYZ!$L$5:$L$494,MATCH(A741,ABC_XYZ!$A$5:$A$494,0)),"SIN HIST")</f>
        <v>SIN HIST</v>
      </c>
      <c r="G741" s="24" t="n">
        <f aca="false">IF(LEFT(F741,1)="A",Parametros!$B$8,IF(LEFT(F741,1)="B",Parametros!$B$9,IF(LEFT(F741,1)="C",Parametros!$B$10,Parametros!$B$11)))</f>
        <v>0.95</v>
      </c>
      <c r="H741" s="27" t="n">
        <f aca="false">NORMSINV(G741)</f>
        <v>1.64485362695147</v>
      </c>
      <c r="I741" s="23" t="n">
        <v>0</v>
      </c>
      <c r="J741" s="23" t="n">
        <f aca="false">IFERROR(INDEX(ABC_XYZ!$R$5:$R$494,MATCH(A741,ABC_XYZ!$A$5:$A$494,0)),I741*Parametros!$B$13)</f>
        <v>0</v>
      </c>
      <c r="K741" s="27" t="n">
        <f aca="false">IFERROR(VLOOKUP(C741,Parametros!$A$36:$B$66,2,FALSE()),Parametros!$B$12)</f>
        <v>1</v>
      </c>
      <c r="L741" s="23" t="n">
        <f aca="false">H741*J741*SQRT(K741)</f>
        <v>0</v>
      </c>
      <c r="M741" s="29"/>
      <c r="N741" s="24"/>
      <c r="O741" s="3"/>
      <c r="P741" s="30" t="str">
        <f aca="false">IF(AND(ISNUMBER(M741),ISNUMBER(N741)),M741*N741/7,"")</f>
        <v/>
      </c>
      <c r="Q741" s="23" t="str">
        <f aca="false">IF(ISNUMBER(P741),I741*P741,"")</f>
        <v/>
      </c>
      <c r="R741" s="23" t="n">
        <f aca="false">IF(ISNUMBER(Q741),MAX(0,MIN(L741,Q741-I741*K741)),L741)</f>
        <v>0</v>
      </c>
      <c r="S741" s="23" t="n">
        <f aca="false">R741+I741*K741</f>
        <v>0</v>
      </c>
      <c r="T741" s="23" t="n">
        <v>841.5</v>
      </c>
      <c r="U741" s="23" t="n">
        <v>0</v>
      </c>
      <c r="V741" s="23" t="n">
        <f aca="false">T741+U741</f>
        <v>841.5</v>
      </c>
      <c r="W741" s="30" t="str">
        <f aca="false">IF(I741&gt;0,V741/I741,"")</f>
        <v/>
      </c>
      <c r="X741" s="3" t="str">
        <f aca="false">IF(I741&lt;=0,"SIN FCST",IF(V741&lt;R741,"BAJO SS",IF(T741&lt;R741,"BAJO SS (XLIB CUBRE)",IF(V741&lt;S741,"BAJO P.REORDEN",IF(AND(ISNUMBER(Q741),V741&gt;Q741),"SOBRE MAX VENDIBLE","OK")))))</f>
        <v>SIN FCST</v>
      </c>
    </row>
    <row r="742" customFormat="false" ht="15" hidden="false" customHeight="false" outlineLevel="0" collapsed="false">
      <c r="A742" s="3" t="n">
        <v>30001949</v>
      </c>
      <c r="B742" s="3" t="s">
        <v>1288</v>
      </c>
      <c r="C742" s="3" t="s">
        <v>132</v>
      </c>
      <c r="D742" s="3" t="s">
        <v>769</v>
      </c>
      <c r="E742" s="3" t="s">
        <v>745</v>
      </c>
      <c r="F742" s="3" t="str">
        <f aca="false">IFERROR(INDEX(ABC_XYZ!$L$5:$L$494,MATCH(A742,ABC_XYZ!$A$5:$A$494,0)),"SIN HIST")</f>
        <v>SIN HIST</v>
      </c>
      <c r="G742" s="24" t="n">
        <f aca="false">IF(LEFT(F742,1)="A",Parametros!$B$8,IF(LEFT(F742,1)="B",Parametros!$B$9,IF(LEFT(F742,1)="C",Parametros!$B$10,Parametros!$B$11)))</f>
        <v>0.95</v>
      </c>
      <c r="H742" s="27" t="n">
        <f aca="false">NORMSINV(G742)</f>
        <v>1.64485362695147</v>
      </c>
      <c r="I742" s="23" t="n">
        <v>0</v>
      </c>
      <c r="J742" s="23" t="n">
        <f aca="false">IFERROR(INDEX(ABC_XYZ!$R$5:$R$494,MATCH(A742,ABC_XYZ!$A$5:$A$494,0)),I742*Parametros!$B$13)</f>
        <v>0</v>
      </c>
      <c r="K742" s="27" t="n">
        <f aca="false">IFERROR(VLOOKUP(C742,Parametros!$A$36:$B$66,2,FALSE()),Parametros!$B$12)</f>
        <v>1</v>
      </c>
      <c r="L742" s="23" t="n">
        <f aca="false">H742*J742*SQRT(K742)</f>
        <v>0</v>
      </c>
      <c r="M742" s="29"/>
      <c r="N742" s="24"/>
      <c r="O742" s="3"/>
      <c r="P742" s="30" t="str">
        <f aca="false">IF(AND(ISNUMBER(M742),ISNUMBER(N742)),M742*N742/7,"")</f>
        <v/>
      </c>
      <c r="Q742" s="23" t="str">
        <f aca="false">IF(ISNUMBER(P742),I742*P742,"")</f>
        <v/>
      </c>
      <c r="R742" s="23" t="n">
        <f aca="false">IF(ISNUMBER(Q742),MAX(0,MIN(L742,Q742-I742*K742)),L742)</f>
        <v>0</v>
      </c>
      <c r="S742" s="23" t="n">
        <f aca="false">R742+I742*K742</f>
        <v>0</v>
      </c>
      <c r="T742" s="23" t="n">
        <v>490.5</v>
      </c>
      <c r="U742" s="23" t="n">
        <v>0</v>
      </c>
      <c r="V742" s="23" t="n">
        <f aca="false">T742+U742</f>
        <v>490.5</v>
      </c>
      <c r="W742" s="30" t="str">
        <f aca="false">IF(I742&gt;0,V742/I742,"")</f>
        <v/>
      </c>
      <c r="X742" s="3" t="str">
        <f aca="false">IF(I742&lt;=0,"SIN FCST",IF(V742&lt;R742,"BAJO SS",IF(T742&lt;R742,"BAJO SS (XLIB CUBRE)",IF(V742&lt;S742,"BAJO P.REORDEN",IF(AND(ISNUMBER(Q742),V742&gt;Q742),"SOBRE MAX VENDIBLE","OK")))))</f>
        <v>SIN FCST</v>
      </c>
    </row>
    <row r="743" customFormat="false" ht="15" hidden="false" customHeight="false" outlineLevel="0" collapsed="false">
      <c r="A743" s="3" t="n">
        <v>30001951</v>
      </c>
      <c r="B743" s="3" t="s">
        <v>1289</v>
      </c>
      <c r="C743" s="3" t="s">
        <v>132</v>
      </c>
      <c r="D743" s="3" t="s">
        <v>769</v>
      </c>
      <c r="E743" s="3" t="s">
        <v>745</v>
      </c>
      <c r="F743" s="3" t="str">
        <f aca="false">IFERROR(INDEX(ABC_XYZ!$L$5:$L$494,MATCH(A743,ABC_XYZ!$A$5:$A$494,0)),"SIN HIST")</f>
        <v>SIN HIST</v>
      </c>
      <c r="G743" s="24" t="n">
        <f aca="false">IF(LEFT(F743,1)="A",Parametros!$B$8,IF(LEFT(F743,1)="B",Parametros!$B$9,IF(LEFT(F743,1)="C",Parametros!$B$10,Parametros!$B$11)))</f>
        <v>0.95</v>
      </c>
      <c r="H743" s="27" t="n">
        <f aca="false">NORMSINV(G743)</f>
        <v>1.64485362695147</v>
      </c>
      <c r="I743" s="23" t="n">
        <v>0</v>
      </c>
      <c r="J743" s="23" t="n">
        <f aca="false">IFERROR(INDEX(ABC_XYZ!$R$5:$R$494,MATCH(A743,ABC_XYZ!$A$5:$A$494,0)),I743*Parametros!$B$13)</f>
        <v>0</v>
      </c>
      <c r="K743" s="27" t="n">
        <f aca="false">IFERROR(VLOOKUP(C743,Parametros!$A$36:$B$66,2,FALSE()),Parametros!$B$12)</f>
        <v>1</v>
      </c>
      <c r="L743" s="23" t="n">
        <f aca="false">H743*J743*SQRT(K743)</f>
        <v>0</v>
      </c>
      <c r="M743" s="29"/>
      <c r="N743" s="24"/>
      <c r="O743" s="3"/>
      <c r="P743" s="30" t="str">
        <f aca="false">IF(AND(ISNUMBER(M743),ISNUMBER(N743)),M743*N743/7,"")</f>
        <v/>
      </c>
      <c r="Q743" s="23" t="str">
        <f aca="false">IF(ISNUMBER(P743),I743*P743,"")</f>
        <v/>
      </c>
      <c r="R743" s="23" t="n">
        <f aca="false">IF(ISNUMBER(Q743),MAX(0,MIN(L743,Q743-I743*K743)),L743)</f>
        <v>0</v>
      </c>
      <c r="S743" s="23" t="n">
        <f aca="false">R743+I743*K743</f>
        <v>0</v>
      </c>
      <c r="T743" s="23" t="n">
        <v>594</v>
      </c>
      <c r="U743" s="23" t="n">
        <v>0</v>
      </c>
      <c r="V743" s="23" t="n">
        <f aca="false">T743+U743</f>
        <v>594</v>
      </c>
      <c r="W743" s="30" t="str">
        <f aca="false">IF(I743&gt;0,V743/I743,"")</f>
        <v/>
      </c>
      <c r="X743" s="3" t="str">
        <f aca="false">IF(I743&lt;=0,"SIN FCST",IF(V743&lt;R743,"BAJO SS",IF(T743&lt;R743,"BAJO SS (XLIB CUBRE)",IF(V743&lt;S743,"BAJO P.REORDEN",IF(AND(ISNUMBER(Q743),V743&gt;Q743),"SOBRE MAX VENDIBLE","OK")))))</f>
        <v>SIN FCST</v>
      </c>
    </row>
    <row r="744" customFormat="false" ht="15" hidden="false" customHeight="false" outlineLevel="0" collapsed="false">
      <c r="A744" s="3" t="n">
        <v>30001744</v>
      </c>
      <c r="B744" s="3" t="s">
        <v>437</v>
      </c>
      <c r="C744" s="3" t="s">
        <v>127</v>
      </c>
      <c r="D744" s="3" t="s">
        <v>753</v>
      </c>
      <c r="E744" s="3" t="s">
        <v>745</v>
      </c>
      <c r="F744" s="3" t="str">
        <f aca="false">IFERROR(INDEX(ABC_XYZ!$L$5:$L$494,MATCH(A744,ABC_XYZ!$A$5:$A$494,0)),"SIN HIST")</f>
        <v>BY</v>
      </c>
      <c r="G744" s="24" t="n">
        <f aca="false">IF(LEFT(F744,1)="A",Parametros!$B$8,IF(LEFT(F744,1)="B",Parametros!$B$9,IF(LEFT(F744,1)="C",Parametros!$B$10,Parametros!$B$11)))</f>
        <v>0.95</v>
      </c>
      <c r="H744" s="27" t="n">
        <f aca="false">NORMSINV(G744)</f>
        <v>1.64485362695147</v>
      </c>
      <c r="I744" s="23" t="n">
        <v>0</v>
      </c>
      <c r="J744" s="23" t="n">
        <f aca="false">IFERROR(INDEX(ABC_XYZ!$R$5:$R$494,MATCH(A744,ABC_XYZ!$A$5:$A$494,0)),I744*Parametros!$B$13)</f>
        <v>1715.49282481741</v>
      </c>
      <c r="K744" s="27" t="n">
        <f aca="false">IFERROR(VLOOKUP(C744,Parametros!$A$36:$B$66,2,FALSE()),Parametros!$B$12)</f>
        <v>1</v>
      </c>
      <c r="L744" s="23" t="n">
        <f aca="false">H744*J744*SQRT(K744)</f>
        <v>2821.73459491013</v>
      </c>
      <c r="M744" s="29" t="n">
        <v>365</v>
      </c>
      <c r="N744" s="24" t="n">
        <v>0.273972602739726</v>
      </c>
      <c r="O744" s="3" t="s">
        <v>746</v>
      </c>
      <c r="P744" s="30" t="n">
        <f aca="false">IF(AND(ISNUMBER(M744),ISNUMBER(N744)),M744*N744/7,"")</f>
        <v>14.2857142857143</v>
      </c>
      <c r="Q744" s="23" t="n">
        <f aca="false">IF(ISNUMBER(P744),I744*P744,"")</f>
        <v>0</v>
      </c>
      <c r="R744" s="23" t="n">
        <f aca="false">IF(ISNUMBER(Q744),MAX(0,MIN(L744,Q744-I744*K744)),L744)</f>
        <v>0</v>
      </c>
      <c r="S744" s="23" t="n">
        <f aca="false">R744+I744*K744</f>
        <v>0</v>
      </c>
      <c r="T744" s="23" t="n">
        <v>81</v>
      </c>
      <c r="U744" s="23" t="n">
        <v>0</v>
      </c>
      <c r="V744" s="23" t="n">
        <f aca="false">T744+U744</f>
        <v>81</v>
      </c>
      <c r="W744" s="30" t="str">
        <f aca="false">IF(I744&gt;0,V744/I744,"")</f>
        <v/>
      </c>
      <c r="X744" s="3" t="str">
        <f aca="false">IF(I744&lt;=0,"SIN FCST",IF(V744&lt;R744,"BAJO SS",IF(T744&lt;R744,"BAJO SS (XLIB CUBRE)",IF(V744&lt;S744,"BAJO P.REORDEN",IF(AND(ISNUMBER(Q744),V744&gt;Q744),"SOBRE MAX VENDIBLE","OK")))))</f>
        <v>SIN FCST</v>
      </c>
    </row>
    <row r="745" customFormat="false" ht="15" hidden="false" customHeight="false" outlineLevel="0" collapsed="false">
      <c r="A745" s="3" t="n">
        <v>30001747</v>
      </c>
      <c r="B745" s="3" t="s">
        <v>381</v>
      </c>
      <c r="C745" s="3" t="s">
        <v>127</v>
      </c>
      <c r="D745" s="3" t="s">
        <v>753</v>
      </c>
      <c r="E745" s="3" t="s">
        <v>745</v>
      </c>
      <c r="F745" s="3" t="str">
        <f aca="false">IFERROR(INDEX(ABC_XYZ!$L$5:$L$494,MATCH(A745,ABC_XYZ!$A$5:$A$494,0)),"SIN HIST")</f>
        <v>BY</v>
      </c>
      <c r="G745" s="24" t="n">
        <f aca="false">IF(LEFT(F745,1)="A",Parametros!$B$8,IF(LEFT(F745,1)="B",Parametros!$B$9,IF(LEFT(F745,1)="C",Parametros!$B$10,Parametros!$B$11)))</f>
        <v>0.95</v>
      </c>
      <c r="H745" s="27" t="n">
        <f aca="false">NORMSINV(G745)</f>
        <v>1.64485362695147</v>
      </c>
      <c r="I745" s="23" t="n">
        <v>0</v>
      </c>
      <c r="J745" s="23" t="n">
        <f aca="false">IFERROR(INDEX(ABC_XYZ!$R$5:$R$494,MATCH(A745,ABC_XYZ!$A$5:$A$494,0)),I745*Parametros!$B$13)</f>
        <v>2698.8425635199</v>
      </c>
      <c r="K745" s="27" t="n">
        <f aca="false">IFERROR(VLOOKUP(C745,Parametros!$A$36:$B$66,2,FALSE()),Parametros!$B$12)</f>
        <v>1</v>
      </c>
      <c r="L745" s="23" t="n">
        <f aca="false">H745*J745*SQRT(K745)</f>
        <v>4439.20097917672</v>
      </c>
      <c r="M745" s="29" t="n">
        <v>365</v>
      </c>
      <c r="N745" s="24" t="n">
        <v>0.273972602739726</v>
      </c>
      <c r="O745" s="3" t="s">
        <v>746</v>
      </c>
      <c r="P745" s="30" t="n">
        <f aca="false">IF(AND(ISNUMBER(M745),ISNUMBER(N745)),M745*N745/7,"")</f>
        <v>14.2857142857143</v>
      </c>
      <c r="Q745" s="23" t="n">
        <f aca="false">IF(ISNUMBER(P745),I745*P745,"")</f>
        <v>0</v>
      </c>
      <c r="R745" s="23" t="n">
        <f aca="false">IF(ISNUMBER(Q745),MAX(0,MIN(L745,Q745-I745*K745)),L745)</f>
        <v>0</v>
      </c>
      <c r="S745" s="23" t="n">
        <f aca="false">R745+I745*K745</f>
        <v>0</v>
      </c>
      <c r="T745" s="23" t="n">
        <v>168.5</v>
      </c>
      <c r="U745" s="23" t="n">
        <v>0</v>
      </c>
      <c r="V745" s="23" t="n">
        <f aca="false">T745+U745</f>
        <v>168.5</v>
      </c>
      <c r="W745" s="30" t="str">
        <f aca="false">IF(I745&gt;0,V745/I745,"")</f>
        <v/>
      </c>
      <c r="X745" s="3" t="str">
        <f aca="false">IF(I745&lt;=0,"SIN FCST",IF(V745&lt;R745,"BAJO SS",IF(T745&lt;R745,"BAJO SS (XLIB CUBRE)",IF(V745&lt;S745,"BAJO P.REORDEN",IF(AND(ISNUMBER(Q745),V745&gt;Q745),"SOBRE MAX VENDIBLE","OK")))))</f>
        <v>SIN FCST</v>
      </c>
    </row>
    <row r="746" customFormat="false" ht="15" hidden="false" customHeight="false" outlineLevel="0" collapsed="false">
      <c r="A746" s="3" t="n">
        <v>30001745</v>
      </c>
      <c r="B746" s="3" t="s">
        <v>445</v>
      </c>
      <c r="C746" s="3" t="s">
        <v>127</v>
      </c>
      <c r="D746" s="3" t="s">
        <v>753</v>
      </c>
      <c r="E746" s="3" t="s">
        <v>745</v>
      </c>
      <c r="F746" s="3" t="str">
        <f aca="false">IFERROR(INDEX(ABC_XYZ!$L$5:$L$494,MATCH(A746,ABC_XYZ!$A$5:$A$494,0)),"SIN HIST")</f>
        <v>BY</v>
      </c>
      <c r="G746" s="24" t="n">
        <f aca="false">IF(LEFT(F746,1)="A",Parametros!$B$8,IF(LEFT(F746,1)="B",Parametros!$B$9,IF(LEFT(F746,1)="C",Parametros!$B$10,Parametros!$B$11)))</f>
        <v>0.95</v>
      </c>
      <c r="H746" s="27" t="n">
        <f aca="false">NORMSINV(G746)</f>
        <v>1.64485362695147</v>
      </c>
      <c r="I746" s="23" t="n">
        <v>0</v>
      </c>
      <c r="J746" s="23" t="n">
        <f aca="false">IFERROR(INDEX(ABC_XYZ!$R$5:$R$494,MATCH(A746,ABC_XYZ!$A$5:$A$494,0)),I746*Parametros!$B$13)</f>
        <v>1674.75643984431</v>
      </c>
      <c r="K746" s="27" t="n">
        <f aca="false">IFERROR(VLOOKUP(C746,Parametros!$A$36:$B$66,2,FALSE()),Parametros!$B$12)</f>
        <v>1</v>
      </c>
      <c r="L746" s="23" t="n">
        <f aca="false">H746*J746*SQRT(K746)</f>
        <v>2754.72920433825</v>
      </c>
      <c r="M746" s="29" t="n">
        <v>365</v>
      </c>
      <c r="N746" s="24" t="n">
        <v>0.273972602739726</v>
      </c>
      <c r="O746" s="3" t="s">
        <v>746</v>
      </c>
      <c r="P746" s="30" t="n">
        <f aca="false">IF(AND(ISNUMBER(M746),ISNUMBER(N746)),M746*N746/7,"")</f>
        <v>14.2857142857143</v>
      </c>
      <c r="Q746" s="23" t="n">
        <f aca="false">IF(ISNUMBER(P746),I746*P746,"")</f>
        <v>0</v>
      </c>
      <c r="R746" s="23" t="n">
        <f aca="false">IF(ISNUMBER(Q746),MAX(0,MIN(L746,Q746-I746*K746)),L746)</f>
        <v>0</v>
      </c>
      <c r="S746" s="23" t="n">
        <f aca="false">R746+I746*K746</f>
        <v>0</v>
      </c>
      <c r="T746" s="23" t="n">
        <v>68</v>
      </c>
      <c r="U746" s="23" t="n">
        <v>0</v>
      </c>
      <c r="V746" s="23" t="n">
        <f aca="false">T746+U746</f>
        <v>68</v>
      </c>
      <c r="W746" s="30" t="str">
        <f aca="false">IF(I746&gt;0,V746/I746,"")</f>
        <v/>
      </c>
      <c r="X746" s="3" t="str">
        <f aca="false">IF(I746&lt;=0,"SIN FCST",IF(V746&lt;R746,"BAJO SS",IF(T746&lt;R746,"BAJO SS (XLIB CUBRE)",IF(V746&lt;S746,"BAJO P.REORDEN",IF(AND(ISNUMBER(Q746),V746&gt;Q746),"SOBRE MAX VENDIBLE","OK")))))</f>
        <v>SIN FCST</v>
      </c>
    </row>
    <row r="747" customFormat="false" ht="15" hidden="false" customHeight="false" outlineLevel="0" collapsed="false">
      <c r="A747" s="3" t="n">
        <v>30000237</v>
      </c>
      <c r="B747" s="3" t="s">
        <v>1290</v>
      </c>
      <c r="C747" s="3" t="s">
        <v>128</v>
      </c>
      <c r="D747" s="3" t="s">
        <v>753</v>
      </c>
      <c r="E747" s="3"/>
      <c r="F747" s="3" t="str">
        <f aca="false">IFERROR(INDEX(ABC_XYZ!$L$5:$L$494,MATCH(A747,ABC_XYZ!$A$5:$A$494,0)),"SIN HIST")</f>
        <v>SIN HIST</v>
      </c>
      <c r="G747" s="24" t="n">
        <f aca="false">IF(LEFT(F747,1)="A",Parametros!$B$8,IF(LEFT(F747,1)="B",Parametros!$B$9,IF(LEFT(F747,1)="C",Parametros!$B$10,Parametros!$B$11)))</f>
        <v>0.95</v>
      </c>
      <c r="H747" s="27" t="n">
        <f aca="false">NORMSINV(G747)</f>
        <v>1.64485362695147</v>
      </c>
      <c r="I747" s="23" t="n">
        <v>0</v>
      </c>
      <c r="J747" s="23" t="n">
        <f aca="false">IFERROR(INDEX(ABC_XYZ!$R$5:$R$494,MATCH(A747,ABC_XYZ!$A$5:$A$494,0)),I747*Parametros!$B$13)</f>
        <v>0</v>
      </c>
      <c r="K747" s="27" t="n">
        <f aca="false">IFERROR(VLOOKUP(C747,Parametros!$A$36:$B$66,2,FALSE()),Parametros!$B$12)</f>
        <v>1</v>
      </c>
      <c r="L747" s="23" t="n">
        <f aca="false">H747*J747*SQRT(K747)</f>
        <v>0</v>
      </c>
      <c r="M747" s="29"/>
      <c r="N747" s="24"/>
      <c r="O747" s="3"/>
      <c r="P747" s="30" t="str">
        <f aca="false">IF(AND(ISNUMBER(M747),ISNUMBER(N747)),M747*N747/7,"")</f>
        <v/>
      </c>
      <c r="Q747" s="23" t="str">
        <f aca="false">IF(ISNUMBER(P747),I747*P747,"")</f>
        <v/>
      </c>
      <c r="R747" s="23" t="n">
        <f aca="false">IF(ISNUMBER(Q747),MAX(0,MIN(L747,Q747-I747*K747)),L747)</f>
        <v>0</v>
      </c>
      <c r="S747" s="23" t="n">
        <f aca="false">R747+I747*K747</f>
        <v>0</v>
      </c>
      <c r="T747" s="23" t="n">
        <v>1760</v>
      </c>
      <c r="U747" s="23" t="n">
        <v>0</v>
      </c>
      <c r="V747" s="23" t="n">
        <f aca="false">T747+U747</f>
        <v>1760</v>
      </c>
      <c r="W747" s="30" t="str">
        <f aca="false">IF(I747&gt;0,V747/I747,"")</f>
        <v/>
      </c>
      <c r="X747" s="3" t="str">
        <f aca="false">IF(I747&lt;=0,"SIN FCST",IF(V747&lt;R747,"BAJO SS",IF(T747&lt;R747,"BAJO SS (XLIB CUBRE)",IF(V747&lt;S747,"BAJO P.REORDEN",IF(AND(ISNUMBER(Q747),V747&gt;Q747),"SOBRE MAX VENDIBLE","OK")))))</f>
        <v>SIN FCST</v>
      </c>
    </row>
    <row r="748" customFormat="false" ht="15" hidden="false" customHeight="false" outlineLevel="0" collapsed="false">
      <c r="A748" s="3" t="n">
        <v>30000234</v>
      </c>
      <c r="B748" s="3" t="s">
        <v>1291</v>
      </c>
      <c r="C748" s="3" t="s">
        <v>128</v>
      </c>
      <c r="D748" s="3" t="s">
        <v>753</v>
      </c>
      <c r="E748" s="3"/>
      <c r="F748" s="3" t="str">
        <f aca="false">IFERROR(INDEX(ABC_XYZ!$L$5:$L$494,MATCH(A748,ABC_XYZ!$A$5:$A$494,0)),"SIN HIST")</f>
        <v>SIN HIST</v>
      </c>
      <c r="G748" s="24" t="n">
        <f aca="false">IF(LEFT(F748,1)="A",Parametros!$B$8,IF(LEFT(F748,1)="B",Parametros!$B$9,IF(LEFT(F748,1)="C",Parametros!$B$10,Parametros!$B$11)))</f>
        <v>0.95</v>
      </c>
      <c r="H748" s="27" t="n">
        <f aca="false">NORMSINV(G748)</f>
        <v>1.64485362695147</v>
      </c>
      <c r="I748" s="23" t="n">
        <v>0</v>
      </c>
      <c r="J748" s="23" t="n">
        <f aca="false">IFERROR(INDEX(ABC_XYZ!$R$5:$R$494,MATCH(A748,ABC_XYZ!$A$5:$A$494,0)),I748*Parametros!$B$13)</f>
        <v>0</v>
      </c>
      <c r="K748" s="27" t="n">
        <f aca="false">IFERROR(VLOOKUP(C748,Parametros!$A$36:$B$66,2,FALSE()),Parametros!$B$12)</f>
        <v>1</v>
      </c>
      <c r="L748" s="23" t="n">
        <f aca="false">H748*J748*SQRT(K748)</f>
        <v>0</v>
      </c>
      <c r="M748" s="29"/>
      <c r="N748" s="24"/>
      <c r="O748" s="3"/>
      <c r="P748" s="30" t="str">
        <f aca="false">IF(AND(ISNUMBER(M748),ISNUMBER(N748)),M748*N748/7,"")</f>
        <v/>
      </c>
      <c r="Q748" s="23" t="str">
        <f aca="false">IF(ISNUMBER(P748),I748*P748,"")</f>
        <v/>
      </c>
      <c r="R748" s="23" t="n">
        <f aca="false">IF(ISNUMBER(Q748),MAX(0,MIN(L748,Q748-I748*K748)),L748)</f>
        <v>0</v>
      </c>
      <c r="S748" s="23" t="n">
        <f aca="false">R748+I748*K748</f>
        <v>0</v>
      </c>
      <c r="T748" s="23" t="n">
        <v>14340</v>
      </c>
      <c r="U748" s="23" t="n">
        <v>2300</v>
      </c>
      <c r="V748" s="23" t="n">
        <f aca="false">T748+U748</f>
        <v>16640</v>
      </c>
      <c r="W748" s="30" t="str">
        <f aca="false">IF(I748&gt;0,V748/I748,"")</f>
        <v/>
      </c>
      <c r="X748" s="3" t="str">
        <f aca="false">IF(I748&lt;=0,"SIN FCST",IF(V748&lt;R748,"BAJO SS",IF(T748&lt;R748,"BAJO SS (XLIB CUBRE)",IF(V748&lt;S748,"BAJO P.REORDEN",IF(AND(ISNUMBER(Q748),V748&gt;Q748),"SOBRE MAX VENDIBLE","OK")))))</f>
        <v>SIN FCST</v>
      </c>
    </row>
    <row r="749" customFormat="false" ht="15" hidden="false" customHeight="false" outlineLevel="0" collapsed="false">
      <c r="A749" s="3" t="n">
        <v>30000231</v>
      </c>
      <c r="B749" s="3" t="s">
        <v>1292</v>
      </c>
      <c r="C749" s="3" t="s">
        <v>128</v>
      </c>
      <c r="D749" s="3" t="s">
        <v>753</v>
      </c>
      <c r="E749" s="3"/>
      <c r="F749" s="3" t="str">
        <f aca="false">IFERROR(INDEX(ABC_XYZ!$L$5:$L$494,MATCH(A749,ABC_XYZ!$A$5:$A$494,0)),"SIN HIST")</f>
        <v>SIN HIST</v>
      </c>
      <c r="G749" s="24" t="n">
        <f aca="false">IF(LEFT(F749,1)="A",Parametros!$B$8,IF(LEFT(F749,1)="B",Parametros!$B$9,IF(LEFT(F749,1)="C",Parametros!$B$10,Parametros!$B$11)))</f>
        <v>0.95</v>
      </c>
      <c r="H749" s="27" t="n">
        <f aca="false">NORMSINV(G749)</f>
        <v>1.64485362695147</v>
      </c>
      <c r="I749" s="23" t="n">
        <v>0</v>
      </c>
      <c r="J749" s="23" t="n">
        <f aca="false">IFERROR(INDEX(ABC_XYZ!$R$5:$R$494,MATCH(A749,ABC_XYZ!$A$5:$A$494,0)),I749*Parametros!$B$13)</f>
        <v>0</v>
      </c>
      <c r="K749" s="27" t="n">
        <f aca="false">IFERROR(VLOOKUP(C749,Parametros!$A$36:$B$66,2,FALSE()),Parametros!$B$12)</f>
        <v>1</v>
      </c>
      <c r="L749" s="23" t="n">
        <f aca="false">H749*J749*SQRT(K749)</f>
        <v>0</v>
      </c>
      <c r="M749" s="29"/>
      <c r="N749" s="24"/>
      <c r="O749" s="3"/>
      <c r="P749" s="30" t="str">
        <f aca="false">IF(AND(ISNUMBER(M749),ISNUMBER(N749)),M749*N749/7,"")</f>
        <v/>
      </c>
      <c r="Q749" s="23" t="str">
        <f aca="false">IF(ISNUMBER(P749),I749*P749,"")</f>
        <v/>
      </c>
      <c r="R749" s="23" t="n">
        <f aca="false">IF(ISNUMBER(Q749),MAX(0,MIN(L749,Q749-I749*K749)),L749)</f>
        <v>0</v>
      </c>
      <c r="S749" s="23" t="n">
        <f aca="false">R749+I749*K749</f>
        <v>0</v>
      </c>
      <c r="T749" s="23" t="n">
        <v>11270</v>
      </c>
      <c r="U749" s="23" t="n">
        <v>7350</v>
      </c>
      <c r="V749" s="23" t="n">
        <f aca="false">T749+U749</f>
        <v>18620</v>
      </c>
      <c r="W749" s="30" t="str">
        <f aca="false">IF(I749&gt;0,V749/I749,"")</f>
        <v/>
      </c>
      <c r="X749" s="3" t="str">
        <f aca="false">IF(I749&lt;=0,"SIN FCST",IF(V749&lt;R749,"BAJO SS",IF(T749&lt;R749,"BAJO SS (XLIB CUBRE)",IF(V749&lt;S749,"BAJO P.REORDEN",IF(AND(ISNUMBER(Q749),V749&gt;Q749),"SOBRE MAX VENDIBLE","OK")))))</f>
        <v>SIN FCST</v>
      </c>
    </row>
    <row r="750" customFormat="false" ht="15" hidden="false" customHeight="false" outlineLevel="0" collapsed="false">
      <c r="A750" s="3" t="n">
        <v>30000228</v>
      </c>
      <c r="B750" s="3" t="s">
        <v>1293</v>
      </c>
      <c r="C750" s="3" t="s">
        <v>128</v>
      </c>
      <c r="D750" s="3" t="s">
        <v>753</v>
      </c>
      <c r="E750" s="3"/>
      <c r="F750" s="3" t="str">
        <f aca="false">IFERROR(INDEX(ABC_XYZ!$L$5:$L$494,MATCH(A750,ABC_XYZ!$A$5:$A$494,0)),"SIN HIST")</f>
        <v>SIN HIST</v>
      </c>
      <c r="G750" s="24" t="n">
        <f aca="false">IF(LEFT(F750,1)="A",Parametros!$B$8,IF(LEFT(F750,1)="B",Parametros!$B$9,IF(LEFT(F750,1)="C",Parametros!$B$10,Parametros!$B$11)))</f>
        <v>0.95</v>
      </c>
      <c r="H750" s="27" t="n">
        <f aca="false">NORMSINV(G750)</f>
        <v>1.64485362695147</v>
      </c>
      <c r="I750" s="23" t="n">
        <v>0</v>
      </c>
      <c r="J750" s="23" t="n">
        <f aca="false">IFERROR(INDEX(ABC_XYZ!$R$5:$R$494,MATCH(A750,ABC_XYZ!$A$5:$A$494,0)),I750*Parametros!$B$13)</f>
        <v>0</v>
      </c>
      <c r="K750" s="27" t="n">
        <f aca="false">IFERROR(VLOOKUP(C750,Parametros!$A$36:$B$66,2,FALSE()),Parametros!$B$12)</f>
        <v>1</v>
      </c>
      <c r="L750" s="23" t="n">
        <f aca="false">H750*J750*SQRT(K750)</f>
        <v>0</v>
      </c>
      <c r="M750" s="29"/>
      <c r="N750" s="24"/>
      <c r="O750" s="3"/>
      <c r="P750" s="30" t="str">
        <f aca="false">IF(AND(ISNUMBER(M750),ISNUMBER(N750)),M750*N750/7,"")</f>
        <v/>
      </c>
      <c r="Q750" s="23" t="str">
        <f aca="false">IF(ISNUMBER(P750),I750*P750,"")</f>
        <v/>
      </c>
      <c r="R750" s="23" t="n">
        <f aca="false">IF(ISNUMBER(Q750),MAX(0,MIN(L750,Q750-I750*K750)),L750)</f>
        <v>0</v>
      </c>
      <c r="S750" s="23" t="n">
        <f aca="false">R750+I750*K750</f>
        <v>0</v>
      </c>
      <c r="T750" s="23" t="n">
        <v>1000</v>
      </c>
      <c r="U750" s="23" t="n">
        <v>0</v>
      </c>
      <c r="V750" s="23" t="n">
        <f aca="false">T750+U750</f>
        <v>1000</v>
      </c>
      <c r="W750" s="30" t="str">
        <f aca="false">IF(I750&gt;0,V750/I750,"")</f>
        <v/>
      </c>
      <c r="X750" s="3" t="str">
        <f aca="false">IF(I750&lt;=0,"SIN FCST",IF(V750&lt;R750,"BAJO SS",IF(T750&lt;R750,"BAJO SS (XLIB CUBRE)",IF(V750&lt;S750,"BAJO P.REORDEN",IF(AND(ISNUMBER(Q750),V750&gt;Q750),"SOBRE MAX VENDIBLE","OK")))))</f>
        <v>SIN FCST</v>
      </c>
    </row>
    <row r="751" customFormat="false" ht="15" hidden="false" customHeight="false" outlineLevel="0" collapsed="false">
      <c r="A751" s="3" t="n">
        <v>30002360</v>
      </c>
      <c r="B751" s="3" t="s">
        <v>1294</v>
      </c>
      <c r="C751" s="3" t="s">
        <v>141</v>
      </c>
      <c r="D751" s="3" t="s">
        <v>750</v>
      </c>
      <c r="E751" s="3"/>
      <c r="F751" s="3" t="str">
        <f aca="false">IFERROR(INDEX(ABC_XYZ!$L$5:$L$494,MATCH(A751,ABC_XYZ!$A$5:$A$494,0)),"SIN HIST")</f>
        <v>SIN HIST</v>
      </c>
      <c r="G751" s="24" t="n">
        <f aca="false">IF(LEFT(F751,1)="A",Parametros!$B$8,IF(LEFT(F751,1)="B",Parametros!$B$9,IF(LEFT(F751,1)="C",Parametros!$B$10,Parametros!$B$11)))</f>
        <v>0.95</v>
      </c>
      <c r="H751" s="27" t="n">
        <f aca="false">NORMSINV(G751)</f>
        <v>1.64485362695147</v>
      </c>
      <c r="I751" s="23" t="n">
        <v>0</v>
      </c>
      <c r="J751" s="23" t="n">
        <f aca="false">IFERROR(INDEX(ABC_XYZ!$R$5:$R$494,MATCH(A751,ABC_XYZ!$A$5:$A$494,0)),I751*Parametros!$B$13)</f>
        <v>0</v>
      </c>
      <c r="K751" s="27" t="n">
        <f aca="false">IFERROR(VLOOKUP(C751,Parametros!$A$36:$B$66,2,FALSE()),Parametros!$B$12)</f>
        <v>1</v>
      </c>
      <c r="L751" s="23" t="n">
        <f aca="false">H751*J751*SQRT(K751)</f>
        <v>0</v>
      </c>
      <c r="M751" s="29"/>
      <c r="N751" s="24"/>
      <c r="O751" s="3"/>
      <c r="P751" s="30" t="str">
        <f aca="false">IF(AND(ISNUMBER(M751),ISNUMBER(N751)),M751*N751/7,"")</f>
        <v/>
      </c>
      <c r="Q751" s="23" t="str">
        <f aca="false">IF(ISNUMBER(P751),I751*P751,"")</f>
        <v/>
      </c>
      <c r="R751" s="23" t="n">
        <f aca="false">IF(ISNUMBER(Q751),MAX(0,MIN(L751,Q751-I751*K751)),L751)</f>
        <v>0</v>
      </c>
      <c r="S751" s="23" t="n">
        <f aca="false">R751+I751*K751</f>
        <v>0</v>
      </c>
      <c r="T751" s="23" t="n">
        <v>7420</v>
      </c>
      <c r="U751" s="23" t="n">
        <v>0</v>
      </c>
      <c r="V751" s="23" t="n">
        <f aca="false">T751+U751</f>
        <v>7420</v>
      </c>
      <c r="W751" s="30" t="str">
        <f aca="false">IF(I751&gt;0,V751/I751,"")</f>
        <v/>
      </c>
      <c r="X751" s="3" t="str">
        <f aca="false">IF(I751&lt;=0,"SIN FCST",IF(V751&lt;R751,"BAJO SS",IF(T751&lt;R751,"BAJO SS (XLIB CUBRE)",IF(V751&lt;S751,"BAJO P.REORDEN",IF(AND(ISNUMBER(Q751),V751&gt;Q751),"SOBRE MAX VENDIBLE","OK")))))</f>
        <v>SIN FCST</v>
      </c>
    </row>
    <row r="752" customFormat="false" ht="15" hidden="false" customHeight="false" outlineLevel="0" collapsed="false">
      <c r="A752" s="3" t="n">
        <v>30002395</v>
      </c>
      <c r="B752" s="3" t="s">
        <v>1295</v>
      </c>
      <c r="C752" s="3" t="s">
        <v>133</v>
      </c>
      <c r="D752" s="3" t="s">
        <v>758</v>
      </c>
      <c r="E752" s="3"/>
      <c r="F752" s="3" t="str">
        <f aca="false">IFERROR(INDEX(ABC_XYZ!$L$5:$L$494,MATCH(A752,ABC_XYZ!$A$5:$A$494,0)),"SIN HIST")</f>
        <v>SIN HIST</v>
      </c>
      <c r="G752" s="24" t="n">
        <f aca="false">IF(LEFT(F752,1)="A",Parametros!$B$8,IF(LEFT(F752,1)="B",Parametros!$B$9,IF(LEFT(F752,1)="C",Parametros!$B$10,Parametros!$B$11)))</f>
        <v>0.95</v>
      </c>
      <c r="H752" s="27" t="n">
        <f aca="false">NORMSINV(G752)</f>
        <v>1.64485362695147</v>
      </c>
      <c r="I752" s="23" t="n">
        <v>0</v>
      </c>
      <c r="J752" s="23" t="n">
        <f aca="false">IFERROR(INDEX(ABC_XYZ!$R$5:$R$494,MATCH(A752,ABC_XYZ!$A$5:$A$494,0)),I752*Parametros!$B$13)</f>
        <v>0</v>
      </c>
      <c r="K752" s="27" t="n">
        <f aca="false">IFERROR(VLOOKUP(C752,Parametros!$A$36:$B$66,2,FALSE()),Parametros!$B$12)</f>
        <v>1</v>
      </c>
      <c r="L752" s="23" t="n">
        <f aca="false">H752*J752*SQRT(K752)</f>
        <v>0</v>
      </c>
      <c r="M752" s="29"/>
      <c r="N752" s="24"/>
      <c r="O752" s="3"/>
      <c r="P752" s="30" t="str">
        <f aca="false">IF(AND(ISNUMBER(M752),ISNUMBER(N752)),M752*N752/7,"")</f>
        <v/>
      </c>
      <c r="Q752" s="23" t="str">
        <f aca="false">IF(ISNUMBER(P752),I752*P752,"")</f>
        <v/>
      </c>
      <c r="R752" s="23" t="n">
        <f aca="false">IF(ISNUMBER(Q752),MAX(0,MIN(L752,Q752-I752*K752)),L752)</f>
        <v>0</v>
      </c>
      <c r="S752" s="23" t="n">
        <f aca="false">R752+I752*K752</f>
        <v>0</v>
      </c>
      <c r="T752" s="23" t="n">
        <v>9659</v>
      </c>
      <c r="U752" s="23" t="n">
        <v>0</v>
      </c>
      <c r="V752" s="23" t="n">
        <f aca="false">T752+U752</f>
        <v>9659</v>
      </c>
      <c r="W752" s="30" t="str">
        <f aca="false">IF(I752&gt;0,V752/I752,"")</f>
        <v/>
      </c>
      <c r="X752" s="3" t="str">
        <f aca="false">IF(I752&lt;=0,"SIN FCST",IF(V752&lt;R752,"BAJO SS",IF(T752&lt;R752,"BAJO SS (XLIB CUBRE)",IF(V752&lt;S752,"BAJO P.REORDEN",IF(AND(ISNUMBER(Q752),V752&gt;Q752),"SOBRE MAX VENDIBLE","OK")))))</f>
        <v>SIN FCST</v>
      </c>
    </row>
    <row r="753" customFormat="false" ht="15" hidden="false" customHeight="false" outlineLevel="0" collapsed="false">
      <c r="A753" s="3" t="n">
        <v>30000977</v>
      </c>
      <c r="B753" s="3" t="s">
        <v>1296</v>
      </c>
      <c r="C753" s="3" t="s">
        <v>133</v>
      </c>
      <c r="D753" s="3" t="s">
        <v>758</v>
      </c>
      <c r="E753" s="3"/>
      <c r="F753" s="3" t="str">
        <f aca="false">IFERROR(INDEX(ABC_XYZ!$L$5:$L$494,MATCH(A753,ABC_XYZ!$A$5:$A$494,0)),"SIN HIST")</f>
        <v>SIN HIST</v>
      </c>
      <c r="G753" s="24" t="n">
        <f aca="false">IF(LEFT(F753,1)="A",Parametros!$B$8,IF(LEFT(F753,1)="B",Parametros!$B$9,IF(LEFT(F753,1)="C",Parametros!$B$10,Parametros!$B$11)))</f>
        <v>0.95</v>
      </c>
      <c r="H753" s="27" t="n">
        <f aca="false">NORMSINV(G753)</f>
        <v>1.64485362695147</v>
      </c>
      <c r="I753" s="23" t="n">
        <v>0</v>
      </c>
      <c r="J753" s="23" t="n">
        <f aca="false">IFERROR(INDEX(ABC_XYZ!$R$5:$R$494,MATCH(A753,ABC_XYZ!$A$5:$A$494,0)),I753*Parametros!$B$13)</f>
        <v>0</v>
      </c>
      <c r="K753" s="27" t="n">
        <f aca="false">IFERROR(VLOOKUP(C753,Parametros!$A$36:$B$66,2,FALSE()),Parametros!$B$12)</f>
        <v>1</v>
      </c>
      <c r="L753" s="23" t="n">
        <f aca="false">H753*J753*SQRT(K753)</f>
        <v>0</v>
      </c>
      <c r="M753" s="29"/>
      <c r="N753" s="24"/>
      <c r="O753" s="3"/>
      <c r="P753" s="30" t="str">
        <f aca="false">IF(AND(ISNUMBER(M753),ISNUMBER(N753)),M753*N753/7,"")</f>
        <v/>
      </c>
      <c r="Q753" s="23" t="str">
        <f aca="false">IF(ISNUMBER(P753),I753*P753,"")</f>
        <v/>
      </c>
      <c r="R753" s="23" t="n">
        <f aca="false">IF(ISNUMBER(Q753),MAX(0,MIN(L753,Q753-I753*K753)),L753)</f>
        <v>0</v>
      </c>
      <c r="S753" s="23" t="n">
        <f aca="false">R753+I753*K753</f>
        <v>0</v>
      </c>
      <c r="T753" s="23" t="n">
        <v>46750</v>
      </c>
      <c r="U753" s="23" t="n">
        <v>0</v>
      </c>
      <c r="V753" s="23" t="n">
        <f aca="false">T753+U753</f>
        <v>46750</v>
      </c>
      <c r="W753" s="30" t="str">
        <f aca="false">IF(I753&gt;0,V753/I753,"")</f>
        <v/>
      </c>
      <c r="X753" s="3" t="str">
        <f aca="false">IF(I753&lt;=0,"SIN FCST",IF(V753&lt;R753,"BAJO SS",IF(T753&lt;R753,"BAJO SS (XLIB CUBRE)",IF(V753&lt;S753,"BAJO P.REORDEN",IF(AND(ISNUMBER(Q753),V753&gt;Q753),"SOBRE MAX VENDIBLE","OK")))))</f>
        <v>SIN FCST</v>
      </c>
    </row>
    <row r="754" customFormat="false" ht="15" hidden="false" customHeight="false" outlineLevel="0" collapsed="false">
      <c r="A754" s="3" t="n">
        <v>30002366</v>
      </c>
      <c r="B754" s="3" t="s">
        <v>1297</v>
      </c>
      <c r="C754" s="3" t="s">
        <v>142</v>
      </c>
      <c r="D754" s="3" t="s">
        <v>744</v>
      </c>
      <c r="E754" s="3"/>
      <c r="F754" s="3" t="str">
        <f aca="false">IFERROR(INDEX(ABC_XYZ!$L$5:$L$494,MATCH(A754,ABC_XYZ!$A$5:$A$494,0)),"SIN HIST")</f>
        <v>SIN HIST</v>
      </c>
      <c r="G754" s="24" t="n">
        <f aca="false">IF(LEFT(F754,1)="A",Parametros!$B$8,IF(LEFT(F754,1)="B",Parametros!$B$9,IF(LEFT(F754,1)="C",Parametros!$B$10,Parametros!$B$11)))</f>
        <v>0.95</v>
      </c>
      <c r="H754" s="27" t="n">
        <f aca="false">NORMSINV(G754)</f>
        <v>1.64485362695147</v>
      </c>
      <c r="I754" s="23" t="n">
        <v>0</v>
      </c>
      <c r="J754" s="23" t="n">
        <f aca="false">IFERROR(INDEX(ABC_XYZ!$R$5:$R$494,MATCH(A754,ABC_XYZ!$A$5:$A$494,0)),I754*Parametros!$B$13)</f>
        <v>0</v>
      </c>
      <c r="K754" s="27" t="n">
        <f aca="false">IFERROR(VLOOKUP(C754,Parametros!$A$36:$B$66,2,FALSE()),Parametros!$B$12)</f>
        <v>1</v>
      </c>
      <c r="L754" s="23" t="n">
        <f aca="false">H754*J754*SQRT(K754)</f>
        <v>0</v>
      </c>
      <c r="M754" s="29"/>
      <c r="N754" s="24"/>
      <c r="O754" s="3"/>
      <c r="P754" s="30" t="str">
        <f aca="false">IF(AND(ISNUMBER(M754),ISNUMBER(N754)),M754*N754/7,"")</f>
        <v/>
      </c>
      <c r="Q754" s="23" t="str">
        <f aca="false">IF(ISNUMBER(P754),I754*P754,"")</f>
        <v/>
      </c>
      <c r="R754" s="23" t="n">
        <f aca="false">IF(ISNUMBER(Q754),MAX(0,MIN(L754,Q754-I754*K754)),L754)</f>
        <v>0</v>
      </c>
      <c r="S754" s="23" t="n">
        <f aca="false">R754+I754*K754</f>
        <v>0</v>
      </c>
      <c r="T754" s="23" t="n">
        <v>431280</v>
      </c>
      <c r="U754" s="23" t="n">
        <v>13260</v>
      </c>
      <c r="V754" s="23" t="n">
        <f aca="false">T754+U754</f>
        <v>444540</v>
      </c>
      <c r="W754" s="30" t="str">
        <f aca="false">IF(I754&gt;0,V754/I754,"")</f>
        <v/>
      </c>
      <c r="X754" s="3" t="str">
        <f aca="false">IF(I754&lt;=0,"SIN FCST",IF(V754&lt;R754,"BAJO SS",IF(T754&lt;R754,"BAJO SS (XLIB CUBRE)",IF(V754&lt;S754,"BAJO P.REORDEN",IF(AND(ISNUMBER(Q754),V754&gt;Q754),"SOBRE MAX VENDIBLE","OK")))))</f>
        <v>SIN FCST</v>
      </c>
    </row>
    <row r="755" customFormat="false" ht="15" hidden="false" customHeight="false" outlineLevel="0" collapsed="false">
      <c r="A755" s="3" t="n">
        <v>30000124</v>
      </c>
      <c r="B755" s="3" t="s">
        <v>1298</v>
      </c>
      <c r="C755" s="3" t="s">
        <v>143</v>
      </c>
      <c r="D755" s="3" t="s">
        <v>750</v>
      </c>
      <c r="E755" s="3"/>
      <c r="F755" s="3" t="str">
        <f aca="false">IFERROR(INDEX(ABC_XYZ!$L$5:$L$494,MATCH(A755,ABC_XYZ!$A$5:$A$494,0)),"SIN HIST")</f>
        <v>SIN HIST</v>
      </c>
      <c r="G755" s="24" t="n">
        <f aca="false">IF(LEFT(F755,1)="A",Parametros!$B$8,IF(LEFT(F755,1)="B",Parametros!$B$9,IF(LEFT(F755,1)="C",Parametros!$B$10,Parametros!$B$11)))</f>
        <v>0.95</v>
      </c>
      <c r="H755" s="27" t="n">
        <f aca="false">NORMSINV(G755)</f>
        <v>1.64485362695147</v>
      </c>
      <c r="I755" s="23" t="n">
        <v>0</v>
      </c>
      <c r="J755" s="23" t="n">
        <f aca="false">IFERROR(INDEX(ABC_XYZ!$R$5:$R$494,MATCH(A755,ABC_XYZ!$A$5:$A$494,0)),I755*Parametros!$B$13)</f>
        <v>0</v>
      </c>
      <c r="K755" s="27" t="n">
        <f aca="false">IFERROR(VLOOKUP(C755,Parametros!$A$36:$B$66,2,FALSE()),Parametros!$B$12)</f>
        <v>1</v>
      </c>
      <c r="L755" s="23" t="n">
        <f aca="false">H755*J755*SQRT(K755)</f>
        <v>0</v>
      </c>
      <c r="M755" s="29"/>
      <c r="N755" s="24"/>
      <c r="O755" s="3"/>
      <c r="P755" s="30" t="str">
        <f aca="false">IF(AND(ISNUMBER(M755),ISNUMBER(N755)),M755*N755/7,"")</f>
        <v/>
      </c>
      <c r="Q755" s="23" t="str">
        <f aca="false">IF(ISNUMBER(P755),I755*P755,"")</f>
        <v/>
      </c>
      <c r="R755" s="23" t="n">
        <f aca="false">IF(ISNUMBER(Q755),MAX(0,MIN(L755,Q755-I755*K755)),L755)</f>
        <v>0</v>
      </c>
      <c r="S755" s="23" t="n">
        <f aca="false">R755+I755*K755</f>
        <v>0</v>
      </c>
      <c r="T755" s="23" t="n">
        <v>9523.2</v>
      </c>
      <c r="U755" s="23" t="n">
        <v>0</v>
      </c>
      <c r="V755" s="23" t="n">
        <f aca="false">T755+U755</f>
        <v>9523.2</v>
      </c>
      <c r="W755" s="30" t="str">
        <f aca="false">IF(I755&gt;0,V755/I755,"")</f>
        <v/>
      </c>
      <c r="X755" s="3" t="str">
        <f aca="false">IF(I755&lt;=0,"SIN FCST",IF(V755&lt;R755,"BAJO SS",IF(T755&lt;R755,"BAJO SS (XLIB CUBRE)",IF(V755&lt;S755,"BAJO P.REORDEN",IF(AND(ISNUMBER(Q755),V755&gt;Q755),"SOBRE MAX VENDIBLE","OK")))))</f>
        <v>SIN FCST</v>
      </c>
    </row>
    <row r="756" customFormat="false" ht="15" hidden="false" customHeight="false" outlineLevel="0" collapsed="false">
      <c r="A756" s="3" t="n">
        <v>30000123</v>
      </c>
      <c r="B756" s="3" t="s">
        <v>1299</v>
      </c>
      <c r="C756" s="3" t="s">
        <v>143</v>
      </c>
      <c r="D756" s="3" t="s">
        <v>750</v>
      </c>
      <c r="E756" s="3"/>
      <c r="F756" s="3" t="str">
        <f aca="false">IFERROR(INDEX(ABC_XYZ!$L$5:$L$494,MATCH(A756,ABC_XYZ!$A$5:$A$494,0)),"SIN HIST")</f>
        <v>SIN HIST</v>
      </c>
      <c r="G756" s="24" t="n">
        <f aca="false">IF(LEFT(F756,1)="A",Parametros!$B$8,IF(LEFT(F756,1)="B",Parametros!$B$9,IF(LEFT(F756,1)="C",Parametros!$B$10,Parametros!$B$11)))</f>
        <v>0.95</v>
      </c>
      <c r="H756" s="27" t="n">
        <f aca="false">NORMSINV(G756)</f>
        <v>1.64485362695147</v>
      </c>
      <c r="I756" s="23" t="n">
        <v>0</v>
      </c>
      <c r="J756" s="23" t="n">
        <f aca="false">IFERROR(INDEX(ABC_XYZ!$R$5:$R$494,MATCH(A756,ABC_XYZ!$A$5:$A$494,0)),I756*Parametros!$B$13)</f>
        <v>0</v>
      </c>
      <c r="K756" s="27" t="n">
        <f aca="false">IFERROR(VLOOKUP(C756,Parametros!$A$36:$B$66,2,FALSE()),Parametros!$B$12)</f>
        <v>1</v>
      </c>
      <c r="L756" s="23" t="n">
        <f aca="false">H756*J756*SQRT(K756)</f>
        <v>0</v>
      </c>
      <c r="M756" s="29"/>
      <c r="N756" s="24"/>
      <c r="O756" s="3"/>
      <c r="P756" s="30" t="str">
        <f aca="false">IF(AND(ISNUMBER(M756),ISNUMBER(N756)),M756*N756/7,"")</f>
        <v/>
      </c>
      <c r="Q756" s="23" t="str">
        <f aca="false">IF(ISNUMBER(P756),I756*P756,"")</f>
        <v/>
      </c>
      <c r="R756" s="23" t="n">
        <f aca="false">IF(ISNUMBER(Q756),MAX(0,MIN(L756,Q756-I756*K756)),L756)</f>
        <v>0</v>
      </c>
      <c r="S756" s="23" t="n">
        <f aca="false">R756+I756*K756</f>
        <v>0</v>
      </c>
      <c r="T756" s="23" t="n">
        <v>11694.2</v>
      </c>
      <c r="U756" s="23" t="n">
        <v>0</v>
      </c>
      <c r="V756" s="23" t="n">
        <f aca="false">T756+U756</f>
        <v>11694.2</v>
      </c>
      <c r="W756" s="30" t="str">
        <f aca="false">IF(I756&gt;0,V756/I756,"")</f>
        <v/>
      </c>
      <c r="X756" s="3" t="str">
        <f aca="false">IF(I756&lt;=0,"SIN FCST",IF(V756&lt;R756,"BAJO SS",IF(T756&lt;R756,"BAJO SS (XLIB CUBRE)",IF(V756&lt;S756,"BAJO P.REORDEN",IF(AND(ISNUMBER(Q756),V756&gt;Q756),"SOBRE MAX VENDIBLE","OK")))))</f>
        <v>SIN FCST</v>
      </c>
    </row>
    <row r="757" customFormat="false" ht="15" hidden="false" customHeight="false" outlineLevel="0" collapsed="false">
      <c r="A757" s="3" t="n">
        <v>30000126</v>
      </c>
      <c r="B757" s="3" t="s">
        <v>1300</v>
      </c>
      <c r="C757" s="3" t="s">
        <v>143</v>
      </c>
      <c r="D757" s="3" t="s">
        <v>750</v>
      </c>
      <c r="E757" s="3"/>
      <c r="F757" s="3" t="str">
        <f aca="false">IFERROR(INDEX(ABC_XYZ!$L$5:$L$494,MATCH(A757,ABC_XYZ!$A$5:$A$494,0)),"SIN HIST")</f>
        <v>SIN HIST</v>
      </c>
      <c r="G757" s="24" t="n">
        <f aca="false">IF(LEFT(F757,1)="A",Parametros!$B$8,IF(LEFT(F757,1)="B",Parametros!$B$9,IF(LEFT(F757,1)="C",Parametros!$B$10,Parametros!$B$11)))</f>
        <v>0.95</v>
      </c>
      <c r="H757" s="27" t="n">
        <f aca="false">NORMSINV(G757)</f>
        <v>1.64485362695147</v>
      </c>
      <c r="I757" s="23" t="n">
        <v>0</v>
      </c>
      <c r="J757" s="23" t="n">
        <f aca="false">IFERROR(INDEX(ABC_XYZ!$R$5:$R$494,MATCH(A757,ABC_XYZ!$A$5:$A$494,0)),I757*Parametros!$B$13)</f>
        <v>0</v>
      </c>
      <c r="K757" s="27" t="n">
        <f aca="false">IFERROR(VLOOKUP(C757,Parametros!$A$36:$B$66,2,FALSE()),Parametros!$B$12)</f>
        <v>1</v>
      </c>
      <c r="L757" s="23" t="n">
        <f aca="false">H757*J757*SQRT(K757)</f>
        <v>0</v>
      </c>
      <c r="M757" s="29"/>
      <c r="N757" s="24"/>
      <c r="O757" s="3"/>
      <c r="P757" s="30" t="str">
        <f aca="false">IF(AND(ISNUMBER(M757),ISNUMBER(N757)),M757*N757/7,"")</f>
        <v/>
      </c>
      <c r="Q757" s="23" t="str">
        <f aca="false">IF(ISNUMBER(P757),I757*P757,"")</f>
        <v/>
      </c>
      <c r="R757" s="23" t="n">
        <f aca="false">IF(ISNUMBER(Q757),MAX(0,MIN(L757,Q757-I757*K757)),L757)</f>
        <v>0</v>
      </c>
      <c r="S757" s="23" t="n">
        <f aca="false">R757+I757*K757</f>
        <v>0</v>
      </c>
      <c r="T757" s="23" t="n">
        <v>22766.4</v>
      </c>
      <c r="U757" s="23" t="n">
        <v>0</v>
      </c>
      <c r="V757" s="23" t="n">
        <f aca="false">T757+U757</f>
        <v>22766.4</v>
      </c>
      <c r="W757" s="30" t="str">
        <f aca="false">IF(I757&gt;0,V757/I757,"")</f>
        <v/>
      </c>
      <c r="X757" s="3" t="str">
        <f aca="false">IF(I757&lt;=0,"SIN FCST",IF(V757&lt;R757,"BAJO SS",IF(T757&lt;R757,"BAJO SS (XLIB CUBRE)",IF(V757&lt;S757,"BAJO P.REORDEN",IF(AND(ISNUMBER(Q757),V757&gt;Q757),"SOBRE MAX VENDIBLE","OK")))))</f>
        <v>SIN FCST</v>
      </c>
    </row>
    <row r="758" customFormat="false" ht="15" hidden="false" customHeight="false" outlineLevel="0" collapsed="false">
      <c r="A758" s="3" t="n">
        <v>30002287</v>
      </c>
      <c r="B758" s="3" t="s">
        <v>1301</v>
      </c>
      <c r="C758" s="3" t="s">
        <v>133</v>
      </c>
      <c r="D758" s="3" t="s">
        <v>758</v>
      </c>
      <c r="E758" s="3"/>
      <c r="F758" s="3" t="str">
        <f aca="false">IFERROR(INDEX(ABC_XYZ!$L$5:$L$494,MATCH(A758,ABC_XYZ!$A$5:$A$494,0)),"SIN HIST")</f>
        <v>SIN HIST</v>
      </c>
      <c r="G758" s="24" t="n">
        <f aca="false">IF(LEFT(F758,1)="A",Parametros!$B$8,IF(LEFT(F758,1)="B",Parametros!$B$9,IF(LEFT(F758,1)="C",Parametros!$B$10,Parametros!$B$11)))</f>
        <v>0.95</v>
      </c>
      <c r="H758" s="27" t="n">
        <f aca="false">NORMSINV(G758)</f>
        <v>1.64485362695147</v>
      </c>
      <c r="I758" s="23" t="n">
        <v>0</v>
      </c>
      <c r="J758" s="23" t="n">
        <f aca="false">IFERROR(INDEX(ABC_XYZ!$R$5:$R$494,MATCH(A758,ABC_XYZ!$A$5:$A$494,0)),I758*Parametros!$B$13)</f>
        <v>0</v>
      </c>
      <c r="K758" s="27" t="n">
        <f aca="false">IFERROR(VLOOKUP(C758,Parametros!$A$36:$B$66,2,FALSE()),Parametros!$B$12)</f>
        <v>1</v>
      </c>
      <c r="L758" s="23" t="n">
        <f aca="false">H758*J758*SQRT(K758)</f>
        <v>0</v>
      </c>
      <c r="M758" s="29"/>
      <c r="N758" s="24"/>
      <c r="O758" s="3"/>
      <c r="P758" s="30" t="str">
        <f aca="false">IF(AND(ISNUMBER(M758),ISNUMBER(N758)),M758*N758/7,"")</f>
        <v/>
      </c>
      <c r="Q758" s="23" t="str">
        <f aca="false">IF(ISNUMBER(P758),I758*P758,"")</f>
        <v/>
      </c>
      <c r="R758" s="23" t="n">
        <f aca="false">IF(ISNUMBER(Q758),MAX(0,MIN(L758,Q758-I758*K758)),L758)</f>
        <v>0</v>
      </c>
      <c r="S758" s="23" t="n">
        <f aca="false">R758+I758*K758</f>
        <v>0</v>
      </c>
      <c r="T758" s="23" t="n">
        <v>3328</v>
      </c>
      <c r="U758" s="23" t="n">
        <v>0</v>
      </c>
      <c r="V758" s="23" t="n">
        <f aca="false">T758+U758</f>
        <v>3328</v>
      </c>
      <c r="W758" s="30" t="str">
        <f aca="false">IF(I758&gt;0,V758/I758,"")</f>
        <v/>
      </c>
      <c r="X758" s="3" t="str">
        <f aca="false">IF(I758&lt;=0,"SIN FCST",IF(V758&lt;R758,"BAJO SS",IF(T758&lt;R758,"BAJO SS (XLIB CUBRE)",IF(V758&lt;S758,"BAJO P.REORDEN",IF(AND(ISNUMBER(Q758),V758&gt;Q758),"SOBRE MAX VENDIBLE","OK")))))</f>
        <v>SIN FCST</v>
      </c>
    </row>
    <row r="759" customFormat="false" ht="15" hidden="false" customHeight="false" outlineLevel="0" collapsed="false">
      <c r="A759" s="3" t="n">
        <v>30002328</v>
      </c>
      <c r="B759" s="3" t="s">
        <v>1302</v>
      </c>
      <c r="C759" s="3" t="s">
        <v>133</v>
      </c>
      <c r="D759" s="3" t="s">
        <v>758</v>
      </c>
      <c r="E759" s="3"/>
      <c r="F759" s="3" t="str">
        <f aca="false">IFERROR(INDEX(ABC_XYZ!$L$5:$L$494,MATCH(A759,ABC_XYZ!$A$5:$A$494,0)),"SIN HIST")</f>
        <v>SIN HIST</v>
      </c>
      <c r="G759" s="24" t="n">
        <f aca="false">IF(LEFT(F759,1)="A",Parametros!$B$8,IF(LEFT(F759,1)="B",Parametros!$B$9,IF(LEFT(F759,1)="C",Parametros!$B$10,Parametros!$B$11)))</f>
        <v>0.95</v>
      </c>
      <c r="H759" s="27" t="n">
        <f aca="false">NORMSINV(G759)</f>
        <v>1.64485362695147</v>
      </c>
      <c r="I759" s="23" t="n">
        <v>0</v>
      </c>
      <c r="J759" s="23" t="n">
        <f aca="false">IFERROR(INDEX(ABC_XYZ!$R$5:$R$494,MATCH(A759,ABC_XYZ!$A$5:$A$494,0)),I759*Parametros!$B$13)</f>
        <v>0</v>
      </c>
      <c r="K759" s="27" t="n">
        <f aca="false">IFERROR(VLOOKUP(C759,Parametros!$A$36:$B$66,2,FALSE()),Parametros!$B$12)</f>
        <v>1</v>
      </c>
      <c r="L759" s="23" t="n">
        <f aca="false">H759*J759*SQRT(K759)</f>
        <v>0</v>
      </c>
      <c r="M759" s="29"/>
      <c r="N759" s="24"/>
      <c r="O759" s="3"/>
      <c r="P759" s="30" t="str">
        <f aca="false">IF(AND(ISNUMBER(M759),ISNUMBER(N759)),M759*N759/7,"")</f>
        <v/>
      </c>
      <c r="Q759" s="23" t="str">
        <f aca="false">IF(ISNUMBER(P759),I759*P759,"")</f>
        <v/>
      </c>
      <c r="R759" s="23" t="n">
        <f aca="false">IF(ISNUMBER(Q759),MAX(0,MIN(L759,Q759-I759*K759)),L759)</f>
        <v>0</v>
      </c>
      <c r="S759" s="23" t="n">
        <f aca="false">R759+I759*K759</f>
        <v>0</v>
      </c>
      <c r="T759" s="23" t="n">
        <v>1725</v>
      </c>
      <c r="U759" s="23" t="n">
        <v>0</v>
      </c>
      <c r="V759" s="23" t="n">
        <f aca="false">T759+U759</f>
        <v>1725</v>
      </c>
      <c r="W759" s="30" t="str">
        <f aca="false">IF(I759&gt;0,V759/I759,"")</f>
        <v/>
      </c>
      <c r="X759" s="3" t="str">
        <f aca="false">IF(I759&lt;=0,"SIN FCST",IF(V759&lt;R759,"BAJO SS",IF(T759&lt;R759,"BAJO SS (XLIB CUBRE)",IF(V759&lt;S759,"BAJO P.REORDEN",IF(AND(ISNUMBER(Q759),V759&gt;Q759),"SOBRE MAX VENDIBLE","OK")))))</f>
        <v>SIN FCST</v>
      </c>
    </row>
    <row r="760" customFormat="false" ht="15" hidden="false" customHeight="false" outlineLevel="0" collapsed="false">
      <c r="A760" s="3" t="n">
        <v>30002327</v>
      </c>
      <c r="B760" s="3" t="s">
        <v>1303</v>
      </c>
      <c r="C760" s="3" t="s">
        <v>133</v>
      </c>
      <c r="D760" s="3" t="s">
        <v>758</v>
      </c>
      <c r="E760" s="3"/>
      <c r="F760" s="3" t="str">
        <f aca="false">IFERROR(INDEX(ABC_XYZ!$L$5:$L$494,MATCH(A760,ABC_XYZ!$A$5:$A$494,0)),"SIN HIST")</f>
        <v>SIN HIST</v>
      </c>
      <c r="G760" s="24" t="n">
        <f aca="false">IF(LEFT(F760,1)="A",Parametros!$B$8,IF(LEFT(F760,1)="B",Parametros!$B$9,IF(LEFT(F760,1)="C",Parametros!$B$10,Parametros!$B$11)))</f>
        <v>0.95</v>
      </c>
      <c r="H760" s="27" t="n">
        <f aca="false">NORMSINV(G760)</f>
        <v>1.64485362695147</v>
      </c>
      <c r="I760" s="23" t="n">
        <v>0</v>
      </c>
      <c r="J760" s="23" t="n">
        <f aca="false">IFERROR(INDEX(ABC_XYZ!$R$5:$R$494,MATCH(A760,ABC_XYZ!$A$5:$A$494,0)),I760*Parametros!$B$13)</f>
        <v>0</v>
      </c>
      <c r="K760" s="27" t="n">
        <f aca="false">IFERROR(VLOOKUP(C760,Parametros!$A$36:$B$66,2,FALSE()),Parametros!$B$12)</f>
        <v>1</v>
      </c>
      <c r="L760" s="23" t="n">
        <f aca="false">H760*J760*SQRT(K760)</f>
        <v>0</v>
      </c>
      <c r="M760" s="29"/>
      <c r="N760" s="24"/>
      <c r="O760" s="3"/>
      <c r="P760" s="30" t="str">
        <f aca="false">IF(AND(ISNUMBER(M760),ISNUMBER(N760)),M760*N760/7,"")</f>
        <v/>
      </c>
      <c r="Q760" s="23" t="str">
        <f aca="false">IF(ISNUMBER(P760),I760*P760,"")</f>
        <v/>
      </c>
      <c r="R760" s="23" t="n">
        <f aca="false">IF(ISNUMBER(Q760),MAX(0,MIN(L760,Q760-I760*K760)),L760)</f>
        <v>0</v>
      </c>
      <c r="S760" s="23" t="n">
        <f aca="false">R760+I760*K760</f>
        <v>0</v>
      </c>
      <c r="T760" s="23" t="n">
        <v>1072.5</v>
      </c>
      <c r="U760" s="23" t="n">
        <v>0</v>
      </c>
      <c r="V760" s="23" t="n">
        <f aca="false">T760+U760</f>
        <v>1072.5</v>
      </c>
      <c r="W760" s="30" t="str">
        <f aca="false">IF(I760&gt;0,V760/I760,"")</f>
        <v/>
      </c>
      <c r="X760" s="3" t="str">
        <f aca="false">IF(I760&lt;=0,"SIN FCST",IF(V760&lt;R760,"BAJO SS",IF(T760&lt;R760,"BAJO SS (XLIB CUBRE)",IF(V760&lt;S760,"BAJO P.REORDEN",IF(AND(ISNUMBER(Q760),V760&gt;Q760),"SOBRE MAX VENDIBLE","OK")))))</f>
        <v>SIN FCST</v>
      </c>
    </row>
    <row r="761" customFormat="false" ht="15" hidden="false" customHeight="false" outlineLevel="0" collapsed="false">
      <c r="A761" s="3" t="n">
        <v>30002281</v>
      </c>
      <c r="B761" s="3" t="s">
        <v>1304</v>
      </c>
      <c r="C761" s="3" t="s">
        <v>133</v>
      </c>
      <c r="D761" s="3" t="s">
        <v>758</v>
      </c>
      <c r="E761" s="3"/>
      <c r="F761" s="3" t="str">
        <f aca="false">IFERROR(INDEX(ABC_XYZ!$L$5:$L$494,MATCH(A761,ABC_XYZ!$A$5:$A$494,0)),"SIN HIST")</f>
        <v>SIN HIST</v>
      </c>
      <c r="G761" s="24" t="n">
        <f aca="false">IF(LEFT(F761,1)="A",Parametros!$B$8,IF(LEFT(F761,1)="B",Parametros!$B$9,IF(LEFT(F761,1)="C",Parametros!$B$10,Parametros!$B$11)))</f>
        <v>0.95</v>
      </c>
      <c r="H761" s="27" t="n">
        <f aca="false">NORMSINV(G761)</f>
        <v>1.64485362695147</v>
      </c>
      <c r="I761" s="23" t="n">
        <v>0</v>
      </c>
      <c r="J761" s="23" t="n">
        <f aca="false">IFERROR(INDEX(ABC_XYZ!$R$5:$R$494,MATCH(A761,ABC_XYZ!$A$5:$A$494,0)),I761*Parametros!$B$13)</f>
        <v>0</v>
      </c>
      <c r="K761" s="27" t="n">
        <f aca="false">IFERROR(VLOOKUP(C761,Parametros!$A$36:$B$66,2,FALSE()),Parametros!$B$12)</f>
        <v>1</v>
      </c>
      <c r="L761" s="23" t="n">
        <f aca="false">H761*J761*SQRT(K761)</f>
        <v>0</v>
      </c>
      <c r="M761" s="29"/>
      <c r="N761" s="24"/>
      <c r="O761" s="3"/>
      <c r="P761" s="30" t="str">
        <f aca="false">IF(AND(ISNUMBER(M761),ISNUMBER(N761)),M761*N761/7,"")</f>
        <v/>
      </c>
      <c r="Q761" s="23" t="str">
        <f aca="false">IF(ISNUMBER(P761),I761*P761,"")</f>
        <v/>
      </c>
      <c r="R761" s="23" t="n">
        <f aca="false">IF(ISNUMBER(Q761),MAX(0,MIN(L761,Q761-I761*K761)),L761)</f>
        <v>0</v>
      </c>
      <c r="S761" s="23" t="n">
        <f aca="false">R761+I761*K761</f>
        <v>0</v>
      </c>
      <c r="T761" s="23" t="n">
        <v>930</v>
      </c>
      <c r="U761" s="23" t="n">
        <v>0</v>
      </c>
      <c r="V761" s="23" t="n">
        <f aca="false">T761+U761</f>
        <v>930</v>
      </c>
      <c r="W761" s="30" t="str">
        <f aca="false">IF(I761&gt;0,V761/I761,"")</f>
        <v/>
      </c>
      <c r="X761" s="3" t="str">
        <f aca="false">IF(I761&lt;=0,"SIN FCST",IF(V761&lt;R761,"BAJO SS",IF(T761&lt;R761,"BAJO SS (XLIB CUBRE)",IF(V761&lt;S761,"BAJO P.REORDEN",IF(AND(ISNUMBER(Q761),V761&gt;Q761),"SOBRE MAX VENDIBLE","OK")))))</f>
        <v>SIN FCST</v>
      </c>
    </row>
    <row r="762" customFormat="false" ht="15" hidden="false" customHeight="false" outlineLevel="0" collapsed="false">
      <c r="A762" s="3" t="n">
        <v>30000978</v>
      </c>
      <c r="B762" s="3" t="s">
        <v>1305</v>
      </c>
      <c r="C762" s="3" t="s">
        <v>133</v>
      </c>
      <c r="D762" s="3" t="s">
        <v>758</v>
      </c>
      <c r="E762" s="3"/>
      <c r="F762" s="3" t="str">
        <f aca="false">IFERROR(INDEX(ABC_XYZ!$L$5:$L$494,MATCH(A762,ABC_XYZ!$A$5:$A$494,0)),"SIN HIST")</f>
        <v>SIN HIST</v>
      </c>
      <c r="G762" s="24" t="n">
        <f aca="false">IF(LEFT(F762,1)="A",Parametros!$B$8,IF(LEFT(F762,1)="B",Parametros!$B$9,IF(LEFT(F762,1)="C",Parametros!$B$10,Parametros!$B$11)))</f>
        <v>0.95</v>
      </c>
      <c r="H762" s="27" t="n">
        <f aca="false">NORMSINV(G762)</f>
        <v>1.64485362695147</v>
      </c>
      <c r="I762" s="23" t="n">
        <v>0</v>
      </c>
      <c r="J762" s="23" t="n">
        <f aca="false">IFERROR(INDEX(ABC_XYZ!$R$5:$R$494,MATCH(A762,ABC_XYZ!$A$5:$A$494,0)),I762*Parametros!$B$13)</f>
        <v>0</v>
      </c>
      <c r="K762" s="27" t="n">
        <f aca="false">IFERROR(VLOOKUP(C762,Parametros!$A$36:$B$66,2,FALSE()),Parametros!$B$12)</f>
        <v>1</v>
      </c>
      <c r="L762" s="23" t="n">
        <f aca="false">H762*J762*SQRT(K762)</f>
        <v>0</v>
      </c>
      <c r="M762" s="29"/>
      <c r="N762" s="24"/>
      <c r="O762" s="3"/>
      <c r="P762" s="30" t="str">
        <f aca="false">IF(AND(ISNUMBER(M762),ISNUMBER(N762)),M762*N762/7,"")</f>
        <v/>
      </c>
      <c r="Q762" s="23" t="str">
        <f aca="false">IF(ISNUMBER(P762),I762*P762,"")</f>
        <v/>
      </c>
      <c r="R762" s="23" t="n">
        <f aca="false">IF(ISNUMBER(Q762),MAX(0,MIN(L762,Q762-I762*K762)),L762)</f>
        <v>0</v>
      </c>
      <c r="S762" s="23" t="n">
        <f aca="false">R762+I762*K762</f>
        <v>0</v>
      </c>
      <c r="T762" s="23" t="n">
        <v>16</v>
      </c>
      <c r="U762" s="23" t="n">
        <v>0</v>
      </c>
      <c r="V762" s="23" t="n">
        <f aca="false">T762+U762</f>
        <v>16</v>
      </c>
      <c r="W762" s="30" t="str">
        <f aca="false">IF(I762&gt;0,V762/I762,"")</f>
        <v/>
      </c>
      <c r="X762" s="3" t="str">
        <f aca="false">IF(I762&lt;=0,"SIN FCST",IF(V762&lt;R762,"BAJO SS",IF(T762&lt;R762,"BAJO SS (XLIB CUBRE)",IF(V762&lt;S762,"BAJO P.REORDEN",IF(AND(ISNUMBER(Q762),V762&gt;Q762),"SOBRE MAX VENDIBLE","OK")))))</f>
        <v>SIN FCST</v>
      </c>
    </row>
    <row r="763" customFormat="false" ht="15" hidden="false" customHeight="false" outlineLevel="0" collapsed="false">
      <c r="A763" s="3" t="n">
        <v>30002120</v>
      </c>
      <c r="B763" s="3" t="s">
        <v>598</v>
      </c>
      <c r="C763" s="3" t="s">
        <v>149</v>
      </c>
      <c r="D763" s="3" t="s">
        <v>744</v>
      </c>
      <c r="E763" s="3" t="s">
        <v>762</v>
      </c>
      <c r="F763" s="3" t="str">
        <f aca="false">IFERROR(INDEX(ABC_XYZ!$L$5:$L$494,MATCH(A763,ABC_XYZ!$A$5:$A$494,0)),"SIN HIST")</f>
        <v>CY</v>
      </c>
      <c r="G763" s="24" t="n">
        <f aca="false">IF(LEFT(F763,1)="A",Parametros!$B$8,IF(LEFT(F763,1)="B",Parametros!$B$9,IF(LEFT(F763,1)="C",Parametros!$B$10,Parametros!$B$11)))</f>
        <v>0.9</v>
      </c>
      <c r="H763" s="27" t="n">
        <f aca="false">NORMSINV(G763)</f>
        <v>1.2815515655446</v>
      </c>
      <c r="I763" s="23" t="n">
        <v>0</v>
      </c>
      <c r="J763" s="23" t="n">
        <f aca="false">IFERROR(INDEX(ABC_XYZ!$R$5:$R$494,MATCH(A763,ABC_XYZ!$A$5:$A$494,0)),I763*Parametros!$B$13)</f>
        <v>280.880075543037</v>
      </c>
      <c r="K763" s="27" t="n">
        <f aca="false">IFERROR(VLOOKUP(C763,Parametros!$A$36:$B$66,2,FALSE()),Parametros!$B$12)</f>
        <v>1</v>
      </c>
      <c r="L763" s="23" t="n">
        <f aca="false">H763*J763*SQRT(K763)</f>
        <v>359.962300542465</v>
      </c>
      <c r="M763" s="29" t="n">
        <v>184</v>
      </c>
      <c r="N763" s="24" t="n">
        <v>0.320652173913044</v>
      </c>
      <c r="O763" s="3" t="s">
        <v>780</v>
      </c>
      <c r="P763" s="30" t="n">
        <f aca="false">IF(AND(ISNUMBER(M763),ISNUMBER(N763)),M763*N763/7,"")</f>
        <v>8.42857142857143</v>
      </c>
      <c r="Q763" s="23" t="n">
        <f aca="false">IF(ISNUMBER(P763),I763*P763,"")</f>
        <v>0</v>
      </c>
      <c r="R763" s="23" t="n">
        <f aca="false">IF(ISNUMBER(Q763),MAX(0,MIN(L763,Q763-I763*K763)),L763)</f>
        <v>0</v>
      </c>
      <c r="S763" s="23" t="n">
        <f aca="false">R763+I763*K763</f>
        <v>0</v>
      </c>
      <c r="T763" s="23" t="n">
        <v>4347.6</v>
      </c>
      <c r="U763" s="23" t="n">
        <v>0</v>
      </c>
      <c r="V763" s="23" t="n">
        <f aca="false">T763+U763</f>
        <v>4347.6</v>
      </c>
      <c r="W763" s="30" t="str">
        <f aca="false">IF(I763&gt;0,V763/I763,"")</f>
        <v/>
      </c>
      <c r="X763" s="3" t="str">
        <f aca="false">IF(I763&lt;=0,"SIN FCST",IF(V763&lt;R763,"BAJO SS",IF(T763&lt;R763,"BAJO SS (XLIB CUBRE)",IF(V763&lt;S763,"BAJO P.REORDEN",IF(AND(ISNUMBER(Q763),V763&gt;Q763),"SOBRE MAX VENDIBLE","OK")))))</f>
        <v>SIN FCST</v>
      </c>
    </row>
    <row r="764" customFormat="false" ht="15" hidden="false" customHeight="false" outlineLevel="0" collapsed="false">
      <c r="A764" s="3" t="n">
        <v>30000304</v>
      </c>
      <c r="B764" s="3" t="s">
        <v>672</v>
      </c>
      <c r="C764" s="3" t="s">
        <v>149</v>
      </c>
      <c r="D764" s="3" t="s">
        <v>744</v>
      </c>
      <c r="E764" s="3" t="s">
        <v>762</v>
      </c>
      <c r="F764" s="3" t="str">
        <f aca="false">IFERROR(INDEX(ABC_XYZ!$L$5:$L$494,MATCH(A764,ABC_XYZ!$A$5:$A$494,0)),"SIN HIST")</f>
        <v>CZ</v>
      </c>
      <c r="G764" s="24" t="n">
        <f aca="false">IF(LEFT(F764,1)="A",Parametros!$B$8,IF(LEFT(F764,1)="B",Parametros!$B$9,IF(LEFT(F764,1)="C",Parametros!$B$10,Parametros!$B$11)))</f>
        <v>0.9</v>
      </c>
      <c r="H764" s="27" t="n">
        <f aca="false">NORMSINV(G764)</f>
        <v>1.2815515655446</v>
      </c>
      <c r="I764" s="23" t="n">
        <v>0</v>
      </c>
      <c r="J764" s="23" t="n">
        <f aca="false">IFERROR(INDEX(ABC_XYZ!$R$5:$R$494,MATCH(A764,ABC_XYZ!$A$5:$A$494,0)),I764*Parametros!$B$13)</f>
        <v>0</v>
      </c>
      <c r="K764" s="27" t="n">
        <f aca="false">IFERROR(VLOOKUP(C764,Parametros!$A$36:$B$66,2,FALSE()),Parametros!$B$12)</f>
        <v>1</v>
      </c>
      <c r="L764" s="23" t="n">
        <f aca="false">H764*J764*SQRT(K764)</f>
        <v>0</v>
      </c>
      <c r="M764" s="29" t="n">
        <v>365</v>
      </c>
      <c r="N764" s="24" t="n">
        <v>0.246575342465753</v>
      </c>
      <c r="O764" s="3" t="s">
        <v>772</v>
      </c>
      <c r="P764" s="30" t="n">
        <f aca="false">IF(AND(ISNUMBER(M764),ISNUMBER(N764)),M764*N764/7,"")</f>
        <v>12.8571428571429</v>
      </c>
      <c r="Q764" s="23" t="n">
        <f aca="false">IF(ISNUMBER(P764),I764*P764,"")</f>
        <v>0</v>
      </c>
      <c r="R764" s="23" t="n">
        <f aca="false">IF(ISNUMBER(Q764),MAX(0,MIN(L764,Q764-I764*K764)),L764)</f>
        <v>0</v>
      </c>
      <c r="S764" s="23" t="n">
        <f aca="false">R764+I764*K764</f>
        <v>0</v>
      </c>
      <c r="T764" s="23" t="n">
        <v>9</v>
      </c>
      <c r="U764" s="23" t="n">
        <v>0</v>
      </c>
      <c r="V764" s="23" t="n">
        <f aca="false">T764+U764</f>
        <v>9</v>
      </c>
      <c r="W764" s="30" t="str">
        <f aca="false">IF(I764&gt;0,V764/I764,"")</f>
        <v/>
      </c>
      <c r="X764" s="3" t="str">
        <f aca="false">IF(I764&lt;=0,"SIN FCST",IF(V764&lt;R764,"BAJO SS",IF(T764&lt;R764,"BAJO SS (XLIB CUBRE)",IF(V764&lt;S764,"BAJO P.REORDEN",IF(AND(ISNUMBER(Q764),V764&gt;Q764),"SOBRE MAX VENDIBLE","OK")))))</f>
        <v>SIN FCST</v>
      </c>
    </row>
    <row r="765" customFormat="false" ht="15" hidden="false" customHeight="false" outlineLevel="0" collapsed="false">
      <c r="A765" s="3" t="n">
        <v>30000785</v>
      </c>
      <c r="B765" s="3" t="s">
        <v>1306</v>
      </c>
      <c r="C765" s="3" t="s">
        <v>133</v>
      </c>
      <c r="D765" s="3" t="s">
        <v>758</v>
      </c>
      <c r="E765" s="3"/>
      <c r="F765" s="3" t="str">
        <f aca="false">IFERROR(INDEX(ABC_XYZ!$L$5:$L$494,MATCH(A765,ABC_XYZ!$A$5:$A$494,0)),"SIN HIST")</f>
        <v>SIN HIST</v>
      </c>
      <c r="G765" s="24" t="n">
        <f aca="false">IF(LEFT(F765,1)="A",Parametros!$B$8,IF(LEFT(F765,1)="B",Parametros!$B$9,IF(LEFT(F765,1)="C",Parametros!$B$10,Parametros!$B$11)))</f>
        <v>0.95</v>
      </c>
      <c r="H765" s="27" t="n">
        <f aca="false">NORMSINV(G765)</f>
        <v>1.64485362695147</v>
      </c>
      <c r="I765" s="23" t="n">
        <v>0</v>
      </c>
      <c r="J765" s="23" t="n">
        <f aca="false">IFERROR(INDEX(ABC_XYZ!$R$5:$R$494,MATCH(A765,ABC_XYZ!$A$5:$A$494,0)),I765*Parametros!$B$13)</f>
        <v>0</v>
      </c>
      <c r="K765" s="27" t="n">
        <f aca="false">IFERROR(VLOOKUP(C765,Parametros!$A$36:$B$66,2,FALSE()),Parametros!$B$12)</f>
        <v>1</v>
      </c>
      <c r="L765" s="23" t="n">
        <f aca="false">H765*J765*SQRT(K765)</f>
        <v>0</v>
      </c>
      <c r="M765" s="29"/>
      <c r="N765" s="24"/>
      <c r="O765" s="3"/>
      <c r="P765" s="30" t="str">
        <f aca="false">IF(AND(ISNUMBER(M765),ISNUMBER(N765)),M765*N765/7,"")</f>
        <v/>
      </c>
      <c r="Q765" s="23" t="str">
        <f aca="false">IF(ISNUMBER(P765),I765*P765,"")</f>
        <v/>
      </c>
      <c r="R765" s="23" t="n">
        <f aca="false">IF(ISNUMBER(Q765),MAX(0,MIN(L765,Q765-I765*K765)),L765)</f>
        <v>0</v>
      </c>
      <c r="S765" s="23" t="n">
        <f aca="false">R765+I765*K765</f>
        <v>0</v>
      </c>
      <c r="T765" s="23" t="n">
        <v>1512</v>
      </c>
      <c r="U765" s="23" t="n">
        <v>0</v>
      </c>
      <c r="V765" s="23" t="n">
        <f aca="false">T765+U765</f>
        <v>1512</v>
      </c>
      <c r="W765" s="30" t="str">
        <f aca="false">IF(I765&gt;0,V765/I765,"")</f>
        <v/>
      </c>
      <c r="X765" s="3" t="str">
        <f aca="false">IF(I765&lt;=0,"SIN FCST",IF(V765&lt;R765,"BAJO SS",IF(T765&lt;R765,"BAJO SS (XLIB CUBRE)",IF(V765&lt;S765,"BAJO P.REORDEN",IF(AND(ISNUMBER(Q765),V765&gt;Q765),"SOBRE MAX VENDIBLE","OK")))))</f>
        <v>SIN FCST</v>
      </c>
    </row>
    <row r="766" customFormat="false" ht="15" hidden="false" customHeight="false" outlineLevel="0" collapsed="false">
      <c r="A766" s="3" t="n">
        <v>30000458</v>
      </c>
      <c r="B766" s="3" t="s">
        <v>1307</v>
      </c>
      <c r="C766" s="3" t="s">
        <v>149</v>
      </c>
      <c r="D766" s="3" t="s">
        <v>744</v>
      </c>
      <c r="E766" s="3"/>
      <c r="F766" s="3" t="str">
        <f aca="false">IFERROR(INDEX(ABC_XYZ!$L$5:$L$494,MATCH(A766,ABC_XYZ!$A$5:$A$494,0)),"SIN HIST")</f>
        <v>CZ</v>
      </c>
      <c r="G766" s="24" t="n">
        <f aca="false">IF(LEFT(F766,1)="A",Parametros!$B$8,IF(LEFT(F766,1)="B",Parametros!$B$9,IF(LEFT(F766,1)="C",Parametros!$B$10,Parametros!$B$11)))</f>
        <v>0.9</v>
      </c>
      <c r="H766" s="27" t="n">
        <f aca="false">NORMSINV(G766)</f>
        <v>1.2815515655446</v>
      </c>
      <c r="I766" s="23" t="n">
        <v>0</v>
      </c>
      <c r="J766" s="23" t="n">
        <f aca="false">IFERROR(INDEX(ABC_XYZ!$R$5:$R$494,MATCH(A766,ABC_XYZ!$A$5:$A$494,0)),I766*Parametros!$B$13)</f>
        <v>0</v>
      </c>
      <c r="K766" s="27" t="n">
        <f aca="false">IFERROR(VLOOKUP(C766,Parametros!$A$36:$B$66,2,FALSE()),Parametros!$B$12)</f>
        <v>1</v>
      </c>
      <c r="L766" s="23" t="n">
        <f aca="false">H766*J766*SQRT(K766)</f>
        <v>0</v>
      </c>
      <c r="M766" s="29"/>
      <c r="N766" s="24"/>
      <c r="O766" s="3"/>
      <c r="P766" s="30" t="str">
        <f aca="false">IF(AND(ISNUMBER(M766),ISNUMBER(N766)),M766*N766/7,"")</f>
        <v/>
      </c>
      <c r="Q766" s="23" t="str">
        <f aca="false">IF(ISNUMBER(P766),I766*P766,"")</f>
        <v/>
      </c>
      <c r="R766" s="23" t="n">
        <f aca="false">IF(ISNUMBER(Q766),MAX(0,MIN(L766,Q766-I766*K766)),L766)</f>
        <v>0</v>
      </c>
      <c r="S766" s="23" t="n">
        <f aca="false">R766+I766*K766</f>
        <v>0</v>
      </c>
      <c r="T766" s="23" t="n">
        <v>672</v>
      </c>
      <c r="U766" s="23" t="n">
        <v>0</v>
      </c>
      <c r="V766" s="23" t="n">
        <f aca="false">T766+U766</f>
        <v>672</v>
      </c>
      <c r="W766" s="30" t="str">
        <f aca="false">IF(I766&gt;0,V766/I766,"")</f>
        <v/>
      </c>
      <c r="X766" s="3" t="str">
        <f aca="false">IF(I766&lt;=0,"SIN FCST",IF(V766&lt;R766,"BAJO SS",IF(T766&lt;R766,"BAJO SS (XLIB CUBRE)",IF(V766&lt;S766,"BAJO P.REORDEN",IF(AND(ISNUMBER(Q766),V766&gt;Q766),"SOBRE MAX VENDIBLE","OK")))))</f>
        <v>SIN FCST</v>
      </c>
    </row>
    <row r="767" customFormat="false" ht="15" hidden="false" customHeight="false" outlineLevel="0" collapsed="false">
      <c r="A767" s="3" t="n">
        <v>30000790</v>
      </c>
      <c r="B767" s="3" t="s">
        <v>1308</v>
      </c>
      <c r="C767" s="3" t="s">
        <v>133</v>
      </c>
      <c r="D767" s="3" t="s">
        <v>758</v>
      </c>
      <c r="E767" s="3"/>
      <c r="F767" s="3" t="str">
        <f aca="false">IFERROR(INDEX(ABC_XYZ!$L$5:$L$494,MATCH(A767,ABC_XYZ!$A$5:$A$494,0)),"SIN HIST")</f>
        <v>SIN HIST</v>
      </c>
      <c r="G767" s="24" t="n">
        <f aca="false">IF(LEFT(F767,1)="A",Parametros!$B$8,IF(LEFT(F767,1)="B",Parametros!$B$9,IF(LEFT(F767,1)="C",Parametros!$B$10,Parametros!$B$11)))</f>
        <v>0.95</v>
      </c>
      <c r="H767" s="27" t="n">
        <f aca="false">NORMSINV(G767)</f>
        <v>1.64485362695147</v>
      </c>
      <c r="I767" s="23" t="n">
        <v>0</v>
      </c>
      <c r="J767" s="23" t="n">
        <f aca="false">IFERROR(INDEX(ABC_XYZ!$R$5:$R$494,MATCH(A767,ABC_XYZ!$A$5:$A$494,0)),I767*Parametros!$B$13)</f>
        <v>0</v>
      </c>
      <c r="K767" s="27" t="n">
        <f aca="false">IFERROR(VLOOKUP(C767,Parametros!$A$36:$B$66,2,FALSE()),Parametros!$B$12)</f>
        <v>1</v>
      </c>
      <c r="L767" s="23" t="n">
        <f aca="false">H767*J767*SQRT(K767)</f>
        <v>0</v>
      </c>
      <c r="M767" s="29"/>
      <c r="N767" s="24"/>
      <c r="O767" s="3"/>
      <c r="P767" s="30" t="str">
        <f aca="false">IF(AND(ISNUMBER(M767),ISNUMBER(N767)),M767*N767/7,"")</f>
        <v/>
      </c>
      <c r="Q767" s="23" t="str">
        <f aca="false">IF(ISNUMBER(P767),I767*P767,"")</f>
        <v/>
      </c>
      <c r="R767" s="23" t="n">
        <f aca="false">IF(ISNUMBER(Q767),MAX(0,MIN(L767,Q767-I767*K767)),L767)</f>
        <v>0</v>
      </c>
      <c r="S767" s="23" t="n">
        <f aca="false">R767+I767*K767</f>
        <v>0</v>
      </c>
      <c r="T767" s="23" t="n">
        <v>912</v>
      </c>
      <c r="U767" s="23" t="n">
        <v>0</v>
      </c>
      <c r="V767" s="23" t="n">
        <f aca="false">T767+U767</f>
        <v>912</v>
      </c>
      <c r="W767" s="30" t="str">
        <f aca="false">IF(I767&gt;0,V767/I767,"")</f>
        <v/>
      </c>
      <c r="X767" s="3" t="str">
        <f aca="false">IF(I767&lt;=0,"SIN FCST",IF(V767&lt;R767,"BAJO SS",IF(T767&lt;R767,"BAJO SS (XLIB CUBRE)",IF(V767&lt;S767,"BAJO P.REORDEN",IF(AND(ISNUMBER(Q767),V767&gt;Q767),"SOBRE MAX VENDIBLE","OK")))))</f>
        <v>SIN FCST</v>
      </c>
    </row>
    <row r="768" customFormat="false" ht="15" hidden="false" customHeight="false" outlineLevel="0" collapsed="false">
      <c r="A768" s="3" t="n">
        <v>30000791</v>
      </c>
      <c r="B768" s="3" t="s">
        <v>1309</v>
      </c>
      <c r="C768" s="3" t="s">
        <v>133</v>
      </c>
      <c r="D768" s="3" t="s">
        <v>769</v>
      </c>
      <c r="E768" s="3"/>
      <c r="F768" s="3" t="str">
        <f aca="false">IFERROR(INDEX(ABC_XYZ!$L$5:$L$494,MATCH(A768,ABC_XYZ!$A$5:$A$494,0)),"SIN HIST")</f>
        <v>SIN HIST</v>
      </c>
      <c r="G768" s="24" t="n">
        <f aca="false">IF(LEFT(F768,1)="A",Parametros!$B$8,IF(LEFT(F768,1)="B",Parametros!$B$9,IF(LEFT(F768,1)="C",Parametros!$B$10,Parametros!$B$11)))</f>
        <v>0.95</v>
      </c>
      <c r="H768" s="27" t="n">
        <f aca="false">NORMSINV(G768)</f>
        <v>1.64485362695147</v>
      </c>
      <c r="I768" s="23" t="n">
        <v>0</v>
      </c>
      <c r="J768" s="23" t="n">
        <f aca="false">IFERROR(INDEX(ABC_XYZ!$R$5:$R$494,MATCH(A768,ABC_XYZ!$A$5:$A$494,0)),I768*Parametros!$B$13)</f>
        <v>0</v>
      </c>
      <c r="K768" s="27" t="n">
        <f aca="false">IFERROR(VLOOKUP(C768,Parametros!$A$36:$B$66,2,FALSE()),Parametros!$B$12)</f>
        <v>1</v>
      </c>
      <c r="L768" s="23" t="n">
        <f aca="false">H768*J768*SQRT(K768)</f>
        <v>0</v>
      </c>
      <c r="M768" s="29"/>
      <c r="N768" s="24"/>
      <c r="O768" s="3"/>
      <c r="P768" s="30" t="str">
        <f aca="false">IF(AND(ISNUMBER(M768),ISNUMBER(N768)),M768*N768/7,"")</f>
        <v/>
      </c>
      <c r="Q768" s="23" t="str">
        <f aca="false">IF(ISNUMBER(P768),I768*P768,"")</f>
        <v/>
      </c>
      <c r="R768" s="23" t="n">
        <f aca="false">IF(ISNUMBER(Q768),MAX(0,MIN(L768,Q768-I768*K768)),L768)</f>
        <v>0</v>
      </c>
      <c r="S768" s="23" t="n">
        <f aca="false">R768+I768*K768</f>
        <v>0</v>
      </c>
      <c r="T768" s="23" t="n">
        <v>135</v>
      </c>
      <c r="U768" s="23" t="n">
        <v>0</v>
      </c>
      <c r="V768" s="23" t="n">
        <f aca="false">T768+U768</f>
        <v>135</v>
      </c>
      <c r="W768" s="30" t="str">
        <f aca="false">IF(I768&gt;0,V768/I768,"")</f>
        <v/>
      </c>
      <c r="X768" s="3" t="str">
        <f aca="false">IF(I768&lt;=0,"SIN FCST",IF(V768&lt;R768,"BAJO SS",IF(T768&lt;R768,"BAJO SS (XLIB CUBRE)",IF(V768&lt;S768,"BAJO P.REORDEN",IF(AND(ISNUMBER(Q768),V768&gt;Q768),"SOBRE MAX VENDIBLE","OK")))))</f>
        <v>SIN FCST</v>
      </c>
    </row>
    <row r="769" customFormat="false" ht="15" hidden="false" customHeight="false" outlineLevel="0" collapsed="false">
      <c r="A769" s="3" t="n">
        <v>30000798</v>
      </c>
      <c r="B769" s="3" t="s">
        <v>1310</v>
      </c>
      <c r="C769" s="3" t="s">
        <v>133</v>
      </c>
      <c r="D769" s="3" t="s">
        <v>758</v>
      </c>
      <c r="E769" s="3"/>
      <c r="F769" s="3" t="str">
        <f aca="false">IFERROR(INDEX(ABC_XYZ!$L$5:$L$494,MATCH(A769,ABC_XYZ!$A$5:$A$494,0)),"SIN HIST")</f>
        <v>SIN HIST</v>
      </c>
      <c r="G769" s="24" t="n">
        <f aca="false">IF(LEFT(F769,1)="A",Parametros!$B$8,IF(LEFT(F769,1)="B",Parametros!$B$9,IF(LEFT(F769,1)="C",Parametros!$B$10,Parametros!$B$11)))</f>
        <v>0.95</v>
      </c>
      <c r="H769" s="27" t="n">
        <f aca="false">NORMSINV(G769)</f>
        <v>1.64485362695147</v>
      </c>
      <c r="I769" s="23" t="n">
        <v>0</v>
      </c>
      <c r="J769" s="23" t="n">
        <f aca="false">IFERROR(INDEX(ABC_XYZ!$R$5:$R$494,MATCH(A769,ABC_XYZ!$A$5:$A$494,0)),I769*Parametros!$B$13)</f>
        <v>0</v>
      </c>
      <c r="K769" s="27" t="n">
        <f aca="false">IFERROR(VLOOKUP(C769,Parametros!$A$36:$B$66,2,FALSE()),Parametros!$B$12)</f>
        <v>1</v>
      </c>
      <c r="L769" s="23" t="n">
        <f aca="false">H769*J769*SQRT(K769)</f>
        <v>0</v>
      </c>
      <c r="M769" s="29"/>
      <c r="N769" s="24"/>
      <c r="O769" s="3"/>
      <c r="P769" s="30" t="str">
        <f aca="false">IF(AND(ISNUMBER(M769),ISNUMBER(N769)),M769*N769/7,"")</f>
        <v/>
      </c>
      <c r="Q769" s="23" t="str">
        <f aca="false">IF(ISNUMBER(P769),I769*P769,"")</f>
        <v/>
      </c>
      <c r="R769" s="23" t="n">
        <f aca="false">IF(ISNUMBER(Q769),MAX(0,MIN(L769,Q769-I769*K769)),L769)</f>
        <v>0</v>
      </c>
      <c r="S769" s="23" t="n">
        <f aca="false">R769+I769*K769</f>
        <v>0</v>
      </c>
      <c r="T769" s="23" t="n">
        <v>4920</v>
      </c>
      <c r="U769" s="23" t="n">
        <v>0</v>
      </c>
      <c r="V769" s="23" t="n">
        <f aca="false">T769+U769</f>
        <v>4920</v>
      </c>
      <c r="W769" s="30" t="str">
        <f aca="false">IF(I769&gt;0,V769/I769,"")</f>
        <v/>
      </c>
      <c r="X769" s="3" t="str">
        <f aca="false">IF(I769&lt;=0,"SIN FCST",IF(V769&lt;R769,"BAJO SS",IF(T769&lt;R769,"BAJO SS (XLIB CUBRE)",IF(V769&lt;S769,"BAJO P.REORDEN",IF(AND(ISNUMBER(Q769),V769&gt;Q769),"SOBRE MAX VENDIBLE","OK")))))</f>
        <v>SIN FCST</v>
      </c>
    </row>
    <row r="770" customFormat="false" ht="15" hidden="false" customHeight="false" outlineLevel="0" collapsed="false">
      <c r="A770" s="3" t="n">
        <v>30000800</v>
      </c>
      <c r="B770" s="3" t="s">
        <v>1311</v>
      </c>
      <c r="C770" s="3" t="s">
        <v>133</v>
      </c>
      <c r="D770" s="3" t="s">
        <v>758</v>
      </c>
      <c r="E770" s="3"/>
      <c r="F770" s="3" t="str">
        <f aca="false">IFERROR(INDEX(ABC_XYZ!$L$5:$L$494,MATCH(A770,ABC_XYZ!$A$5:$A$494,0)),"SIN HIST")</f>
        <v>SIN HIST</v>
      </c>
      <c r="G770" s="24" t="n">
        <f aca="false">IF(LEFT(F770,1)="A",Parametros!$B$8,IF(LEFT(F770,1)="B",Parametros!$B$9,IF(LEFT(F770,1)="C",Parametros!$B$10,Parametros!$B$11)))</f>
        <v>0.95</v>
      </c>
      <c r="H770" s="27" t="n">
        <f aca="false">NORMSINV(G770)</f>
        <v>1.64485362695147</v>
      </c>
      <c r="I770" s="23" t="n">
        <v>0</v>
      </c>
      <c r="J770" s="23" t="n">
        <f aca="false">IFERROR(INDEX(ABC_XYZ!$R$5:$R$494,MATCH(A770,ABC_XYZ!$A$5:$A$494,0)),I770*Parametros!$B$13)</f>
        <v>0</v>
      </c>
      <c r="K770" s="27" t="n">
        <f aca="false">IFERROR(VLOOKUP(C770,Parametros!$A$36:$B$66,2,FALSE()),Parametros!$B$12)</f>
        <v>1</v>
      </c>
      <c r="L770" s="23" t="n">
        <f aca="false">H770*J770*SQRT(K770)</f>
        <v>0</v>
      </c>
      <c r="M770" s="29"/>
      <c r="N770" s="24"/>
      <c r="O770" s="3"/>
      <c r="P770" s="30" t="str">
        <f aca="false">IF(AND(ISNUMBER(M770),ISNUMBER(N770)),M770*N770/7,"")</f>
        <v/>
      </c>
      <c r="Q770" s="23" t="str">
        <f aca="false">IF(ISNUMBER(P770),I770*P770,"")</f>
        <v/>
      </c>
      <c r="R770" s="23" t="n">
        <f aca="false">IF(ISNUMBER(Q770),MAX(0,MIN(L770,Q770-I770*K770)),L770)</f>
        <v>0</v>
      </c>
      <c r="S770" s="23" t="n">
        <f aca="false">R770+I770*K770</f>
        <v>0</v>
      </c>
      <c r="T770" s="23" t="n">
        <v>1500</v>
      </c>
      <c r="U770" s="23" t="n">
        <v>0</v>
      </c>
      <c r="V770" s="23" t="n">
        <f aca="false">T770+U770</f>
        <v>1500</v>
      </c>
      <c r="W770" s="30" t="str">
        <f aca="false">IF(I770&gt;0,V770/I770,"")</f>
        <v/>
      </c>
      <c r="X770" s="3" t="str">
        <f aca="false">IF(I770&lt;=0,"SIN FCST",IF(V770&lt;R770,"BAJO SS",IF(T770&lt;R770,"BAJO SS (XLIB CUBRE)",IF(V770&lt;S770,"BAJO P.REORDEN",IF(AND(ISNUMBER(Q770),V770&gt;Q770),"SOBRE MAX VENDIBLE","OK")))))</f>
        <v>SIN FCST</v>
      </c>
    </row>
    <row r="771" customFormat="false" ht="15" hidden="false" customHeight="false" outlineLevel="0" collapsed="false">
      <c r="A771" s="3" t="n">
        <v>30000850</v>
      </c>
      <c r="B771" s="3" t="s">
        <v>1312</v>
      </c>
      <c r="C771" s="3" t="s">
        <v>133</v>
      </c>
      <c r="D771" s="3" t="s">
        <v>758</v>
      </c>
      <c r="E771" s="3"/>
      <c r="F771" s="3" t="str">
        <f aca="false">IFERROR(INDEX(ABC_XYZ!$L$5:$L$494,MATCH(A771,ABC_XYZ!$A$5:$A$494,0)),"SIN HIST")</f>
        <v>SIN HIST</v>
      </c>
      <c r="G771" s="24" t="n">
        <f aca="false">IF(LEFT(F771,1)="A",Parametros!$B$8,IF(LEFT(F771,1)="B",Parametros!$B$9,IF(LEFT(F771,1)="C",Parametros!$B$10,Parametros!$B$11)))</f>
        <v>0.95</v>
      </c>
      <c r="H771" s="27" t="n">
        <f aca="false">NORMSINV(G771)</f>
        <v>1.64485362695147</v>
      </c>
      <c r="I771" s="23" t="n">
        <v>0</v>
      </c>
      <c r="J771" s="23" t="n">
        <f aca="false">IFERROR(INDEX(ABC_XYZ!$R$5:$R$494,MATCH(A771,ABC_XYZ!$A$5:$A$494,0)),I771*Parametros!$B$13)</f>
        <v>0</v>
      </c>
      <c r="K771" s="27" t="n">
        <f aca="false">IFERROR(VLOOKUP(C771,Parametros!$A$36:$B$66,2,FALSE()),Parametros!$B$12)</f>
        <v>1</v>
      </c>
      <c r="L771" s="23" t="n">
        <f aca="false">H771*J771*SQRT(K771)</f>
        <v>0</v>
      </c>
      <c r="M771" s="29"/>
      <c r="N771" s="24"/>
      <c r="O771" s="3"/>
      <c r="P771" s="30" t="str">
        <f aca="false">IF(AND(ISNUMBER(M771),ISNUMBER(N771)),M771*N771/7,"")</f>
        <v/>
      </c>
      <c r="Q771" s="23" t="str">
        <f aca="false">IF(ISNUMBER(P771),I771*P771,"")</f>
        <v/>
      </c>
      <c r="R771" s="23" t="n">
        <f aca="false">IF(ISNUMBER(Q771),MAX(0,MIN(L771,Q771-I771*K771)),L771)</f>
        <v>0</v>
      </c>
      <c r="S771" s="23" t="n">
        <f aca="false">R771+I771*K771</f>
        <v>0</v>
      </c>
      <c r="T771" s="23" t="n">
        <v>97746</v>
      </c>
      <c r="U771" s="23" t="n">
        <v>9916.5</v>
      </c>
      <c r="V771" s="23" t="n">
        <f aca="false">T771+U771</f>
        <v>107662.5</v>
      </c>
      <c r="W771" s="30" t="str">
        <f aca="false">IF(I771&gt;0,V771/I771,"")</f>
        <v/>
      </c>
      <c r="X771" s="3" t="str">
        <f aca="false">IF(I771&lt;=0,"SIN FCST",IF(V771&lt;R771,"BAJO SS",IF(T771&lt;R771,"BAJO SS (XLIB CUBRE)",IF(V771&lt;S771,"BAJO P.REORDEN",IF(AND(ISNUMBER(Q771),V771&gt;Q771),"SOBRE MAX VENDIBLE","OK")))))</f>
        <v>SIN FCST</v>
      </c>
    </row>
    <row r="772" customFormat="false" ht="15" hidden="false" customHeight="false" outlineLevel="0" collapsed="false">
      <c r="A772" s="3" t="n">
        <v>30000851</v>
      </c>
      <c r="B772" s="3" t="s">
        <v>1313</v>
      </c>
      <c r="C772" s="3" t="s">
        <v>133</v>
      </c>
      <c r="D772" s="3" t="s">
        <v>758</v>
      </c>
      <c r="E772" s="3"/>
      <c r="F772" s="3" t="str">
        <f aca="false">IFERROR(INDEX(ABC_XYZ!$L$5:$L$494,MATCH(A772,ABC_XYZ!$A$5:$A$494,0)),"SIN HIST")</f>
        <v>SIN HIST</v>
      </c>
      <c r="G772" s="24" t="n">
        <f aca="false">IF(LEFT(F772,1)="A",Parametros!$B$8,IF(LEFT(F772,1)="B",Parametros!$B$9,IF(LEFT(F772,1)="C",Parametros!$B$10,Parametros!$B$11)))</f>
        <v>0.95</v>
      </c>
      <c r="H772" s="27" t="n">
        <f aca="false">NORMSINV(G772)</f>
        <v>1.64485362695147</v>
      </c>
      <c r="I772" s="23" t="n">
        <v>0</v>
      </c>
      <c r="J772" s="23" t="n">
        <f aca="false">IFERROR(INDEX(ABC_XYZ!$R$5:$R$494,MATCH(A772,ABC_XYZ!$A$5:$A$494,0)),I772*Parametros!$B$13)</f>
        <v>0</v>
      </c>
      <c r="K772" s="27" t="n">
        <f aca="false">IFERROR(VLOOKUP(C772,Parametros!$A$36:$B$66,2,FALSE()),Parametros!$B$12)</f>
        <v>1</v>
      </c>
      <c r="L772" s="23" t="n">
        <f aca="false">H772*J772*SQRT(K772)</f>
        <v>0</v>
      </c>
      <c r="M772" s="29"/>
      <c r="N772" s="24"/>
      <c r="O772" s="3"/>
      <c r="P772" s="30" t="str">
        <f aca="false">IF(AND(ISNUMBER(M772),ISNUMBER(N772)),M772*N772/7,"")</f>
        <v/>
      </c>
      <c r="Q772" s="23" t="str">
        <f aca="false">IF(ISNUMBER(P772),I772*P772,"")</f>
        <v/>
      </c>
      <c r="R772" s="23" t="n">
        <f aca="false">IF(ISNUMBER(Q772),MAX(0,MIN(L772,Q772-I772*K772)),L772)</f>
        <v>0</v>
      </c>
      <c r="S772" s="23" t="n">
        <f aca="false">R772+I772*K772</f>
        <v>0</v>
      </c>
      <c r="T772" s="23" t="n">
        <v>36069</v>
      </c>
      <c r="U772" s="23" t="n">
        <v>0</v>
      </c>
      <c r="V772" s="23" t="n">
        <f aca="false">T772+U772</f>
        <v>36069</v>
      </c>
      <c r="W772" s="30" t="str">
        <f aca="false">IF(I772&gt;0,V772/I772,"")</f>
        <v/>
      </c>
      <c r="X772" s="3" t="str">
        <f aca="false">IF(I772&lt;=0,"SIN FCST",IF(V772&lt;R772,"BAJO SS",IF(T772&lt;R772,"BAJO SS (XLIB CUBRE)",IF(V772&lt;S772,"BAJO P.REORDEN",IF(AND(ISNUMBER(Q772),V772&gt;Q772),"SOBRE MAX VENDIBLE","OK")))))</f>
        <v>SIN FCST</v>
      </c>
    </row>
    <row r="773" customFormat="false" ht="15" hidden="false" customHeight="false" outlineLevel="0" collapsed="false">
      <c r="A773" s="3" t="n">
        <v>30000852</v>
      </c>
      <c r="B773" s="3" t="s">
        <v>1314</v>
      </c>
      <c r="C773" s="3" t="s">
        <v>133</v>
      </c>
      <c r="D773" s="3" t="s">
        <v>758</v>
      </c>
      <c r="E773" s="3"/>
      <c r="F773" s="3" t="str">
        <f aca="false">IFERROR(INDEX(ABC_XYZ!$L$5:$L$494,MATCH(A773,ABC_XYZ!$A$5:$A$494,0)),"SIN HIST")</f>
        <v>SIN HIST</v>
      </c>
      <c r="G773" s="24" t="n">
        <f aca="false">IF(LEFT(F773,1)="A",Parametros!$B$8,IF(LEFT(F773,1)="B",Parametros!$B$9,IF(LEFT(F773,1)="C",Parametros!$B$10,Parametros!$B$11)))</f>
        <v>0.95</v>
      </c>
      <c r="H773" s="27" t="n">
        <f aca="false">NORMSINV(G773)</f>
        <v>1.64485362695147</v>
      </c>
      <c r="I773" s="23" t="n">
        <v>0</v>
      </c>
      <c r="J773" s="23" t="n">
        <f aca="false">IFERROR(INDEX(ABC_XYZ!$R$5:$R$494,MATCH(A773,ABC_XYZ!$A$5:$A$494,0)),I773*Parametros!$B$13)</f>
        <v>0</v>
      </c>
      <c r="K773" s="27" t="n">
        <f aca="false">IFERROR(VLOOKUP(C773,Parametros!$A$36:$B$66,2,FALSE()),Parametros!$B$12)</f>
        <v>1</v>
      </c>
      <c r="L773" s="23" t="n">
        <f aca="false">H773*J773*SQRT(K773)</f>
        <v>0</v>
      </c>
      <c r="M773" s="29"/>
      <c r="N773" s="24"/>
      <c r="O773" s="3"/>
      <c r="P773" s="30" t="str">
        <f aca="false">IF(AND(ISNUMBER(M773),ISNUMBER(N773)),M773*N773/7,"")</f>
        <v/>
      </c>
      <c r="Q773" s="23" t="str">
        <f aca="false">IF(ISNUMBER(P773),I773*P773,"")</f>
        <v/>
      </c>
      <c r="R773" s="23" t="n">
        <f aca="false">IF(ISNUMBER(Q773),MAX(0,MIN(L773,Q773-I773*K773)),L773)</f>
        <v>0</v>
      </c>
      <c r="S773" s="23" t="n">
        <f aca="false">R773+I773*K773</f>
        <v>0</v>
      </c>
      <c r="T773" s="23" t="n">
        <v>42322.5</v>
      </c>
      <c r="U773" s="23" t="n">
        <v>0</v>
      </c>
      <c r="V773" s="23" t="n">
        <f aca="false">T773+U773</f>
        <v>42322.5</v>
      </c>
      <c r="W773" s="30" t="str">
        <f aca="false">IF(I773&gt;0,V773/I773,"")</f>
        <v/>
      </c>
      <c r="X773" s="3" t="str">
        <f aca="false">IF(I773&lt;=0,"SIN FCST",IF(V773&lt;R773,"BAJO SS",IF(T773&lt;R773,"BAJO SS (XLIB CUBRE)",IF(V773&lt;S773,"BAJO P.REORDEN",IF(AND(ISNUMBER(Q773),V773&gt;Q773),"SOBRE MAX VENDIBLE","OK")))))</f>
        <v>SIN FCST</v>
      </c>
    </row>
    <row r="774" customFormat="false" ht="15" hidden="false" customHeight="false" outlineLevel="0" collapsed="false">
      <c r="A774" s="3" t="n">
        <v>30000875</v>
      </c>
      <c r="B774" s="3" t="s">
        <v>1315</v>
      </c>
      <c r="C774" s="3" t="s">
        <v>133</v>
      </c>
      <c r="D774" s="3" t="s">
        <v>758</v>
      </c>
      <c r="E774" s="3"/>
      <c r="F774" s="3" t="str">
        <f aca="false">IFERROR(INDEX(ABC_XYZ!$L$5:$L$494,MATCH(A774,ABC_XYZ!$A$5:$A$494,0)),"SIN HIST")</f>
        <v>SIN HIST</v>
      </c>
      <c r="G774" s="24" t="n">
        <f aca="false">IF(LEFT(F774,1)="A",Parametros!$B$8,IF(LEFT(F774,1)="B",Parametros!$B$9,IF(LEFT(F774,1)="C",Parametros!$B$10,Parametros!$B$11)))</f>
        <v>0.95</v>
      </c>
      <c r="H774" s="27" t="n">
        <f aca="false">NORMSINV(G774)</f>
        <v>1.64485362695147</v>
      </c>
      <c r="I774" s="23" t="n">
        <v>0</v>
      </c>
      <c r="J774" s="23" t="n">
        <f aca="false">IFERROR(INDEX(ABC_XYZ!$R$5:$R$494,MATCH(A774,ABC_XYZ!$A$5:$A$494,0)),I774*Parametros!$B$13)</f>
        <v>0</v>
      </c>
      <c r="K774" s="27" t="n">
        <f aca="false">IFERROR(VLOOKUP(C774,Parametros!$A$36:$B$66,2,FALSE()),Parametros!$B$12)</f>
        <v>1</v>
      </c>
      <c r="L774" s="23" t="n">
        <f aca="false">H774*J774*SQRT(K774)</f>
        <v>0</v>
      </c>
      <c r="M774" s="29"/>
      <c r="N774" s="24"/>
      <c r="O774" s="3"/>
      <c r="P774" s="30" t="str">
        <f aca="false">IF(AND(ISNUMBER(M774),ISNUMBER(N774)),M774*N774/7,"")</f>
        <v/>
      </c>
      <c r="Q774" s="23" t="str">
        <f aca="false">IF(ISNUMBER(P774),I774*P774,"")</f>
        <v/>
      </c>
      <c r="R774" s="23" t="n">
        <f aca="false">IF(ISNUMBER(Q774),MAX(0,MIN(L774,Q774-I774*K774)),L774)</f>
        <v>0</v>
      </c>
      <c r="S774" s="23" t="n">
        <f aca="false">R774+I774*K774</f>
        <v>0</v>
      </c>
      <c r="T774" s="23" t="n">
        <v>144</v>
      </c>
      <c r="U774" s="23" t="n">
        <v>0</v>
      </c>
      <c r="V774" s="23" t="n">
        <f aca="false">T774+U774</f>
        <v>144</v>
      </c>
      <c r="W774" s="30" t="str">
        <f aca="false">IF(I774&gt;0,V774/I774,"")</f>
        <v/>
      </c>
      <c r="X774" s="3" t="str">
        <f aca="false">IF(I774&lt;=0,"SIN FCST",IF(V774&lt;R774,"BAJO SS",IF(T774&lt;R774,"BAJO SS (XLIB CUBRE)",IF(V774&lt;S774,"BAJO P.REORDEN",IF(AND(ISNUMBER(Q774),V774&gt;Q774),"SOBRE MAX VENDIBLE","OK")))))</f>
        <v>SIN FCST</v>
      </c>
    </row>
    <row r="775" customFormat="false" ht="15" hidden="false" customHeight="false" outlineLevel="0" collapsed="false">
      <c r="A775" s="3" t="n">
        <v>30001905</v>
      </c>
      <c r="B775" s="3" t="s">
        <v>1316</v>
      </c>
      <c r="C775" s="3" t="s">
        <v>148</v>
      </c>
      <c r="D775" s="3" t="s">
        <v>753</v>
      </c>
      <c r="E775" s="3"/>
      <c r="F775" s="3" t="str">
        <f aca="false">IFERROR(INDEX(ABC_XYZ!$L$5:$L$494,MATCH(A775,ABC_XYZ!$A$5:$A$494,0)),"SIN HIST")</f>
        <v>SIN HIST</v>
      </c>
      <c r="G775" s="24" t="n">
        <f aca="false">IF(LEFT(F775,1)="A",Parametros!$B$8,IF(LEFT(F775,1)="B",Parametros!$B$9,IF(LEFT(F775,1)="C",Parametros!$B$10,Parametros!$B$11)))</f>
        <v>0.95</v>
      </c>
      <c r="H775" s="27" t="n">
        <f aca="false">NORMSINV(G775)</f>
        <v>1.64485362695147</v>
      </c>
      <c r="I775" s="23" t="n">
        <v>0</v>
      </c>
      <c r="J775" s="23" t="n">
        <f aca="false">IFERROR(INDEX(ABC_XYZ!$R$5:$R$494,MATCH(A775,ABC_XYZ!$A$5:$A$494,0)),I775*Parametros!$B$13)</f>
        <v>0</v>
      </c>
      <c r="K775" s="27" t="n">
        <f aca="false">IFERROR(VLOOKUP(C775,Parametros!$A$36:$B$66,2,FALSE()),Parametros!$B$12)</f>
        <v>1</v>
      </c>
      <c r="L775" s="23" t="n">
        <f aca="false">H775*J775*SQRT(K775)</f>
        <v>0</v>
      </c>
      <c r="M775" s="29"/>
      <c r="N775" s="24"/>
      <c r="O775" s="3"/>
      <c r="P775" s="30" t="str">
        <f aca="false">IF(AND(ISNUMBER(M775),ISNUMBER(N775)),M775*N775/7,"")</f>
        <v/>
      </c>
      <c r="Q775" s="23" t="str">
        <f aca="false">IF(ISNUMBER(P775),I775*P775,"")</f>
        <v/>
      </c>
      <c r="R775" s="23" t="n">
        <f aca="false">IF(ISNUMBER(Q775),MAX(0,MIN(L775,Q775-I775*K775)),L775)</f>
        <v>0</v>
      </c>
      <c r="S775" s="23" t="n">
        <f aca="false">R775+I775*K775</f>
        <v>0</v>
      </c>
      <c r="T775" s="23" t="n">
        <v>0</v>
      </c>
      <c r="U775" s="23" t="n">
        <v>8460</v>
      </c>
      <c r="V775" s="23" t="n">
        <f aca="false">T775+U775</f>
        <v>8460</v>
      </c>
      <c r="W775" s="30" t="str">
        <f aca="false">IF(I775&gt;0,V775/I775,"")</f>
        <v/>
      </c>
      <c r="X775" s="3" t="str">
        <f aca="false">IF(I775&lt;=0,"SIN FCST",IF(V775&lt;R775,"BAJO SS",IF(T775&lt;R775,"BAJO SS (XLIB CUBRE)",IF(V775&lt;S775,"BAJO P.REORDEN",IF(AND(ISNUMBER(Q775),V775&gt;Q775),"SOBRE MAX VENDIBLE","OK")))))</f>
        <v>SIN FCST</v>
      </c>
    </row>
    <row r="776" customFormat="false" ht="15" hidden="false" customHeight="false" outlineLevel="0" collapsed="false">
      <c r="A776" s="3" t="n">
        <v>30001906</v>
      </c>
      <c r="B776" s="3" t="s">
        <v>1317</v>
      </c>
      <c r="C776" s="3" t="s">
        <v>148</v>
      </c>
      <c r="D776" s="3" t="s">
        <v>753</v>
      </c>
      <c r="E776" s="3"/>
      <c r="F776" s="3" t="str">
        <f aca="false">IFERROR(INDEX(ABC_XYZ!$L$5:$L$494,MATCH(A776,ABC_XYZ!$A$5:$A$494,0)),"SIN HIST")</f>
        <v>SIN HIST</v>
      </c>
      <c r="G776" s="24" t="n">
        <f aca="false">IF(LEFT(F776,1)="A",Parametros!$B$8,IF(LEFT(F776,1)="B",Parametros!$B$9,IF(LEFT(F776,1)="C",Parametros!$B$10,Parametros!$B$11)))</f>
        <v>0.95</v>
      </c>
      <c r="H776" s="27" t="n">
        <f aca="false">NORMSINV(G776)</f>
        <v>1.64485362695147</v>
      </c>
      <c r="I776" s="23" t="n">
        <v>0</v>
      </c>
      <c r="J776" s="23" t="n">
        <f aca="false">IFERROR(INDEX(ABC_XYZ!$R$5:$R$494,MATCH(A776,ABC_XYZ!$A$5:$A$494,0)),I776*Parametros!$B$13)</f>
        <v>0</v>
      </c>
      <c r="K776" s="27" t="n">
        <f aca="false">IFERROR(VLOOKUP(C776,Parametros!$A$36:$B$66,2,FALSE()),Parametros!$B$12)</f>
        <v>1</v>
      </c>
      <c r="L776" s="23" t="n">
        <f aca="false">H776*J776*SQRT(K776)</f>
        <v>0</v>
      </c>
      <c r="M776" s="29"/>
      <c r="N776" s="24"/>
      <c r="O776" s="3"/>
      <c r="P776" s="30" t="str">
        <f aca="false">IF(AND(ISNUMBER(M776),ISNUMBER(N776)),M776*N776/7,"")</f>
        <v/>
      </c>
      <c r="Q776" s="23" t="str">
        <f aca="false">IF(ISNUMBER(P776),I776*P776,"")</f>
        <v/>
      </c>
      <c r="R776" s="23" t="n">
        <f aca="false">IF(ISNUMBER(Q776),MAX(0,MIN(L776,Q776-I776*K776)),L776)</f>
        <v>0</v>
      </c>
      <c r="S776" s="23" t="n">
        <f aca="false">R776+I776*K776</f>
        <v>0</v>
      </c>
      <c r="T776" s="23" t="n">
        <v>0</v>
      </c>
      <c r="U776" s="23" t="n">
        <v>26550</v>
      </c>
      <c r="V776" s="23" t="n">
        <f aca="false">T776+U776</f>
        <v>26550</v>
      </c>
      <c r="W776" s="30" t="str">
        <f aca="false">IF(I776&gt;0,V776/I776,"")</f>
        <v/>
      </c>
      <c r="X776" s="3" t="str">
        <f aca="false">IF(I776&lt;=0,"SIN FCST",IF(V776&lt;R776,"BAJO SS",IF(T776&lt;R776,"BAJO SS (XLIB CUBRE)",IF(V776&lt;S776,"BAJO P.REORDEN",IF(AND(ISNUMBER(Q776),V776&gt;Q776),"SOBRE MAX VENDIBLE","OK")))))</f>
        <v>SIN FCST</v>
      </c>
    </row>
    <row r="777" customFormat="false" ht="15" hidden="false" customHeight="false" outlineLevel="0" collapsed="false">
      <c r="A777" s="3" t="n">
        <v>20001971</v>
      </c>
      <c r="B777" s="3" t="s">
        <v>1318</v>
      </c>
      <c r="C777" s="3" t="s">
        <v>149</v>
      </c>
      <c r="D777" s="3" t="s">
        <v>744</v>
      </c>
      <c r="E777" s="3"/>
      <c r="F777" s="3" t="str">
        <f aca="false">IFERROR(INDEX(ABC_XYZ!$L$5:$L$494,MATCH(A777,ABC_XYZ!$A$5:$A$494,0)),"SIN HIST")</f>
        <v>SIN HIST</v>
      </c>
      <c r="G777" s="24" t="n">
        <f aca="false">IF(LEFT(F777,1)="A",Parametros!$B$8,IF(LEFT(F777,1)="B",Parametros!$B$9,IF(LEFT(F777,1)="C",Parametros!$B$10,Parametros!$B$11)))</f>
        <v>0.95</v>
      </c>
      <c r="H777" s="27" t="n">
        <f aca="false">NORMSINV(G777)</f>
        <v>1.64485362695147</v>
      </c>
      <c r="I777" s="23" t="n">
        <v>0</v>
      </c>
      <c r="J777" s="23" t="n">
        <f aca="false">IFERROR(INDEX(ABC_XYZ!$R$5:$R$494,MATCH(A777,ABC_XYZ!$A$5:$A$494,0)),I777*Parametros!$B$13)</f>
        <v>0</v>
      </c>
      <c r="K777" s="27" t="n">
        <f aca="false">IFERROR(VLOOKUP(C777,Parametros!$A$36:$B$66,2,FALSE()),Parametros!$B$12)</f>
        <v>1</v>
      </c>
      <c r="L777" s="23" t="n">
        <f aca="false">H777*J777*SQRT(K777)</f>
        <v>0</v>
      </c>
      <c r="M777" s="29"/>
      <c r="N777" s="24"/>
      <c r="O777" s="3"/>
      <c r="P777" s="30" t="str">
        <f aca="false">IF(AND(ISNUMBER(M777),ISNUMBER(N777)),M777*N777/7,"")</f>
        <v/>
      </c>
      <c r="Q777" s="23" t="str">
        <f aca="false">IF(ISNUMBER(P777),I777*P777,"")</f>
        <v/>
      </c>
      <c r="R777" s="23" t="n">
        <f aca="false">IF(ISNUMBER(Q777),MAX(0,MIN(L777,Q777-I777*K777)),L777)</f>
        <v>0</v>
      </c>
      <c r="S777" s="23" t="n">
        <f aca="false">R777+I777*K777</f>
        <v>0</v>
      </c>
      <c r="T777" s="23" t="n">
        <v>0</v>
      </c>
      <c r="U777" s="23" t="n">
        <v>0</v>
      </c>
      <c r="V777" s="23" t="n">
        <f aca="false">T777+U777</f>
        <v>0</v>
      </c>
      <c r="W777" s="30" t="str">
        <f aca="false">IF(I777&gt;0,V777/I777,"")</f>
        <v/>
      </c>
      <c r="X777" s="3" t="str">
        <f aca="false">IF(I777&lt;=0,"SIN FCST",IF(V777&lt;R777,"BAJO SS",IF(T777&lt;R777,"BAJO SS (XLIB CUBRE)",IF(V777&lt;S777,"BAJO P.REORDEN",IF(AND(ISNUMBER(Q777),V777&gt;Q777),"SOBRE MAX VENDIBLE","OK")))))</f>
        <v>SIN FCST</v>
      </c>
    </row>
    <row r="778" customFormat="false" ht="15" hidden="false" customHeight="false" outlineLevel="0" collapsed="false">
      <c r="A778" s="3" t="n">
        <v>20001974</v>
      </c>
      <c r="B778" s="3" t="s">
        <v>1319</v>
      </c>
      <c r="C778" s="3" t="s">
        <v>149</v>
      </c>
      <c r="D778" s="3" t="s">
        <v>744</v>
      </c>
      <c r="E778" s="3"/>
      <c r="F778" s="3" t="str">
        <f aca="false">IFERROR(INDEX(ABC_XYZ!$L$5:$L$494,MATCH(A778,ABC_XYZ!$A$5:$A$494,0)),"SIN HIST")</f>
        <v>SIN HIST</v>
      </c>
      <c r="G778" s="24" t="n">
        <f aca="false">IF(LEFT(F778,1)="A",Parametros!$B$8,IF(LEFT(F778,1)="B",Parametros!$B$9,IF(LEFT(F778,1)="C",Parametros!$B$10,Parametros!$B$11)))</f>
        <v>0.95</v>
      </c>
      <c r="H778" s="27" t="n">
        <f aca="false">NORMSINV(G778)</f>
        <v>1.64485362695147</v>
      </c>
      <c r="I778" s="23" t="n">
        <v>0</v>
      </c>
      <c r="J778" s="23" t="n">
        <f aca="false">IFERROR(INDEX(ABC_XYZ!$R$5:$R$494,MATCH(A778,ABC_XYZ!$A$5:$A$494,0)),I778*Parametros!$B$13)</f>
        <v>0</v>
      </c>
      <c r="K778" s="27" t="n">
        <f aca="false">IFERROR(VLOOKUP(C778,Parametros!$A$36:$B$66,2,FALSE()),Parametros!$B$12)</f>
        <v>1</v>
      </c>
      <c r="L778" s="23" t="n">
        <f aca="false">H778*J778*SQRT(K778)</f>
        <v>0</v>
      </c>
      <c r="M778" s="29"/>
      <c r="N778" s="24"/>
      <c r="O778" s="3"/>
      <c r="P778" s="30" t="str">
        <f aca="false">IF(AND(ISNUMBER(M778),ISNUMBER(N778)),M778*N778/7,"")</f>
        <v/>
      </c>
      <c r="Q778" s="23" t="str">
        <f aca="false">IF(ISNUMBER(P778),I778*P778,"")</f>
        <v/>
      </c>
      <c r="R778" s="23" t="n">
        <f aca="false">IF(ISNUMBER(Q778),MAX(0,MIN(L778,Q778-I778*K778)),L778)</f>
        <v>0</v>
      </c>
      <c r="S778" s="23" t="n">
        <f aca="false">R778+I778*K778</f>
        <v>0</v>
      </c>
      <c r="T778" s="23" t="n">
        <v>0</v>
      </c>
      <c r="U778" s="23" t="n">
        <v>22080</v>
      </c>
      <c r="V778" s="23" t="n">
        <f aca="false">T778+U778</f>
        <v>22080</v>
      </c>
      <c r="W778" s="30" t="str">
        <f aca="false">IF(I778&gt;0,V778/I778,"")</f>
        <v/>
      </c>
      <c r="X778" s="3" t="str">
        <f aca="false">IF(I778&lt;=0,"SIN FCST",IF(V778&lt;R778,"BAJO SS",IF(T778&lt;R778,"BAJO SS (XLIB CUBRE)",IF(V778&lt;S778,"BAJO P.REORDEN",IF(AND(ISNUMBER(Q778),V778&gt;Q778),"SOBRE MAX VENDIBLE","OK")))))</f>
        <v>SIN FCST</v>
      </c>
    </row>
    <row r="779" customFormat="false" ht="15" hidden="false" customHeight="false" outlineLevel="0" collapsed="false">
      <c r="A779" s="3" t="n">
        <v>30000829</v>
      </c>
      <c r="B779" s="3" t="s">
        <v>1320</v>
      </c>
      <c r="C779" s="3" t="s">
        <v>133</v>
      </c>
      <c r="D779" s="3" t="s">
        <v>758</v>
      </c>
      <c r="E779" s="3"/>
      <c r="F779" s="3" t="str">
        <f aca="false">IFERROR(INDEX(ABC_XYZ!$L$5:$L$494,MATCH(A779,ABC_XYZ!$A$5:$A$494,0)),"SIN HIST")</f>
        <v>SIN HIST</v>
      </c>
      <c r="G779" s="24" t="n">
        <f aca="false">IF(LEFT(F779,1)="A",Parametros!$B$8,IF(LEFT(F779,1)="B",Parametros!$B$9,IF(LEFT(F779,1)="C",Parametros!$B$10,Parametros!$B$11)))</f>
        <v>0.95</v>
      </c>
      <c r="H779" s="27" t="n">
        <f aca="false">NORMSINV(G779)</f>
        <v>1.64485362695147</v>
      </c>
      <c r="I779" s="23" t="n">
        <v>0</v>
      </c>
      <c r="J779" s="23" t="n">
        <f aca="false">IFERROR(INDEX(ABC_XYZ!$R$5:$R$494,MATCH(A779,ABC_XYZ!$A$5:$A$494,0)),I779*Parametros!$B$13)</f>
        <v>0</v>
      </c>
      <c r="K779" s="27" t="n">
        <f aca="false">IFERROR(VLOOKUP(C779,Parametros!$A$36:$B$66,2,FALSE()),Parametros!$B$12)</f>
        <v>1</v>
      </c>
      <c r="L779" s="23" t="n">
        <f aca="false">H779*J779*SQRT(K779)</f>
        <v>0</v>
      </c>
      <c r="M779" s="29"/>
      <c r="N779" s="24"/>
      <c r="O779" s="3"/>
      <c r="P779" s="30" t="str">
        <f aca="false">IF(AND(ISNUMBER(M779),ISNUMBER(N779)),M779*N779/7,"")</f>
        <v/>
      </c>
      <c r="Q779" s="23" t="str">
        <f aca="false">IF(ISNUMBER(P779),I779*P779,"")</f>
        <v/>
      </c>
      <c r="R779" s="23" t="n">
        <f aca="false">IF(ISNUMBER(Q779),MAX(0,MIN(L779,Q779-I779*K779)),L779)</f>
        <v>0</v>
      </c>
      <c r="S779" s="23" t="n">
        <f aca="false">R779+I779*K779</f>
        <v>0</v>
      </c>
      <c r="T779" s="23" t="n">
        <v>7870</v>
      </c>
      <c r="U779" s="23" t="n">
        <v>0</v>
      </c>
      <c r="V779" s="23" t="n">
        <f aca="false">T779+U779</f>
        <v>7870</v>
      </c>
      <c r="W779" s="30" t="str">
        <f aca="false">IF(I779&gt;0,V779/I779,"")</f>
        <v/>
      </c>
      <c r="X779" s="3" t="str">
        <f aca="false">IF(I779&lt;=0,"SIN FCST",IF(V779&lt;R779,"BAJO SS",IF(T779&lt;R779,"BAJO SS (XLIB CUBRE)",IF(V779&lt;S779,"BAJO P.REORDEN",IF(AND(ISNUMBER(Q779),V779&gt;Q779),"SOBRE MAX VENDIBLE","OK")))))</f>
        <v>SIN FCST</v>
      </c>
    </row>
    <row r="780" customFormat="false" ht="15" hidden="false" customHeight="false" outlineLevel="0" collapsed="false">
      <c r="A780" s="3" t="n">
        <v>30000849</v>
      </c>
      <c r="B780" s="3" t="s">
        <v>1321</v>
      </c>
      <c r="C780" s="3" t="s">
        <v>133</v>
      </c>
      <c r="D780" s="3" t="s">
        <v>758</v>
      </c>
      <c r="E780" s="3"/>
      <c r="F780" s="3" t="str">
        <f aca="false">IFERROR(INDEX(ABC_XYZ!$L$5:$L$494,MATCH(A780,ABC_XYZ!$A$5:$A$494,0)),"SIN HIST")</f>
        <v>SIN HIST</v>
      </c>
      <c r="G780" s="24" t="n">
        <f aca="false">IF(LEFT(F780,1)="A",Parametros!$B$8,IF(LEFT(F780,1)="B",Parametros!$B$9,IF(LEFT(F780,1)="C",Parametros!$B$10,Parametros!$B$11)))</f>
        <v>0.95</v>
      </c>
      <c r="H780" s="27" t="n">
        <f aca="false">NORMSINV(G780)</f>
        <v>1.64485362695147</v>
      </c>
      <c r="I780" s="23" t="n">
        <v>0</v>
      </c>
      <c r="J780" s="23" t="n">
        <f aca="false">IFERROR(INDEX(ABC_XYZ!$R$5:$R$494,MATCH(A780,ABC_XYZ!$A$5:$A$494,0)),I780*Parametros!$B$13)</f>
        <v>0</v>
      </c>
      <c r="K780" s="27" t="n">
        <f aca="false">IFERROR(VLOOKUP(C780,Parametros!$A$36:$B$66,2,FALSE()),Parametros!$B$12)</f>
        <v>1</v>
      </c>
      <c r="L780" s="23" t="n">
        <f aca="false">H780*J780*SQRT(K780)</f>
        <v>0</v>
      </c>
      <c r="M780" s="29"/>
      <c r="N780" s="24"/>
      <c r="O780" s="3"/>
      <c r="P780" s="30" t="str">
        <f aca="false">IF(AND(ISNUMBER(M780),ISNUMBER(N780)),M780*N780/7,"")</f>
        <v/>
      </c>
      <c r="Q780" s="23" t="str">
        <f aca="false">IF(ISNUMBER(P780),I780*P780,"")</f>
        <v/>
      </c>
      <c r="R780" s="23" t="n">
        <f aca="false">IF(ISNUMBER(Q780),MAX(0,MIN(L780,Q780-I780*K780)),L780)</f>
        <v>0</v>
      </c>
      <c r="S780" s="23" t="n">
        <f aca="false">R780+I780*K780</f>
        <v>0</v>
      </c>
      <c r="T780" s="23" t="n">
        <v>2160</v>
      </c>
      <c r="U780" s="23" t="n">
        <v>0</v>
      </c>
      <c r="V780" s="23" t="n">
        <f aca="false">T780+U780</f>
        <v>2160</v>
      </c>
      <c r="W780" s="30" t="str">
        <f aca="false">IF(I780&gt;0,V780/I780,"")</f>
        <v/>
      </c>
      <c r="X780" s="3" t="str">
        <f aca="false">IF(I780&lt;=0,"SIN FCST",IF(V780&lt;R780,"BAJO SS",IF(T780&lt;R780,"BAJO SS (XLIB CUBRE)",IF(V780&lt;S780,"BAJO P.REORDEN",IF(AND(ISNUMBER(Q780),V780&gt;Q780),"SOBRE MAX VENDIBLE","OK")))))</f>
        <v>SIN FCST</v>
      </c>
    </row>
    <row r="781" customFormat="false" ht="15" hidden="false" customHeight="false" outlineLevel="0" collapsed="false">
      <c r="A781" s="3" t="n">
        <v>30000837</v>
      </c>
      <c r="B781" s="3" t="s">
        <v>1322</v>
      </c>
      <c r="C781" s="3" t="s">
        <v>133</v>
      </c>
      <c r="D781" s="3" t="s">
        <v>758</v>
      </c>
      <c r="E781" s="3"/>
      <c r="F781" s="3" t="str">
        <f aca="false">IFERROR(INDEX(ABC_XYZ!$L$5:$L$494,MATCH(A781,ABC_XYZ!$A$5:$A$494,0)),"SIN HIST")</f>
        <v>SIN HIST</v>
      </c>
      <c r="G781" s="24" t="n">
        <f aca="false">IF(LEFT(F781,1)="A",Parametros!$B$8,IF(LEFT(F781,1)="B",Parametros!$B$9,IF(LEFT(F781,1)="C",Parametros!$B$10,Parametros!$B$11)))</f>
        <v>0.95</v>
      </c>
      <c r="H781" s="27" t="n">
        <f aca="false">NORMSINV(G781)</f>
        <v>1.64485362695147</v>
      </c>
      <c r="I781" s="23" t="n">
        <v>0</v>
      </c>
      <c r="J781" s="23" t="n">
        <f aca="false">IFERROR(INDEX(ABC_XYZ!$R$5:$R$494,MATCH(A781,ABC_XYZ!$A$5:$A$494,0)),I781*Parametros!$B$13)</f>
        <v>0</v>
      </c>
      <c r="K781" s="27" t="n">
        <f aca="false">IFERROR(VLOOKUP(C781,Parametros!$A$36:$B$66,2,FALSE()),Parametros!$B$12)</f>
        <v>1</v>
      </c>
      <c r="L781" s="23" t="n">
        <f aca="false">H781*J781*SQRT(K781)</f>
        <v>0</v>
      </c>
      <c r="M781" s="29"/>
      <c r="N781" s="24"/>
      <c r="O781" s="3"/>
      <c r="P781" s="30" t="str">
        <f aca="false">IF(AND(ISNUMBER(M781),ISNUMBER(N781)),M781*N781/7,"")</f>
        <v/>
      </c>
      <c r="Q781" s="23" t="str">
        <f aca="false">IF(ISNUMBER(P781),I781*P781,"")</f>
        <v/>
      </c>
      <c r="R781" s="23" t="n">
        <f aca="false">IF(ISNUMBER(Q781),MAX(0,MIN(L781,Q781-I781*K781)),L781)</f>
        <v>0</v>
      </c>
      <c r="S781" s="23" t="n">
        <f aca="false">R781+I781*K781</f>
        <v>0</v>
      </c>
      <c r="T781" s="23" t="n">
        <v>0</v>
      </c>
      <c r="U781" s="23" t="n">
        <v>0</v>
      </c>
      <c r="V781" s="23" t="n">
        <f aca="false">T781+U781</f>
        <v>0</v>
      </c>
      <c r="W781" s="30" t="str">
        <f aca="false">IF(I781&gt;0,V781/I781,"")</f>
        <v/>
      </c>
      <c r="X781" s="3" t="str">
        <f aca="false">IF(I781&lt;=0,"SIN FCST",IF(V781&lt;R781,"BAJO SS",IF(T781&lt;R781,"BAJO SS (XLIB CUBRE)",IF(V781&lt;S781,"BAJO P.REORDEN",IF(AND(ISNUMBER(Q781),V781&gt;Q781),"SOBRE MAX VENDIBLE","OK")))))</f>
        <v>SIN FCST</v>
      </c>
    </row>
    <row r="782" customFormat="false" ht="15" hidden="false" customHeight="false" outlineLevel="0" collapsed="false">
      <c r="A782" s="3" t="n">
        <v>30000844</v>
      </c>
      <c r="B782" s="3" t="s">
        <v>1323</v>
      </c>
      <c r="C782" s="3" t="s">
        <v>133</v>
      </c>
      <c r="D782" s="3" t="s">
        <v>758</v>
      </c>
      <c r="E782" s="3"/>
      <c r="F782" s="3" t="str">
        <f aca="false">IFERROR(INDEX(ABC_XYZ!$L$5:$L$494,MATCH(A782,ABC_XYZ!$A$5:$A$494,0)),"SIN HIST")</f>
        <v>SIN HIST</v>
      </c>
      <c r="G782" s="24" t="n">
        <f aca="false">IF(LEFT(F782,1)="A",Parametros!$B$8,IF(LEFT(F782,1)="B",Parametros!$B$9,IF(LEFT(F782,1)="C",Parametros!$B$10,Parametros!$B$11)))</f>
        <v>0.95</v>
      </c>
      <c r="H782" s="27" t="n">
        <f aca="false">NORMSINV(G782)</f>
        <v>1.64485362695147</v>
      </c>
      <c r="I782" s="23" t="n">
        <v>0</v>
      </c>
      <c r="J782" s="23" t="n">
        <f aca="false">IFERROR(INDEX(ABC_XYZ!$R$5:$R$494,MATCH(A782,ABC_XYZ!$A$5:$A$494,0)),I782*Parametros!$B$13)</f>
        <v>0</v>
      </c>
      <c r="K782" s="27" t="n">
        <f aca="false">IFERROR(VLOOKUP(C782,Parametros!$A$36:$B$66,2,FALSE()),Parametros!$B$12)</f>
        <v>1</v>
      </c>
      <c r="L782" s="23" t="n">
        <f aca="false">H782*J782*SQRT(K782)</f>
        <v>0</v>
      </c>
      <c r="M782" s="29"/>
      <c r="N782" s="24"/>
      <c r="O782" s="3"/>
      <c r="P782" s="30" t="str">
        <f aca="false">IF(AND(ISNUMBER(M782),ISNUMBER(N782)),M782*N782/7,"")</f>
        <v/>
      </c>
      <c r="Q782" s="23" t="str">
        <f aca="false">IF(ISNUMBER(P782),I782*P782,"")</f>
        <v/>
      </c>
      <c r="R782" s="23" t="n">
        <f aca="false">IF(ISNUMBER(Q782),MAX(0,MIN(L782,Q782-I782*K782)),L782)</f>
        <v>0</v>
      </c>
      <c r="S782" s="23" t="n">
        <f aca="false">R782+I782*K782</f>
        <v>0</v>
      </c>
      <c r="T782" s="23" t="n">
        <v>13014</v>
      </c>
      <c r="U782" s="23" t="n">
        <v>0</v>
      </c>
      <c r="V782" s="23" t="n">
        <f aca="false">T782+U782</f>
        <v>13014</v>
      </c>
      <c r="W782" s="30" t="str">
        <f aca="false">IF(I782&gt;0,V782/I782,"")</f>
        <v/>
      </c>
      <c r="X782" s="3" t="str">
        <f aca="false">IF(I782&lt;=0,"SIN FCST",IF(V782&lt;R782,"BAJO SS",IF(T782&lt;R782,"BAJO SS (XLIB CUBRE)",IF(V782&lt;S782,"BAJO P.REORDEN",IF(AND(ISNUMBER(Q782),V782&gt;Q782),"SOBRE MAX VENDIBLE","OK")))))</f>
        <v>SIN FCST</v>
      </c>
    </row>
    <row r="783" customFormat="false" ht="15" hidden="false" customHeight="false" outlineLevel="0" collapsed="false">
      <c r="A783" s="3" t="n">
        <v>30002260</v>
      </c>
      <c r="B783" s="3" t="s">
        <v>1324</v>
      </c>
      <c r="C783" s="3" t="s">
        <v>133</v>
      </c>
      <c r="D783" s="3" t="s">
        <v>758</v>
      </c>
      <c r="E783" s="3"/>
      <c r="F783" s="3" t="str">
        <f aca="false">IFERROR(INDEX(ABC_XYZ!$L$5:$L$494,MATCH(A783,ABC_XYZ!$A$5:$A$494,0)),"SIN HIST")</f>
        <v>SIN HIST</v>
      </c>
      <c r="G783" s="24" t="n">
        <f aca="false">IF(LEFT(F783,1)="A",Parametros!$B$8,IF(LEFT(F783,1)="B",Parametros!$B$9,IF(LEFT(F783,1)="C",Parametros!$B$10,Parametros!$B$11)))</f>
        <v>0.95</v>
      </c>
      <c r="H783" s="27" t="n">
        <f aca="false">NORMSINV(G783)</f>
        <v>1.64485362695147</v>
      </c>
      <c r="I783" s="23" t="n">
        <v>0</v>
      </c>
      <c r="J783" s="23" t="n">
        <f aca="false">IFERROR(INDEX(ABC_XYZ!$R$5:$R$494,MATCH(A783,ABC_XYZ!$A$5:$A$494,0)),I783*Parametros!$B$13)</f>
        <v>0</v>
      </c>
      <c r="K783" s="27" t="n">
        <f aca="false">IFERROR(VLOOKUP(C783,Parametros!$A$36:$B$66,2,FALSE()),Parametros!$B$12)</f>
        <v>1</v>
      </c>
      <c r="L783" s="23" t="n">
        <f aca="false">H783*J783*SQRT(K783)</f>
        <v>0</v>
      </c>
      <c r="M783" s="29"/>
      <c r="N783" s="24"/>
      <c r="O783" s="3"/>
      <c r="P783" s="30" t="str">
        <f aca="false">IF(AND(ISNUMBER(M783),ISNUMBER(N783)),M783*N783/7,"")</f>
        <v/>
      </c>
      <c r="Q783" s="23" t="str">
        <f aca="false">IF(ISNUMBER(P783),I783*P783,"")</f>
        <v/>
      </c>
      <c r="R783" s="23" t="n">
        <f aca="false">IF(ISNUMBER(Q783),MAX(0,MIN(L783,Q783-I783*K783)),L783)</f>
        <v>0</v>
      </c>
      <c r="S783" s="23" t="n">
        <f aca="false">R783+I783*K783</f>
        <v>0</v>
      </c>
      <c r="T783" s="23" t="n">
        <v>253.4</v>
      </c>
      <c r="U783" s="23" t="n">
        <v>557</v>
      </c>
      <c r="V783" s="23" t="n">
        <f aca="false">T783+U783</f>
        <v>810.4</v>
      </c>
      <c r="W783" s="30" t="str">
        <f aca="false">IF(I783&gt;0,V783/I783,"")</f>
        <v/>
      </c>
      <c r="X783" s="3" t="str">
        <f aca="false">IF(I783&lt;=0,"SIN FCST",IF(V783&lt;R783,"BAJO SS",IF(T783&lt;R783,"BAJO SS (XLIB CUBRE)",IF(V783&lt;S783,"BAJO P.REORDEN",IF(AND(ISNUMBER(Q783),V783&gt;Q783),"SOBRE MAX VENDIBLE","OK")))))</f>
        <v>SIN FCST</v>
      </c>
    </row>
    <row r="784" customFormat="false" ht="15" hidden="false" customHeight="false" outlineLevel="0" collapsed="false">
      <c r="A784" s="3" t="n">
        <v>30000996</v>
      </c>
      <c r="B784" s="3" t="s">
        <v>1325</v>
      </c>
      <c r="C784" s="3" t="s">
        <v>133</v>
      </c>
      <c r="D784" s="3" t="s">
        <v>758</v>
      </c>
      <c r="E784" s="3"/>
      <c r="F784" s="3" t="str">
        <f aca="false">IFERROR(INDEX(ABC_XYZ!$L$5:$L$494,MATCH(A784,ABC_XYZ!$A$5:$A$494,0)),"SIN HIST")</f>
        <v>SIN HIST</v>
      </c>
      <c r="G784" s="24" t="n">
        <f aca="false">IF(LEFT(F784,1)="A",Parametros!$B$8,IF(LEFT(F784,1)="B",Parametros!$B$9,IF(LEFT(F784,1)="C",Parametros!$B$10,Parametros!$B$11)))</f>
        <v>0.95</v>
      </c>
      <c r="H784" s="27" t="n">
        <f aca="false">NORMSINV(G784)</f>
        <v>1.64485362695147</v>
      </c>
      <c r="I784" s="23" t="n">
        <v>0</v>
      </c>
      <c r="J784" s="23" t="n">
        <f aca="false">IFERROR(INDEX(ABC_XYZ!$R$5:$R$494,MATCH(A784,ABC_XYZ!$A$5:$A$494,0)),I784*Parametros!$B$13)</f>
        <v>0</v>
      </c>
      <c r="K784" s="27" t="n">
        <f aca="false">IFERROR(VLOOKUP(C784,Parametros!$A$36:$B$66,2,FALSE()),Parametros!$B$12)</f>
        <v>1</v>
      </c>
      <c r="L784" s="23" t="n">
        <f aca="false">H784*J784*SQRT(K784)</f>
        <v>0</v>
      </c>
      <c r="M784" s="29"/>
      <c r="N784" s="24"/>
      <c r="O784" s="3"/>
      <c r="P784" s="30" t="str">
        <f aca="false">IF(AND(ISNUMBER(M784),ISNUMBER(N784)),M784*N784/7,"")</f>
        <v/>
      </c>
      <c r="Q784" s="23" t="str">
        <f aca="false">IF(ISNUMBER(P784),I784*P784,"")</f>
        <v/>
      </c>
      <c r="R784" s="23" t="n">
        <f aca="false">IF(ISNUMBER(Q784),MAX(0,MIN(L784,Q784-I784*K784)),L784)</f>
        <v>0</v>
      </c>
      <c r="S784" s="23" t="n">
        <f aca="false">R784+I784*K784</f>
        <v>0</v>
      </c>
      <c r="T784" s="23" t="n">
        <v>0</v>
      </c>
      <c r="U784" s="23" t="n">
        <v>0</v>
      </c>
      <c r="V784" s="23" t="n">
        <f aca="false">T784+U784</f>
        <v>0</v>
      </c>
      <c r="W784" s="30" t="str">
        <f aca="false">IF(I784&gt;0,V784/I784,"")</f>
        <v/>
      </c>
      <c r="X784" s="3" t="str">
        <f aca="false">IF(I784&lt;=0,"SIN FCST",IF(V784&lt;R784,"BAJO SS",IF(T784&lt;R784,"BAJO SS (XLIB CUBRE)",IF(V784&lt;S784,"BAJO P.REORDEN",IF(AND(ISNUMBER(Q784),V784&gt;Q784),"SOBRE MAX VENDIBLE","OK")))))</f>
        <v>SIN FCST</v>
      </c>
    </row>
    <row r="785" customFormat="false" ht="15" hidden="false" customHeight="false" outlineLevel="0" collapsed="false">
      <c r="A785" s="3" t="n">
        <v>30000520</v>
      </c>
      <c r="B785" s="3" t="s">
        <v>1326</v>
      </c>
      <c r="C785" s="3" t="s">
        <v>148</v>
      </c>
      <c r="D785" s="3" t="s">
        <v>753</v>
      </c>
      <c r="E785" s="3" t="s">
        <v>745</v>
      </c>
      <c r="F785" s="3" t="str">
        <f aca="false">IFERROR(INDEX(ABC_XYZ!$L$5:$L$494,MATCH(A785,ABC_XYZ!$A$5:$A$494,0)),"SIN HIST")</f>
        <v>SIN HIST</v>
      </c>
      <c r="G785" s="24" t="n">
        <f aca="false">IF(LEFT(F785,1)="A",Parametros!$B$8,IF(LEFT(F785,1)="B",Parametros!$B$9,IF(LEFT(F785,1)="C",Parametros!$B$10,Parametros!$B$11)))</f>
        <v>0.95</v>
      </c>
      <c r="H785" s="27" t="n">
        <f aca="false">NORMSINV(G785)</f>
        <v>1.64485362695147</v>
      </c>
      <c r="I785" s="23" t="n">
        <v>0</v>
      </c>
      <c r="J785" s="23" t="n">
        <f aca="false">IFERROR(INDEX(ABC_XYZ!$R$5:$R$494,MATCH(A785,ABC_XYZ!$A$5:$A$494,0)),I785*Parametros!$B$13)</f>
        <v>0</v>
      </c>
      <c r="K785" s="27" t="n">
        <f aca="false">IFERROR(VLOOKUP(C785,Parametros!$A$36:$B$66,2,FALSE()),Parametros!$B$12)</f>
        <v>1</v>
      </c>
      <c r="L785" s="23" t="n">
        <f aca="false">H785*J785*SQRT(K785)</f>
        <v>0</v>
      </c>
      <c r="M785" s="29" t="n">
        <v>123</v>
      </c>
      <c r="N785" s="24" t="n">
        <v>0.219512195121951</v>
      </c>
      <c r="O785" s="3" t="s">
        <v>754</v>
      </c>
      <c r="P785" s="30" t="n">
        <f aca="false">IF(AND(ISNUMBER(M785),ISNUMBER(N785)),M785*N785/7,"")</f>
        <v>3.85714285714286</v>
      </c>
      <c r="Q785" s="23" t="n">
        <f aca="false">IF(ISNUMBER(P785),I785*P785,"")</f>
        <v>0</v>
      </c>
      <c r="R785" s="23" t="n">
        <f aca="false">IF(ISNUMBER(Q785),MAX(0,MIN(L785,Q785-I785*K785)),L785)</f>
        <v>0</v>
      </c>
      <c r="S785" s="23" t="n">
        <f aca="false">R785+I785*K785</f>
        <v>0</v>
      </c>
      <c r="T785" s="23" t="n">
        <v>96698.4</v>
      </c>
      <c r="U785" s="23" t="n">
        <v>4644</v>
      </c>
      <c r="V785" s="23" t="n">
        <f aca="false">T785+U785</f>
        <v>101342.4</v>
      </c>
      <c r="W785" s="30" t="str">
        <f aca="false">IF(I785&gt;0,V785/I785,"")</f>
        <v/>
      </c>
      <c r="X785" s="3" t="str">
        <f aca="false">IF(I785&lt;=0,"SIN FCST",IF(V785&lt;R785,"BAJO SS",IF(T785&lt;R785,"BAJO SS (XLIB CUBRE)",IF(V785&lt;S785,"BAJO P.REORDEN",IF(AND(ISNUMBER(Q785),V785&gt;Q785),"SOBRE MAX VENDIBLE","OK")))))</f>
        <v>SIN FCST</v>
      </c>
    </row>
    <row r="786" customFormat="false" ht="15" hidden="false" customHeight="false" outlineLevel="0" collapsed="false">
      <c r="A786" s="3" t="n">
        <v>30000521</v>
      </c>
      <c r="B786" s="3" t="s">
        <v>1327</v>
      </c>
      <c r="C786" s="3" t="s">
        <v>148</v>
      </c>
      <c r="D786" s="3" t="s">
        <v>753</v>
      </c>
      <c r="E786" s="3" t="s">
        <v>745</v>
      </c>
      <c r="F786" s="3" t="str">
        <f aca="false">IFERROR(INDEX(ABC_XYZ!$L$5:$L$494,MATCH(A786,ABC_XYZ!$A$5:$A$494,0)),"SIN HIST")</f>
        <v>SIN HIST</v>
      </c>
      <c r="G786" s="24" t="n">
        <f aca="false">IF(LEFT(F786,1)="A",Parametros!$B$8,IF(LEFT(F786,1)="B",Parametros!$B$9,IF(LEFT(F786,1)="C",Parametros!$B$10,Parametros!$B$11)))</f>
        <v>0.95</v>
      </c>
      <c r="H786" s="27" t="n">
        <f aca="false">NORMSINV(G786)</f>
        <v>1.64485362695147</v>
      </c>
      <c r="I786" s="23" t="n">
        <v>0</v>
      </c>
      <c r="J786" s="23" t="n">
        <f aca="false">IFERROR(INDEX(ABC_XYZ!$R$5:$R$494,MATCH(A786,ABC_XYZ!$A$5:$A$494,0)),I786*Parametros!$B$13)</f>
        <v>0</v>
      </c>
      <c r="K786" s="27" t="n">
        <f aca="false">IFERROR(VLOOKUP(C786,Parametros!$A$36:$B$66,2,FALSE()),Parametros!$B$12)</f>
        <v>1</v>
      </c>
      <c r="L786" s="23" t="n">
        <f aca="false">H786*J786*SQRT(K786)</f>
        <v>0</v>
      </c>
      <c r="M786" s="29" t="n">
        <v>184</v>
      </c>
      <c r="N786" s="24" t="n">
        <v>0.190217391304348</v>
      </c>
      <c r="O786" s="3" t="s">
        <v>746</v>
      </c>
      <c r="P786" s="30" t="n">
        <f aca="false">IF(AND(ISNUMBER(M786),ISNUMBER(N786)),M786*N786/7,"")</f>
        <v>5</v>
      </c>
      <c r="Q786" s="23" t="n">
        <f aca="false">IF(ISNUMBER(P786),I786*P786,"")</f>
        <v>0</v>
      </c>
      <c r="R786" s="23" t="n">
        <f aca="false">IF(ISNUMBER(Q786),MAX(0,MIN(L786,Q786-I786*K786)),L786)</f>
        <v>0</v>
      </c>
      <c r="S786" s="23" t="n">
        <f aca="false">R786+I786*K786</f>
        <v>0</v>
      </c>
      <c r="T786" s="23" t="n">
        <v>20382</v>
      </c>
      <c r="U786" s="23" t="n">
        <v>0</v>
      </c>
      <c r="V786" s="23" t="n">
        <f aca="false">T786+U786</f>
        <v>20382</v>
      </c>
      <c r="W786" s="30" t="str">
        <f aca="false">IF(I786&gt;0,V786/I786,"")</f>
        <v/>
      </c>
      <c r="X786" s="3" t="str">
        <f aca="false">IF(I786&lt;=0,"SIN FCST",IF(V786&lt;R786,"BAJO SS",IF(T786&lt;R786,"BAJO SS (XLIB CUBRE)",IF(V786&lt;S786,"BAJO P.REORDEN",IF(AND(ISNUMBER(Q786),V786&gt;Q786),"SOBRE MAX VENDIBLE","OK")))))</f>
        <v>SIN FCST</v>
      </c>
    </row>
    <row r="787" customFormat="false" ht="15" hidden="false" customHeight="false" outlineLevel="0" collapsed="false">
      <c r="A787" s="3" t="n">
        <v>30000974</v>
      </c>
      <c r="B787" s="3" t="s">
        <v>1328</v>
      </c>
      <c r="C787" s="3" t="s">
        <v>133</v>
      </c>
      <c r="D787" s="3" t="s">
        <v>769</v>
      </c>
      <c r="E787" s="3"/>
      <c r="F787" s="3" t="str">
        <f aca="false">IFERROR(INDEX(ABC_XYZ!$L$5:$L$494,MATCH(A787,ABC_XYZ!$A$5:$A$494,0)),"SIN HIST")</f>
        <v>SIN HIST</v>
      </c>
      <c r="G787" s="24" t="n">
        <f aca="false">IF(LEFT(F787,1)="A",Parametros!$B$8,IF(LEFT(F787,1)="B",Parametros!$B$9,IF(LEFT(F787,1)="C",Parametros!$B$10,Parametros!$B$11)))</f>
        <v>0.95</v>
      </c>
      <c r="H787" s="27" t="n">
        <f aca="false">NORMSINV(G787)</f>
        <v>1.64485362695147</v>
      </c>
      <c r="I787" s="23" t="n">
        <v>0</v>
      </c>
      <c r="J787" s="23" t="n">
        <f aca="false">IFERROR(INDEX(ABC_XYZ!$R$5:$R$494,MATCH(A787,ABC_XYZ!$A$5:$A$494,0)),I787*Parametros!$B$13)</f>
        <v>0</v>
      </c>
      <c r="K787" s="27" t="n">
        <f aca="false">IFERROR(VLOOKUP(C787,Parametros!$A$36:$B$66,2,FALSE()),Parametros!$B$12)</f>
        <v>1</v>
      </c>
      <c r="L787" s="23" t="n">
        <f aca="false">H787*J787*SQRT(K787)</f>
        <v>0</v>
      </c>
      <c r="M787" s="29"/>
      <c r="N787" s="24"/>
      <c r="O787" s="3"/>
      <c r="P787" s="30" t="str">
        <f aca="false">IF(AND(ISNUMBER(M787),ISNUMBER(N787)),M787*N787/7,"")</f>
        <v/>
      </c>
      <c r="Q787" s="23" t="str">
        <f aca="false">IF(ISNUMBER(P787),I787*P787,"")</f>
        <v/>
      </c>
      <c r="R787" s="23" t="n">
        <f aca="false">IF(ISNUMBER(Q787),MAX(0,MIN(L787,Q787-I787*K787)),L787)</f>
        <v>0</v>
      </c>
      <c r="S787" s="23" t="n">
        <f aca="false">R787+I787*K787</f>
        <v>0</v>
      </c>
      <c r="T787" s="23" t="n">
        <v>0</v>
      </c>
      <c r="U787" s="23" t="n">
        <v>0</v>
      </c>
      <c r="V787" s="23" t="n">
        <f aca="false">T787+U787</f>
        <v>0</v>
      </c>
      <c r="W787" s="30" t="str">
        <f aca="false">IF(I787&gt;0,V787/I787,"")</f>
        <v/>
      </c>
      <c r="X787" s="3" t="str">
        <f aca="false">IF(I787&lt;=0,"SIN FCST",IF(V787&lt;R787,"BAJO SS",IF(T787&lt;R787,"BAJO SS (XLIB CUBRE)",IF(V787&lt;S787,"BAJO P.REORDEN",IF(AND(ISNUMBER(Q787),V787&gt;Q787),"SOBRE MAX VENDIBLE","OK")))))</f>
        <v>SIN FCST</v>
      </c>
    </row>
    <row r="788" customFormat="false" ht="15" hidden="false" customHeight="false" outlineLevel="0" collapsed="false">
      <c r="A788" s="3" t="n">
        <v>30001150</v>
      </c>
      <c r="B788" s="3" t="s">
        <v>1329</v>
      </c>
      <c r="C788" s="3" t="s">
        <v>138</v>
      </c>
      <c r="D788" s="3" t="s">
        <v>744</v>
      </c>
      <c r="E788" s="3" t="s">
        <v>745</v>
      </c>
      <c r="F788" s="3" t="str">
        <f aca="false">IFERROR(INDEX(ABC_XYZ!$L$5:$L$494,MATCH(A788,ABC_XYZ!$A$5:$A$494,0)),"SIN HIST")</f>
        <v>CZ</v>
      </c>
      <c r="G788" s="24" t="n">
        <f aca="false">IF(LEFT(F788,1)="A",Parametros!$B$8,IF(LEFT(F788,1)="B",Parametros!$B$9,IF(LEFT(F788,1)="C",Parametros!$B$10,Parametros!$B$11)))</f>
        <v>0.9</v>
      </c>
      <c r="H788" s="27" t="n">
        <f aca="false">NORMSINV(G788)</f>
        <v>1.2815515655446</v>
      </c>
      <c r="I788" s="23" t="n">
        <v>0</v>
      </c>
      <c r="J788" s="23" t="n">
        <f aca="false">IFERROR(INDEX(ABC_XYZ!$R$5:$R$494,MATCH(A788,ABC_XYZ!$A$5:$A$494,0)),I788*Parametros!$B$13)</f>
        <v>0</v>
      </c>
      <c r="K788" s="27" t="n">
        <f aca="false">IFERROR(VLOOKUP(C788,Parametros!$A$36:$B$66,2,FALSE()),Parametros!$B$12)</f>
        <v>1</v>
      </c>
      <c r="L788" s="23" t="n">
        <f aca="false">H788*J788*SQRT(K788)</f>
        <v>0</v>
      </c>
      <c r="M788" s="29" t="n">
        <v>365</v>
      </c>
      <c r="N788" s="24" t="n">
        <v>0.194520547945206</v>
      </c>
      <c r="O788" s="3" t="s">
        <v>746</v>
      </c>
      <c r="P788" s="30" t="n">
        <f aca="false">IF(AND(ISNUMBER(M788),ISNUMBER(N788)),M788*N788/7,"")</f>
        <v>10.1428571428571</v>
      </c>
      <c r="Q788" s="23" t="n">
        <f aca="false">IF(ISNUMBER(P788),I788*P788,"")</f>
        <v>0</v>
      </c>
      <c r="R788" s="23" t="n">
        <f aca="false">IF(ISNUMBER(Q788),MAX(0,MIN(L788,Q788-I788*K788)),L788)</f>
        <v>0</v>
      </c>
      <c r="S788" s="23" t="n">
        <f aca="false">R788+I788*K788</f>
        <v>0</v>
      </c>
      <c r="T788" s="23" t="n">
        <v>9</v>
      </c>
      <c r="U788" s="23" t="n">
        <v>0</v>
      </c>
      <c r="V788" s="23" t="n">
        <f aca="false">T788+U788</f>
        <v>9</v>
      </c>
      <c r="W788" s="30" t="str">
        <f aca="false">IF(I788&gt;0,V788/I788,"")</f>
        <v/>
      </c>
      <c r="X788" s="3" t="str">
        <f aca="false">IF(I788&lt;=0,"SIN FCST",IF(V788&lt;R788,"BAJO SS",IF(T788&lt;R788,"BAJO SS (XLIB CUBRE)",IF(V788&lt;S788,"BAJO P.REORDEN",IF(AND(ISNUMBER(Q788),V788&gt;Q788),"SOBRE MAX VENDIBLE","OK")))))</f>
        <v>SIN FCST</v>
      </c>
    </row>
    <row r="789" customFormat="false" ht="15" hidden="false" customHeight="false" outlineLevel="0" collapsed="false">
      <c r="A789" s="3" t="n">
        <v>30000743</v>
      </c>
      <c r="B789" s="3" t="s">
        <v>1330</v>
      </c>
      <c r="C789" s="3" t="s">
        <v>133</v>
      </c>
      <c r="D789" s="3" t="s">
        <v>758</v>
      </c>
      <c r="E789" s="3"/>
      <c r="F789" s="3" t="str">
        <f aca="false">IFERROR(INDEX(ABC_XYZ!$L$5:$L$494,MATCH(A789,ABC_XYZ!$A$5:$A$494,0)),"SIN HIST")</f>
        <v>SIN HIST</v>
      </c>
      <c r="G789" s="24" t="n">
        <f aca="false">IF(LEFT(F789,1)="A",Parametros!$B$8,IF(LEFT(F789,1)="B",Parametros!$B$9,IF(LEFT(F789,1)="C",Parametros!$B$10,Parametros!$B$11)))</f>
        <v>0.95</v>
      </c>
      <c r="H789" s="27" t="n">
        <f aca="false">NORMSINV(G789)</f>
        <v>1.64485362695147</v>
      </c>
      <c r="I789" s="23" t="n">
        <v>0</v>
      </c>
      <c r="J789" s="23" t="n">
        <f aca="false">IFERROR(INDEX(ABC_XYZ!$R$5:$R$494,MATCH(A789,ABC_XYZ!$A$5:$A$494,0)),I789*Parametros!$B$13)</f>
        <v>0</v>
      </c>
      <c r="K789" s="27" t="n">
        <f aca="false">IFERROR(VLOOKUP(C789,Parametros!$A$36:$B$66,2,FALSE()),Parametros!$B$12)</f>
        <v>1</v>
      </c>
      <c r="L789" s="23" t="n">
        <f aca="false">H789*J789*SQRT(K789)</f>
        <v>0</v>
      </c>
      <c r="M789" s="29"/>
      <c r="N789" s="24"/>
      <c r="O789" s="3"/>
      <c r="P789" s="30" t="str">
        <f aca="false">IF(AND(ISNUMBER(M789),ISNUMBER(N789)),M789*N789/7,"")</f>
        <v/>
      </c>
      <c r="Q789" s="23" t="str">
        <f aca="false">IF(ISNUMBER(P789),I789*P789,"")</f>
        <v/>
      </c>
      <c r="R789" s="23" t="n">
        <f aca="false">IF(ISNUMBER(Q789),MAX(0,MIN(L789,Q789-I789*K789)),L789)</f>
        <v>0</v>
      </c>
      <c r="S789" s="23" t="n">
        <f aca="false">R789+I789*K789</f>
        <v>0</v>
      </c>
      <c r="T789" s="23" t="n">
        <v>3712</v>
      </c>
      <c r="U789" s="23" t="n">
        <v>0</v>
      </c>
      <c r="V789" s="23" t="n">
        <f aca="false">T789+U789</f>
        <v>3712</v>
      </c>
      <c r="W789" s="30" t="str">
        <f aca="false">IF(I789&gt;0,V789/I789,"")</f>
        <v/>
      </c>
      <c r="X789" s="3" t="str">
        <f aca="false">IF(I789&lt;=0,"SIN FCST",IF(V789&lt;R789,"BAJO SS",IF(T789&lt;R789,"BAJO SS (XLIB CUBRE)",IF(V789&lt;S789,"BAJO P.REORDEN",IF(AND(ISNUMBER(Q789),V789&gt;Q789),"SOBRE MAX VENDIBLE","OK")))))</f>
        <v>SIN FCST</v>
      </c>
    </row>
    <row r="790" customFormat="false" ht="15" hidden="false" customHeight="false" outlineLevel="0" collapsed="false">
      <c r="A790" s="3" t="n">
        <v>30000744</v>
      </c>
      <c r="B790" s="3" t="s">
        <v>1331</v>
      </c>
      <c r="C790" s="3" t="s">
        <v>133</v>
      </c>
      <c r="D790" s="3" t="s">
        <v>758</v>
      </c>
      <c r="E790" s="3"/>
      <c r="F790" s="3" t="str">
        <f aca="false">IFERROR(INDEX(ABC_XYZ!$L$5:$L$494,MATCH(A790,ABC_XYZ!$A$5:$A$494,0)),"SIN HIST")</f>
        <v>SIN HIST</v>
      </c>
      <c r="G790" s="24" t="n">
        <f aca="false">IF(LEFT(F790,1)="A",Parametros!$B$8,IF(LEFT(F790,1)="B",Parametros!$B$9,IF(LEFT(F790,1)="C",Parametros!$B$10,Parametros!$B$11)))</f>
        <v>0.95</v>
      </c>
      <c r="H790" s="27" t="n">
        <f aca="false">NORMSINV(G790)</f>
        <v>1.64485362695147</v>
      </c>
      <c r="I790" s="23" t="n">
        <v>0</v>
      </c>
      <c r="J790" s="23" t="n">
        <f aca="false">IFERROR(INDEX(ABC_XYZ!$R$5:$R$494,MATCH(A790,ABC_XYZ!$A$5:$A$494,0)),I790*Parametros!$B$13)</f>
        <v>0</v>
      </c>
      <c r="K790" s="27" t="n">
        <f aca="false">IFERROR(VLOOKUP(C790,Parametros!$A$36:$B$66,2,FALSE()),Parametros!$B$12)</f>
        <v>1</v>
      </c>
      <c r="L790" s="23" t="n">
        <f aca="false">H790*J790*SQRT(K790)</f>
        <v>0</v>
      </c>
      <c r="M790" s="29"/>
      <c r="N790" s="24"/>
      <c r="O790" s="3"/>
      <c r="P790" s="30" t="str">
        <f aca="false">IF(AND(ISNUMBER(M790),ISNUMBER(N790)),M790*N790/7,"")</f>
        <v/>
      </c>
      <c r="Q790" s="23" t="str">
        <f aca="false">IF(ISNUMBER(P790),I790*P790,"")</f>
        <v/>
      </c>
      <c r="R790" s="23" t="n">
        <f aca="false">IF(ISNUMBER(Q790),MAX(0,MIN(L790,Q790-I790*K790)),L790)</f>
        <v>0</v>
      </c>
      <c r="S790" s="23" t="n">
        <f aca="false">R790+I790*K790</f>
        <v>0</v>
      </c>
      <c r="T790" s="23" t="n">
        <v>4704</v>
      </c>
      <c r="U790" s="23" t="n">
        <v>0</v>
      </c>
      <c r="V790" s="23" t="n">
        <f aca="false">T790+U790</f>
        <v>4704</v>
      </c>
      <c r="W790" s="30" t="str">
        <f aca="false">IF(I790&gt;0,V790/I790,"")</f>
        <v/>
      </c>
      <c r="X790" s="3" t="str">
        <f aca="false">IF(I790&lt;=0,"SIN FCST",IF(V790&lt;R790,"BAJO SS",IF(T790&lt;R790,"BAJO SS (XLIB CUBRE)",IF(V790&lt;S790,"BAJO P.REORDEN",IF(AND(ISNUMBER(Q790),V790&gt;Q790),"SOBRE MAX VENDIBLE","OK")))))</f>
        <v>SIN FCST</v>
      </c>
    </row>
    <row r="791" customFormat="false" ht="15" hidden="false" customHeight="false" outlineLevel="0" collapsed="false">
      <c r="A791" s="3" t="n">
        <v>30001527</v>
      </c>
      <c r="B791" s="3" t="s">
        <v>618</v>
      </c>
      <c r="C791" s="3" t="s">
        <v>152</v>
      </c>
      <c r="D791" s="3" t="s">
        <v>753</v>
      </c>
      <c r="E791" s="3" t="s">
        <v>745</v>
      </c>
      <c r="F791" s="3" t="str">
        <f aca="false">IFERROR(INDEX(ABC_XYZ!$L$5:$L$494,MATCH(A791,ABC_XYZ!$A$5:$A$494,0)),"SIN HIST")</f>
        <v>CY</v>
      </c>
      <c r="G791" s="24" t="n">
        <f aca="false">IF(LEFT(F791,1)="A",Parametros!$B$8,IF(LEFT(F791,1)="B",Parametros!$B$9,IF(LEFT(F791,1)="C",Parametros!$B$10,Parametros!$B$11)))</f>
        <v>0.9</v>
      </c>
      <c r="H791" s="27" t="n">
        <f aca="false">NORMSINV(G791)</f>
        <v>1.2815515655446</v>
      </c>
      <c r="I791" s="23" t="n">
        <v>0</v>
      </c>
      <c r="J791" s="23" t="n">
        <f aca="false">IFERROR(INDEX(ABC_XYZ!$R$5:$R$494,MATCH(A791,ABC_XYZ!$A$5:$A$494,0)),I791*Parametros!$B$13)</f>
        <v>409.309492682493</v>
      </c>
      <c r="K791" s="27" t="n">
        <f aca="false">IFERROR(VLOOKUP(C791,Parametros!$A$36:$B$66,2,FALSE()),Parametros!$B$12)</f>
        <v>1</v>
      </c>
      <c r="L791" s="23" t="n">
        <f aca="false">H791*J791*SQRT(K791)</f>
        <v>524.551221139516</v>
      </c>
      <c r="M791" s="29" t="n">
        <v>730</v>
      </c>
      <c r="N791" s="24" t="n">
        <v>0.197260273972603</v>
      </c>
      <c r="O791" s="3" t="s">
        <v>746</v>
      </c>
      <c r="P791" s="30" t="n">
        <f aca="false">IF(AND(ISNUMBER(M791),ISNUMBER(N791)),M791*N791/7,"")</f>
        <v>20.5714285714286</v>
      </c>
      <c r="Q791" s="23" t="n">
        <f aca="false">IF(ISNUMBER(P791),I791*P791,"")</f>
        <v>0</v>
      </c>
      <c r="R791" s="23" t="n">
        <f aca="false">IF(ISNUMBER(Q791),MAX(0,MIN(L791,Q791-I791*K791)),L791)</f>
        <v>0</v>
      </c>
      <c r="S791" s="23" t="n">
        <f aca="false">R791+I791*K791</f>
        <v>0</v>
      </c>
      <c r="T791" s="23" t="n">
        <v>620.2</v>
      </c>
      <c r="U791" s="23" t="n">
        <v>0</v>
      </c>
      <c r="V791" s="23" t="n">
        <f aca="false">T791+U791</f>
        <v>620.2</v>
      </c>
      <c r="W791" s="30" t="str">
        <f aca="false">IF(I791&gt;0,V791/I791,"")</f>
        <v/>
      </c>
      <c r="X791" s="3" t="str">
        <f aca="false">IF(I791&lt;=0,"SIN FCST",IF(V791&lt;R791,"BAJO SS",IF(T791&lt;R791,"BAJO SS (XLIB CUBRE)",IF(V791&lt;S791,"BAJO P.REORDEN",IF(AND(ISNUMBER(Q791),V791&gt;Q791),"SOBRE MAX VENDIBLE","OK")))))</f>
        <v>SIN FCST</v>
      </c>
    </row>
    <row r="792" customFormat="false" ht="15" hidden="false" customHeight="false" outlineLevel="0" collapsed="false">
      <c r="A792" s="3" t="n">
        <v>30000518</v>
      </c>
      <c r="B792" s="3" t="s">
        <v>1332</v>
      </c>
      <c r="C792" s="3" t="s">
        <v>153</v>
      </c>
      <c r="D792" s="3" t="s">
        <v>744</v>
      </c>
      <c r="E792" s="3" t="s">
        <v>745</v>
      </c>
      <c r="F792" s="3" t="str">
        <f aca="false">IFERROR(INDEX(ABC_XYZ!$L$5:$L$494,MATCH(A792,ABC_XYZ!$A$5:$A$494,0)),"SIN HIST")</f>
        <v>SIN HIST</v>
      </c>
      <c r="G792" s="24" t="n">
        <f aca="false">IF(LEFT(F792,1)="A",Parametros!$B$8,IF(LEFT(F792,1)="B",Parametros!$B$9,IF(LEFT(F792,1)="C",Parametros!$B$10,Parametros!$B$11)))</f>
        <v>0.95</v>
      </c>
      <c r="H792" s="27" t="n">
        <f aca="false">NORMSINV(G792)</f>
        <v>1.64485362695147</v>
      </c>
      <c r="I792" s="23" t="n">
        <v>0</v>
      </c>
      <c r="J792" s="23" t="n">
        <f aca="false">IFERROR(INDEX(ABC_XYZ!$R$5:$R$494,MATCH(A792,ABC_XYZ!$A$5:$A$494,0)),I792*Parametros!$B$13)</f>
        <v>0</v>
      </c>
      <c r="K792" s="27" t="n">
        <f aca="false">IFERROR(VLOOKUP(C792,Parametros!$A$36:$B$66,2,FALSE()),Parametros!$B$12)</f>
        <v>1</v>
      </c>
      <c r="L792" s="23" t="n">
        <f aca="false">H792*J792*SQRT(K792)</f>
        <v>0</v>
      </c>
      <c r="M792" s="29" t="n">
        <v>184</v>
      </c>
      <c r="N792" s="24" t="n">
        <v>0.271739130434783</v>
      </c>
      <c r="O792" s="3" t="s">
        <v>746</v>
      </c>
      <c r="P792" s="30" t="n">
        <f aca="false">IF(AND(ISNUMBER(M792),ISNUMBER(N792)),M792*N792/7,"")</f>
        <v>7.14285714285714</v>
      </c>
      <c r="Q792" s="23" t="n">
        <f aca="false">IF(ISNUMBER(P792),I792*P792,"")</f>
        <v>0</v>
      </c>
      <c r="R792" s="23" t="n">
        <f aca="false">IF(ISNUMBER(Q792),MAX(0,MIN(L792,Q792-I792*K792)),L792)</f>
        <v>0</v>
      </c>
      <c r="S792" s="23" t="n">
        <f aca="false">R792+I792*K792</f>
        <v>0</v>
      </c>
      <c r="T792" s="23" t="n">
        <v>132</v>
      </c>
      <c r="U792" s="23" t="n">
        <v>0</v>
      </c>
      <c r="V792" s="23" t="n">
        <f aca="false">T792+U792</f>
        <v>132</v>
      </c>
      <c r="W792" s="30" t="str">
        <f aca="false">IF(I792&gt;0,V792/I792,"")</f>
        <v/>
      </c>
      <c r="X792" s="3" t="str">
        <f aca="false">IF(I792&lt;=0,"SIN FCST",IF(V792&lt;R792,"BAJO SS",IF(T792&lt;R792,"BAJO SS (XLIB CUBRE)",IF(V792&lt;S792,"BAJO P.REORDEN",IF(AND(ISNUMBER(Q792),V792&gt;Q792),"SOBRE MAX VENDIBLE","OK")))))</f>
        <v>SIN FCST</v>
      </c>
    </row>
    <row r="793" customFormat="false" ht="15" hidden="false" customHeight="false" outlineLevel="0" collapsed="false">
      <c r="A793" s="3" t="n">
        <v>30001526</v>
      </c>
      <c r="B793" s="3" t="s">
        <v>569</v>
      </c>
      <c r="C793" s="3" t="s">
        <v>152</v>
      </c>
      <c r="D793" s="3" t="s">
        <v>753</v>
      </c>
      <c r="E793" s="3" t="s">
        <v>745</v>
      </c>
      <c r="F793" s="3" t="str">
        <f aca="false">IFERROR(INDEX(ABC_XYZ!$L$5:$L$494,MATCH(A793,ABC_XYZ!$A$5:$A$494,0)),"SIN HIST")</f>
        <v>CX</v>
      </c>
      <c r="G793" s="24" t="n">
        <f aca="false">IF(LEFT(F793,1)="A",Parametros!$B$8,IF(LEFT(F793,1)="B",Parametros!$B$9,IF(LEFT(F793,1)="C",Parametros!$B$10,Parametros!$B$11)))</f>
        <v>0.9</v>
      </c>
      <c r="H793" s="27" t="n">
        <f aca="false">NORMSINV(G793)</f>
        <v>1.2815515655446</v>
      </c>
      <c r="I793" s="23" t="n">
        <v>0</v>
      </c>
      <c r="J793" s="23" t="n">
        <f aca="false">IFERROR(INDEX(ABC_XYZ!$R$5:$R$494,MATCH(A793,ABC_XYZ!$A$5:$A$494,0)),I793*Parametros!$B$13)</f>
        <v>1133.4606663371</v>
      </c>
      <c r="K793" s="27" t="n">
        <f aca="false">IFERROR(VLOOKUP(C793,Parametros!$A$36:$B$66,2,FALSE()),Parametros!$B$12)</f>
        <v>1</v>
      </c>
      <c r="L793" s="23" t="n">
        <f aca="false">H793*J793*SQRT(K793)</f>
        <v>1452.58829142753</v>
      </c>
      <c r="M793" s="29" t="n">
        <v>730</v>
      </c>
      <c r="N793" s="24" t="n">
        <v>0.197260273972603</v>
      </c>
      <c r="O793" s="3" t="s">
        <v>746</v>
      </c>
      <c r="P793" s="30" t="n">
        <f aca="false">IF(AND(ISNUMBER(M793),ISNUMBER(N793)),M793*N793/7,"")</f>
        <v>20.5714285714286</v>
      </c>
      <c r="Q793" s="23" t="n">
        <f aca="false">IF(ISNUMBER(P793),I793*P793,"")</f>
        <v>0</v>
      </c>
      <c r="R793" s="23" t="n">
        <f aca="false">IF(ISNUMBER(Q793),MAX(0,MIN(L793,Q793-I793*K793)),L793)</f>
        <v>0</v>
      </c>
      <c r="S793" s="23" t="n">
        <f aca="false">R793+I793*K793</f>
        <v>0</v>
      </c>
      <c r="T793" s="23" t="n">
        <v>163.2</v>
      </c>
      <c r="U793" s="23" t="n">
        <v>0</v>
      </c>
      <c r="V793" s="23" t="n">
        <f aca="false">T793+U793</f>
        <v>163.2</v>
      </c>
      <c r="W793" s="30" t="str">
        <f aca="false">IF(I793&gt;0,V793/I793,"")</f>
        <v/>
      </c>
      <c r="X793" s="3" t="str">
        <f aca="false">IF(I793&lt;=0,"SIN FCST",IF(V793&lt;R793,"BAJO SS",IF(T793&lt;R793,"BAJO SS (XLIB CUBRE)",IF(V793&lt;S793,"BAJO P.REORDEN",IF(AND(ISNUMBER(Q793),V793&gt;Q793),"SOBRE MAX VENDIBLE","OK")))))</f>
        <v>SIN FCST</v>
      </c>
    </row>
    <row r="794" customFormat="false" ht="15" hidden="false" customHeight="false" outlineLevel="0" collapsed="false">
      <c r="A794" s="3" t="n">
        <v>30002351</v>
      </c>
      <c r="B794" s="3" t="s">
        <v>1333</v>
      </c>
      <c r="C794" s="3" t="s">
        <v>149</v>
      </c>
      <c r="D794" s="3" t="s">
        <v>744</v>
      </c>
      <c r="E794" s="3"/>
      <c r="F794" s="3" t="str">
        <f aca="false">IFERROR(INDEX(ABC_XYZ!$L$5:$L$494,MATCH(A794,ABC_XYZ!$A$5:$A$494,0)),"SIN HIST")</f>
        <v>SIN HIST</v>
      </c>
      <c r="G794" s="24" t="n">
        <f aca="false">IF(LEFT(F794,1)="A",Parametros!$B$8,IF(LEFT(F794,1)="B",Parametros!$B$9,IF(LEFT(F794,1)="C",Parametros!$B$10,Parametros!$B$11)))</f>
        <v>0.95</v>
      </c>
      <c r="H794" s="27" t="n">
        <f aca="false">NORMSINV(G794)</f>
        <v>1.64485362695147</v>
      </c>
      <c r="I794" s="23" t="n">
        <v>0</v>
      </c>
      <c r="J794" s="23" t="n">
        <f aca="false">IFERROR(INDEX(ABC_XYZ!$R$5:$R$494,MATCH(A794,ABC_XYZ!$A$5:$A$494,0)),I794*Parametros!$B$13)</f>
        <v>0</v>
      </c>
      <c r="K794" s="27" t="n">
        <f aca="false">IFERROR(VLOOKUP(C794,Parametros!$A$36:$B$66,2,FALSE()),Parametros!$B$12)</f>
        <v>1</v>
      </c>
      <c r="L794" s="23" t="n">
        <f aca="false">H794*J794*SQRT(K794)</f>
        <v>0</v>
      </c>
      <c r="M794" s="29"/>
      <c r="N794" s="24"/>
      <c r="O794" s="3"/>
      <c r="P794" s="30" t="str">
        <f aca="false">IF(AND(ISNUMBER(M794),ISNUMBER(N794)),M794*N794/7,"")</f>
        <v/>
      </c>
      <c r="Q794" s="23" t="str">
        <f aca="false">IF(ISNUMBER(P794),I794*P794,"")</f>
        <v/>
      </c>
      <c r="R794" s="23" t="n">
        <f aca="false">IF(ISNUMBER(Q794),MAX(0,MIN(L794,Q794-I794*K794)),L794)</f>
        <v>0</v>
      </c>
      <c r="S794" s="23" t="n">
        <f aca="false">R794+I794*K794</f>
        <v>0</v>
      </c>
      <c r="T794" s="23" t="n">
        <v>0</v>
      </c>
      <c r="U794" s="23" t="n">
        <v>0</v>
      </c>
      <c r="V794" s="23" t="n">
        <f aca="false">T794+U794</f>
        <v>0</v>
      </c>
      <c r="W794" s="30" t="str">
        <f aca="false">IF(I794&gt;0,V794/I794,"")</f>
        <v/>
      </c>
      <c r="X794" s="3" t="str">
        <f aca="false">IF(I794&lt;=0,"SIN FCST",IF(V794&lt;R794,"BAJO SS",IF(T794&lt;R794,"BAJO SS (XLIB CUBRE)",IF(V794&lt;S794,"BAJO P.REORDEN",IF(AND(ISNUMBER(Q794),V794&gt;Q794),"SOBRE MAX VENDIBLE","OK")))))</f>
        <v>SIN FCST</v>
      </c>
    </row>
    <row r="795" customFormat="false" ht="15" hidden="false" customHeight="false" outlineLevel="0" collapsed="false">
      <c r="A795" s="3" t="n">
        <v>30000287</v>
      </c>
      <c r="B795" s="3" t="s">
        <v>1334</v>
      </c>
      <c r="C795" s="3" t="s">
        <v>154</v>
      </c>
      <c r="D795" s="3" t="s">
        <v>769</v>
      </c>
      <c r="E795" s="3" t="s">
        <v>745</v>
      </c>
      <c r="F795" s="3" t="str">
        <f aca="false">IFERROR(INDEX(ABC_XYZ!$L$5:$L$494,MATCH(A795,ABC_XYZ!$A$5:$A$494,0)),"SIN HIST")</f>
        <v>SIN HIST</v>
      </c>
      <c r="G795" s="24" t="n">
        <f aca="false">IF(LEFT(F795,1)="A",Parametros!$B$8,IF(LEFT(F795,1)="B",Parametros!$B$9,IF(LEFT(F795,1)="C",Parametros!$B$10,Parametros!$B$11)))</f>
        <v>0.95</v>
      </c>
      <c r="H795" s="27" t="n">
        <f aca="false">NORMSINV(G795)</f>
        <v>1.64485362695147</v>
      </c>
      <c r="I795" s="23" t="n">
        <v>0</v>
      </c>
      <c r="J795" s="23" t="n">
        <f aca="false">IFERROR(INDEX(ABC_XYZ!$R$5:$R$494,MATCH(A795,ABC_XYZ!$A$5:$A$494,0)),I795*Parametros!$B$13)</f>
        <v>0</v>
      </c>
      <c r="K795" s="27" t="n">
        <f aca="false">IFERROR(VLOOKUP(C795,Parametros!$A$36:$B$66,2,FALSE()),Parametros!$B$12)</f>
        <v>1</v>
      </c>
      <c r="L795" s="23" t="n">
        <f aca="false">H795*J795*SQRT(K795)</f>
        <v>0</v>
      </c>
      <c r="M795" s="29" t="n">
        <v>0</v>
      </c>
      <c r="N795" s="24"/>
      <c r="O795" s="3"/>
      <c r="P795" s="30" t="str">
        <f aca="false">IF(AND(ISNUMBER(M795),ISNUMBER(N795)),M795*N795/7,"")</f>
        <v/>
      </c>
      <c r="Q795" s="23" t="str">
        <f aca="false">IF(ISNUMBER(P795),I795*P795,"")</f>
        <v/>
      </c>
      <c r="R795" s="23" t="n">
        <f aca="false">IF(ISNUMBER(Q795),MAX(0,MIN(L795,Q795-I795*K795)),L795)</f>
        <v>0</v>
      </c>
      <c r="S795" s="23" t="n">
        <f aca="false">R795+I795*K795</f>
        <v>0</v>
      </c>
      <c r="T795" s="23" t="n">
        <v>1080</v>
      </c>
      <c r="U795" s="23" t="n">
        <v>0</v>
      </c>
      <c r="V795" s="23" t="n">
        <f aca="false">T795+U795</f>
        <v>1080</v>
      </c>
      <c r="W795" s="30" t="str">
        <f aca="false">IF(I795&gt;0,V795/I795,"")</f>
        <v/>
      </c>
      <c r="X795" s="3" t="str">
        <f aca="false">IF(I795&lt;=0,"SIN FCST",IF(V795&lt;R795,"BAJO SS",IF(T795&lt;R795,"BAJO SS (XLIB CUBRE)",IF(V795&lt;S795,"BAJO P.REORDEN",IF(AND(ISNUMBER(Q795),V795&gt;Q795),"SOBRE MAX VENDIBLE","OK")))))</f>
        <v>SIN FCST</v>
      </c>
    </row>
    <row r="796" customFormat="false" ht="15" hidden="false" customHeight="false" outlineLevel="0" collapsed="false">
      <c r="A796" s="3" t="n">
        <v>30002166</v>
      </c>
      <c r="B796" s="3" t="s">
        <v>1335</v>
      </c>
      <c r="C796" s="3" t="s">
        <v>133</v>
      </c>
      <c r="D796" s="3" t="s">
        <v>758</v>
      </c>
      <c r="E796" s="3"/>
      <c r="F796" s="3" t="str">
        <f aca="false">IFERROR(INDEX(ABC_XYZ!$L$5:$L$494,MATCH(A796,ABC_XYZ!$A$5:$A$494,0)),"SIN HIST")</f>
        <v>SIN HIST</v>
      </c>
      <c r="G796" s="24" t="n">
        <f aca="false">IF(LEFT(F796,1)="A",Parametros!$B$8,IF(LEFT(F796,1)="B",Parametros!$B$9,IF(LEFT(F796,1)="C",Parametros!$B$10,Parametros!$B$11)))</f>
        <v>0.95</v>
      </c>
      <c r="H796" s="27" t="n">
        <f aca="false">NORMSINV(G796)</f>
        <v>1.64485362695147</v>
      </c>
      <c r="I796" s="23" t="n">
        <v>0</v>
      </c>
      <c r="J796" s="23" t="n">
        <f aca="false">IFERROR(INDEX(ABC_XYZ!$R$5:$R$494,MATCH(A796,ABC_XYZ!$A$5:$A$494,0)),I796*Parametros!$B$13)</f>
        <v>0</v>
      </c>
      <c r="K796" s="27" t="n">
        <f aca="false">IFERROR(VLOOKUP(C796,Parametros!$A$36:$B$66,2,FALSE()),Parametros!$B$12)</f>
        <v>1</v>
      </c>
      <c r="L796" s="23" t="n">
        <f aca="false">H796*J796*SQRT(K796)</f>
        <v>0</v>
      </c>
      <c r="M796" s="29"/>
      <c r="N796" s="24"/>
      <c r="O796" s="3"/>
      <c r="P796" s="30" t="str">
        <f aca="false">IF(AND(ISNUMBER(M796),ISNUMBER(N796)),M796*N796/7,"")</f>
        <v/>
      </c>
      <c r="Q796" s="23" t="str">
        <f aca="false">IF(ISNUMBER(P796),I796*P796,"")</f>
        <v/>
      </c>
      <c r="R796" s="23" t="n">
        <f aca="false">IF(ISNUMBER(Q796),MAX(0,MIN(L796,Q796-I796*K796)),L796)</f>
        <v>0</v>
      </c>
      <c r="S796" s="23" t="n">
        <f aca="false">R796+I796*K796</f>
        <v>0</v>
      </c>
      <c r="T796" s="23" t="n">
        <v>0</v>
      </c>
      <c r="U796" s="23" t="n">
        <v>0</v>
      </c>
      <c r="V796" s="23" t="n">
        <f aca="false">T796+U796</f>
        <v>0</v>
      </c>
      <c r="W796" s="30" t="str">
        <f aca="false">IF(I796&gt;0,V796/I796,"")</f>
        <v/>
      </c>
      <c r="X796" s="3" t="str">
        <f aca="false">IF(I796&lt;=0,"SIN FCST",IF(V796&lt;R796,"BAJO SS",IF(T796&lt;R796,"BAJO SS (XLIB CUBRE)",IF(V796&lt;S796,"BAJO P.REORDEN",IF(AND(ISNUMBER(Q796),V796&gt;Q796),"SOBRE MAX VENDIBLE","OK")))))</f>
        <v>SIN FCST</v>
      </c>
    </row>
    <row r="797" customFormat="false" ht="15" hidden="false" customHeight="false" outlineLevel="0" collapsed="false">
      <c r="A797" s="3" t="n">
        <v>30002225</v>
      </c>
      <c r="B797" s="3" t="s">
        <v>1336</v>
      </c>
      <c r="C797" s="3" t="s">
        <v>133</v>
      </c>
      <c r="D797" s="3" t="s">
        <v>758</v>
      </c>
      <c r="E797" s="3"/>
      <c r="F797" s="3" t="str">
        <f aca="false">IFERROR(INDEX(ABC_XYZ!$L$5:$L$494,MATCH(A797,ABC_XYZ!$A$5:$A$494,0)),"SIN HIST")</f>
        <v>SIN HIST</v>
      </c>
      <c r="G797" s="24" t="n">
        <f aca="false">IF(LEFT(F797,1)="A",Parametros!$B$8,IF(LEFT(F797,1)="B",Parametros!$B$9,IF(LEFT(F797,1)="C",Parametros!$B$10,Parametros!$B$11)))</f>
        <v>0.95</v>
      </c>
      <c r="H797" s="27" t="n">
        <f aca="false">NORMSINV(G797)</f>
        <v>1.64485362695147</v>
      </c>
      <c r="I797" s="23" t="n">
        <v>0</v>
      </c>
      <c r="J797" s="23" t="n">
        <f aca="false">IFERROR(INDEX(ABC_XYZ!$R$5:$R$494,MATCH(A797,ABC_XYZ!$A$5:$A$494,0)),I797*Parametros!$B$13)</f>
        <v>0</v>
      </c>
      <c r="K797" s="27" t="n">
        <f aca="false">IFERROR(VLOOKUP(C797,Parametros!$A$36:$B$66,2,FALSE()),Parametros!$B$12)</f>
        <v>1</v>
      </c>
      <c r="L797" s="23" t="n">
        <f aca="false">H797*J797*SQRT(K797)</f>
        <v>0</v>
      </c>
      <c r="M797" s="29"/>
      <c r="N797" s="24"/>
      <c r="O797" s="3"/>
      <c r="P797" s="30" t="str">
        <f aca="false">IF(AND(ISNUMBER(M797),ISNUMBER(N797)),M797*N797/7,"")</f>
        <v/>
      </c>
      <c r="Q797" s="23" t="str">
        <f aca="false">IF(ISNUMBER(P797),I797*P797,"")</f>
        <v/>
      </c>
      <c r="R797" s="23" t="n">
        <f aca="false">IF(ISNUMBER(Q797),MAX(0,MIN(L797,Q797-I797*K797)),L797)</f>
        <v>0</v>
      </c>
      <c r="S797" s="23" t="n">
        <f aca="false">R797+I797*K797</f>
        <v>0</v>
      </c>
      <c r="T797" s="23" t="n">
        <v>0</v>
      </c>
      <c r="U797" s="23" t="n">
        <v>0</v>
      </c>
      <c r="V797" s="23" t="n">
        <f aca="false">T797+U797</f>
        <v>0</v>
      </c>
      <c r="W797" s="30" t="str">
        <f aca="false">IF(I797&gt;0,V797/I797,"")</f>
        <v/>
      </c>
      <c r="X797" s="3" t="str">
        <f aca="false">IF(I797&lt;=0,"SIN FCST",IF(V797&lt;R797,"BAJO SS",IF(T797&lt;R797,"BAJO SS (XLIB CUBRE)",IF(V797&lt;S797,"BAJO P.REORDEN",IF(AND(ISNUMBER(Q797),V797&gt;Q797),"SOBRE MAX VENDIBLE","OK")))))</f>
        <v>SIN FCST</v>
      </c>
    </row>
    <row r="798" customFormat="false" ht="15" hidden="false" customHeight="false" outlineLevel="0" collapsed="false">
      <c r="A798" s="3" t="n">
        <v>30002237</v>
      </c>
      <c r="B798" s="3" t="s">
        <v>1337</v>
      </c>
      <c r="C798" s="3" t="s">
        <v>133</v>
      </c>
      <c r="D798" s="3" t="s">
        <v>758</v>
      </c>
      <c r="E798" s="3"/>
      <c r="F798" s="3" t="str">
        <f aca="false">IFERROR(INDEX(ABC_XYZ!$L$5:$L$494,MATCH(A798,ABC_XYZ!$A$5:$A$494,0)),"SIN HIST")</f>
        <v>SIN HIST</v>
      </c>
      <c r="G798" s="24" t="n">
        <f aca="false">IF(LEFT(F798,1)="A",Parametros!$B$8,IF(LEFT(F798,1)="B",Parametros!$B$9,IF(LEFT(F798,1)="C",Parametros!$B$10,Parametros!$B$11)))</f>
        <v>0.95</v>
      </c>
      <c r="H798" s="27" t="n">
        <f aca="false">NORMSINV(G798)</f>
        <v>1.64485362695147</v>
      </c>
      <c r="I798" s="23" t="n">
        <v>0</v>
      </c>
      <c r="J798" s="23" t="n">
        <f aca="false">IFERROR(INDEX(ABC_XYZ!$R$5:$R$494,MATCH(A798,ABC_XYZ!$A$5:$A$494,0)),I798*Parametros!$B$13)</f>
        <v>0</v>
      </c>
      <c r="K798" s="27" t="n">
        <f aca="false">IFERROR(VLOOKUP(C798,Parametros!$A$36:$B$66,2,FALSE()),Parametros!$B$12)</f>
        <v>1</v>
      </c>
      <c r="L798" s="23" t="n">
        <f aca="false">H798*J798*SQRT(K798)</f>
        <v>0</v>
      </c>
      <c r="M798" s="29"/>
      <c r="N798" s="24"/>
      <c r="O798" s="3"/>
      <c r="P798" s="30" t="str">
        <f aca="false">IF(AND(ISNUMBER(M798),ISNUMBER(N798)),M798*N798/7,"")</f>
        <v/>
      </c>
      <c r="Q798" s="23" t="str">
        <f aca="false">IF(ISNUMBER(P798),I798*P798,"")</f>
        <v/>
      </c>
      <c r="R798" s="23" t="n">
        <f aca="false">IF(ISNUMBER(Q798),MAX(0,MIN(L798,Q798-I798*K798)),L798)</f>
        <v>0</v>
      </c>
      <c r="S798" s="23" t="n">
        <f aca="false">R798+I798*K798</f>
        <v>0</v>
      </c>
      <c r="T798" s="23" t="n">
        <v>2846.6</v>
      </c>
      <c r="U798" s="23" t="n">
        <v>0</v>
      </c>
      <c r="V798" s="23" t="n">
        <f aca="false">T798+U798</f>
        <v>2846.6</v>
      </c>
      <c r="W798" s="30" t="str">
        <f aca="false">IF(I798&gt;0,V798/I798,"")</f>
        <v/>
      </c>
      <c r="X798" s="3" t="str">
        <f aca="false">IF(I798&lt;=0,"SIN FCST",IF(V798&lt;R798,"BAJO SS",IF(T798&lt;R798,"BAJO SS (XLIB CUBRE)",IF(V798&lt;S798,"BAJO P.REORDEN",IF(AND(ISNUMBER(Q798),V798&gt;Q798),"SOBRE MAX VENDIBLE","OK")))))</f>
        <v>SIN FCST</v>
      </c>
    </row>
    <row r="799" customFormat="false" ht="15" hidden="false" customHeight="false" outlineLevel="0" collapsed="false">
      <c r="A799" s="3" t="n">
        <v>30000129</v>
      </c>
      <c r="B799" s="3" t="s">
        <v>1338</v>
      </c>
      <c r="C799" s="3" t="s">
        <v>141</v>
      </c>
      <c r="D799" s="3" t="s">
        <v>750</v>
      </c>
      <c r="E799" s="3" t="s">
        <v>762</v>
      </c>
      <c r="F799" s="3" t="str">
        <f aca="false">IFERROR(INDEX(ABC_XYZ!$L$5:$L$494,MATCH(A799,ABC_XYZ!$A$5:$A$494,0)),"SIN HIST")</f>
        <v>SIN HIST</v>
      </c>
      <c r="G799" s="24" t="n">
        <f aca="false">IF(LEFT(F799,1)="A",Parametros!$B$8,IF(LEFT(F799,1)="B",Parametros!$B$9,IF(LEFT(F799,1)="C",Parametros!$B$10,Parametros!$B$11)))</f>
        <v>0.95</v>
      </c>
      <c r="H799" s="27" t="n">
        <f aca="false">NORMSINV(G799)</f>
        <v>1.64485362695147</v>
      </c>
      <c r="I799" s="23" t="n">
        <v>0</v>
      </c>
      <c r="J799" s="23" t="n">
        <f aca="false">IFERROR(INDEX(ABC_XYZ!$R$5:$R$494,MATCH(A799,ABC_XYZ!$A$5:$A$494,0)),I799*Parametros!$B$13)</f>
        <v>0</v>
      </c>
      <c r="K799" s="27" t="n">
        <f aca="false">IFERROR(VLOOKUP(C799,Parametros!$A$36:$B$66,2,FALSE()),Parametros!$B$12)</f>
        <v>1</v>
      </c>
      <c r="L799" s="23" t="n">
        <f aca="false">H799*J799*SQRT(K799)</f>
        <v>0</v>
      </c>
      <c r="M799" s="29" t="n">
        <v>245</v>
      </c>
      <c r="N799" s="24" t="n">
        <v>0.220408163265306</v>
      </c>
      <c r="O799" s="3" t="s">
        <v>754</v>
      </c>
      <c r="P799" s="30" t="n">
        <f aca="false">IF(AND(ISNUMBER(M799),ISNUMBER(N799)),M799*N799/7,"")</f>
        <v>7.71428571428571</v>
      </c>
      <c r="Q799" s="23" t="n">
        <f aca="false">IF(ISNUMBER(P799),I799*P799,"")</f>
        <v>0</v>
      </c>
      <c r="R799" s="23" t="n">
        <f aca="false">IF(ISNUMBER(Q799),MAX(0,MIN(L799,Q799-I799*K799)),L799)</f>
        <v>0</v>
      </c>
      <c r="S799" s="23" t="n">
        <f aca="false">R799+I799*K799</f>
        <v>0</v>
      </c>
      <c r="T799" s="23" t="n">
        <v>10160</v>
      </c>
      <c r="U799" s="23" t="n">
        <v>0</v>
      </c>
      <c r="V799" s="23" t="n">
        <f aca="false">T799+U799</f>
        <v>10160</v>
      </c>
      <c r="W799" s="30" t="str">
        <f aca="false">IF(I799&gt;0,V799/I799,"")</f>
        <v/>
      </c>
      <c r="X799" s="3" t="str">
        <f aca="false">IF(I799&lt;=0,"SIN FCST",IF(V799&lt;R799,"BAJO SS",IF(T799&lt;R799,"BAJO SS (XLIB CUBRE)",IF(V799&lt;S799,"BAJO P.REORDEN",IF(AND(ISNUMBER(Q799),V799&gt;Q799),"SOBRE MAX VENDIBLE","OK")))))</f>
        <v>SIN FCST</v>
      </c>
    </row>
    <row r="800" customFormat="false" ht="15" hidden="false" customHeight="false" outlineLevel="0" collapsed="false">
      <c r="A800" s="3" t="n">
        <v>30002121</v>
      </c>
      <c r="B800" s="3" t="s">
        <v>1339</v>
      </c>
      <c r="C800" s="3" t="s">
        <v>133</v>
      </c>
      <c r="D800" s="3" t="s">
        <v>758</v>
      </c>
      <c r="E800" s="3"/>
      <c r="F800" s="3" t="str">
        <f aca="false">IFERROR(INDEX(ABC_XYZ!$L$5:$L$494,MATCH(A800,ABC_XYZ!$A$5:$A$494,0)),"SIN HIST")</f>
        <v>SIN HIST</v>
      </c>
      <c r="G800" s="24" t="n">
        <f aca="false">IF(LEFT(F800,1)="A",Parametros!$B$8,IF(LEFT(F800,1)="B",Parametros!$B$9,IF(LEFT(F800,1)="C",Parametros!$B$10,Parametros!$B$11)))</f>
        <v>0.95</v>
      </c>
      <c r="H800" s="27" t="n">
        <f aca="false">NORMSINV(G800)</f>
        <v>1.64485362695147</v>
      </c>
      <c r="I800" s="23" t="n">
        <v>0</v>
      </c>
      <c r="J800" s="23" t="n">
        <f aca="false">IFERROR(INDEX(ABC_XYZ!$R$5:$R$494,MATCH(A800,ABC_XYZ!$A$5:$A$494,0)),I800*Parametros!$B$13)</f>
        <v>0</v>
      </c>
      <c r="K800" s="27" t="n">
        <f aca="false">IFERROR(VLOOKUP(C800,Parametros!$A$36:$B$66,2,FALSE()),Parametros!$B$12)</f>
        <v>1</v>
      </c>
      <c r="L800" s="23" t="n">
        <f aca="false">H800*J800*SQRT(K800)</f>
        <v>0</v>
      </c>
      <c r="M800" s="29"/>
      <c r="N800" s="24"/>
      <c r="O800" s="3"/>
      <c r="P800" s="30" t="str">
        <f aca="false">IF(AND(ISNUMBER(M800),ISNUMBER(N800)),M800*N800/7,"")</f>
        <v/>
      </c>
      <c r="Q800" s="23" t="str">
        <f aca="false">IF(ISNUMBER(P800),I800*P800,"")</f>
        <v/>
      </c>
      <c r="R800" s="23" t="n">
        <f aca="false">IF(ISNUMBER(Q800),MAX(0,MIN(L800,Q800-I800*K800)),L800)</f>
        <v>0</v>
      </c>
      <c r="S800" s="23" t="n">
        <f aca="false">R800+I800*K800</f>
        <v>0</v>
      </c>
      <c r="T800" s="23" t="n">
        <v>1056</v>
      </c>
      <c r="U800" s="23" t="n">
        <v>0</v>
      </c>
      <c r="V800" s="23" t="n">
        <f aca="false">T800+U800</f>
        <v>1056</v>
      </c>
      <c r="W800" s="30" t="str">
        <f aca="false">IF(I800&gt;0,V800/I800,"")</f>
        <v/>
      </c>
      <c r="X800" s="3" t="str">
        <f aca="false">IF(I800&lt;=0,"SIN FCST",IF(V800&lt;R800,"BAJO SS",IF(T800&lt;R800,"BAJO SS (XLIB CUBRE)",IF(V800&lt;S800,"BAJO P.REORDEN",IF(AND(ISNUMBER(Q800),V800&gt;Q800),"SOBRE MAX VENDIBLE","OK")))))</f>
        <v>SIN FCST</v>
      </c>
    </row>
    <row r="801" customFormat="false" ht="15" hidden="false" customHeight="false" outlineLevel="0" collapsed="false">
      <c r="A801" s="3" t="n">
        <v>30002159</v>
      </c>
      <c r="B801" s="3" t="s">
        <v>1340</v>
      </c>
      <c r="C801" s="3" t="s">
        <v>133</v>
      </c>
      <c r="D801" s="3" t="s">
        <v>758</v>
      </c>
      <c r="E801" s="3"/>
      <c r="F801" s="3" t="str">
        <f aca="false">IFERROR(INDEX(ABC_XYZ!$L$5:$L$494,MATCH(A801,ABC_XYZ!$A$5:$A$494,0)),"SIN HIST")</f>
        <v>SIN HIST</v>
      </c>
      <c r="G801" s="24" t="n">
        <f aca="false">IF(LEFT(F801,1)="A",Parametros!$B$8,IF(LEFT(F801,1)="B",Parametros!$B$9,IF(LEFT(F801,1)="C",Parametros!$B$10,Parametros!$B$11)))</f>
        <v>0.95</v>
      </c>
      <c r="H801" s="27" t="n">
        <f aca="false">NORMSINV(G801)</f>
        <v>1.64485362695147</v>
      </c>
      <c r="I801" s="23" t="n">
        <v>0</v>
      </c>
      <c r="J801" s="23" t="n">
        <f aca="false">IFERROR(INDEX(ABC_XYZ!$R$5:$R$494,MATCH(A801,ABC_XYZ!$A$5:$A$494,0)),I801*Parametros!$B$13)</f>
        <v>0</v>
      </c>
      <c r="K801" s="27" t="n">
        <f aca="false">IFERROR(VLOOKUP(C801,Parametros!$A$36:$B$66,2,FALSE()),Parametros!$B$12)</f>
        <v>1</v>
      </c>
      <c r="L801" s="23" t="n">
        <f aca="false">H801*J801*SQRT(K801)</f>
        <v>0</v>
      </c>
      <c r="M801" s="29"/>
      <c r="N801" s="24"/>
      <c r="O801" s="3"/>
      <c r="P801" s="30" t="str">
        <f aca="false">IF(AND(ISNUMBER(M801),ISNUMBER(N801)),M801*N801/7,"")</f>
        <v/>
      </c>
      <c r="Q801" s="23" t="str">
        <f aca="false">IF(ISNUMBER(P801),I801*P801,"")</f>
        <v/>
      </c>
      <c r="R801" s="23" t="n">
        <f aca="false">IF(ISNUMBER(Q801),MAX(0,MIN(L801,Q801-I801*K801)),L801)</f>
        <v>0</v>
      </c>
      <c r="S801" s="23" t="n">
        <f aca="false">R801+I801*K801</f>
        <v>0</v>
      </c>
      <c r="T801" s="23" t="n">
        <v>10432</v>
      </c>
      <c r="U801" s="23" t="n">
        <v>0</v>
      </c>
      <c r="V801" s="23" t="n">
        <f aca="false">T801+U801</f>
        <v>10432</v>
      </c>
      <c r="W801" s="30" t="str">
        <f aca="false">IF(I801&gt;0,V801/I801,"")</f>
        <v/>
      </c>
      <c r="X801" s="3" t="str">
        <f aca="false">IF(I801&lt;=0,"SIN FCST",IF(V801&lt;R801,"BAJO SS",IF(T801&lt;R801,"BAJO SS (XLIB CUBRE)",IF(V801&lt;S801,"BAJO P.REORDEN",IF(AND(ISNUMBER(Q801),V801&gt;Q801),"SOBRE MAX VENDIBLE","OK")))))</f>
        <v>SIN FCST</v>
      </c>
    </row>
    <row r="802" customFormat="false" ht="15" hidden="false" customHeight="false" outlineLevel="0" collapsed="false">
      <c r="A802" s="3" t="n">
        <v>30002160</v>
      </c>
      <c r="B802" s="3" t="s">
        <v>1341</v>
      </c>
      <c r="C802" s="3" t="s">
        <v>133</v>
      </c>
      <c r="D802" s="3" t="s">
        <v>758</v>
      </c>
      <c r="E802" s="3"/>
      <c r="F802" s="3" t="str">
        <f aca="false">IFERROR(INDEX(ABC_XYZ!$L$5:$L$494,MATCH(A802,ABC_XYZ!$A$5:$A$494,0)),"SIN HIST")</f>
        <v>SIN HIST</v>
      </c>
      <c r="G802" s="24" t="n">
        <f aca="false">IF(LEFT(F802,1)="A",Parametros!$B$8,IF(LEFT(F802,1)="B",Parametros!$B$9,IF(LEFT(F802,1)="C",Parametros!$B$10,Parametros!$B$11)))</f>
        <v>0.95</v>
      </c>
      <c r="H802" s="27" t="n">
        <f aca="false">NORMSINV(G802)</f>
        <v>1.64485362695147</v>
      </c>
      <c r="I802" s="23" t="n">
        <v>0</v>
      </c>
      <c r="J802" s="23" t="n">
        <f aca="false">IFERROR(INDEX(ABC_XYZ!$R$5:$R$494,MATCH(A802,ABC_XYZ!$A$5:$A$494,0)),I802*Parametros!$B$13)</f>
        <v>0</v>
      </c>
      <c r="K802" s="27" t="n">
        <f aca="false">IFERROR(VLOOKUP(C802,Parametros!$A$36:$B$66,2,FALSE()),Parametros!$B$12)</f>
        <v>1</v>
      </c>
      <c r="L802" s="23" t="n">
        <f aca="false">H802*J802*SQRT(K802)</f>
        <v>0</v>
      </c>
      <c r="M802" s="29"/>
      <c r="N802" s="24"/>
      <c r="O802" s="3"/>
      <c r="P802" s="30" t="str">
        <f aca="false">IF(AND(ISNUMBER(M802),ISNUMBER(N802)),M802*N802/7,"")</f>
        <v/>
      </c>
      <c r="Q802" s="23" t="str">
        <f aca="false">IF(ISNUMBER(P802),I802*P802,"")</f>
        <v/>
      </c>
      <c r="R802" s="23" t="n">
        <f aca="false">IF(ISNUMBER(Q802),MAX(0,MIN(L802,Q802-I802*K802)),L802)</f>
        <v>0</v>
      </c>
      <c r="S802" s="23" t="n">
        <f aca="false">R802+I802*K802</f>
        <v>0</v>
      </c>
      <c r="T802" s="23" t="n">
        <v>2496</v>
      </c>
      <c r="U802" s="23" t="n">
        <v>0</v>
      </c>
      <c r="V802" s="23" t="n">
        <f aca="false">T802+U802</f>
        <v>2496</v>
      </c>
      <c r="W802" s="30" t="str">
        <f aca="false">IF(I802&gt;0,V802/I802,"")</f>
        <v/>
      </c>
      <c r="X802" s="3" t="str">
        <f aca="false">IF(I802&lt;=0,"SIN FCST",IF(V802&lt;R802,"BAJO SS",IF(T802&lt;R802,"BAJO SS (XLIB CUBRE)",IF(V802&lt;S802,"BAJO P.REORDEN",IF(AND(ISNUMBER(Q802),V802&gt;Q802),"SOBRE MAX VENDIBLE","OK")))))</f>
        <v>SIN FCST</v>
      </c>
    </row>
    <row r="803" customFormat="false" ht="15" hidden="false" customHeight="false" outlineLevel="0" collapsed="false">
      <c r="A803" s="3" t="n">
        <v>30002187</v>
      </c>
      <c r="B803" s="3" t="s">
        <v>642</v>
      </c>
      <c r="C803" s="3" t="s">
        <v>139</v>
      </c>
      <c r="D803" s="3" t="s">
        <v>753</v>
      </c>
      <c r="E803" s="3" t="s">
        <v>762</v>
      </c>
      <c r="F803" s="3" t="str">
        <f aca="false">IFERROR(INDEX(ABC_XYZ!$L$5:$L$494,MATCH(A803,ABC_XYZ!$A$5:$A$494,0)),"SIN HIST")</f>
        <v>CY</v>
      </c>
      <c r="G803" s="24" t="n">
        <f aca="false">IF(LEFT(F803,1)="A",Parametros!$B$8,IF(LEFT(F803,1)="B",Parametros!$B$9,IF(LEFT(F803,1)="C",Parametros!$B$10,Parametros!$B$11)))</f>
        <v>0.9</v>
      </c>
      <c r="H803" s="27" t="n">
        <f aca="false">NORMSINV(G803)</f>
        <v>1.2815515655446</v>
      </c>
      <c r="I803" s="23" t="n">
        <v>0</v>
      </c>
      <c r="J803" s="23" t="n">
        <f aca="false">IFERROR(INDEX(ABC_XYZ!$R$5:$R$494,MATCH(A803,ABC_XYZ!$A$5:$A$494,0)),I803*Parametros!$B$13)</f>
        <v>752.098528009019</v>
      </c>
      <c r="K803" s="27" t="n">
        <f aca="false">IFERROR(VLOOKUP(C803,Parametros!$A$36:$B$66,2,FALSE()),Parametros!$B$12)</f>
        <v>1</v>
      </c>
      <c r="L803" s="23" t="n">
        <f aca="false">H803*J803*SQRT(K803)</f>
        <v>963.853046013748</v>
      </c>
      <c r="M803" s="29" t="n">
        <v>245</v>
      </c>
      <c r="N803" s="24" t="n">
        <v>0.216326530612245</v>
      </c>
      <c r="O803" s="3" t="s">
        <v>754</v>
      </c>
      <c r="P803" s="30" t="n">
        <f aca="false">IF(AND(ISNUMBER(M803),ISNUMBER(N803)),M803*N803/7,"")</f>
        <v>7.57142857142857</v>
      </c>
      <c r="Q803" s="23" t="n">
        <f aca="false">IF(ISNUMBER(P803),I803*P803,"")</f>
        <v>0</v>
      </c>
      <c r="R803" s="23" t="n">
        <f aca="false">IF(ISNUMBER(Q803),MAX(0,MIN(L803,Q803-I803*K803)),L803)</f>
        <v>0</v>
      </c>
      <c r="S803" s="23" t="n">
        <f aca="false">R803+I803*K803</f>
        <v>0</v>
      </c>
      <c r="T803" s="23" t="n">
        <v>0</v>
      </c>
      <c r="U803" s="23" t="n">
        <v>0</v>
      </c>
      <c r="V803" s="23" t="n">
        <f aca="false">T803+U803</f>
        <v>0</v>
      </c>
      <c r="W803" s="30" t="str">
        <f aca="false">IF(I803&gt;0,V803/I803,"")</f>
        <v/>
      </c>
      <c r="X803" s="3" t="str">
        <f aca="false">IF(I803&lt;=0,"SIN FCST",IF(V803&lt;R803,"BAJO SS",IF(T803&lt;R803,"BAJO SS (XLIB CUBRE)",IF(V803&lt;S803,"BAJO P.REORDEN",IF(AND(ISNUMBER(Q803),V803&gt;Q803),"SOBRE MAX VENDIBLE","OK")))))</f>
        <v>SIN FCST</v>
      </c>
    </row>
    <row r="804" customFormat="false" ht="15" hidden="false" customHeight="false" outlineLevel="0" collapsed="false">
      <c r="A804" s="3" t="n">
        <v>30001986</v>
      </c>
      <c r="B804" s="3" t="s">
        <v>1342</v>
      </c>
      <c r="C804" s="3" t="s">
        <v>138</v>
      </c>
      <c r="D804" s="3" t="s">
        <v>744</v>
      </c>
      <c r="E804" s="3"/>
      <c r="F804" s="3" t="str">
        <f aca="false">IFERROR(INDEX(ABC_XYZ!$L$5:$L$494,MATCH(A804,ABC_XYZ!$A$5:$A$494,0)),"SIN HIST")</f>
        <v>SIN HIST</v>
      </c>
      <c r="G804" s="24" t="n">
        <f aca="false">IF(LEFT(F804,1)="A",Parametros!$B$8,IF(LEFT(F804,1)="B",Parametros!$B$9,IF(LEFT(F804,1)="C",Parametros!$B$10,Parametros!$B$11)))</f>
        <v>0.95</v>
      </c>
      <c r="H804" s="27" t="n">
        <f aca="false">NORMSINV(G804)</f>
        <v>1.64485362695147</v>
      </c>
      <c r="I804" s="23" t="n">
        <v>0</v>
      </c>
      <c r="J804" s="23" t="n">
        <f aca="false">IFERROR(INDEX(ABC_XYZ!$R$5:$R$494,MATCH(A804,ABC_XYZ!$A$5:$A$494,0)),I804*Parametros!$B$13)</f>
        <v>0</v>
      </c>
      <c r="K804" s="27" t="n">
        <f aca="false">IFERROR(VLOOKUP(C804,Parametros!$A$36:$B$66,2,FALSE()),Parametros!$B$12)</f>
        <v>1</v>
      </c>
      <c r="L804" s="23" t="n">
        <f aca="false">H804*J804*SQRT(K804)</f>
        <v>0</v>
      </c>
      <c r="M804" s="29"/>
      <c r="N804" s="24"/>
      <c r="O804" s="3"/>
      <c r="P804" s="30" t="str">
        <f aca="false">IF(AND(ISNUMBER(M804),ISNUMBER(N804)),M804*N804/7,"")</f>
        <v/>
      </c>
      <c r="Q804" s="23" t="str">
        <f aca="false">IF(ISNUMBER(P804),I804*P804,"")</f>
        <v/>
      </c>
      <c r="R804" s="23" t="n">
        <f aca="false">IF(ISNUMBER(Q804),MAX(0,MIN(L804,Q804-I804*K804)),L804)</f>
        <v>0</v>
      </c>
      <c r="S804" s="23" t="n">
        <f aca="false">R804+I804*K804</f>
        <v>0</v>
      </c>
      <c r="T804" s="23" t="n">
        <v>580</v>
      </c>
      <c r="U804" s="23" t="n">
        <v>0</v>
      </c>
      <c r="V804" s="23" t="n">
        <f aca="false">T804+U804</f>
        <v>580</v>
      </c>
      <c r="W804" s="30" t="str">
        <f aca="false">IF(I804&gt;0,V804/I804,"")</f>
        <v/>
      </c>
      <c r="X804" s="3" t="str">
        <f aca="false">IF(I804&lt;=0,"SIN FCST",IF(V804&lt;R804,"BAJO SS",IF(T804&lt;R804,"BAJO SS (XLIB CUBRE)",IF(V804&lt;S804,"BAJO P.REORDEN",IF(AND(ISNUMBER(Q804),V804&gt;Q804),"SOBRE MAX VENDIBLE","OK")))))</f>
        <v>SIN FCST</v>
      </c>
    </row>
    <row r="805" customFormat="false" ht="15" hidden="false" customHeight="false" outlineLevel="0" collapsed="false">
      <c r="A805" s="3" t="n">
        <v>30000275</v>
      </c>
      <c r="B805" s="3" t="s">
        <v>1343</v>
      </c>
      <c r="C805" s="3" t="s">
        <v>154</v>
      </c>
      <c r="D805" s="3" t="s">
        <v>769</v>
      </c>
      <c r="E805" s="3" t="s">
        <v>745</v>
      </c>
      <c r="F805" s="3" t="str">
        <f aca="false">IFERROR(INDEX(ABC_XYZ!$L$5:$L$494,MATCH(A805,ABC_XYZ!$A$5:$A$494,0)),"SIN HIST")</f>
        <v>SIN HIST</v>
      </c>
      <c r="G805" s="24" t="n">
        <f aca="false">IF(LEFT(F805,1)="A",Parametros!$B$8,IF(LEFT(F805,1)="B",Parametros!$B$9,IF(LEFT(F805,1)="C",Parametros!$B$10,Parametros!$B$11)))</f>
        <v>0.95</v>
      </c>
      <c r="H805" s="27" t="n">
        <f aca="false">NORMSINV(G805)</f>
        <v>1.64485362695147</v>
      </c>
      <c r="I805" s="23" t="n">
        <v>0</v>
      </c>
      <c r="J805" s="23" t="n">
        <f aca="false">IFERROR(INDEX(ABC_XYZ!$R$5:$R$494,MATCH(A805,ABC_XYZ!$A$5:$A$494,0)),I805*Parametros!$B$13)</f>
        <v>0</v>
      </c>
      <c r="K805" s="27" t="n">
        <f aca="false">IFERROR(VLOOKUP(C805,Parametros!$A$36:$B$66,2,FALSE()),Parametros!$B$12)</f>
        <v>1</v>
      </c>
      <c r="L805" s="23" t="n">
        <f aca="false">H805*J805*SQRT(K805)</f>
        <v>0</v>
      </c>
      <c r="M805" s="29" t="n">
        <v>0</v>
      </c>
      <c r="N805" s="24"/>
      <c r="O805" s="3"/>
      <c r="P805" s="30" t="str">
        <f aca="false">IF(AND(ISNUMBER(M805),ISNUMBER(N805)),M805*N805/7,"")</f>
        <v/>
      </c>
      <c r="Q805" s="23" t="str">
        <f aca="false">IF(ISNUMBER(P805),I805*P805,"")</f>
        <v/>
      </c>
      <c r="R805" s="23" t="n">
        <f aca="false">IF(ISNUMBER(Q805),MAX(0,MIN(L805,Q805-I805*K805)),L805)</f>
        <v>0</v>
      </c>
      <c r="S805" s="23" t="n">
        <f aca="false">R805+I805*K805</f>
        <v>0</v>
      </c>
      <c r="T805" s="23" t="n">
        <v>2412</v>
      </c>
      <c r="U805" s="23" t="n">
        <v>0</v>
      </c>
      <c r="V805" s="23" t="n">
        <f aca="false">T805+U805</f>
        <v>2412</v>
      </c>
      <c r="W805" s="30" t="str">
        <f aca="false">IF(I805&gt;0,V805/I805,"")</f>
        <v/>
      </c>
      <c r="X805" s="3" t="str">
        <f aca="false">IF(I805&lt;=0,"SIN FCST",IF(V805&lt;R805,"BAJO SS",IF(T805&lt;R805,"BAJO SS (XLIB CUBRE)",IF(V805&lt;S805,"BAJO P.REORDEN",IF(AND(ISNUMBER(Q805),V805&gt;Q805),"SOBRE MAX VENDIBLE","OK")))))</f>
        <v>SIN FCST</v>
      </c>
    </row>
    <row r="806" customFormat="false" ht="15" hidden="false" customHeight="false" outlineLevel="0" collapsed="false">
      <c r="A806" s="3" t="n">
        <v>30000274</v>
      </c>
      <c r="B806" s="3" t="s">
        <v>1344</v>
      </c>
      <c r="C806" s="3" t="s">
        <v>154</v>
      </c>
      <c r="D806" s="3" t="s">
        <v>769</v>
      </c>
      <c r="E806" s="3" t="s">
        <v>745</v>
      </c>
      <c r="F806" s="3" t="str">
        <f aca="false">IFERROR(INDEX(ABC_XYZ!$L$5:$L$494,MATCH(A806,ABC_XYZ!$A$5:$A$494,0)),"SIN HIST")</f>
        <v>SIN HIST</v>
      </c>
      <c r="G806" s="24" t="n">
        <f aca="false">IF(LEFT(F806,1)="A",Parametros!$B$8,IF(LEFT(F806,1)="B",Parametros!$B$9,IF(LEFT(F806,1)="C",Parametros!$B$10,Parametros!$B$11)))</f>
        <v>0.95</v>
      </c>
      <c r="H806" s="27" t="n">
        <f aca="false">NORMSINV(G806)</f>
        <v>1.64485362695147</v>
      </c>
      <c r="I806" s="23" t="n">
        <v>0</v>
      </c>
      <c r="J806" s="23" t="n">
        <f aca="false">IFERROR(INDEX(ABC_XYZ!$R$5:$R$494,MATCH(A806,ABC_XYZ!$A$5:$A$494,0)),I806*Parametros!$B$13)</f>
        <v>0</v>
      </c>
      <c r="K806" s="27" t="n">
        <f aca="false">IFERROR(VLOOKUP(C806,Parametros!$A$36:$B$66,2,FALSE()),Parametros!$B$12)</f>
        <v>1</v>
      </c>
      <c r="L806" s="23" t="n">
        <f aca="false">H806*J806*SQRT(K806)</f>
        <v>0</v>
      </c>
      <c r="M806" s="29" t="n">
        <v>0</v>
      </c>
      <c r="N806" s="24"/>
      <c r="O806" s="3"/>
      <c r="P806" s="30" t="str">
        <f aca="false">IF(AND(ISNUMBER(M806),ISNUMBER(N806)),M806*N806/7,"")</f>
        <v/>
      </c>
      <c r="Q806" s="23" t="str">
        <f aca="false">IF(ISNUMBER(P806),I806*P806,"")</f>
        <v/>
      </c>
      <c r="R806" s="23" t="n">
        <f aca="false">IF(ISNUMBER(Q806),MAX(0,MIN(L806,Q806-I806*K806)),L806)</f>
        <v>0</v>
      </c>
      <c r="S806" s="23" t="n">
        <f aca="false">R806+I806*K806</f>
        <v>0</v>
      </c>
      <c r="T806" s="23" t="n">
        <v>2511</v>
      </c>
      <c r="U806" s="23" t="n">
        <v>0</v>
      </c>
      <c r="V806" s="23" t="n">
        <f aca="false">T806+U806</f>
        <v>2511</v>
      </c>
      <c r="W806" s="30" t="str">
        <f aca="false">IF(I806&gt;0,V806/I806,"")</f>
        <v/>
      </c>
      <c r="X806" s="3" t="str">
        <f aca="false">IF(I806&lt;=0,"SIN FCST",IF(V806&lt;R806,"BAJO SS",IF(T806&lt;R806,"BAJO SS (XLIB CUBRE)",IF(V806&lt;S806,"BAJO P.REORDEN",IF(AND(ISNUMBER(Q806),V806&gt;Q806),"SOBRE MAX VENDIBLE","OK")))))</f>
        <v>SIN FCST</v>
      </c>
    </row>
    <row r="807" customFormat="false" ht="15" hidden="false" customHeight="false" outlineLevel="0" collapsed="false">
      <c r="A807" s="3" t="n">
        <v>30000727</v>
      </c>
      <c r="B807" s="3" t="s">
        <v>1345</v>
      </c>
      <c r="C807" s="3" t="s">
        <v>133</v>
      </c>
      <c r="D807" s="3" t="s">
        <v>758</v>
      </c>
      <c r="E807" s="3"/>
      <c r="F807" s="3" t="str">
        <f aca="false">IFERROR(INDEX(ABC_XYZ!$L$5:$L$494,MATCH(A807,ABC_XYZ!$A$5:$A$494,0)),"SIN HIST")</f>
        <v>SIN HIST</v>
      </c>
      <c r="G807" s="24" t="n">
        <f aca="false">IF(LEFT(F807,1)="A",Parametros!$B$8,IF(LEFT(F807,1)="B",Parametros!$B$9,IF(LEFT(F807,1)="C",Parametros!$B$10,Parametros!$B$11)))</f>
        <v>0.95</v>
      </c>
      <c r="H807" s="27" t="n">
        <f aca="false">NORMSINV(G807)</f>
        <v>1.64485362695147</v>
      </c>
      <c r="I807" s="23" t="n">
        <v>0</v>
      </c>
      <c r="J807" s="23" t="n">
        <f aca="false">IFERROR(INDEX(ABC_XYZ!$R$5:$R$494,MATCH(A807,ABC_XYZ!$A$5:$A$494,0)),I807*Parametros!$B$13)</f>
        <v>0</v>
      </c>
      <c r="K807" s="27" t="n">
        <f aca="false">IFERROR(VLOOKUP(C807,Parametros!$A$36:$B$66,2,FALSE()),Parametros!$B$12)</f>
        <v>1</v>
      </c>
      <c r="L807" s="23" t="n">
        <f aca="false">H807*J807*SQRT(K807)</f>
        <v>0</v>
      </c>
      <c r="M807" s="29"/>
      <c r="N807" s="24"/>
      <c r="O807" s="3"/>
      <c r="P807" s="30" t="str">
        <f aca="false">IF(AND(ISNUMBER(M807),ISNUMBER(N807)),M807*N807/7,"")</f>
        <v/>
      </c>
      <c r="Q807" s="23" t="str">
        <f aca="false">IF(ISNUMBER(P807),I807*P807,"")</f>
        <v/>
      </c>
      <c r="R807" s="23" t="n">
        <f aca="false">IF(ISNUMBER(Q807),MAX(0,MIN(L807,Q807-I807*K807)),L807)</f>
        <v>0</v>
      </c>
      <c r="S807" s="23" t="n">
        <f aca="false">R807+I807*K807</f>
        <v>0</v>
      </c>
      <c r="T807" s="23" t="n">
        <v>1216</v>
      </c>
      <c r="U807" s="23" t="n">
        <v>0</v>
      </c>
      <c r="V807" s="23" t="n">
        <f aca="false">T807+U807</f>
        <v>1216</v>
      </c>
      <c r="W807" s="30" t="str">
        <f aca="false">IF(I807&gt;0,V807/I807,"")</f>
        <v/>
      </c>
      <c r="X807" s="3" t="str">
        <f aca="false">IF(I807&lt;=0,"SIN FCST",IF(V807&lt;R807,"BAJO SS",IF(T807&lt;R807,"BAJO SS (XLIB CUBRE)",IF(V807&lt;S807,"BAJO P.REORDEN",IF(AND(ISNUMBER(Q807),V807&gt;Q807),"SOBRE MAX VENDIBLE","OK")))))</f>
        <v>SIN FCST</v>
      </c>
    </row>
    <row r="808" customFormat="false" ht="15" hidden="false" customHeight="false" outlineLevel="0" collapsed="false">
      <c r="A808" s="3" t="n">
        <v>30000294</v>
      </c>
      <c r="B808" s="3" t="s">
        <v>1346</v>
      </c>
      <c r="C808" s="3" t="s">
        <v>154</v>
      </c>
      <c r="D808" s="3" t="s">
        <v>769</v>
      </c>
      <c r="E808" s="3" t="s">
        <v>745</v>
      </c>
      <c r="F808" s="3" t="str">
        <f aca="false">IFERROR(INDEX(ABC_XYZ!$L$5:$L$494,MATCH(A808,ABC_XYZ!$A$5:$A$494,0)),"SIN HIST")</f>
        <v>SIN HIST</v>
      </c>
      <c r="G808" s="24" t="n">
        <f aca="false">IF(LEFT(F808,1)="A",Parametros!$B$8,IF(LEFT(F808,1)="B",Parametros!$B$9,IF(LEFT(F808,1)="C",Parametros!$B$10,Parametros!$B$11)))</f>
        <v>0.95</v>
      </c>
      <c r="H808" s="27" t="n">
        <f aca="false">NORMSINV(G808)</f>
        <v>1.64485362695147</v>
      </c>
      <c r="I808" s="23" t="n">
        <v>0</v>
      </c>
      <c r="J808" s="23" t="n">
        <f aca="false">IFERROR(INDEX(ABC_XYZ!$R$5:$R$494,MATCH(A808,ABC_XYZ!$A$5:$A$494,0)),I808*Parametros!$B$13)</f>
        <v>0</v>
      </c>
      <c r="K808" s="27" t="n">
        <f aca="false">IFERROR(VLOOKUP(C808,Parametros!$A$36:$B$66,2,FALSE()),Parametros!$B$12)</f>
        <v>1</v>
      </c>
      <c r="L808" s="23" t="n">
        <f aca="false">H808*J808*SQRT(K808)</f>
        <v>0</v>
      </c>
      <c r="M808" s="29" t="n">
        <v>0</v>
      </c>
      <c r="N808" s="24"/>
      <c r="O808" s="3"/>
      <c r="P808" s="30" t="str">
        <f aca="false">IF(AND(ISNUMBER(M808),ISNUMBER(N808)),M808*N808/7,"")</f>
        <v/>
      </c>
      <c r="Q808" s="23" t="str">
        <f aca="false">IF(ISNUMBER(P808),I808*P808,"")</f>
        <v/>
      </c>
      <c r="R808" s="23" t="n">
        <f aca="false">IF(ISNUMBER(Q808),MAX(0,MIN(L808,Q808-I808*K808)),L808)</f>
        <v>0</v>
      </c>
      <c r="S808" s="23" t="n">
        <f aca="false">R808+I808*K808</f>
        <v>0</v>
      </c>
      <c r="T808" s="23" t="n">
        <v>297</v>
      </c>
      <c r="U808" s="23" t="n">
        <v>0</v>
      </c>
      <c r="V808" s="23" t="n">
        <f aca="false">T808+U808</f>
        <v>297</v>
      </c>
      <c r="W808" s="30" t="str">
        <f aca="false">IF(I808&gt;0,V808/I808,"")</f>
        <v/>
      </c>
      <c r="X808" s="3" t="str">
        <f aca="false">IF(I808&lt;=0,"SIN FCST",IF(V808&lt;R808,"BAJO SS",IF(T808&lt;R808,"BAJO SS (XLIB CUBRE)",IF(V808&lt;S808,"BAJO P.REORDEN",IF(AND(ISNUMBER(Q808),V808&gt;Q808),"SOBRE MAX VENDIBLE","OK")))))</f>
        <v>SIN FCST</v>
      </c>
    </row>
    <row r="809" customFormat="false" ht="15" hidden="false" customHeight="false" outlineLevel="0" collapsed="false">
      <c r="A809" s="3" t="n">
        <v>30000293</v>
      </c>
      <c r="B809" s="3" t="s">
        <v>1347</v>
      </c>
      <c r="C809" s="3" t="s">
        <v>154</v>
      </c>
      <c r="D809" s="3" t="s">
        <v>769</v>
      </c>
      <c r="E809" s="3" t="s">
        <v>745</v>
      </c>
      <c r="F809" s="3" t="str">
        <f aca="false">IFERROR(INDEX(ABC_XYZ!$L$5:$L$494,MATCH(A809,ABC_XYZ!$A$5:$A$494,0)),"SIN HIST")</f>
        <v>SIN HIST</v>
      </c>
      <c r="G809" s="24" t="n">
        <f aca="false">IF(LEFT(F809,1)="A",Parametros!$B$8,IF(LEFT(F809,1)="B",Parametros!$B$9,IF(LEFT(F809,1)="C",Parametros!$B$10,Parametros!$B$11)))</f>
        <v>0.95</v>
      </c>
      <c r="H809" s="27" t="n">
        <f aca="false">NORMSINV(G809)</f>
        <v>1.64485362695147</v>
      </c>
      <c r="I809" s="23" t="n">
        <v>0</v>
      </c>
      <c r="J809" s="23" t="n">
        <f aca="false">IFERROR(INDEX(ABC_XYZ!$R$5:$R$494,MATCH(A809,ABC_XYZ!$A$5:$A$494,0)),I809*Parametros!$B$13)</f>
        <v>0</v>
      </c>
      <c r="K809" s="27" t="n">
        <f aca="false">IFERROR(VLOOKUP(C809,Parametros!$A$36:$B$66,2,FALSE()),Parametros!$B$12)</f>
        <v>1</v>
      </c>
      <c r="L809" s="23" t="n">
        <f aca="false">H809*J809*SQRT(K809)</f>
        <v>0</v>
      </c>
      <c r="M809" s="29" t="n">
        <v>0</v>
      </c>
      <c r="N809" s="24"/>
      <c r="O809" s="3"/>
      <c r="P809" s="30" t="str">
        <f aca="false">IF(AND(ISNUMBER(M809),ISNUMBER(N809)),M809*N809/7,"")</f>
        <v/>
      </c>
      <c r="Q809" s="23" t="str">
        <f aca="false">IF(ISNUMBER(P809),I809*P809,"")</f>
        <v/>
      </c>
      <c r="R809" s="23" t="n">
        <f aca="false">IF(ISNUMBER(Q809),MAX(0,MIN(L809,Q809-I809*K809)),L809)</f>
        <v>0</v>
      </c>
      <c r="S809" s="23" t="n">
        <f aca="false">R809+I809*K809</f>
        <v>0</v>
      </c>
      <c r="T809" s="23" t="n">
        <v>522</v>
      </c>
      <c r="U809" s="23" t="n">
        <v>0</v>
      </c>
      <c r="V809" s="23" t="n">
        <f aca="false">T809+U809</f>
        <v>522</v>
      </c>
      <c r="W809" s="30" t="str">
        <f aca="false">IF(I809&gt;0,V809/I809,"")</f>
        <v/>
      </c>
      <c r="X809" s="3" t="str">
        <f aca="false">IF(I809&lt;=0,"SIN FCST",IF(V809&lt;R809,"BAJO SS",IF(T809&lt;R809,"BAJO SS (XLIB CUBRE)",IF(V809&lt;S809,"BAJO P.REORDEN",IF(AND(ISNUMBER(Q809),V809&gt;Q809),"SOBRE MAX VENDIBLE","OK")))))</f>
        <v>SIN FCST</v>
      </c>
    </row>
    <row r="810" customFormat="false" ht="15" hidden="false" customHeight="false" outlineLevel="0" collapsed="false">
      <c r="A810" s="3" t="n">
        <v>30000291</v>
      </c>
      <c r="B810" s="3" t="s">
        <v>1348</v>
      </c>
      <c r="C810" s="3" t="s">
        <v>154</v>
      </c>
      <c r="D810" s="3" t="s">
        <v>769</v>
      </c>
      <c r="E810" s="3" t="s">
        <v>745</v>
      </c>
      <c r="F810" s="3" t="str">
        <f aca="false">IFERROR(INDEX(ABC_XYZ!$L$5:$L$494,MATCH(A810,ABC_XYZ!$A$5:$A$494,0)),"SIN HIST")</f>
        <v>SIN HIST</v>
      </c>
      <c r="G810" s="24" t="n">
        <f aca="false">IF(LEFT(F810,1)="A",Parametros!$B$8,IF(LEFT(F810,1)="B",Parametros!$B$9,IF(LEFT(F810,1)="C",Parametros!$B$10,Parametros!$B$11)))</f>
        <v>0.95</v>
      </c>
      <c r="H810" s="27" t="n">
        <f aca="false">NORMSINV(G810)</f>
        <v>1.64485362695147</v>
      </c>
      <c r="I810" s="23" t="n">
        <v>0</v>
      </c>
      <c r="J810" s="23" t="n">
        <f aca="false">IFERROR(INDEX(ABC_XYZ!$R$5:$R$494,MATCH(A810,ABC_XYZ!$A$5:$A$494,0)),I810*Parametros!$B$13)</f>
        <v>0</v>
      </c>
      <c r="K810" s="27" t="n">
        <f aca="false">IFERROR(VLOOKUP(C810,Parametros!$A$36:$B$66,2,FALSE()),Parametros!$B$12)</f>
        <v>1</v>
      </c>
      <c r="L810" s="23" t="n">
        <f aca="false">H810*J810*SQRT(K810)</f>
        <v>0</v>
      </c>
      <c r="M810" s="29" t="n">
        <v>0</v>
      </c>
      <c r="N810" s="24"/>
      <c r="O810" s="3"/>
      <c r="P810" s="30" t="str">
        <f aca="false">IF(AND(ISNUMBER(M810),ISNUMBER(N810)),M810*N810/7,"")</f>
        <v/>
      </c>
      <c r="Q810" s="23" t="str">
        <f aca="false">IF(ISNUMBER(P810),I810*P810,"")</f>
        <v/>
      </c>
      <c r="R810" s="23" t="n">
        <f aca="false">IF(ISNUMBER(Q810),MAX(0,MIN(L810,Q810-I810*K810)),L810)</f>
        <v>0</v>
      </c>
      <c r="S810" s="23" t="n">
        <f aca="false">R810+I810*K810</f>
        <v>0</v>
      </c>
      <c r="T810" s="23" t="n">
        <v>1125</v>
      </c>
      <c r="U810" s="23" t="n">
        <v>0</v>
      </c>
      <c r="V810" s="23" t="n">
        <f aca="false">T810+U810</f>
        <v>1125</v>
      </c>
      <c r="W810" s="30" t="str">
        <f aca="false">IF(I810&gt;0,V810/I810,"")</f>
        <v/>
      </c>
      <c r="X810" s="3" t="str">
        <f aca="false">IF(I810&lt;=0,"SIN FCST",IF(V810&lt;R810,"BAJO SS",IF(T810&lt;R810,"BAJO SS (XLIB CUBRE)",IF(V810&lt;S810,"BAJO P.REORDEN",IF(AND(ISNUMBER(Q810),V810&gt;Q810),"SOBRE MAX VENDIBLE","OK")))))</f>
        <v>SIN FCST</v>
      </c>
    </row>
    <row r="811" customFormat="false" ht="15" hidden="false" customHeight="false" outlineLevel="0" collapsed="false">
      <c r="A811" s="3" t="n">
        <v>30000589</v>
      </c>
      <c r="B811" s="3" t="s">
        <v>1349</v>
      </c>
      <c r="C811" s="3" t="s">
        <v>154</v>
      </c>
      <c r="D811" s="3" t="s">
        <v>769</v>
      </c>
      <c r="E811" s="3" t="s">
        <v>745</v>
      </c>
      <c r="F811" s="3" t="str">
        <f aca="false">IFERROR(INDEX(ABC_XYZ!$L$5:$L$494,MATCH(A811,ABC_XYZ!$A$5:$A$494,0)),"SIN HIST")</f>
        <v>SIN HIST</v>
      </c>
      <c r="G811" s="24" t="n">
        <f aca="false">IF(LEFT(F811,1)="A",Parametros!$B$8,IF(LEFT(F811,1)="B",Parametros!$B$9,IF(LEFT(F811,1)="C",Parametros!$B$10,Parametros!$B$11)))</f>
        <v>0.95</v>
      </c>
      <c r="H811" s="27" t="n">
        <f aca="false">NORMSINV(G811)</f>
        <v>1.64485362695147</v>
      </c>
      <c r="I811" s="23" t="n">
        <v>0</v>
      </c>
      <c r="J811" s="23" t="n">
        <f aca="false">IFERROR(INDEX(ABC_XYZ!$R$5:$R$494,MATCH(A811,ABC_XYZ!$A$5:$A$494,0)),I811*Parametros!$B$13)</f>
        <v>0</v>
      </c>
      <c r="K811" s="27" t="n">
        <f aca="false">IFERROR(VLOOKUP(C811,Parametros!$A$36:$B$66,2,FALSE()),Parametros!$B$12)</f>
        <v>1</v>
      </c>
      <c r="L811" s="23" t="n">
        <f aca="false">H811*J811*SQRT(K811)</f>
        <v>0</v>
      </c>
      <c r="M811" s="29" t="n">
        <v>0</v>
      </c>
      <c r="N811" s="24"/>
      <c r="O811" s="3"/>
      <c r="P811" s="30" t="str">
        <f aca="false">IF(AND(ISNUMBER(M811),ISNUMBER(N811)),M811*N811/7,"")</f>
        <v/>
      </c>
      <c r="Q811" s="23" t="str">
        <f aca="false">IF(ISNUMBER(P811),I811*P811,"")</f>
        <v/>
      </c>
      <c r="R811" s="23" t="n">
        <f aca="false">IF(ISNUMBER(Q811),MAX(0,MIN(L811,Q811-I811*K811)),L811)</f>
        <v>0</v>
      </c>
      <c r="S811" s="23" t="n">
        <f aca="false">R811+I811*K811</f>
        <v>0</v>
      </c>
      <c r="T811" s="23" t="n">
        <v>1687.5</v>
      </c>
      <c r="U811" s="23" t="n">
        <v>0</v>
      </c>
      <c r="V811" s="23" t="n">
        <f aca="false">T811+U811</f>
        <v>1687.5</v>
      </c>
      <c r="W811" s="30" t="str">
        <f aca="false">IF(I811&gt;0,V811/I811,"")</f>
        <v/>
      </c>
      <c r="X811" s="3" t="str">
        <f aca="false">IF(I811&lt;=0,"SIN FCST",IF(V811&lt;R811,"BAJO SS",IF(T811&lt;R811,"BAJO SS (XLIB CUBRE)",IF(V811&lt;S811,"BAJO P.REORDEN",IF(AND(ISNUMBER(Q811),V811&gt;Q811),"SOBRE MAX VENDIBLE","OK")))))</f>
        <v>SIN FCST</v>
      </c>
    </row>
    <row r="812" customFormat="false" ht="15" hidden="false" customHeight="false" outlineLevel="0" collapsed="false">
      <c r="A812" s="3" t="n">
        <v>30000588</v>
      </c>
      <c r="B812" s="3" t="s">
        <v>1350</v>
      </c>
      <c r="C812" s="3" t="s">
        <v>154</v>
      </c>
      <c r="D812" s="3" t="s">
        <v>769</v>
      </c>
      <c r="E812" s="3" t="s">
        <v>745</v>
      </c>
      <c r="F812" s="3" t="str">
        <f aca="false">IFERROR(INDEX(ABC_XYZ!$L$5:$L$494,MATCH(A812,ABC_XYZ!$A$5:$A$494,0)),"SIN HIST")</f>
        <v>SIN HIST</v>
      </c>
      <c r="G812" s="24" t="n">
        <f aca="false">IF(LEFT(F812,1)="A",Parametros!$B$8,IF(LEFT(F812,1)="B",Parametros!$B$9,IF(LEFT(F812,1)="C",Parametros!$B$10,Parametros!$B$11)))</f>
        <v>0.95</v>
      </c>
      <c r="H812" s="27" t="n">
        <f aca="false">NORMSINV(G812)</f>
        <v>1.64485362695147</v>
      </c>
      <c r="I812" s="23" t="n">
        <v>0</v>
      </c>
      <c r="J812" s="23" t="n">
        <f aca="false">IFERROR(INDEX(ABC_XYZ!$R$5:$R$494,MATCH(A812,ABC_XYZ!$A$5:$A$494,0)),I812*Parametros!$B$13)</f>
        <v>0</v>
      </c>
      <c r="K812" s="27" t="n">
        <f aca="false">IFERROR(VLOOKUP(C812,Parametros!$A$36:$B$66,2,FALSE()),Parametros!$B$12)</f>
        <v>1</v>
      </c>
      <c r="L812" s="23" t="n">
        <f aca="false">H812*J812*SQRT(K812)</f>
        <v>0</v>
      </c>
      <c r="M812" s="29" t="n">
        <v>0</v>
      </c>
      <c r="N812" s="24"/>
      <c r="O812" s="3"/>
      <c r="P812" s="30" t="str">
        <f aca="false">IF(AND(ISNUMBER(M812),ISNUMBER(N812)),M812*N812/7,"")</f>
        <v/>
      </c>
      <c r="Q812" s="23" t="str">
        <f aca="false">IF(ISNUMBER(P812),I812*P812,"")</f>
        <v/>
      </c>
      <c r="R812" s="23" t="n">
        <f aca="false">IF(ISNUMBER(Q812),MAX(0,MIN(L812,Q812-I812*K812)),L812)</f>
        <v>0</v>
      </c>
      <c r="S812" s="23" t="n">
        <f aca="false">R812+I812*K812</f>
        <v>0</v>
      </c>
      <c r="T812" s="23" t="n">
        <v>1759.5</v>
      </c>
      <c r="U812" s="23" t="n">
        <v>0</v>
      </c>
      <c r="V812" s="23" t="n">
        <f aca="false">T812+U812</f>
        <v>1759.5</v>
      </c>
      <c r="W812" s="30" t="str">
        <f aca="false">IF(I812&gt;0,V812/I812,"")</f>
        <v/>
      </c>
      <c r="X812" s="3" t="str">
        <f aca="false">IF(I812&lt;=0,"SIN FCST",IF(V812&lt;R812,"BAJO SS",IF(T812&lt;R812,"BAJO SS (XLIB CUBRE)",IF(V812&lt;S812,"BAJO P.REORDEN",IF(AND(ISNUMBER(Q812),V812&gt;Q812),"SOBRE MAX VENDIBLE","OK")))))</f>
        <v>SIN FCST</v>
      </c>
    </row>
    <row r="813" customFormat="false" ht="15" hidden="false" customHeight="false" outlineLevel="0" collapsed="false">
      <c r="A813" s="3" t="n">
        <v>30000585</v>
      </c>
      <c r="B813" s="3" t="s">
        <v>1351</v>
      </c>
      <c r="C813" s="3" t="s">
        <v>154</v>
      </c>
      <c r="D813" s="3" t="s">
        <v>769</v>
      </c>
      <c r="E813" s="3" t="s">
        <v>745</v>
      </c>
      <c r="F813" s="3" t="str">
        <f aca="false">IFERROR(INDEX(ABC_XYZ!$L$5:$L$494,MATCH(A813,ABC_XYZ!$A$5:$A$494,0)),"SIN HIST")</f>
        <v>SIN HIST</v>
      </c>
      <c r="G813" s="24" t="n">
        <f aca="false">IF(LEFT(F813,1)="A",Parametros!$B$8,IF(LEFT(F813,1)="B",Parametros!$B$9,IF(LEFT(F813,1)="C",Parametros!$B$10,Parametros!$B$11)))</f>
        <v>0.95</v>
      </c>
      <c r="H813" s="27" t="n">
        <f aca="false">NORMSINV(G813)</f>
        <v>1.64485362695147</v>
      </c>
      <c r="I813" s="23" t="n">
        <v>0</v>
      </c>
      <c r="J813" s="23" t="n">
        <f aca="false">IFERROR(INDEX(ABC_XYZ!$R$5:$R$494,MATCH(A813,ABC_XYZ!$A$5:$A$494,0)),I813*Parametros!$B$13)</f>
        <v>0</v>
      </c>
      <c r="K813" s="27" t="n">
        <f aca="false">IFERROR(VLOOKUP(C813,Parametros!$A$36:$B$66,2,FALSE()),Parametros!$B$12)</f>
        <v>1</v>
      </c>
      <c r="L813" s="23" t="n">
        <f aca="false">H813*J813*SQRT(K813)</f>
        <v>0</v>
      </c>
      <c r="M813" s="29" t="n">
        <v>0</v>
      </c>
      <c r="N813" s="24"/>
      <c r="O813" s="3"/>
      <c r="P813" s="30" t="str">
        <f aca="false">IF(AND(ISNUMBER(M813),ISNUMBER(N813)),M813*N813/7,"")</f>
        <v/>
      </c>
      <c r="Q813" s="23" t="str">
        <f aca="false">IF(ISNUMBER(P813),I813*P813,"")</f>
        <v/>
      </c>
      <c r="R813" s="23" t="n">
        <f aca="false">IF(ISNUMBER(Q813),MAX(0,MIN(L813,Q813-I813*K813)),L813)</f>
        <v>0</v>
      </c>
      <c r="S813" s="23" t="n">
        <f aca="false">R813+I813*K813</f>
        <v>0</v>
      </c>
      <c r="T813" s="23" t="n">
        <v>1287</v>
      </c>
      <c r="U813" s="23" t="n">
        <v>0</v>
      </c>
      <c r="V813" s="23" t="n">
        <f aca="false">T813+U813</f>
        <v>1287</v>
      </c>
      <c r="W813" s="30" t="str">
        <f aca="false">IF(I813&gt;0,V813/I813,"")</f>
        <v/>
      </c>
      <c r="X813" s="3" t="str">
        <f aca="false">IF(I813&lt;=0,"SIN FCST",IF(V813&lt;R813,"BAJO SS",IF(T813&lt;R813,"BAJO SS (XLIB CUBRE)",IF(V813&lt;S813,"BAJO P.REORDEN",IF(AND(ISNUMBER(Q813),V813&gt;Q813),"SOBRE MAX VENDIBLE","OK")))))</f>
        <v>SIN FCST</v>
      </c>
    </row>
    <row r="814" customFormat="false" ht="15" hidden="false" customHeight="false" outlineLevel="0" collapsed="false">
      <c r="A814" s="3" t="n">
        <v>30000584</v>
      </c>
      <c r="B814" s="3" t="s">
        <v>1352</v>
      </c>
      <c r="C814" s="3" t="s">
        <v>154</v>
      </c>
      <c r="D814" s="3" t="s">
        <v>769</v>
      </c>
      <c r="E814" s="3" t="s">
        <v>745</v>
      </c>
      <c r="F814" s="3" t="str">
        <f aca="false">IFERROR(INDEX(ABC_XYZ!$L$5:$L$494,MATCH(A814,ABC_XYZ!$A$5:$A$494,0)),"SIN HIST")</f>
        <v>SIN HIST</v>
      </c>
      <c r="G814" s="24" t="n">
        <f aca="false">IF(LEFT(F814,1)="A",Parametros!$B$8,IF(LEFT(F814,1)="B",Parametros!$B$9,IF(LEFT(F814,1)="C",Parametros!$B$10,Parametros!$B$11)))</f>
        <v>0.95</v>
      </c>
      <c r="H814" s="27" t="n">
        <f aca="false">NORMSINV(G814)</f>
        <v>1.64485362695147</v>
      </c>
      <c r="I814" s="23" t="n">
        <v>0</v>
      </c>
      <c r="J814" s="23" t="n">
        <f aca="false">IFERROR(INDEX(ABC_XYZ!$R$5:$R$494,MATCH(A814,ABC_XYZ!$A$5:$A$494,0)),I814*Parametros!$B$13)</f>
        <v>0</v>
      </c>
      <c r="K814" s="27" t="n">
        <f aca="false">IFERROR(VLOOKUP(C814,Parametros!$A$36:$B$66,2,FALSE()),Parametros!$B$12)</f>
        <v>1</v>
      </c>
      <c r="L814" s="23" t="n">
        <f aca="false">H814*J814*SQRT(K814)</f>
        <v>0</v>
      </c>
      <c r="M814" s="29" t="n">
        <v>0</v>
      </c>
      <c r="N814" s="24"/>
      <c r="O814" s="3"/>
      <c r="P814" s="30" t="str">
        <f aca="false">IF(AND(ISNUMBER(M814),ISNUMBER(N814)),M814*N814/7,"")</f>
        <v/>
      </c>
      <c r="Q814" s="23" t="str">
        <f aca="false">IF(ISNUMBER(P814),I814*P814,"")</f>
        <v/>
      </c>
      <c r="R814" s="23" t="n">
        <f aca="false">IF(ISNUMBER(Q814),MAX(0,MIN(L814,Q814-I814*K814)),L814)</f>
        <v>0</v>
      </c>
      <c r="S814" s="23" t="n">
        <f aca="false">R814+I814*K814</f>
        <v>0</v>
      </c>
      <c r="T814" s="23" t="n">
        <v>1872</v>
      </c>
      <c r="U814" s="23" t="n">
        <v>0</v>
      </c>
      <c r="V814" s="23" t="n">
        <f aca="false">T814+U814</f>
        <v>1872</v>
      </c>
      <c r="W814" s="30" t="str">
        <f aca="false">IF(I814&gt;0,V814/I814,"")</f>
        <v/>
      </c>
      <c r="X814" s="3" t="str">
        <f aca="false">IF(I814&lt;=0,"SIN FCST",IF(V814&lt;R814,"BAJO SS",IF(T814&lt;R814,"BAJO SS (XLIB CUBRE)",IF(V814&lt;S814,"BAJO P.REORDEN",IF(AND(ISNUMBER(Q814),V814&gt;Q814),"SOBRE MAX VENDIBLE","OK")))))</f>
        <v>SIN FCST</v>
      </c>
    </row>
    <row r="815" customFormat="false" ht="15" hidden="false" customHeight="false" outlineLevel="0" collapsed="false">
      <c r="A815" s="3" t="n">
        <v>30000582</v>
      </c>
      <c r="B815" s="3" t="s">
        <v>1353</v>
      </c>
      <c r="C815" s="3" t="s">
        <v>154</v>
      </c>
      <c r="D815" s="3" t="s">
        <v>769</v>
      </c>
      <c r="E815" s="3" t="s">
        <v>745</v>
      </c>
      <c r="F815" s="3" t="str">
        <f aca="false">IFERROR(INDEX(ABC_XYZ!$L$5:$L$494,MATCH(A815,ABC_XYZ!$A$5:$A$494,0)),"SIN HIST")</f>
        <v>SIN HIST</v>
      </c>
      <c r="G815" s="24" t="n">
        <f aca="false">IF(LEFT(F815,1)="A",Parametros!$B$8,IF(LEFT(F815,1)="B",Parametros!$B$9,IF(LEFT(F815,1)="C",Parametros!$B$10,Parametros!$B$11)))</f>
        <v>0.95</v>
      </c>
      <c r="H815" s="27" t="n">
        <f aca="false">NORMSINV(G815)</f>
        <v>1.64485362695147</v>
      </c>
      <c r="I815" s="23" t="n">
        <v>0</v>
      </c>
      <c r="J815" s="23" t="n">
        <f aca="false">IFERROR(INDEX(ABC_XYZ!$R$5:$R$494,MATCH(A815,ABC_XYZ!$A$5:$A$494,0)),I815*Parametros!$B$13)</f>
        <v>0</v>
      </c>
      <c r="K815" s="27" t="n">
        <f aca="false">IFERROR(VLOOKUP(C815,Parametros!$A$36:$B$66,2,FALSE()),Parametros!$B$12)</f>
        <v>1</v>
      </c>
      <c r="L815" s="23" t="n">
        <f aca="false">H815*J815*SQRT(K815)</f>
        <v>0</v>
      </c>
      <c r="M815" s="29" t="n">
        <v>0</v>
      </c>
      <c r="N815" s="24"/>
      <c r="O815" s="3"/>
      <c r="P815" s="30" t="str">
        <f aca="false">IF(AND(ISNUMBER(M815),ISNUMBER(N815)),M815*N815/7,"")</f>
        <v/>
      </c>
      <c r="Q815" s="23" t="str">
        <f aca="false">IF(ISNUMBER(P815),I815*P815,"")</f>
        <v/>
      </c>
      <c r="R815" s="23" t="n">
        <f aca="false">IF(ISNUMBER(Q815),MAX(0,MIN(L815,Q815-I815*K815)),L815)</f>
        <v>0</v>
      </c>
      <c r="S815" s="23" t="n">
        <f aca="false">R815+I815*K815</f>
        <v>0</v>
      </c>
      <c r="T815" s="23" t="n">
        <v>711</v>
      </c>
      <c r="U815" s="23" t="n">
        <v>0</v>
      </c>
      <c r="V815" s="23" t="n">
        <f aca="false">T815+U815</f>
        <v>711</v>
      </c>
      <c r="W815" s="30" t="str">
        <f aca="false">IF(I815&gt;0,V815/I815,"")</f>
        <v/>
      </c>
      <c r="X815" s="3" t="str">
        <f aca="false">IF(I815&lt;=0,"SIN FCST",IF(V815&lt;R815,"BAJO SS",IF(T815&lt;R815,"BAJO SS (XLIB CUBRE)",IF(V815&lt;S815,"BAJO P.REORDEN",IF(AND(ISNUMBER(Q815),V815&gt;Q815),"SOBRE MAX VENDIBLE","OK")))))</f>
        <v>SIN FCST</v>
      </c>
    </row>
    <row r="816" customFormat="false" ht="15" hidden="false" customHeight="false" outlineLevel="0" collapsed="false">
      <c r="A816" s="3" t="n">
        <v>30000579</v>
      </c>
      <c r="B816" s="3" t="s">
        <v>1354</v>
      </c>
      <c r="C816" s="3" t="s">
        <v>154</v>
      </c>
      <c r="D816" s="3" t="s">
        <v>769</v>
      </c>
      <c r="E816" s="3" t="s">
        <v>745</v>
      </c>
      <c r="F816" s="3" t="str">
        <f aca="false">IFERROR(INDEX(ABC_XYZ!$L$5:$L$494,MATCH(A816,ABC_XYZ!$A$5:$A$494,0)),"SIN HIST")</f>
        <v>SIN HIST</v>
      </c>
      <c r="G816" s="24" t="n">
        <f aca="false">IF(LEFT(F816,1)="A",Parametros!$B$8,IF(LEFT(F816,1)="B",Parametros!$B$9,IF(LEFT(F816,1)="C",Parametros!$B$10,Parametros!$B$11)))</f>
        <v>0.95</v>
      </c>
      <c r="H816" s="27" t="n">
        <f aca="false">NORMSINV(G816)</f>
        <v>1.64485362695147</v>
      </c>
      <c r="I816" s="23" t="n">
        <v>0</v>
      </c>
      <c r="J816" s="23" t="n">
        <f aca="false">IFERROR(INDEX(ABC_XYZ!$R$5:$R$494,MATCH(A816,ABC_XYZ!$A$5:$A$494,0)),I816*Parametros!$B$13)</f>
        <v>0</v>
      </c>
      <c r="K816" s="27" t="n">
        <f aca="false">IFERROR(VLOOKUP(C816,Parametros!$A$36:$B$66,2,FALSE()),Parametros!$B$12)</f>
        <v>1</v>
      </c>
      <c r="L816" s="23" t="n">
        <f aca="false">H816*J816*SQRT(K816)</f>
        <v>0</v>
      </c>
      <c r="M816" s="29" t="n">
        <v>0</v>
      </c>
      <c r="N816" s="24"/>
      <c r="O816" s="3"/>
      <c r="P816" s="30" t="str">
        <f aca="false">IF(AND(ISNUMBER(M816),ISNUMBER(N816)),M816*N816/7,"")</f>
        <v/>
      </c>
      <c r="Q816" s="23" t="str">
        <f aca="false">IF(ISNUMBER(P816),I816*P816,"")</f>
        <v/>
      </c>
      <c r="R816" s="23" t="n">
        <f aca="false">IF(ISNUMBER(Q816),MAX(0,MIN(L816,Q816-I816*K816)),L816)</f>
        <v>0</v>
      </c>
      <c r="S816" s="23" t="n">
        <f aca="false">R816+I816*K816</f>
        <v>0</v>
      </c>
      <c r="T816" s="23" t="n">
        <v>99</v>
      </c>
      <c r="U816" s="23" t="n">
        <v>0</v>
      </c>
      <c r="V816" s="23" t="n">
        <f aca="false">T816+U816</f>
        <v>99</v>
      </c>
      <c r="W816" s="30" t="str">
        <f aca="false">IF(I816&gt;0,V816/I816,"")</f>
        <v/>
      </c>
      <c r="X816" s="3" t="str">
        <f aca="false">IF(I816&lt;=0,"SIN FCST",IF(V816&lt;R816,"BAJO SS",IF(T816&lt;R816,"BAJO SS (XLIB CUBRE)",IF(V816&lt;S816,"BAJO P.REORDEN",IF(AND(ISNUMBER(Q816),V816&gt;Q816),"SOBRE MAX VENDIBLE","OK")))))</f>
        <v>SIN FCST</v>
      </c>
    </row>
    <row r="817" customFormat="false" ht="15" hidden="false" customHeight="false" outlineLevel="0" collapsed="false">
      <c r="A817" s="3" t="n">
        <v>30000296</v>
      </c>
      <c r="B817" s="3" t="s">
        <v>1355</v>
      </c>
      <c r="C817" s="3" t="s">
        <v>154</v>
      </c>
      <c r="D817" s="3" t="s">
        <v>769</v>
      </c>
      <c r="E817" s="3" t="s">
        <v>745</v>
      </c>
      <c r="F817" s="3" t="str">
        <f aca="false">IFERROR(INDEX(ABC_XYZ!$L$5:$L$494,MATCH(A817,ABC_XYZ!$A$5:$A$494,0)),"SIN HIST")</f>
        <v>SIN HIST</v>
      </c>
      <c r="G817" s="24" t="n">
        <f aca="false">IF(LEFT(F817,1)="A",Parametros!$B$8,IF(LEFT(F817,1)="B",Parametros!$B$9,IF(LEFT(F817,1)="C",Parametros!$B$10,Parametros!$B$11)))</f>
        <v>0.95</v>
      </c>
      <c r="H817" s="27" t="n">
        <f aca="false">NORMSINV(G817)</f>
        <v>1.64485362695147</v>
      </c>
      <c r="I817" s="23" t="n">
        <v>0</v>
      </c>
      <c r="J817" s="23" t="n">
        <f aca="false">IFERROR(INDEX(ABC_XYZ!$R$5:$R$494,MATCH(A817,ABC_XYZ!$A$5:$A$494,0)),I817*Parametros!$B$13)</f>
        <v>0</v>
      </c>
      <c r="K817" s="27" t="n">
        <f aca="false">IFERROR(VLOOKUP(C817,Parametros!$A$36:$B$66,2,FALSE()),Parametros!$B$12)</f>
        <v>1</v>
      </c>
      <c r="L817" s="23" t="n">
        <f aca="false">H817*J817*SQRT(K817)</f>
        <v>0</v>
      </c>
      <c r="M817" s="29" t="n">
        <v>0</v>
      </c>
      <c r="N817" s="24"/>
      <c r="O817" s="3"/>
      <c r="P817" s="30" t="str">
        <f aca="false">IF(AND(ISNUMBER(M817),ISNUMBER(N817)),M817*N817/7,"")</f>
        <v/>
      </c>
      <c r="Q817" s="23" t="str">
        <f aca="false">IF(ISNUMBER(P817),I817*P817,"")</f>
        <v/>
      </c>
      <c r="R817" s="23" t="n">
        <f aca="false">IF(ISNUMBER(Q817),MAX(0,MIN(L817,Q817-I817*K817)),L817)</f>
        <v>0</v>
      </c>
      <c r="S817" s="23" t="n">
        <f aca="false">R817+I817*K817</f>
        <v>0</v>
      </c>
      <c r="T817" s="23" t="n">
        <v>1323</v>
      </c>
      <c r="U817" s="23" t="n">
        <v>0</v>
      </c>
      <c r="V817" s="23" t="n">
        <f aca="false">T817+U817</f>
        <v>1323</v>
      </c>
      <c r="W817" s="30" t="str">
        <f aca="false">IF(I817&gt;0,V817/I817,"")</f>
        <v/>
      </c>
      <c r="X817" s="3" t="str">
        <f aca="false">IF(I817&lt;=0,"SIN FCST",IF(V817&lt;R817,"BAJO SS",IF(T817&lt;R817,"BAJO SS (XLIB CUBRE)",IF(V817&lt;S817,"BAJO P.REORDEN",IF(AND(ISNUMBER(Q817),V817&gt;Q817),"SOBRE MAX VENDIBLE","OK")))))</f>
        <v>SIN FCST</v>
      </c>
    </row>
    <row r="818" customFormat="false" ht="15" hidden="false" customHeight="false" outlineLevel="0" collapsed="false">
      <c r="A818" s="3" t="n">
        <v>30001434</v>
      </c>
      <c r="B818" s="3" t="s">
        <v>1356</v>
      </c>
      <c r="C818" s="3" t="s">
        <v>154</v>
      </c>
      <c r="D818" s="3" t="s">
        <v>769</v>
      </c>
      <c r="E818" s="3" t="s">
        <v>745</v>
      </c>
      <c r="F818" s="3" t="str">
        <f aca="false">IFERROR(INDEX(ABC_XYZ!$L$5:$L$494,MATCH(A818,ABC_XYZ!$A$5:$A$494,0)),"SIN HIST")</f>
        <v>SIN HIST</v>
      </c>
      <c r="G818" s="24" t="n">
        <f aca="false">IF(LEFT(F818,1)="A",Parametros!$B$8,IF(LEFT(F818,1)="B",Parametros!$B$9,IF(LEFT(F818,1)="C",Parametros!$B$10,Parametros!$B$11)))</f>
        <v>0.95</v>
      </c>
      <c r="H818" s="27" t="n">
        <f aca="false">NORMSINV(G818)</f>
        <v>1.64485362695147</v>
      </c>
      <c r="I818" s="23" t="n">
        <v>0</v>
      </c>
      <c r="J818" s="23" t="n">
        <f aca="false">IFERROR(INDEX(ABC_XYZ!$R$5:$R$494,MATCH(A818,ABC_XYZ!$A$5:$A$494,0)),I818*Parametros!$B$13)</f>
        <v>0</v>
      </c>
      <c r="K818" s="27" t="n">
        <f aca="false">IFERROR(VLOOKUP(C818,Parametros!$A$36:$B$66,2,FALSE()),Parametros!$B$12)</f>
        <v>1</v>
      </c>
      <c r="L818" s="23" t="n">
        <f aca="false">H818*J818*SQRT(K818)</f>
        <v>0</v>
      </c>
      <c r="M818" s="29" t="n">
        <v>0</v>
      </c>
      <c r="N818" s="24"/>
      <c r="O818" s="3"/>
      <c r="P818" s="30" t="str">
        <f aca="false">IF(AND(ISNUMBER(M818),ISNUMBER(N818)),M818*N818/7,"")</f>
        <v/>
      </c>
      <c r="Q818" s="23" t="str">
        <f aca="false">IF(ISNUMBER(P818),I818*P818,"")</f>
        <v/>
      </c>
      <c r="R818" s="23" t="n">
        <f aca="false">IF(ISNUMBER(Q818),MAX(0,MIN(L818,Q818-I818*K818)),L818)</f>
        <v>0</v>
      </c>
      <c r="S818" s="23" t="n">
        <f aca="false">R818+I818*K818</f>
        <v>0</v>
      </c>
      <c r="T818" s="23" t="n">
        <v>1372.5</v>
      </c>
      <c r="U818" s="23" t="n">
        <v>0</v>
      </c>
      <c r="V818" s="23" t="n">
        <f aca="false">T818+U818</f>
        <v>1372.5</v>
      </c>
      <c r="W818" s="30" t="str">
        <f aca="false">IF(I818&gt;0,V818/I818,"")</f>
        <v/>
      </c>
      <c r="X818" s="3" t="str">
        <f aca="false">IF(I818&lt;=0,"SIN FCST",IF(V818&lt;R818,"BAJO SS",IF(T818&lt;R818,"BAJO SS (XLIB CUBRE)",IF(V818&lt;S818,"BAJO P.REORDEN",IF(AND(ISNUMBER(Q818),V818&gt;Q818),"SOBRE MAX VENDIBLE","OK")))))</f>
        <v>SIN FCST</v>
      </c>
    </row>
    <row r="819" customFormat="false" ht="15" hidden="false" customHeight="false" outlineLevel="0" collapsed="false">
      <c r="A819" s="3" t="n">
        <v>30001435</v>
      </c>
      <c r="B819" s="3" t="s">
        <v>1357</v>
      </c>
      <c r="C819" s="3" t="s">
        <v>154</v>
      </c>
      <c r="D819" s="3" t="s">
        <v>769</v>
      </c>
      <c r="E819" s="3" t="s">
        <v>745</v>
      </c>
      <c r="F819" s="3" t="str">
        <f aca="false">IFERROR(INDEX(ABC_XYZ!$L$5:$L$494,MATCH(A819,ABC_XYZ!$A$5:$A$494,0)),"SIN HIST")</f>
        <v>SIN HIST</v>
      </c>
      <c r="G819" s="24" t="n">
        <f aca="false">IF(LEFT(F819,1)="A",Parametros!$B$8,IF(LEFT(F819,1)="B",Parametros!$B$9,IF(LEFT(F819,1)="C",Parametros!$B$10,Parametros!$B$11)))</f>
        <v>0.95</v>
      </c>
      <c r="H819" s="27" t="n">
        <f aca="false">NORMSINV(G819)</f>
        <v>1.64485362695147</v>
      </c>
      <c r="I819" s="23" t="n">
        <v>0</v>
      </c>
      <c r="J819" s="23" t="n">
        <f aca="false">IFERROR(INDEX(ABC_XYZ!$R$5:$R$494,MATCH(A819,ABC_XYZ!$A$5:$A$494,0)),I819*Parametros!$B$13)</f>
        <v>0</v>
      </c>
      <c r="K819" s="27" t="n">
        <f aca="false">IFERROR(VLOOKUP(C819,Parametros!$A$36:$B$66,2,FALSE()),Parametros!$B$12)</f>
        <v>1</v>
      </c>
      <c r="L819" s="23" t="n">
        <f aca="false">H819*J819*SQRT(K819)</f>
        <v>0</v>
      </c>
      <c r="M819" s="29" t="n">
        <v>0</v>
      </c>
      <c r="N819" s="24"/>
      <c r="O819" s="3"/>
      <c r="P819" s="30" t="str">
        <f aca="false">IF(AND(ISNUMBER(M819),ISNUMBER(N819)),M819*N819/7,"")</f>
        <v/>
      </c>
      <c r="Q819" s="23" t="str">
        <f aca="false">IF(ISNUMBER(P819),I819*P819,"")</f>
        <v/>
      </c>
      <c r="R819" s="23" t="n">
        <f aca="false">IF(ISNUMBER(Q819),MAX(0,MIN(L819,Q819-I819*K819)),L819)</f>
        <v>0</v>
      </c>
      <c r="S819" s="23" t="n">
        <f aca="false">R819+I819*K819</f>
        <v>0</v>
      </c>
      <c r="T819" s="23" t="n">
        <v>612</v>
      </c>
      <c r="U819" s="23" t="n">
        <v>0</v>
      </c>
      <c r="V819" s="23" t="n">
        <f aca="false">T819+U819</f>
        <v>612</v>
      </c>
      <c r="W819" s="30" t="str">
        <f aca="false">IF(I819&gt;0,V819/I819,"")</f>
        <v/>
      </c>
      <c r="X819" s="3" t="str">
        <f aca="false">IF(I819&lt;=0,"SIN FCST",IF(V819&lt;R819,"BAJO SS",IF(T819&lt;R819,"BAJO SS (XLIB CUBRE)",IF(V819&lt;S819,"BAJO P.REORDEN",IF(AND(ISNUMBER(Q819),V819&gt;Q819),"SOBRE MAX VENDIBLE","OK")))))</f>
        <v>SIN FCST</v>
      </c>
    </row>
    <row r="820" customFormat="false" ht="15" hidden="false" customHeight="false" outlineLevel="0" collapsed="false">
      <c r="A820" s="3" t="n">
        <v>30001666</v>
      </c>
      <c r="B820" s="3" t="s">
        <v>1358</v>
      </c>
      <c r="C820" s="3" t="s">
        <v>154</v>
      </c>
      <c r="D820" s="3" t="s">
        <v>769</v>
      </c>
      <c r="E820" s="3" t="s">
        <v>745</v>
      </c>
      <c r="F820" s="3" t="str">
        <f aca="false">IFERROR(INDEX(ABC_XYZ!$L$5:$L$494,MATCH(A820,ABC_XYZ!$A$5:$A$494,0)),"SIN HIST")</f>
        <v>SIN HIST</v>
      </c>
      <c r="G820" s="24" t="n">
        <f aca="false">IF(LEFT(F820,1)="A",Parametros!$B$8,IF(LEFT(F820,1)="B",Parametros!$B$9,IF(LEFT(F820,1)="C",Parametros!$B$10,Parametros!$B$11)))</f>
        <v>0.95</v>
      </c>
      <c r="H820" s="27" t="n">
        <f aca="false">NORMSINV(G820)</f>
        <v>1.64485362695147</v>
      </c>
      <c r="I820" s="23" t="n">
        <v>0</v>
      </c>
      <c r="J820" s="23" t="n">
        <f aca="false">IFERROR(INDEX(ABC_XYZ!$R$5:$R$494,MATCH(A820,ABC_XYZ!$A$5:$A$494,0)),I820*Parametros!$B$13)</f>
        <v>0</v>
      </c>
      <c r="K820" s="27" t="n">
        <f aca="false">IFERROR(VLOOKUP(C820,Parametros!$A$36:$B$66,2,FALSE()),Parametros!$B$12)</f>
        <v>1</v>
      </c>
      <c r="L820" s="23" t="n">
        <f aca="false">H820*J820*SQRT(K820)</f>
        <v>0</v>
      </c>
      <c r="M820" s="29" t="n">
        <v>0</v>
      </c>
      <c r="N820" s="24"/>
      <c r="O820" s="3"/>
      <c r="P820" s="30" t="str">
        <f aca="false">IF(AND(ISNUMBER(M820),ISNUMBER(N820)),M820*N820/7,"")</f>
        <v/>
      </c>
      <c r="Q820" s="23" t="str">
        <f aca="false">IF(ISNUMBER(P820),I820*P820,"")</f>
        <v/>
      </c>
      <c r="R820" s="23" t="n">
        <f aca="false">IF(ISNUMBER(Q820),MAX(0,MIN(L820,Q820-I820*K820)),L820)</f>
        <v>0</v>
      </c>
      <c r="S820" s="23" t="n">
        <f aca="false">R820+I820*K820</f>
        <v>0</v>
      </c>
      <c r="T820" s="23" t="n">
        <v>1066.5</v>
      </c>
      <c r="U820" s="23" t="n">
        <v>0</v>
      </c>
      <c r="V820" s="23" t="n">
        <f aca="false">T820+U820</f>
        <v>1066.5</v>
      </c>
      <c r="W820" s="30" t="str">
        <f aca="false">IF(I820&gt;0,V820/I820,"")</f>
        <v/>
      </c>
      <c r="X820" s="3" t="str">
        <f aca="false">IF(I820&lt;=0,"SIN FCST",IF(V820&lt;R820,"BAJO SS",IF(T820&lt;R820,"BAJO SS (XLIB CUBRE)",IF(V820&lt;S820,"BAJO P.REORDEN",IF(AND(ISNUMBER(Q820),V820&gt;Q820),"SOBRE MAX VENDIBLE","OK")))))</f>
        <v>SIN FCST</v>
      </c>
    </row>
    <row r="821" customFormat="false" ht="15" hidden="false" customHeight="false" outlineLevel="0" collapsed="false">
      <c r="A821" s="3" t="n">
        <v>30000037</v>
      </c>
      <c r="B821" s="3" t="s">
        <v>1359</v>
      </c>
      <c r="C821" s="3" t="s">
        <v>124</v>
      </c>
      <c r="D821" s="3" t="s">
        <v>750</v>
      </c>
      <c r="E821" s="3"/>
      <c r="F821" s="3" t="str">
        <f aca="false">IFERROR(INDEX(ABC_XYZ!$L$5:$L$494,MATCH(A821,ABC_XYZ!$A$5:$A$494,0)),"SIN HIST")</f>
        <v>SIN HIST</v>
      </c>
      <c r="G821" s="24" t="n">
        <f aca="false">IF(LEFT(F821,1)="A",Parametros!$B$8,IF(LEFT(F821,1)="B",Parametros!$B$9,IF(LEFT(F821,1)="C",Parametros!$B$10,Parametros!$B$11)))</f>
        <v>0.95</v>
      </c>
      <c r="H821" s="27" t="n">
        <f aca="false">NORMSINV(G821)</f>
        <v>1.64485362695147</v>
      </c>
      <c r="I821" s="23" t="n">
        <v>0</v>
      </c>
      <c r="J821" s="23" t="n">
        <f aca="false">IFERROR(INDEX(ABC_XYZ!$R$5:$R$494,MATCH(A821,ABC_XYZ!$A$5:$A$494,0)),I821*Parametros!$B$13)</f>
        <v>0</v>
      </c>
      <c r="K821" s="27" t="n">
        <f aca="false">IFERROR(VLOOKUP(C821,Parametros!$A$36:$B$66,2,FALSE()),Parametros!$B$12)</f>
        <v>1</v>
      </c>
      <c r="L821" s="23" t="n">
        <f aca="false">H821*J821*SQRT(K821)</f>
        <v>0</v>
      </c>
      <c r="M821" s="29"/>
      <c r="N821" s="24"/>
      <c r="O821" s="3"/>
      <c r="P821" s="30" t="str">
        <f aca="false">IF(AND(ISNUMBER(M821),ISNUMBER(N821)),M821*N821/7,"")</f>
        <v/>
      </c>
      <c r="Q821" s="23" t="str">
        <f aca="false">IF(ISNUMBER(P821),I821*P821,"")</f>
        <v/>
      </c>
      <c r="R821" s="23" t="n">
        <f aca="false">IF(ISNUMBER(Q821),MAX(0,MIN(L821,Q821-I821*K821)),L821)</f>
        <v>0</v>
      </c>
      <c r="S821" s="23" t="n">
        <f aca="false">R821+I821*K821</f>
        <v>0</v>
      </c>
      <c r="T821" s="23" t="n">
        <v>478.4</v>
      </c>
      <c r="U821" s="23" t="n">
        <v>0</v>
      </c>
      <c r="V821" s="23" t="n">
        <f aca="false">T821+U821</f>
        <v>478.4</v>
      </c>
      <c r="W821" s="30" t="str">
        <f aca="false">IF(I821&gt;0,V821/I821,"")</f>
        <v/>
      </c>
      <c r="X821" s="3" t="str">
        <f aca="false">IF(I821&lt;=0,"SIN FCST",IF(V821&lt;R821,"BAJO SS",IF(T821&lt;R821,"BAJO SS (XLIB CUBRE)",IF(V821&lt;S821,"BAJO P.REORDEN",IF(AND(ISNUMBER(Q821),V821&gt;Q821),"SOBRE MAX VENDIBLE","OK")))))</f>
        <v>SIN FCST</v>
      </c>
    </row>
    <row r="822" customFormat="false" ht="15" hidden="false" customHeight="false" outlineLevel="0" collapsed="false">
      <c r="A822" s="3" t="n">
        <v>30000046</v>
      </c>
      <c r="B822" s="3" t="s">
        <v>636</v>
      </c>
      <c r="C822" s="3" t="s">
        <v>124</v>
      </c>
      <c r="D822" s="3" t="s">
        <v>750</v>
      </c>
      <c r="E822" s="3" t="s">
        <v>745</v>
      </c>
      <c r="F822" s="3" t="str">
        <f aca="false">IFERROR(INDEX(ABC_XYZ!$L$5:$L$494,MATCH(A822,ABC_XYZ!$A$5:$A$494,0)),"SIN HIST")</f>
        <v>CZ</v>
      </c>
      <c r="G822" s="24" t="n">
        <f aca="false">IF(LEFT(F822,1)="A",Parametros!$B$8,IF(LEFT(F822,1)="B",Parametros!$B$9,IF(LEFT(F822,1)="C",Parametros!$B$10,Parametros!$B$11)))</f>
        <v>0.9</v>
      </c>
      <c r="H822" s="27" t="n">
        <f aca="false">NORMSINV(G822)</f>
        <v>1.2815515655446</v>
      </c>
      <c r="I822" s="23" t="n">
        <v>0</v>
      </c>
      <c r="J822" s="23" t="n">
        <f aca="false">IFERROR(INDEX(ABC_XYZ!$R$5:$R$494,MATCH(A822,ABC_XYZ!$A$5:$A$494,0)),I822*Parametros!$B$13)</f>
        <v>54.0847335206526</v>
      </c>
      <c r="K822" s="27" t="n">
        <f aca="false">IFERROR(VLOOKUP(C822,Parametros!$A$36:$B$66,2,FALSE()),Parametros!$B$12)</f>
        <v>1</v>
      </c>
      <c r="L822" s="23" t="n">
        <f aca="false">H822*J822*SQRT(K822)</f>
        <v>69.3123749154549</v>
      </c>
      <c r="M822" s="29" t="n">
        <v>365</v>
      </c>
      <c r="N822" s="24" t="n">
        <v>0.273972602739726</v>
      </c>
      <c r="O822" s="3" t="s">
        <v>746</v>
      </c>
      <c r="P822" s="30" t="n">
        <f aca="false">IF(AND(ISNUMBER(M822),ISNUMBER(N822)),M822*N822/7,"")</f>
        <v>14.2857142857143</v>
      </c>
      <c r="Q822" s="23" t="n">
        <f aca="false">IF(ISNUMBER(P822),I822*P822,"")</f>
        <v>0</v>
      </c>
      <c r="R822" s="23" t="n">
        <f aca="false">IF(ISNUMBER(Q822),MAX(0,MIN(L822,Q822-I822*K822)),L822)</f>
        <v>0</v>
      </c>
      <c r="S822" s="23" t="n">
        <f aca="false">R822+I822*K822</f>
        <v>0</v>
      </c>
      <c r="T822" s="23" t="n">
        <v>66.2</v>
      </c>
      <c r="U822" s="23" t="n">
        <v>0</v>
      </c>
      <c r="V822" s="23" t="n">
        <f aca="false">T822+U822</f>
        <v>66.2</v>
      </c>
      <c r="W822" s="30" t="str">
        <f aca="false">IF(I822&gt;0,V822/I822,"")</f>
        <v/>
      </c>
      <c r="X822" s="3" t="str">
        <f aca="false">IF(I822&lt;=0,"SIN FCST",IF(V822&lt;R822,"BAJO SS",IF(T822&lt;R822,"BAJO SS (XLIB CUBRE)",IF(V822&lt;S822,"BAJO P.REORDEN",IF(AND(ISNUMBER(Q822),V822&gt;Q822),"SOBRE MAX VENDIBLE","OK")))))</f>
        <v>SIN FCST</v>
      </c>
    </row>
    <row r="823" customFormat="false" ht="15" hidden="false" customHeight="false" outlineLevel="0" collapsed="false">
      <c r="A823" s="3" t="n">
        <v>30000035</v>
      </c>
      <c r="B823" s="3" t="s">
        <v>1360</v>
      </c>
      <c r="C823" s="3" t="s">
        <v>124</v>
      </c>
      <c r="D823" s="3" t="s">
        <v>750</v>
      </c>
      <c r="E823" s="3"/>
      <c r="F823" s="3" t="str">
        <f aca="false">IFERROR(INDEX(ABC_XYZ!$L$5:$L$494,MATCH(A823,ABC_XYZ!$A$5:$A$494,0)),"SIN HIST")</f>
        <v>SIN HIST</v>
      </c>
      <c r="G823" s="24" t="n">
        <f aca="false">IF(LEFT(F823,1)="A",Parametros!$B$8,IF(LEFT(F823,1)="B",Parametros!$B$9,IF(LEFT(F823,1)="C",Parametros!$B$10,Parametros!$B$11)))</f>
        <v>0.95</v>
      </c>
      <c r="H823" s="27" t="n">
        <f aca="false">NORMSINV(G823)</f>
        <v>1.64485362695147</v>
      </c>
      <c r="I823" s="23" t="n">
        <v>0</v>
      </c>
      <c r="J823" s="23" t="n">
        <f aca="false">IFERROR(INDEX(ABC_XYZ!$R$5:$R$494,MATCH(A823,ABC_XYZ!$A$5:$A$494,0)),I823*Parametros!$B$13)</f>
        <v>0</v>
      </c>
      <c r="K823" s="27" t="n">
        <f aca="false">IFERROR(VLOOKUP(C823,Parametros!$A$36:$B$66,2,FALSE()),Parametros!$B$12)</f>
        <v>1</v>
      </c>
      <c r="L823" s="23" t="n">
        <f aca="false">H823*J823*SQRT(K823)</f>
        <v>0</v>
      </c>
      <c r="M823" s="29" t="n">
        <v>245</v>
      </c>
      <c r="N823" s="24" t="n">
        <v>0.21</v>
      </c>
      <c r="O823" s="3" t="s">
        <v>746</v>
      </c>
      <c r="P823" s="30" t="n">
        <f aca="false">IF(AND(ISNUMBER(M823),ISNUMBER(N823)),M823*N823/7,"")</f>
        <v>7.35</v>
      </c>
      <c r="Q823" s="23" t="n">
        <f aca="false">IF(ISNUMBER(P823),I823*P823,"")</f>
        <v>0</v>
      </c>
      <c r="R823" s="23" t="n">
        <f aca="false">IF(ISNUMBER(Q823),MAX(0,MIN(L823,Q823-I823*K823)),L823)</f>
        <v>0</v>
      </c>
      <c r="S823" s="23" t="n">
        <f aca="false">R823+I823*K823</f>
        <v>0</v>
      </c>
      <c r="T823" s="23" t="n">
        <v>3040</v>
      </c>
      <c r="U823" s="23" t="n">
        <v>0</v>
      </c>
      <c r="V823" s="23" t="n">
        <f aca="false">T823+U823</f>
        <v>3040</v>
      </c>
      <c r="W823" s="30" t="str">
        <f aca="false">IF(I823&gt;0,V823/I823,"")</f>
        <v/>
      </c>
      <c r="X823" s="3" t="str">
        <f aca="false">IF(I823&lt;=0,"SIN FCST",IF(V823&lt;R823,"BAJO SS",IF(T823&lt;R823,"BAJO SS (XLIB CUBRE)",IF(V823&lt;S823,"BAJO P.REORDEN",IF(AND(ISNUMBER(Q823),V823&gt;Q823),"SOBRE MAX VENDIBLE","OK")))))</f>
        <v>SIN FCST</v>
      </c>
    </row>
    <row r="824" customFormat="false" ht="15" hidden="false" customHeight="false" outlineLevel="0" collapsed="false">
      <c r="A824" s="3" t="n">
        <v>30002265</v>
      </c>
      <c r="B824" s="3" t="s">
        <v>1361</v>
      </c>
      <c r="C824" s="3" t="s">
        <v>155</v>
      </c>
      <c r="D824" s="3" t="s">
        <v>761</v>
      </c>
      <c r="E824" s="3"/>
      <c r="F824" s="3" t="str">
        <f aca="false">IFERROR(INDEX(ABC_XYZ!$L$5:$L$494,MATCH(A824,ABC_XYZ!$A$5:$A$494,0)),"SIN HIST")</f>
        <v>SIN HIST</v>
      </c>
      <c r="G824" s="24" t="n">
        <f aca="false">IF(LEFT(F824,1)="A",Parametros!$B$8,IF(LEFT(F824,1)="B",Parametros!$B$9,IF(LEFT(F824,1)="C",Parametros!$B$10,Parametros!$B$11)))</f>
        <v>0.95</v>
      </c>
      <c r="H824" s="27" t="n">
        <f aca="false">NORMSINV(G824)</f>
        <v>1.64485362695147</v>
      </c>
      <c r="I824" s="23" t="n">
        <v>0</v>
      </c>
      <c r="J824" s="23" t="n">
        <f aca="false">IFERROR(INDEX(ABC_XYZ!$R$5:$R$494,MATCH(A824,ABC_XYZ!$A$5:$A$494,0)),I824*Parametros!$B$13)</f>
        <v>0</v>
      </c>
      <c r="K824" s="27" t="n">
        <f aca="false">IFERROR(VLOOKUP(C824,Parametros!$A$36:$B$66,2,FALSE()),Parametros!$B$12)</f>
        <v>1</v>
      </c>
      <c r="L824" s="23" t="n">
        <f aca="false">H824*J824*SQRT(K824)</f>
        <v>0</v>
      </c>
      <c r="M824" s="29"/>
      <c r="N824" s="24"/>
      <c r="O824" s="3"/>
      <c r="P824" s="30" t="str">
        <f aca="false">IF(AND(ISNUMBER(M824),ISNUMBER(N824)),M824*N824/7,"")</f>
        <v/>
      </c>
      <c r="Q824" s="23" t="str">
        <f aca="false">IF(ISNUMBER(P824),I824*P824,"")</f>
        <v/>
      </c>
      <c r="R824" s="23" t="n">
        <f aca="false">IF(ISNUMBER(Q824),MAX(0,MIN(L824,Q824-I824*K824)),L824)</f>
        <v>0</v>
      </c>
      <c r="S824" s="23" t="n">
        <f aca="false">R824+I824*K824</f>
        <v>0</v>
      </c>
      <c r="T824" s="23" t="n">
        <v>0</v>
      </c>
      <c r="U824" s="23" t="n">
        <v>0</v>
      </c>
      <c r="V824" s="23" t="n">
        <f aca="false">T824+U824</f>
        <v>0</v>
      </c>
      <c r="W824" s="30" t="str">
        <f aca="false">IF(I824&gt;0,V824/I824,"")</f>
        <v/>
      </c>
      <c r="X824" s="3" t="str">
        <f aca="false">IF(I824&lt;=0,"SIN FCST",IF(V824&lt;R824,"BAJO SS",IF(T824&lt;R824,"BAJO SS (XLIB CUBRE)",IF(V824&lt;S824,"BAJO P.REORDEN",IF(AND(ISNUMBER(Q824),V824&gt;Q824),"SOBRE MAX VENDIBLE","OK")))))</f>
        <v>SIN FCST</v>
      </c>
    </row>
    <row r="825" customFormat="false" ht="15" hidden="false" customHeight="false" outlineLevel="0" collapsed="false">
      <c r="A825" s="3" t="n">
        <v>30001881</v>
      </c>
      <c r="B825" s="3" t="s">
        <v>680</v>
      </c>
      <c r="C825" s="3" t="s">
        <v>124</v>
      </c>
      <c r="D825" s="3" t="s">
        <v>750</v>
      </c>
      <c r="E825" s="3" t="s">
        <v>745</v>
      </c>
      <c r="F825" s="3" t="str">
        <f aca="false">IFERROR(INDEX(ABC_XYZ!$L$5:$L$494,MATCH(A825,ABC_XYZ!$A$5:$A$494,0)),"SIN HIST")</f>
        <v>CZ</v>
      </c>
      <c r="G825" s="24" t="n">
        <f aca="false">IF(LEFT(F825,1)="A",Parametros!$B$8,IF(LEFT(F825,1)="B",Parametros!$B$9,IF(LEFT(F825,1)="C",Parametros!$B$10,Parametros!$B$11)))</f>
        <v>0.9</v>
      </c>
      <c r="H825" s="27" t="n">
        <f aca="false">NORMSINV(G825)</f>
        <v>1.2815515655446</v>
      </c>
      <c r="I825" s="23" t="n">
        <v>0</v>
      </c>
      <c r="J825" s="23" t="n">
        <f aca="false">IFERROR(INDEX(ABC_XYZ!$R$5:$R$494,MATCH(A825,ABC_XYZ!$A$5:$A$494,0)),I825*Parametros!$B$13)</f>
        <v>0</v>
      </c>
      <c r="K825" s="27" t="n">
        <f aca="false">IFERROR(VLOOKUP(C825,Parametros!$A$36:$B$66,2,FALSE()),Parametros!$B$12)</f>
        <v>1</v>
      </c>
      <c r="L825" s="23" t="n">
        <f aca="false">H825*J825*SQRT(K825)</f>
        <v>0</v>
      </c>
      <c r="M825" s="29" t="n">
        <v>365</v>
      </c>
      <c r="N825" s="24" t="n">
        <v>0.194520547945206</v>
      </c>
      <c r="O825" s="3" t="s">
        <v>746</v>
      </c>
      <c r="P825" s="30" t="n">
        <f aca="false">IF(AND(ISNUMBER(M825),ISNUMBER(N825)),M825*N825/7,"")</f>
        <v>10.1428571428571</v>
      </c>
      <c r="Q825" s="23" t="n">
        <f aca="false">IF(ISNUMBER(P825),I825*P825,"")</f>
        <v>0</v>
      </c>
      <c r="R825" s="23" t="n">
        <f aca="false">IF(ISNUMBER(Q825),MAX(0,MIN(L825,Q825-I825*K825)),L825)</f>
        <v>0</v>
      </c>
      <c r="S825" s="23" t="n">
        <f aca="false">R825+I825*K825</f>
        <v>0</v>
      </c>
      <c r="T825" s="23" t="n">
        <v>143.5</v>
      </c>
      <c r="U825" s="23" t="n">
        <v>0</v>
      </c>
      <c r="V825" s="23" t="n">
        <f aca="false">T825+U825</f>
        <v>143.5</v>
      </c>
      <c r="W825" s="30" t="str">
        <f aca="false">IF(I825&gt;0,V825/I825,"")</f>
        <v/>
      </c>
      <c r="X825" s="3" t="str">
        <f aca="false">IF(I825&lt;=0,"SIN FCST",IF(V825&lt;R825,"BAJO SS",IF(T825&lt;R825,"BAJO SS (XLIB CUBRE)",IF(V825&lt;S825,"BAJO P.REORDEN",IF(AND(ISNUMBER(Q825),V825&gt;Q825),"SOBRE MAX VENDIBLE","OK")))))</f>
        <v>SIN FCST</v>
      </c>
    </row>
    <row r="826" customFormat="false" ht="15" hidden="false" customHeight="false" outlineLevel="0" collapsed="false">
      <c r="A826" s="3" t="n">
        <v>30002357</v>
      </c>
      <c r="B826" s="3" t="s">
        <v>556</v>
      </c>
      <c r="C826" s="3" t="s">
        <v>155</v>
      </c>
      <c r="D826" s="3" t="s">
        <v>761</v>
      </c>
      <c r="E826" s="3"/>
      <c r="F826" s="3" t="str">
        <f aca="false">IFERROR(INDEX(ABC_XYZ!$L$5:$L$494,MATCH(A826,ABC_XYZ!$A$5:$A$494,0)),"SIN HIST")</f>
        <v>CY</v>
      </c>
      <c r="G826" s="24" t="n">
        <f aca="false">IF(LEFT(F826,1)="A",Parametros!$B$8,IF(LEFT(F826,1)="B",Parametros!$B$9,IF(LEFT(F826,1)="C",Parametros!$B$10,Parametros!$B$11)))</f>
        <v>0.9</v>
      </c>
      <c r="H826" s="27" t="n">
        <f aca="false">NORMSINV(G826)</f>
        <v>1.2815515655446</v>
      </c>
      <c r="I826" s="23" t="n">
        <v>0</v>
      </c>
      <c r="J826" s="23" t="n">
        <f aca="false">IFERROR(INDEX(ABC_XYZ!$R$5:$R$494,MATCH(A826,ABC_XYZ!$A$5:$A$494,0)),I826*Parametros!$B$13)</f>
        <v>2991.17312549218</v>
      </c>
      <c r="K826" s="27" t="n">
        <f aca="false">IFERROR(VLOOKUP(C826,Parametros!$A$36:$B$66,2,FALSE()),Parametros!$B$12)</f>
        <v>1</v>
      </c>
      <c r="L826" s="23" t="n">
        <f aca="false">H826*J826*SQRT(K826)</f>
        <v>3833.34260178944</v>
      </c>
      <c r="M826" s="29"/>
      <c r="N826" s="24"/>
      <c r="O826" s="3"/>
      <c r="P826" s="30" t="str">
        <f aca="false">IF(AND(ISNUMBER(M826),ISNUMBER(N826)),M826*N826/7,"")</f>
        <v/>
      </c>
      <c r="Q826" s="23" t="str">
        <f aca="false">IF(ISNUMBER(P826),I826*P826,"")</f>
        <v/>
      </c>
      <c r="R826" s="23" t="n">
        <f aca="false">IF(ISNUMBER(Q826),MAX(0,MIN(L826,Q826-I826*K826)),L826)</f>
        <v>3833.34260178944</v>
      </c>
      <c r="S826" s="23" t="n">
        <f aca="false">R826+I826*K826</f>
        <v>3833.34260178944</v>
      </c>
      <c r="T826" s="23" t="n">
        <v>1620</v>
      </c>
      <c r="U826" s="23" t="n">
        <v>0</v>
      </c>
      <c r="V826" s="23" t="n">
        <f aca="false">T826+U826</f>
        <v>1620</v>
      </c>
      <c r="W826" s="30" t="str">
        <f aca="false">IF(I826&gt;0,V826/I826,"")</f>
        <v/>
      </c>
      <c r="X826" s="3" t="str">
        <f aca="false">IF(I826&lt;=0,"SIN FCST",IF(V826&lt;R826,"BAJO SS",IF(T826&lt;R826,"BAJO SS (XLIB CUBRE)",IF(V826&lt;S826,"BAJO P.REORDEN",IF(AND(ISNUMBER(Q826),V826&gt;Q826),"SOBRE MAX VENDIBLE","OK")))))</f>
        <v>SIN FCST</v>
      </c>
    </row>
  </sheetData>
  <autoFilter ref="A4:X826"/>
  <conditionalFormatting sqref="X5:X826">
    <cfRule type="expression" priority="2" aboveAverage="0" equalAverage="0" bottom="0" percent="0" rank="0" text="" dxfId="10">
      <formula>X5="BAJO SS"</formula>
    </cfRule>
    <cfRule type="expression" priority="3" aboveAverage="0" equalAverage="0" bottom="0" percent="0" rank="0" text="" dxfId="11">
      <formula>X5="BAJO SS (XLIB CUBRE)"</formula>
    </cfRule>
    <cfRule type="expression" priority="4" aboveAverage="0" equalAverage="0" bottom="0" percent="0" rank="0" text="" dxfId="12">
      <formula>X5="BAJO P.REORDEN"</formula>
    </cfRule>
    <cfRule type="expression" priority="5" aboveAverage="0" equalAverage="0" bottom="0" percent="0" rank="0" text="" dxfId="13">
      <formula>X5="SOBRE MAX VENDIBLE"</formula>
    </cfRule>
    <cfRule type="expression" priority="6" aboveAverage="0" equalAverage="0" bottom="0" percent="0" rank="0" text="" dxfId="14">
      <formula>X5="OK"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1362</v>
      </c>
    </row>
    <row r="2" customFormat="false" ht="15" hidden="false" customHeight="false" outlineLevel="0" collapsed="false">
      <c r="A2" s="3" t="s">
        <v>1363</v>
      </c>
    </row>
    <row r="4" customFormat="false" ht="42" hidden="false" customHeight="true" outlineLevel="0" collapsed="false">
      <c r="A4" s="14" t="s">
        <v>1364</v>
      </c>
      <c r="B4" s="14" t="s">
        <v>1365</v>
      </c>
      <c r="C4" s="14" t="s">
        <v>1366</v>
      </c>
      <c r="D4" s="14" t="s">
        <v>1367</v>
      </c>
      <c r="E4" s="14" t="s">
        <v>1368</v>
      </c>
      <c r="F4" s="14" t="s">
        <v>1369</v>
      </c>
      <c r="G4" s="14" t="s">
        <v>1370</v>
      </c>
      <c r="H4" s="14" t="s">
        <v>1371</v>
      </c>
    </row>
    <row r="5" customFormat="false" ht="15" hidden="false" customHeight="false" outlineLevel="0" collapsed="false">
      <c r="A5" s="2" t="s">
        <v>1372</v>
      </c>
      <c r="B5" s="23" t="n">
        <f aca="false">SUMIFS($D$17:$D$2437,$C$17:$C$2437,A5)</f>
        <v>795259.896</v>
      </c>
      <c r="C5" s="23" t="n">
        <f aca="false">SUMIFS($E$17:$E$2437,$C$17:$C$2437,A5)</f>
        <v>813520.855924058</v>
      </c>
      <c r="D5" s="23" t="n">
        <f aca="false">B5-C5</f>
        <v>-18260.9599240582</v>
      </c>
      <c r="E5" s="24" t="n">
        <f aca="false">IF(C5&gt;0,B5/C5-1,"")</f>
        <v>-0.0224468245541364</v>
      </c>
      <c r="F5" s="3" t="n">
        <f aca="false">RANK(B5,$B$5:$B$13)</f>
        <v>7</v>
      </c>
      <c r="G5" s="3" t="n">
        <f aca="false">SUMPRODUCT(--(ABS($E$5:$E$13)&gt;ABS(E5)))+1</f>
        <v>9</v>
      </c>
      <c r="H5" s="3" t="n">
        <f aca="false">COUNTIFS($C$17:$C$2437,A5,$H$17:$H$2437,"SOBRE FCST")+COUNTIFS($C$17:$C$2437,A5,$H$17:$H$2437,"BAJO FCST")+COUNTIFS($C$17:$C$2437,A5,$H$17:$H$2437,"PIDE SIN FCST")</f>
        <v>88</v>
      </c>
    </row>
    <row r="6" customFormat="false" ht="15" hidden="false" customHeight="false" outlineLevel="0" collapsed="false">
      <c r="A6" s="2" t="s">
        <v>1373</v>
      </c>
      <c r="B6" s="23" t="n">
        <f aca="false">SUMIFS($D$17:$D$2437,$C$17:$C$2437,A6)</f>
        <v>2785922.851</v>
      </c>
      <c r="C6" s="23" t="n">
        <f aca="false">SUMIFS($E$17:$E$2437,$C$17:$C$2437,A6)</f>
        <v>2634635.52690593</v>
      </c>
      <c r="D6" s="23" t="n">
        <f aca="false">B6-C6</f>
        <v>151287.324094069</v>
      </c>
      <c r="E6" s="24" t="n">
        <f aca="false">IF(C6&gt;0,B6/C6-1,"")</f>
        <v>0.0574224869243065</v>
      </c>
      <c r="F6" s="3" t="n">
        <f aca="false">RANK(B6,$B$5:$B$13)</f>
        <v>2</v>
      </c>
      <c r="G6" s="3" t="n">
        <f aca="false">SUMPRODUCT(--(ABS($E$5:$E$13)&gt;ABS(E6)))+1</f>
        <v>7</v>
      </c>
      <c r="H6" s="3" t="n">
        <f aca="false">COUNTIFS($C$17:$C$2437,A6,$H$17:$H$2437,"SOBRE FCST")+COUNTIFS($C$17:$C$2437,A6,$H$17:$H$2437,"BAJO FCST")+COUNTIFS($C$17:$C$2437,A6,$H$17:$H$2437,"PIDE SIN FCST")</f>
        <v>158</v>
      </c>
    </row>
    <row r="7" customFormat="false" ht="15" hidden="false" customHeight="false" outlineLevel="0" collapsed="false">
      <c r="A7" s="2" t="s">
        <v>1374</v>
      </c>
      <c r="B7" s="23" t="n">
        <f aca="false">SUMIFS($D$17:$D$2437,$C$17:$C$2437,A7)</f>
        <v>390528</v>
      </c>
      <c r="C7" s="23" t="n">
        <f aca="false">SUMIFS($E$17:$E$2437,$C$17:$C$2437,A7)</f>
        <v>353400.8</v>
      </c>
      <c r="D7" s="23" t="n">
        <f aca="false">B7-C7</f>
        <v>37127.2</v>
      </c>
      <c r="E7" s="24" t="n">
        <f aca="false">IF(C7&gt;0,B7/C7-1,"")</f>
        <v>0.105056921206743</v>
      </c>
      <c r="F7" s="3" t="n">
        <f aca="false">RANK(B7,$B$5:$B$13)</f>
        <v>9</v>
      </c>
      <c r="G7" s="3" t="n">
        <f aca="false">SUMPRODUCT(--(ABS($E$5:$E$13)&gt;ABS(E7)))+1</f>
        <v>3</v>
      </c>
      <c r="H7" s="3" t="n">
        <f aca="false">COUNTIFS($C$17:$C$2437,A7,$H$17:$H$2437,"SOBRE FCST")+COUNTIFS($C$17:$C$2437,A7,$H$17:$H$2437,"BAJO FCST")+COUNTIFS($C$17:$C$2437,A7,$H$17:$H$2437,"PIDE SIN FCST")</f>
        <v>3</v>
      </c>
    </row>
    <row r="8" customFormat="false" ht="15" hidden="false" customHeight="false" outlineLevel="0" collapsed="false">
      <c r="A8" s="2" t="s">
        <v>1375</v>
      </c>
      <c r="B8" s="23" t="n">
        <f aca="false">SUMIFS($D$17:$D$2437,$C$17:$C$2437,A8)</f>
        <v>2721935.769</v>
      </c>
      <c r="C8" s="23" t="n">
        <f aca="false">SUMIFS($E$17:$E$2437,$C$17:$C$2437,A8)</f>
        <v>3017786.50485214</v>
      </c>
      <c r="D8" s="23" t="n">
        <f aca="false">B8-C8</f>
        <v>-295850.735852144</v>
      </c>
      <c r="E8" s="24" t="n">
        <f aca="false">IF(C8&gt;0,B8/C8-1,"")</f>
        <v>-0.0980356746166307</v>
      </c>
      <c r="F8" s="3" t="n">
        <f aca="false">RANK(B8,$B$5:$B$13)</f>
        <v>3</v>
      </c>
      <c r="G8" s="3" t="n">
        <f aca="false">SUMPRODUCT(--(ABS($E$5:$E$13)&gt;ABS(E8)))+1</f>
        <v>4</v>
      </c>
      <c r="H8" s="3" t="n">
        <f aca="false">COUNTIFS($C$17:$C$2437,A8,$H$17:$H$2437,"SOBRE FCST")+COUNTIFS($C$17:$C$2437,A8,$H$17:$H$2437,"BAJO FCST")+COUNTIFS($C$17:$C$2437,A8,$H$17:$H$2437,"PIDE SIN FCST")</f>
        <v>164</v>
      </c>
    </row>
    <row r="9" customFormat="false" ht="15" hidden="false" customHeight="false" outlineLevel="0" collapsed="false">
      <c r="A9" s="2" t="s">
        <v>1376</v>
      </c>
      <c r="B9" s="23" t="n">
        <f aca="false">SUMIFS($D$17:$D$2437,$C$17:$C$2437,A9)</f>
        <v>1092529.28</v>
      </c>
      <c r="C9" s="23" t="n">
        <f aca="false">SUMIFS($E$17:$E$2437,$C$17:$C$2437,A9)</f>
        <v>749755.91159091</v>
      </c>
      <c r="D9" s="23" t="n">
        <f aca="false">B9-C9</f>
        <v>342773.36840909</v>
      </c>
      <c r="E9" s="24" t="n">
        <f aca="false">IF(C9&gt;0,B9/C9-1,"")</f>
        <v>0.457179947646905</v>
      </c>
      <c r="F9" s="3" t="n">
        <f aca="false">RANK(B9,$B$5:$B$13)</f>
        <v>5</v>
      </c>
      <c r="G9" s="3" t="n">
        <f aca="false">SUMPRODUCT(--(ABS($E$5:$E$13)&gt;ABS(E9)))+1</f>
        <v>1</v>
      </c>
      <c r="H9" s="3" t="n">
        <f aca="false">COUNTIFS($C$17:$C$2437,A9,$H$17:$H$2437,"SOBRE FCST")+COUNTIFS($C$17:$C$2437,A9,$H$17:$H$2437,"BAJO FCST")+COUNTIFS($C$17:$C$2437,A9,$H$17:$H$2437,"PIDE SIN FCST")</f>
        <v>25</v>
      </c>
    </row>
    <row r="10" customFormat="false" ht="15" hidden="false" customHeight="false" outlineLevel="0" collapsed="false">
      <c r="A10" s="2" t="s">
        <v>1377</v>
      </c>
      <c r="B10" s="23" t="n">
        <f aca="false">SUMIFS($D$17:$D$2437,$C$17:$C$2437,A10)</f>
        <v>706976.488</v>
      </c>
      <c r="C10" s="23" t="n">
        <f aca="false">SUMIFS($E$17:$E$2437,$C$17:$C$2437,A10)</f>
        <v>947085.36756636</v>
      </c>
      <c r="D10" s="23" t="n">
        <f aca="false">B10-C10</f>
        <v>-240108.87956636</v>
      </c>
      <c r="E10" s="24" t="n">
        <f aca="false">IF(C10&gt;0,B10/C10-1,"")</f>
        <v>-0.253524009333336</v>
      </c>
      <c r="F10" s="3" t="n">
        <f aca="false">RANK(B10,$B$5:$B$13)</f>
        <v>8</v>
      </c>
      <c r="G10" s="3" t="n">
        <f aca="false">SUMPRODUCT(--(ABS($E$5:$E$13)&gt;ABS(E10)))+1</f>
        <v>2</v>
      </c>
      <c r="H10" s="3" t="n">
        <f aca="false">COUNTIFS($C$17:$C$2437,A10,$H$17:$H$2437,"SOBRE FCST")+COUNTIFS($C$17:$C$2437,A10,$H$17:$H$2437,"BAJO FCST")+COUNTIFS($C$17:$C$2437,A10,$H$17:$H$2437,"PIDE SIN FCST")</f>
        <v>108</v>
      </c>
    </row>
    <row r="11" customFormat="false" ht="15" hidden="false" customHeight="false" outlineLevel="0" collapsed="false">
      <c r="A11" s="2" t="s">
        <v>1378</v>
      </c>
      <c r="B11" s="23" t="n">
        <f aca="false">SUMIFS($D$17:$D$2437,$C$17:$C$2437,A11)</f>
        <v>831315.878</v>
      </c>
      <c r="C11" s="23" t="n">
        <f aca="false">SUMIFS($E$17:$E$2437,$C$17:$C$2437,A11)</f>
        <v>769433.594415542</v>
      </c>
      <c r="D11" s="23" t="n">
        <f aca="false">B11-C11</f>
        <v>61882.2835844584</v>
      </c>
      <c r="E11" s="24" t="n">
        <f aca="false">IF(C11&gt;0,B11/C11-1,"")</f>
        <v>0.0804257625785938</v>
      </c>
      <c r="F11" s="3" t="n">
        <f aca="false">RANK(B11,$B$5:$B$13)</f>
        <v>6</v>
      </c>
      <c r="G11" s="3" t="n">
        <f aca="false">SUMPRODUCT(--(ABS($E$5:$E$13)&gt;ABS(E11)))+1</f>
        <v>5</v>
      </c>
      <c r="H11" s="3" t="n">
        <f aca="false">COUNTIFS($C$17:$C$2437,A11,$H$17:$H$2437,"SOBRE FCST")+COUNTIFS($C$17:$C$2437,A11,$H$17:$H$2437,"BAJO FCST")+COUNTIFS($C$17:$C$2437,A11,$H$17:$H$2437,"PIDE SIN FCST")</f>
        <v>144</v>
      </c>
    </row>
    <row r="12" customFormat="false" ht="15" hidden="false" customHeight="false" outlineLevel="0" collapsed="false">
      <c r="A12" s="2" t="s">
        <v>1379</v>
      </c>
      <c r="B12" s="23" t="n">
        <f aca="false">SUMIFS($D$17:$D$2437,$C$17:$C$2437,A12)</f>
        <v>1670650.647</v>
      </c>
      <c r="C12" s="23" t="n">
        <f aca="false">SUMIFS($E$17:$E$2437,$C$17:$C$2437,A12)</f>
        <v>1554967.78898725</v>
      </c>
      <c r="D12" s="23" t="n">
        <f aca="false">B12-C12</f>
        <v>115682.858012746</v>
      </c>
      <c r="E12" s="24" t="n">
        <f aca="false">IF(C12&gt;0,B12/C12-1,"")</f>
        <v>0.0743956619757957</v>
      </c>
      <c r="F12" s="3" t="n">
        <f aca="false">RANK(B12,$B$5:$B$13)</f>
        <v>4</v>
      </c>
      <c r="G12" s="3" t="n">
        <f aca="false">SUMPRODUCT(--(ABS($E$5:$E$13)&gt;ABS(E12)))+1</f>
        <v>6</v>
      </c>
      <c r="H12" s="3" t="n">
        <f aca="false">COUNTIFS($C$17:$C$2437,A12,$H$17:$H$2437,"SOBRE FCST")+COUNTIFS($C$17:$C$2437,A12,$H$17:$H$2437,"BAJO FCST")+COUNTIFS($C$17:$C$2437,A12,$H$17:$H$2437,"PIDE SIN FCST")</f>
        <v>133</v>
      </c>
    </row>
    <row r="13" customFormat="false" ht="15" hidden="false" customHeight="false" outlineLevel="0" collapsed="false">
      <c r="A13" s="2" t="s">
        <v>1380</v>
      </c>
      <c r="B13" s="23" t="n">
        <f aca="false">SUMIFS($D$17:$D$2437,$C$17:$C$2437,A13)</f>
        <v>4562336.778</v>
      </c>
      <c r="C13" s="23" t="n">
        <f aca="false">SUMIFS($E$17:$E$2437,$C$17:$C$2437,A13)</f>
        <v>4411121.66494232</v>
      </c>
      <c r="D13" s="23" t="n">
        <f aca="false">B13-C13</f>
        <v>151215.113057684</v>
      </c>
      <c r="E13" s="24" t="n">
        <f aca="false">IF(C13&gt;0,B13/C13-1,"")</f>
        <v>0.0342804222017896</v>
      </c>
      <c r="F13" s="3" t="n">
        <f aca="false">RANK(B13,$B$5:$B$13)</f>
        <v>1</v>
      </c>
      <c r="G13" s="3" t="n">
        <f aca="false">SUMPRODUCT(--(ABS($E$5:$E$13)&gt;ABS(E13)))+1</f>
        <v>8</v>
      </c>
      <c r="H13" s="3" t="n">
        <f aca="false">COUNTIFS($C$17:$C$2437,A13,$H$17:$H$2437,"SOBRE FCST")+COUNTIFS($C$17:$C$2437,A13,$H$17:$H$2437,"BAJO FCST")+COUNTIFS($C$17:$C$2437,A13,$H$17:$H$2437,"PIDE SIN FCST")</f>
        <v>180</v>
      </c>
    </row>
    <row r="14" customFormat="false" ht="15" hidden="false" customHeight="false" outlineLevel="0" collapsed="false">
      <c r="A14" s="2" t="s">
        <v>1381</v>
      </c>
      <c r="B14" s="25" t="n">
        <f aca="false">SUM(B5:B13)</f>
        <v>15557455.587</v>
      </c>
      <c r="C14" s="25" t="n">
        <f aca="false">SUM(C5:C13)</f>
        <v>15251708.0151845</v>
      </c>
      <c r="D14" s="25" t="n">
        <f aca="false">SUM(D5:D13)</f>
        <v>305747.571815486</v>
      </c>
      <c r="E14" s="31" t="n">
        <f aca="false">IF(C14&gt;0,B14/C14-1,"")</f>
        <v>0.0200467758437997</v>
      </c>
    </row>
    <row r="16" customFormat="false" ht="42" hidden="false" customHeight="true" outlineLevel="0" collapsed="false">
      <c r="A16" s="14" t="s">
        <v>158</v>
      </c>
      <c r="B16" s="14" t="s">
        <v>159</v>
      </c>
      <c r="C16" s="14" t="s">
        <v>1364</v>
      </c>
      <c r="D16" s="14" t="s">
        <v>174</v>
      </c>
      <c r="E16" s="14" t="s">
        <v>175</v>
      </c>
      <c r="F16" s="14" t="s">
        <v>1367</v>
      </c>
      <c r="G16" s="14" t="s">
        <v>1368</v>
      </c>
      <c r="H16" s="14" t="s">
        <v>1382</v>
      </c>
    </row>
    <row r="17" customFormat="false" ht="15" hidden="false" customHeight="false" outlineLevel="0" collapsed="false">
      <c r="A17" s="3" t="n">
        <v>30000524</v>
      </c>
      <c r="B17" s="3" t="s">
        <v>220</v>
      </c>
      <c r="C17" s="3" t="s">
        <v>1373</v>
      </c>
      <c r="D17" s="23" t="n">
        <v>300900</v>
      </c>
      <c r="E17" s="23" t="n">
        <v>18594.6666666667</v>
      </c>
      <c r="F17" s="23" t="n">
        <f aca="false">D17-E17</f>
        <v>282305.333333333</v>
      </c>
      <c r="G17" s="24" t="n">
        <f aca="false">IF(E17&gt;0,D17/E17-1,"")</f>
        <v>15.1820593718629</v>
      </c>
      <c r="H17" s="3" t="str">
        <f aca="false">IF(MAX(D17,E17)&lt;Parametros!$B$16,"",IF(E17=0,"PIDE SIN FCST",IF(ABS(G17)&gt;Parametros!$B$14,IF(G17&gt;0,"SOBRE FCST","BAJO FCST"),"")))</f>
        <v>SOBRE FCST</v>
      </c>
    </row>
    <row r="18" customFormat="false" ht="15" hidden="false" customHeight="false" outlineLevel="0" collapsed="false">
      <c r="A18" s="3" t="n">
        <v>30000522</v>
      </c>
      <c r="B18" s="3" t="s">
        <v>211</v>
      </c>
      <c r="C18" s="3" t="s">
        <v>1379</v>
      </c>
      <c r="D18" s="23" t="n">
        <v>625464</v>
      </c>
      <c r="E18" s="23" t="n">
        <v>508000</v>
      </c>
      <c r="F18" s="23" t="n">
        <f aca="false">D18-E18</f>
        <v>117464</v>
      </c>
      <c r="G18" s="24" t="n">
        <f aca="false">IF(E18&gt;0,D18/E18-1,"")</f>
        <v>0.231228346456693</v>
      </c>
      <c r="H18" s="3" t="str">
        <f aca="false">IF(MAX(D18,E18)&lt;Parametros!$B$16,"",IF(E18=0,"PIDE SIN FCST",IF(ABS(G18)&gt;Parametros!$B$14,IF(G18&gt;0,"SOBRE FCST","BAJO FCST"),"")))</f>
        <v>SOBRE FCST</v>
      </c>
    </row>
    <row r="19" customFormat="false" ht="15" hidden="false" customHeight="false" outlineLevel="0" collapsed="false">
      <c r="A19" s="3" t="n">
        <v>30000522</v>
      </c>
      <c r="B19" s="3" t="s">
        <v>211</v>
      </c>
      <c r="C19" s="3" t="s">
        <v>1375</v>
      </c>
      <c r="D19" s="23" t="n">
        <v>30648</v>
      </c>
      <c r="E19" s="23" t="n">
        <v>130000</v>
      </c>
      <c r="F19" s="23" t="n">
        <f aca="false">D19-E19</f>
        <v>-99352</v>
      </c>
      <c r="G19" s="24" t="n">
        <f aca="false">IF(E19&gt;0,D19/E19-1,"")</f>
        <v>-0.764246153846154</v>
      </c>
      <c r="H19" s="3" t="str">
        <f aca="false">IF(MAX(D19,E19)&lt;Parametros!$B$16,"",IF(E19=0,"PIDE SIN FCST",IF(ABS(G19)&gt;Parametros!$B$14,IF(G19&gt;0,"SOBRE FCST","BAJO FCST"),"")))</f>
        <v>BAJO FCST</v>
      </c>
    </row>
    <row r="20" customFormat="false" ht="15" hidden="false" customHeight="false" outlineLevel="0" collapsed="false">
      <c r="A20" s="3" t="n">
        <v>30000522</v>
      </c>
      <c r="B20" s="3" t="s">
        <v>211</v>
      </c>
      <c r="C20" s="3" t="s">
        <v>1377</v>
      </c>
      <c r="D20" s="23" t="n">
        <v>72612</v>
      </c>
      <c r="E20" s="23" t="n">
        <v>171733.178337982</v>
      </c>
      <c r="F20" s="23" t="n">
        <f aca="false">D20-E20</f>
        <v>-99121.1783379822</v>
      </c>
      <c r="G20" s="24" t="n">
        <f aca="false">IF(E20&gt;0,D20/E20-1,"")</f>
        <v>-0.577181295409937</v>
      </c>
      <c r="H20" s="3" t="str">
        <f aca="false">IF(MAX(D20,E20)&lt;Parametros!$B$16,"",IF(E20=0,"PIDE SIN FCST",IF(ABS(G20)&gt;Parametros!$B$14,IF(G20&gt;0,"SOBRE FCST","BAJO FCST"),"")))</f>
        <v>BAJO FCST</v>
      </c>
    </row>
    <row r="21" customFormat="false" ht="15" hidden="false" customHeight="false" outlineLevel="0" collapsed="false">
      <c r="A21" s="3" t="n">
        <v>30001051</v>
      </c>
      <c r="B21" s="3" t="s">
        <v>226</v>
      </c>
      <c r="C21" s="3" t="s">
        <v>1376</v>
      </c>
      <c r="D21" s="23" t="n">
        <v>172836</v>
      </c>
      <c r="E21" s="23" t="n">
        <v>101000</v>
      </c>
      <c r="F21" s="23" t="n">
        <f aca="false">D21-E21</f>
        <v>71836</v>
      </c>
      <c r="G21" s="24" t="n">
        <f aca="false">IF(E21&gt;0,D21/E21-1,"")</f>
        <v>0.711247524752475</v>
      </c>
      <c r="H21" s="3" t="str">
        <f aca="false">IF(MAX(D21,E21)&lt;Parametros!$B$16,"",IF(E21=0,"PIDE SIN FCST",IF(ABS(G21)&gt;Parametros!$B$14,IF(G21&gt;0,"SOBRE FCST","BAJO FCST"),"")))</f>
        <v>SOBRE FCST</v>
      </c>
    </row>
    <row r="22" customFormat="false" ht="15" hidden="false" customHeight="false" outlineLevel="0" collapsed="false">
      <c r="A22" s="3" t="n">
        <v>30000523</v>
      </c>
      <c r="B22" s="3" t="s">
        <v>222</v>
      </c>
      <c r="C22" s="3" t="s">
        <v>1379</v>
      </c>
      <c r="D22" s="23" t="n">
        <v>0</v>
      </c>
      <c r="E22" s="23" t="n">
        <v>70000</v>
      </c>
      <c r="F22" s="23" t="n">
        <f aca="false">D22-E22</f>
        <v>-70000</v>
      </c>
      <c r="G22" s="24" t="n">
        <f aca="false">IF(E22&gt;0,D22/E22-1,"")</f>
        <v>-1</v>
      </c>
      <c r="H22" s="3" t="str">
        <f aca="false">IF(MAX(D22,E22)&lt;Parametros!$B$16,"",IF(E22=0,"PIDE SIN FCST",IF(ABS(G22)&gt;Parametros!$B$14,IF(G22&gt;0,"SOBRE FCST","BAJO FCST"),"")))</f>
        <v>BAJO FCST</v>
      </c>
    </row>
    <row r="23" customFormat="false" ht="15" hidden="false" customHeight="false" outlineLevel="0" collapsed="false">
      <c r="A23" s="3" t="n">
        <v>30000258</v>
      </c>
      <c r="B23" s="3" t="s">
        <v>227</v>
      </c>
      <c r="C23" s="3" t="s">
        <v>1374</v>
      </c>
      <c r="D23" s="23" t="n">
        <v>35424</v>
      </c>
      <c r="E23" s="23" t="n">
        <v>104867.2</v>
      </c>
      <c r="F23" s="23" t="n">
        <f aca="false">D23-E23</f>
        <v>-69443.2</v>
      </c>
      <c r="G23" s="24" t="n">
        <f aca="false">IF(E23&gt;0,D23/E23-1,"")</f>
        <v>-0.662201336547557</v>
      </c>
      <c r="H23" s="3" t="str">
        <f aca="false">IF(MAX(D23,E23)&lt;Parametros!$B$16,"",IF(E23=0,"PIDE SIN FCST",IF(ABS(G23)&gt;Parametros!$B$14,IF(G23&gt;0,"SOBRE FCST","BAJO FCST"),"")))</f>
        <v>BAJO FCST</v>
      </c>
    </row>
    <row r="24" customFormat="false" ht="15" hidden="false" customHeight="false" outlineLevel="0" collapsed="false">
      <c r="A24" s="3" t="n">
        <v>30000523</v>
      </c>
      <c r="B24" s="3" t="s">
        <v>222</v>
      </c>
      <c r="C24" s="3" t="s">
        <v>1375</v>
      </c>
      <c r="D24" s="23" t="n">
        <v>13260</v>
      </c>
      <c r="E24" s="23" t="n">
        <v>81700</v>
      </c>
      <c r="F24" s="23" t="n">
        <f aca="false">D24-E24</f>
        <v>-68440</v>
      </c>
      <c r="G24" s="24" t="n">
        <f aca="false">IF(E24&gt;0,D24/E24-1,"")</f>
        <v>-0.837698898408813</v>
      </c>
      <c r="H24" s="3" t="str">
        <f aca="false">IF(MAX(D24,E24)&lt;Parametros!$B$16,"",IF(E24=0,"PIDE SIN FCST",IF(ABS(G24)&gt;Parametros!$B$14,IF(G24&gt;0,"SOBRE FCST","BAJO FCST"),"")))</f>
        <v>BAJO FCST</v>
      </c>
    </row>
    <row r="25" customFormat="false" ht="15" hidden="false" customHeight="false" outlineLevel="0" collapsed="false">
      <c r="A25" s="3" t="n">
        <v>30000049</v>
      </c>
      <c r="B25" s="3" t="s">
        <v>217</v>
      </c>
      <c r="C25" s="3" t="s">
        <v>1375</v>
      </c>
      <c r="D25" s="23" t="n">
        <v>73095.84</v>
      </c>
      <c r="E25" s="23" t="n">
        <v>140000</v>
      </c>
      <c r="F25" s="23" t="n">
        <f aca="false">D25-E25</f>
        <v>-66904.16</v>
      </c>
      <c r="G25" s="24" t="n">
        <f aca="false">IF(E25&gt;0,D25/E25-1,"")</f>
        <v>-0.477886857142857</v>
      </c>
      <c r="H25" s="3" t="str">
        <f aca="false">IF(MAX(D25,E25)&lt;Parametros!$B$16,"",IF(E25=0,"PIDE SIN FCST",IF(ABS(G25)&gt;Parametros!$B$14,IF(G25&gt;0,"SOBRE FCST","BAJO FCST"),"")))</f>
        <v>BAJO FCST</v>
      </c>
    </row>
    <row r="26" customFormat="false" ht="15" hidden="false" customHeight="false" outlineLevel="0" collapsed="false">
      <c r="A26" s="3" t="n">
        <v>30002066</v>
      </c>
      <c r="B26" s="3" t="s">
        <v>247</v>
      </c>
      <c r="C26" s="3" t="s">
        <v>1376</v>
      </c>
      <c r="D26" s="23" t="n">
        <v>94740</v>
      </c>
      <c r="E26" s="23" t="n">
        <v>30600</v>
      </c>
      <c r="F26" s="23" t="n">
        <f aca="false">D26-E26</f>
        <v>64140</v>
      </c>
      <c r="G26" s="24" t="n">
        <f aca="false">IF(E26&gt;0,D26/E26-1,"")</f>
        <v>2.09607843137255</v>
      </c>
      <c r="H26" s="3" t="str">
        <f aca="false">IF(MAX(D26,E26)&lt;Parametros!$B$16,"",IF(E26=0,"PIDE SIN FCST",IF(ABS(G26)&gt;Parametros!$B$14,IF(G26&gt;0,"SOBRE FCST","BAJO FCST"),"")))</f>
        <v>SOBRE FCST</v>
      </c>
    </row>
    <row r="27" customFormat="false" ht="15" hidden="false" customHeight="false" outlineLevel="0" collapsed="false">
      <c r="A27" s="3" t="n">
        <v>30000524</v>
      </c>
      <c r="B27" s="3" t="s">
        <v>220</v>
      </c>
      <c r="C27" s="3" t="s">
        <v>1375</v>
      </c>
      <c r="D27" s="23" t="n">
        <v>17760</v>
      </c>
      <c r="E27" s="23" t="n">
        <v>80300</v>
      </c>
      <c r="F27" s="23" t="n">
        <f aca="false">D27-E27</f>
        <v>-62540</v>
      </c>
      <c r="G27" s="24" t="n">
        <f aca="false">IF(E27&gt;0,D27/E27-1,"")</f>
        <v>-0.778829389788294</v>
      </c>
      <c r="H27" s="3" t="str">
        <f aca="false">IF(MAX(D27,E27)&lt;Parametros!$B$16,"",IF(E27=0,"PIDE SIN FCST",IF(ABS(G27)&gt;Parametros!$B$14,IF(G27&gt;0,"SOBRE FCST","BAJO FCST"),"")))</f>
        <v>BAJO FCST</v>
      </c>
    </row>
    <row r="28" customFormat="false" ht="15" hidden="false" customHeight="false" outlineLevel="0" collapsed="false">
      <c r="A28" s="3" t="n">
        <v>30001050</v>
      </c>
      <c r="B28" s="3" t="s">
        <v>233</v>
      </c>
      <c r="C28" s="3" t="s">
        <v>1376</v>
      </c>
      <c r="D28" s="23" t="n">
        <v>153180</v>
      </c>
      <c r="E28" s="23" t="n">
        <v>91000</v>
      </c>
      <c r="F28" s="23" t="n">
        <f aca="false">D28-E28</f>
        <v>62180</v>
      </c>
      <c r="G28" s="24" t="n">
        <f aca="false">IF(E28&gt;0,D28/E28-1,"")</f>
        <v>0.683296703296703</v>
      </c>
      <c r="H28" s="3" t="str">
        <f aca="false">IF(MAX(D28,E28)&lt;Parametros!$B$16,"",IF(E28=0,"PIDE SIN FCST",IF(ABS(G28)&gt;Parametros!$B$14,IF(G28&gt;0,"SOBRE FCST","BAJO FCST"),"")))</f>
        <v>SOBRE FCST</v>
      </c>
    </row>
    <row r="29" customFormat="false" ht="15" hidden="false" customHeight="false" outlineLevel="0" collapsed="false">
      <c r="A29" s="3" t="n">
        <v>30000049</v>
      </c>
      <c r="B29" s="3" t="s">
        <v>217</v>
      </c>
      <c r="C29" s="3" t="s">
        <v>1379</v>
      </c>
      <c r="D29" s="23" t="n">
        <v>93000.96</v>
      </c>
      <c r="E29" s="23" t="n">
        <v>40000</v>
      </c>
      <c r="F29" s="23" t="n">
        <f aca="false">D29-E29</f>
        <v>53000.96</v>
      </c>
      <c r="G29" s="24" t="n">
        <f aca="false">IF(E29&gt;0,D29/E29-1,"")</f>
        <v>1.325024</v>
      </c>
      <c r="H29" s="3" t="str">
        <f aca="false">IF(MAX(D29,E29)&lt;Parametros!$B$16,"",IF(E29=0,"PIDE SIN FCST",IF(ABS(G29)&gt;Parametros!$B$14,IF(G29&gt;0,"SOBRE FCST","BAJO FCST"),"")))</f>
        <v>SOBRE FCST</v>
      </c>
    </row>
    <row r="30" customFormat="false" ht="15" hidden="false" customHeight="false" outlineLevel="0" collapsed="false">
      <c r="A30" s="3" t="n">
        <v>30000256</v>
      </c>
      <c r="B30" s="3" t="s">
        <v>225</v>
      </c>
      <c r="C30" s="3" t="s">
        <v>1374</v>
      </c>
      <c r="D30" s="23" t="n">
        <v>109728</v>
      </c>
      <c r="E30" s="23" t="n">
        <v>57422.4</v>
      </c>
      <c r="F30" s="23" t="n">
        <f aca="false">D30-E30</f>
        <v>52305.6</v>
      </c>
      <c r="G30" s="24" t="n">
        <f aca="false">IF(E30&gt;0,D30/E30-1,"")</f>
        <v>0.910891916743292</v>
      </c>
      <c r="H30" s="3" t="str">
        <f aca="false">IF(MAX(D30,E30)&lt;Parametros!$B$16,"",IF(E30=0,"PIDE SIN FCST",IF(ABS(G30)&gt;Parametros!$B$14,IF(G30&gt;0,"SOBRE FCST","BAJO FCST"),"")))</f>
        <v>SOBRE FCST</v>
      </c>
    </row>
    <row r="31" customFormat="false" ht="15" hidden="false" customHeight="false" outlineLevel="0" collapsed="false">
      <c r="A31" s="3" t="n">
        <v>30000255</v>
      </c>
      <c r="B31" s="3" t="s">
        <v>221</v>
      </c>
      <c r="C31" s="3" t="s">
        <v>1374</v>
      </c>
      <c r="D31" s="23" t="n">
        <v>120960</v>
      </c>
      <c r="E31" s="23" t="n">
        <v>71966.4</v>
      </c>
      <c r="F31" s="23" t="n">
        <f aca="false">D31-E31</f>
        <v>48993.6</v>
      </c>
      <c r="G31" s="24" t="n">
        <f aca="false">IF(E31&gt;0,D31/E31-1,"")</f>
        <v>0.680784366037484</v>
      </c>
      <c r="H31" s="3" t="str">
        <f aca="false">IF(MAX(D31,E31)&lt;Parametros!$B$16,"",IF(E31=0,"PIDE SIN FCST",IF(ABS(G31)&gt;Parametros!$B$14,IF(G31&gt;0,"SOBRE FCST","BAJO FCST"),"")))</f>
        <v>SOBRE FCST</v>
      </c>
    </row>
    <row r="32" customFormat="false" ht="15" hidden="false" customHeight="false" outlineLevel="0" collapsed="false">
      <c r="A32" s="3" t="n">
        <v>30000523</v>
      </c>
      <c r="B32" s="3" t="s">
        <v>222</v>
      </c>
      <c r="C32" s="3" t="s">
        <v>1373</v>
      </c>
      <c r="D32" s="23" t="n">
        <v>31224</v>
      </c>
      <c r="E32" s="23" t="n">
        <v>77100</v>
      </c>
      <c r="F32" s="23" t="n">
        <f aca="false">D32-E32</f>
        <v>-45876</v>
      </c>
      <c r="G32" s="24" t="n">
        <f aca="false">IF(E32&gt;0,D32/E32-1,"")</f>
        <v>-0.595019455252918</v>
      </c>
      <c r="H32" s="3" t="str">
        <f aca="false">IF(MAX(D32,E32)&lt;Parametros!$B$16,"",IF(E32=0,"PIDE SIN FCST",IF(ABS(G32)&gt;Parametros!$B$14,IF(G32&gt;0,"SOBRE FCST","BAJO FCST"),"")))</f>
        <v>BAJO FCST</v>
      </c>
    </row>
    <row r="33" customFormat="false" ht="15" hidden="false" customHeight="false" outlineLevel="0" collapsed="false">
      <c r="A33" s="3" t="n">
        <v>30000522</v>
      </c>
      <c r="B33" s="3" t="s">
        <v>211</v>
      </c>
      <c r="C33" s="3" t="s">
        <v>1372</v>
      </c>
      <c r="D33" s="23" t="n">
        <v>185472</v>
      </c>
      <c r="E33" s="23" t="n">
        <v>140244.633162328</v>
      </c>
      <c r="F33" s="23" t="n">
        <f aca="false">D33-E33</f>
        <v>45227.3668376716</v>
      </c>
      <c r="G33" s="24" t="n">
        <f aca="false">IF(E33&gt;0,D33/E33-1,"")</f>
        <v>0.322489109335988</v>
      </c>
      <c r="H33" s="3" t="str">
        <f aca="false">IF(MAX(D33,E33)&lt;Parametros!$B$16,"",IF(E33=0,"PIDE SIN FCST",IF(ABS(G33)&gt;Parametros!$B$14,IF(G33&gt;0,"SOBRE FCST","BAJO FCST"),"")))</f>
        <v>SOBRE FCST</v>
      </c>
    </row>
    <row r="34" customFormat="false" ht="15" hidden="false" customHeight="false" outlineLevel="0" collapsed="false">
      <c r="A34" s="3" t="n">
        <v>30000353</v>
      </c>
      <c r="B34" s="3" t="s">
        <v>219</v>
      </c>
      <c r="C34" s="3" t="s">
        <v>1380</v>
      </c>
      <c r="D34" s="23" t="n">
        <v>208080</v>
      </c>
      <c r="E34" s="23" t="n">
        <v>163730</v>
      </c>
      <c r="F34" s="23" t="n">
        <f aca="false">D34-E34</f>
        <v>44350</v>
      </c>
      <c r="G34" s="24" t="n">
        <f aca="false">IF(E34&gt;0,D34/E34-1,"")</f>
        <v>0.270872778354608</v>
      </c>
      <c r="H34" s="3" t="str">
        <f aca="false">IF(MAX(D34,E34)&lt;Parametros!$B$16,"",IF(E34=0,"PIDE SIN FCST",IF(ABS(G34)&gt;Parametros!$B$14,IF(G34&gt;0,"SOBRE FCST","BAJO FCST"),"")))</f>
        <v>SOBRE FCST</v>
      </c>
    </row>
    <row r="35" customFormat="false" ht="15" hidden="false" customHeight="false" outlineLevel="0" collapsed="false">
      <c r="A35" s="3" t="n">
        <v>30000326</v>
      </c>
      <c r="B35" s="3" t="s">
        <v>218</v>
      </c>
      <c r="C35" s="3" t="s">
        <v>1375</v>
      </c>
      <c r="D35" s="23" t="n">
        <v>150852</v>
      </c>
      <c r="E35" s="23" t="n">
        <v>192000</v>
      </c>
      <c r="F35" s="23" t="n">
        <f aca="false">D35-E35</f>
        <v>-41148</v>
      </c>
      <c r="G35" s="24" t="n">
        <f aca="false">IF(E35&gt;0,D35/E35-1,"")</f>
        <v>-0.2143125</v>
      </c>
      <c r="H35" s="3" t="str">
        <f aca="false">IF(MAX(D35,E35)&lt;Parametros!$B$16,"",IF(E35=0,"PIDE SIN FCST",IF(ABS(G35)&gt;Parametros!$B$14,IF(G35&gt;0,"SOBRE FCST","BAJO FCST"),"")))</f>
        <v>BAJO FCST</v>
      </c>
    </row>
    <row r="36" customFormat="false" ht="15" hidden="false" customHeight="false" outlineLevel="0" collapsed="false">
      <c r="A36" s="3" t="n">
        <v>30000038</v>
      </c>
      <c r="B36" s="3" t="s">
        <v>215</v>
      </c>
      <c r="C36" s="3" t="s">
        <v>1375</v>
      </c>
      <c r="D36" s="23" t="n">
        <v>87436.8</v>
      </c>
      <c r="E36" s="23" t="n">
        <v>120000</v>
      </c>
      <c r="F36" s="23" t="n">
        <f aca="false">D36-E36</f>
        <v>-32563.2</v>
      </c>
      <c r="G36" s="24" t="n">
        <f aca="false">IF(E36&gt;0,D36/E36-1,"")</f>
        <v>-0.27136</v>
      </c>
      <c r="H36" s="3" t="str">
        <f aca="false">IF(MAX(D36,E36)&lt;Parametros!$B$16,"",IF(E36=0,"PIDE SIN FCST",IF(ABS(G36)&gt;Parametros!$B$14,IF(G36&gt;0,"SOBRE FCST","BAJO FCST"),"")))</f>
        <v>BAJO FCST</v>
      </c>
    </row>
    <row r="37" customFormat="false" ht="15" hidden="false" customHeight="false" outlineLevel="0" collapsed="false">
      <c r="A37" s="3" t="n">
        <v>30000038</v>
      </c>
      <c r="B37" s="3" t="s">
        <v>215</v>
      </c>
      <c r="C37" s="3" t="s">
        <v>1373</v>
      </c>
      <c r="D37" s="23" t="n">
        <v>92978.88</v>
      </c>
      <c r="E37" s="23" t="n">
        <v>61000</v>
      </c>
      <c r="F37" s="23" t="n">
        <f aca="false">D37-E37</f>
        <v>31978.88</v>
      </c>
      <c r="G37" s="24" t="n">
        <f aca="false">IF(E37&gt;0,D37/E37-1,"")</f>
        <v>0.52424393442623</v>
      </c>
      <c r="H37" s="3" t="str">
        <f aca="false">IF(MAX(D37,E37)&lt;Parametros!$B$16,"",IF(E37=0,"PIDE SIN FCST",IF(ABS(G37)&gt;Parametros!$B$14,IF(G37&gt;0,"SOBRE FCST","BAJO FCST"),"")))</f>
        <v>SOBRE FCST</v>
      </c>
    </row>
    <row r="38" customFormat="false" ht="15" hidden="false" customHeight="false" outlineLevel="0" collapsed="false">
      <c r="A38" s="3" t="n">
        <v>30000038</v>
      </c>
      <c r="B38" s="3" t="s">
        <v>215</v>
      </c>
      <c r="C38" s="3" t="s">
        <v>1377</v>
      </c>
      <c r="D38" s="23" t="n">
        <v>6833.76</v>
      </c>
      <c r="E38" s="23" t="n">
        <v>36500</v>
      </c>
      <c r="F38" s="23" t="n">
        <f aca="false">D38-E38</f>
        <v>-29666.24</v>
      </c>
      <c r="G38" s="24" t="n">
        <f aca="false">IF(E38&gt;0,D38/E38-1,"")</f>
        <v>-0.812773698630137</v>
      </c>
      <c r="H38" s="3" t="str">
        <f aca="false">IF(MAX(D38,E38)&lt;Parametros!$B$16,"",IF(E38=0,"PIDE SIN FCST",IF(ABS(G38)&gt;Parametros!$B$14,IF(G38&gt;0,"SOBRE FCST","BAJO FCST"),"")))</f>
        <v>BAJO FCST</v>
      </c>
    </row>
    <row r="39" customFormat="false" ht="15" hidden="false" customHeight="false" outlineLevel="0" collapsed="false">
      <c r="A39" s="3" t="n">
        <v>30001074</v>
      </c>
      <c r="B39" s="3" t="s">
        <v>256</v>
      </c>
      <c r="C39" s="3" t="s">
        <v>1380</v>
      </c>
      <c r="D39" s="23" t="n">
        <v>11404.8</v>
      </c>
      <c r="E39" s="23" t="n">
        <v>41000</v>
      </c>
      <c r="F39" s="23" t="n">
        <f aca="false">D39-E39</f>
        <v>-29595.2</v>
      </c>
      <c r="G39" s="24" t="n">
        <f aca="false">IF(E39&gt;0,D39/E39-1,"")</f>
        <v>-0.721834146341464</v>
      </c>
      <c r="H39" s="3" t="str">
        <f aca="false">IF(MAX(D39,E39)&lt;Parametros!$B$16,"",IF(E39=0,"PIDE SIN FCST",IF(ABS(G39)&gt;Parametros!$B$14,IF(G39&gt;0,"SOBRE FCST","BAJO FCST"),"")))</f>
        <v>BAJO FCST</v>
      </c>
    </row>
    <row r="40" customFormat="false" ht="15" hidden="false" customHeight="false" outlineLevel="0" collapsed="false">
      <c r="A40" s="3" t="n">
        <v>30000325</v>
      </c>
      <c r="B40" s="3" t="s">
        <v>216</v>
      </c>
      <c r="C40" s="3" t="s">
        <v>1375</v>
      </c>
      <c r="D40" s="23" t="n">
        <v>136428</v>
      </c>
      <c r="E40" s="23" t="n">
        <v>166000</v>
      </c>
      <c r="F40" s="23" t="n">
        <f aca="false">D40-E40</f>
        <v>-29572</v>
      </c>
      <c r="G40" s="24" t="n">
        <f aca="false">IF(E40&gt;0,D40/E40-1,"")</f>
        <v>-0.178144578313253</v>
      </c>
      <c r="H40" s="3" t="str">
        <f aca="false">IF(MAX(D40,E40)&lt;Parametros!$B$16,"",IF(E40=0,"PIDE SIN FCST",IF(ABS(G40)&gt;Parametros!$B$14,IF(G40&gt;0,"SOBRE FCST","BAJO FCST"),"")))</f>
        <v/>
      </c>
    </row>
    <row r="41" customFormat="false" ht="15" hidden="false" customHeight="false" outlineLevel="0" collapsed="false">
      <c r="A41" s="3" t="n">
        <v>30000522</v>
      </c>
      <c r="B41" s="3" t="s">
        <v>211</v>
      </c>
      <c r="C41" s="3" t="s">
        <v>1373</v>
      </c>
      <c r="D41" s="23" t="n">
        <v>238548</v>
      </c>
      <c r="E41" s="23" t="n">
        <v>209091.5</v>
      </c>
      <c r="F41" s="23" t="n">
        <f aca="false">D41-E41</f>
        <v>29456.5</v>
      </c>
      <c r="G41" s="24" t="n">
        <f aca="false">IF(E41&gt;0,D41/E41-1,"")</f>
        <v>0.140878514908545</v>
      </c>
      <c r="H41" s="3" t="str">
        <f aca="false">IF(MAX(D41,E41)&lt;Parametros!$B$16,"",IF(E41=0,"PIDE SIN FCST",IF(ABS(G41)&gt;Parametros!$B$14,IF(G41&gt;0,"SOBRE FCST","BAJO FCST"),"")))</f>
        <v/>
      </c>
    </row>
    <row r="42" customFormat="false" ht="15" hidden="false" customHeight="false" outlineLevel="0" collapsed="false">
      <c r="A42" s="3" t="n">
        <v>30000049</v>
      </c>
      <c r="B42" s="3" t="s">
        <v>217</v>
      </c>
      <c r="C42" s="3" t="s">
        <v>1380</v>
      </c>
      <c r="D42" s="23" t="n">
        <v>143520</v>
      </c>
      <c r="E42" s="23" t="n">
        <v>115000</v>
      </c>
      <c r="F42" s="23" t="n">
        <f aca="false">D42-E42</f>
        <v>28520</v>
      </c>
      <c r="G42" s="24" t="n">
        <f aca="false">IF(E42&gt;0,D42/E42-1,"")</f>
        <v>0.248</v>
      </c>
      <c r="H42" s="3" t="str">
        <f aca="false">IF(MAX(D42,E42)&lt;Parametros!$B$16,"",IF(E42=0,"PIDE SIN FCST",IF(ABS(G42)&gt;Parametros!$B$14,IF(G42&gt;0,"SOBRE FCST","BAJO FCST"),"")))</f>
        <v>SOBRE FCST</v>
      </c>
    </row>
    <row r="43" customFormat="false" ht="15" hidden="false" customHeight="false" outlineLevel="0" collapsed="false">
      <c r="A43" s="3" t="n">
        <v>30001052</v>
      </c>
      <c r="B43" s="3" t="s">
        <v>243</v>
      </c>
      <c r="C43" s="3" t="s">
        <v>1376</v>
      </c>
      <c r="D43" s="23" t="n">
        <v>100380</v>
      </c>
      <c r="E43" s="23" t="n">
        <v>72567.9240673179</v>
      </c>
      <c r="F43" s="23" t="n">
        <f aca="false">D43-E43</f>
        <v>27812.0759326821</v>
      </c>
      <c r="G43" s="24" t="n">
        <f aca="false">IF(E43&gt;0,D43/E43-1,"")</f>
        <v>0.383255774367778</v>
      </c>
      <c r="H43" s="3" t="str">
        <f aca="false">IF(MAX(D43,E43)&lt;Parametros!$B$16,"",IF(E43=0,"PIDE SIN FCST",IF(ABS(G43)&gt;Parametros!$B$14,IF(G43&gt;0,"SOBRE FCST","BAJO FCST"),"")))</f>
        <v>SOBRE FCST</v>
      </c>
    </row>
    <row r="44" customFormat="false" ht="15" hidden="false" customHeight="false" outlineLevel="0" collapsed="false">
      <c r="A44" s="3" t="n">
        <v>30000326</v>
      </c>
      <c r="B44" s="3" t="s">
        <v>218</v>
      </c>
      <c r="C44" s="3" t="s">
        <v>1380</v>
      </c>
      <c r="D44" s="23" t="n">
        <v>265200</v>
      </c>
      <c r="E44" s="23" t="n">
        <v>237390</v>
      </c>
      <c r="F44" s="23" t="n">
        <f aca="false">D44-E44</f>
        <v>27810</v>
      </c>
      <c r="G44" s="24" t="n">
        <f aca="false">IF(E44&gt;0,D44/E44-1,"")</f>
        <v>0.11714899532415</v>
      </c>
      <c r="H44" s="3" t="str">
        <f aca="false">IF(MAX(D44,E44)&lt;Parametros!$B$16,"",IF(E44=0,"PIDE SIN FCST",IF(ABS(G44)&gt;Parametros!$B$14,IF(G44&gt;0,"SOBRE FCST","BAJO FCST"),"")))</f>
        <v/>
      </c>
    </row>
    <row r="45" customFormat="false" ht="15" hidden="false" customHeight="false" outlineLevel="0" collapsed="false">
      <c r="A45" s="3" t="n">
        <v>30001086</v>
      </c>
      <c r="B45" s="3" t="s">
        <v>223</v>
      </c>
      <c r="C45" s="3" t="s">
        <v>1380</v>
      </c>
      <c r="D45" s="23" t="n">
        <v>68040</v>
      </c>
      <c r="E45" s="23" t="n">
        <v>95490.5873872348</v>
      </c>
      <c r="F45" s="23" t="n">
        <f aca="false">D45-E45</f>
        <v>-27450.5873872348</v>
      </c>
      <c r="G45" s="24" t="n">
        <f aca="false">IF(E45&gt;0,D45/E45-1,"")</f>
        <v>-0.287469038973619</v>
      </c>
      <c r="H45" s="3" t="str">
        <f aca="false">IF(MAX(D45,E45)&lt;Parametros!$B$16,"",IF(E45=0,"PIDE SIN FCST",IF(ABS(G45)&gt;Parametros!$B$14,IF(G45&gt;0,"SOBRE FCST","BAJO FCST"),"")))</f>
        <v>BAJO FCST</v>
      </c>
    </row>
    <row r="46" customFormat="false" ht="15" hidden="false" customHeight="false" outlineLevel="0" collapsed="false">
      <c r="A46" s="3" t="n">
        <v>30000522</v>
      </c>
      <c r="B46" s="3" t="s">
        <v>211</v>
      </c>
      <c r="C46" s="3" t="s">
        <v>1378</v>
      </c>
      <c r="D46" s="23" t="n">
        <v>68916</v>
      </c>
      <c r="E46" s="23" t="n">
        <v>41842.8</v>
      </c>
      <c r="F46" s="23" t="n">
        <f aca="false">D46-E46</f>
        <v>27073.2</v>
      </c>
      <c r="G46" s="24" t="n">
        <f aca="false">IF(E46&gt;0,D46/E46-1,"")</f>
        <v>0.647021709828214</v>
      </c>
      <c r="H46" s="3" t="str">
        <f aca="false">IF(MAX(D46,E46)&lt;Parametros!$B$16,"",IF(E46=0,"PIDE SIN FCST",IF(ABS(G46)&gt;Parametros!$B$14,IF(G46&gt;0,"SOBRE FCST","BAJO FCST"),"")))</f>
        <v>SOBRE FCST</v>
      </c>
    </row>
    <row r="47" customFormat="false" ht="15" hidden="false" customHeight="false" outlineLevel="0" collapsed="false">
      <c r="A47" s="3" t="n">
        <v>30000522</v>
      </c>
      <c r="B47" s="3" t="s">
        <v>211</v>
      </c>
      <c r="C47" s="3" t="s">
        <v>1380</v>
      </c>
      <c r="D47" s="23" t="n">
        <v>215712</v>
      </c>
      <c r="E47" s="23" t="n">
        <v>189364</v>
      </c>
      <c r="F47" s="23" t="n">
        <f aca="false">D47-E47</f>
        <v>26348</v>
      </c>
      <c r="G47" s="24" t="n">
        <f aca="false">IF(E47&gt;0,D47/E47-1,"")</f>
        <v>0.13913943516191</v>
      </c>
      <c r="H47" s="3" t="str">
        <f aca="false">IF(MAX(D47,E47)&lt;Parametros!$B$16,"",IF(E47=0,"PIDE SIN FCST",IF(ABS(G47)&gt;Parametros!$B$14,IF(G47&gt;0,"SOBRE FCST","BAJO FCST"),"")))</f>
        <v/>
      </c>
    </row>
    <row r="48" customFormat="false" ht="15" hidden="false" customHeight="false" outlineLevel="0" collapsed="false">
      <c r="A48" s="3" t="n">
        <v>30001086</v>
      </c>
      <c r="B48" s="3" t="s">
        <v>223</v>
      </c>
      <c r="C48" s="3" t="s">
        <v>1375</v>
      </c>
      <c r="D48" s="23" t="n">
        <v>84981.6</v>
      </c>
      <c r="E48" s="23" t="n">
        <v>60479.3807316833</v>
      </c>
      <c r="F48" s="23" t="n">
        <f aca="false">D48-E48</f>
        <v>24502.2192683167</v>
      </c>
      <c r="G48" s="24" t="n">
        <f aca="false">IF(E48&gt;0,D48/E48-1,"")</f>
        <v>0.405133435096183</v>
      </c>
      <c r="H48" s="3" t="str">
        <f aca="false">IF(MAX(D48,E48)&lt;Parametros!$B$16,"",IF(E48=0,"PIDE SIN FCST",IF(ABS(G48)&gt;Parametros!$B$14,IF(G48&gt;0,"SOBRE FCST","BAJO FCST"),"")))</f>
        <v>SOBRE FCST</v>
      </c>
    </row>
    <row r="49" customFormat="false" ht="15" hidden="false" customHeight="false" outlineLevel="0" collapsed="false">
      <c r="A49" s="3" t="n">
        <v>30000524</v>
      </c>
      <c r="B49" s="3" t="s">
        <v>220</v>
      </c>
      <c r="C49" s="3" t="s">
        <v>1379</v>
      </c>
      <c r="D49" s="23" t="n">
        <v>5880</v>
      </c>
      <c r="E49" s="23" t="n">
        <v>30000</v>
      </c>
      <c r="F49" s="23" t="n">
        <f aca="false">D49-E49</f>
        <v>-24120</v>
      </c>
      <c r="G49" s="24" t="n">
        <f aca="false">IF(E49&gt;0,D49/E49-1,"")</f>
        <v>-0.804</v>
      </c>
      <c r="H49" s="3" t="str">
        <f aca="false">IF(MAX(D49,E49)&lt;Parametros!$B$16,"",IF(E49=0,"PIDE SIN FCST",IF(ABS(G49)&gt;Parametros!$B$14,IF(G49&gt;0,"SOBRE FCST","BAJO FCST"),"")))</f>
        <v>BAJO FCST</v>
      </c>
    </row>
    <row r="50" customFormat="false" ht="15" hidden="false" customHeight="false" outlineLevel="0" collapsed="false">
      <c r="A50" s="3" t="n">
        <v>30000302</v>
      </c>
      <c r="B50" s="3" t="s">
        <v>251</v>
      </c>
      <c r="C50" s="3" t="s">
        <v>1373</v>
      </c>
      <c r="D50" s="23" t="n">
        <v>14820</v>
      </c>
      <c r="E50" s="23" t="n">
        <v>38815.8779473082</v>
      </c>
      <c r="F50" s="23" t="n">
        <f aca="false">D50-E50</f>
        <v>-23995.8779473082</v>
      </c>
      <c r="G50" s="24" t="n">
        <f aca="false">IF(E50&gt;0,D50/E50-1,"")</f>
        <v>-0.618197480419794</v>
      </c>
      <c r="H50" s="3" t="str">
        <f aca="false">IF(MAX(D50,E50)&lt;Parametros!$B$16,"",IF(E50=0,"PIDE SIN FCST",IF(ABS(G50)&gt;Parametros!$B$14,IF(G50&gt;0,"SOBRE FCST","BAJO FCST"),"")))</f>
        <v>BAJO FCST</v>
      </c>
    </row>
    <row r="51" customFormat="false" ht="15" hidden="false" customHeight="false" outlineLevel="0" collapsed="false">
      <c r="A51" s="3" t="n">
        <v>30000523</v>
      </c>
      <c r="B51" s="3" t="s">
        <v>222</v>
      </c>
      <c r="C51" s="3" t="s">
        <v>1377</v>
      </c>
      <c r="D51" s="23" t="n">
        <v>16956</v>
      </c>
      <c r="E51" s="23" t="n">
        <v>38761.222005323</v>
      </c>
      <c r="F51" s="23" t="n">
        <f aca="false">D51-E51</f>
        <v>-21805.222005323</v>
      </c>
      <c r="G51" s="24" t="n">
        <f aca="false">IF(E51&gt;0,D51/E51-1,"")</f>
        <v>-0.562552491310221</v>
      </c>
      <c r="H51" s="3" t="str">
        <f aca="false">IF(MAX(D51,E51)&lt;Parametros!$B$16,"",IF(E51=0,"PIDE SIN FCST",IF(ABS(G51)&gt;Parametros!$B$14,IF(G51&gt;0,"SOBRE FCST","BAJO FCST"),"")))</f>
        <v>BAJO FCST</v>
      </c>
    </row>
    <row r="52" customFormat="false" ht="15" hidden="false" customHeight="false" outlineLevel="0" collapsed="false">
      <c r="A52" s="3" t="n">
        <v>30000256</v>
      </c>
      <c r="B52" s="3" t="s">
        <v>225</v>
      </c>
      <c r="C52" s="3" t="s">
        <v>1372</v>
      </c>
      <c r="D52" s="23" t="n">
        <v>21048</v>
      </c>
      <c r="E52" s="23" t="n">
        <v>41016.5656708073</v>
      </c>
      <c r="F52" s="23" t="n">
        <f aca="false">D52-E52</f>
        <v>-19968.5656708073</v>
      </c>
      <c r="G52" s="24" t="n">
        <f aca="false">IF(E52&gt;0,D52/E52-1,"")</f>
        <v>-0.486841483294139</v>
      </c>
      <c r="H52" s="3" t="str">
        <f aca="false">IF(MAX(D52,E52)&lt;Parametros!$B$16,"",IF(E52=0,"PIDE SIN FCST",IF(ABS(G52)&gt;Parametros!$B$14,IF(G52&gt;0,"SOBRE FCST","BAJO FCST"),"")))</f>
        <v>BAJO FCST</v>
      </c>
    </row>
    <row r="53" customFormat="false" ht="15" hidden="false" customHeight="false" outlineLevel="0" collapsed="false">
      <c r="A53" s="3" t="n">
        <v>30000522</v>
      </c>
      <c r="B53" s="3" t="s">
        <v>211</v>
      </c>
      <c r="C53" s="3" t="s">
        <v>1376</v>
      </c>
      <c r="D53" s="23" t="n">
        <v>84900</v>
      </c>
      <c r="E53" s="23" t="n">
        <v>65000</v>
      </c>
      <c r="F53" s="23" t="n">
        <f aca="false">D53-E53</f>
        <v>19900</v>
      </c>
      <c r="G53" s="24" t="n">
        <f aca="false">IF(E53&gt;0,D53/E53-1,"")</f>
        <v>0.306153846153846</v>
      </c>
      <c r="H53" s="3" t="str">
        <f aca="false">IF(MAX(D53,E53)&lt;Parametros!$B$16,"",IF(E53=0,"PIDE SIN FCST",IF(ABS(G53)&gt;Parametros!$B$14,IF(G53&gt;0,"SOBRE FCST","BAJO FCST"),"")))</f>
        <v>SOBRE FCST</v>
      </c>
    </row>
    <row r="54" customFormat="false" ht="15" hidden="false" customHeight="false" outlineLevel="0" collapsed="false">
      <c r="A54" s="3" t="n">
        <v>30000255</v>
      </c>
      <c r="B54" s="3" t="s">
        <v>221</v>
      </c>
      <c r="C54" s="3" t="s">
        <v>1380</v>
      </c>
      <c r="D54" s="23" t="n">
        <v>76896</v>
      </c>
      <c r="E54" s="23" t="n">
        <v>56996.75</v>
      </c>
      <c r="F54" s="23" t="n">
        <f aca="false">D54-E54</f>
        <v>19899.25</v>
      </c>
      <c r="G54" s="24" t="n">
        <f aca="false">IF(E54&gt;0,D54/E54-1,"")</f>
        <v>0.349129555632558</v>
      </c>
      <c r="H54" s="3" t="str">
        <f aca="false">IF(MAX(D54,E54)&lt;Parametros!$B$16,"",IF(E54=0,"PIDE SIN FCST",IF(ABS(G54)&gt;Parametros!$B$14,IF(G54&gt;0,"SOBRE FCST","BAJO FCST"),"")))</f>
        <v>SOBRE FCST</v>
      </c>
    </row>
    <row r="55" customFormat="false" ht="15" hidden="false" customHeight="false" outlineLevel="0" collapsed="false">
      <c r="A55" s="3" t="n">
        <v>30000523</v>
      </c>
      <c r="B55" s="3" t="s">
        <v>222</v>
      </c>
      <c r="C55" s="3" t="s">
        <v>1376</v>
      </c>
      <c r="D55" s="23" t="n">
        <v>106776</v>
      </c>
      <c r="E55" s="23" t="n">
        <v>87000</v>
      </c>
      <c r="F55" s="23" t="n">
        <f aca="false">D55-E55</f>
        <v>19776</v>
      </c>
      <c r="G55" s="24" t="n">
        <f aca="false">IF(E55&gt;0,D55/E55-1,"")</f>
        <v>0.227310344827586</v>
      </c>
      <c r="H55" s="3" t="str">
        <f aca="false">IF(MAX(D55,E55)&lt;Parametros!$B$16,"",IF(E55=0,"PIDE SIN FCST",IF(ABS(G55)&gt;Parametros!$B$14,IF(G55&gt;0,"SOBRE FCST","BAJO FCST"),"")))</f>
        <v>SOBRE FCST</v>
      </c>
    </row>
    <row r="56" customFormat="false" ht="15" hidden="false" customHeight="false" outlineLevel="0" collapsed="false">
      <c r="A56" s="3" t="n">
        <v>30001038</v>
      </c>
      <c r="B56" s="3" t="s">
        <v>230</v>
      </c>
      <c r="C56" s="3" t="s">
        <v>1373</v>
      </c>
      <c r="D56" s="23" t="n">
        <v>75535.68</v>
      </c>
      <c r="E56" s="23" t="n">
        <v>56067.3792572229</v>
      </c>
      <c r="F56" s="23" t="n">
        <f aca="false">D56-E56</f>
        <v>19468.3007427771</v>
      </c>
      <c r="G56" s="24" t="n">
        <f aca="false">IF(E56&gt;0,D56/E56-1,"")</f>
        <v>0.347230439529936</v>
      </c>
      <c r="H56" s="3" t="str">
        <f aca="false">IF(MAX(D56,E56)&lt;Parametros!$B$16,"",IF(E56=0,"PIDE SIN FCST",IF(ABS(G56)&gt;Parametros!$B$14,IF(G56&gt;0,"SOBRE FCST","BAJO FCST"),"")))</f>
        <v>SOBRE FCST</v>
      </c>
    </row>
    <row r="57" customFormat="false" ht="15" hidden="false" customHeight="false" outlineLevel="0" collapsed="false">
      <c r="A57" s="3" t="n">
        <v>30000325</v>
      </c>
      <c r="B57" s="3" t="s">
        <v>216</v>
      </c>
      <c r="C57" s="3" t="s">
        <v>1379</v>
      </c>
      <c r="D57" s="23" t="n">
        <v>27336</v>
      </c>
      <c r="E57" s="23" t="n">
        <v>46403.4</v>
      </c>
      <c r="F57" s="23" t="n">
        <f aca="false">D57-E57</f>
        <v>-19067.4</v>
      </c>
      <c r="G57" s="24" t="n">
        <f aca="false">IF(E57&gt;0,D57/E57-1,"")</f>
        <v>-0.410905235392234</v>
      </c>
      <c r="H57" s="3" t="str">
        <f aca="false">IF(MAX(D57,E57)&lt;Parametros!$B$16,"",IF(E57=0,"PIDE SIN FCST",IF(ABS(G57)&gt;Parametros!$B$14,IF(G57&gt;0,"SOBRE FCST","BAJO FCST"),"")))</f>
        <v>BAJO FCST</v>
      </c>
    </row>
    <row r="58" customFormat="false" ht="15" hidden="false" customHeight="false" outlineLevel="0" collapsed="false">
      <c r="A58" s="3" t="n">
        <v>30000523</v>
      </c>
      <c r="B58" s="3" t="s">
        <v>222</v>
      </c>
      <c r="C58" s="3" t="s">
        <v>1378</v>
      </c>
      <c r="D58" s="23" t="n">
        <v>31620</v>
      </c>
      <c r="E58" s="23" t="n">
        <v>12863.2</v>
      </c>
      <c r="F58" s="23" t="n">
        <f aca="false">D58-E58</f>
        <v>18756.8</v>
      </c>
      <c r="G58" s="24" t="n">
        <f aca="false">IF(E58&gt;0,D58/E58-1,"")</f>
        <v>1.45817525965545</v>
      </c>
      <c r="H58" s="3" t="str">
        <f aca="false">IF(MAX(D58,E58)&lt;Parametros!$B$16,"",IF(E58=0,"PIDE SIN FCST",IF(ABS(G58)&gt;Parametros!$B$14,IF(G58&gt;0,"SOBRE FCST","BAJO FCST"),"")))</f>
        <v>SOBRE FCST</v>
      </c>
    </row>
    <row r="59" customFormat="false" ht="15" hidden="false" customHeight="false" outlineLevel="0" collapsed="false">
      <c r="A59" s="3" t="n">
        <v>30000038</v>
      </c>
      <c r="B59" s="3" t="s">
        <v>215</v>
      </c>
      <c r="C59" s="3" t="s">
        <v>1379</v>
      </c>
      <c r="D59" s="23" t="n">
        <v>62530.56</v>
      </c>
      <c r="E59" s="23" t="n">
        <v>44000</v>
      </c>
      <c r="F59" s="23" t="n">
        <f aca="false">D59-E59</f>
        <v>18530.56</v>
      </c>
      <c r="G59" s="24" t="n">
        <f aca="false">IF(E59&gt;0,D59/E59-1,"")</f>
        <v>0.421149090909091</v>
      </c>
      <c r="H59" s="3" t="str">
        <f aca="false">IF(MAX(D59,E59)&lt;Parametros!$B$16,"",IF(E59=0,"PIDE SIN FCST",IF(ABS(G59)&gt;Parametros!$B$14,IF(G59&gt;0,"SOBRE FCST","BAJO FCST"),"")))</f>
        <v>SOBRE FCST</v>
      </c>
    </row>
    <row r="60" customFormat="false" ht="15" hidden="false" customHeight="false" outlineLevel="0" collapsed="false">
      <c r="A60" s="3" t="n">
        <v>30000326</v>
      </c>
      <c r="B60" s="3" t="s">
        <v>218</v>
      </c>
      <c r="C60" s="3" t="s">
        <v>1373</v>
      </c>
      <c r="D60" s="23" t="n">
        <v>11940</v>
      </c>
      <c r="E60" s="23" t="n">
        <v>30306.75</v>
      </c>
      <c r="F60" s="23" t="n">
        <f aca="false">D60-E60</f>
        <v>-18366.75</v>
      </c>
      <c r="G60" s="24" t="n">
        <f aca="false">IF(E60&gt;0,D60/E60-1,"")</f>
        <v>-0.606028360018808</v>
      </c>
      <c r="H60" s="3" t="str">
        <f aca="false">IF(MAX(D60,E60)&lt;Parametros!$B$16,"",IF(E60=0,"PIDE SIN FCST",IF(ABS(G60)&gt;Parametros!$B$14,IF(G60&gt;0,"SOBRE FCST","BAJO FCST"),"")))</f>
        <v>BAJO FCST</v>
      </c>
    </row>
    <row r="61" customFormat="false" ht="15" hidden="false" customHeight="false" outlineLevel="0" collapsed="false">
      <c r="A61" s="3" t="n">
        <v>30000466</v>
      </c>
      <c r="B61" s="3" t="s">
        <v>266</v>
      </c>
      <c r="C61" s="3" t="s">
        <v>1373</v>
      </c>
      <c r="D61" s="23" t="n">
        <v>52944</v>
      </c>
      <c r="E61" s="23" t="n">
        <v>70801.6214386012</v>
      </c>
      <c r="F61" s="23" t="n">
        <f aca="false">D61-E61</f>
        <v>-17857.6214386012</v>
      </c>
      <c r="G61" s="24" t="n">
        <f aca="false">IF(E61&gt;0,D61/E61-1,"")</f>
        <v>-0.252220515233359</v>
      </c>
      <c r="H61" s="3" t="str">
        <f aca="false">IF(MAX(D61,E61)&lt;Parametros!$B$16,"",IF(E61=0,"PIDE SIN FCST",IF(ABS(G61)&gt;Parametros!$B$14,IF(G61&gt;0,"SOBRE FCST","BAJO FCST"),"")))</f>
        <v>BAJO FCST</v>
      </c>
    </row>
    <row r="62" customFormat="false" ht="15" hidden="false" customHeight="false" outlineLevel="0" collapsed="false">
      <c r="A62" s="3" t="n">
        <v>30002230</v>
      </c>
      <c r="B62" s="3" t="s">
        <v>315</v>
      </c>
      <c r="C62" s="3" t="s">
        <v>1380</v>
      </c>
      <c r="D62" s="23" t="n">
        <v>46000</v>
      </c>
      <c r="E62" s="23" t="n">
        <v>28500</v>
      </c>
      <c r="F62" s="23" t="n">
        <f aca="false">D62-E62</f>
        <v>17500</v>
      </c>
      <c r="G62" s="24" t="n">
        <f aca="false">IF(E62&gt;0,D62/E62-1,"")</f>
        <v>0.614035087719298</v>
      </c>
      <c r="H62" s="3" t="str">
        <f aca="false">IF(MAX(D62,E62)&lt;Parametros!$B$16,"",IF(E62=0,"PIDE SIN FCST",IF(ABS(G62)&gt;Parametros!$B$14,IF(G62&gt;0,"SOBRE FCST","BAJO FCST"),"")))</f>
        <v>SOBRE FCST</v>
      </c>
    </row>
    <row r="63" customFormat="false" ht="15" hidden="false" customHeight="false" outlineLevel="0" collapsed="false">
      <c r="A63" s="3" t="n">
        <v>30000401</v>
      </c>
      <c r="B63" s="3" t="s">
        <v>234</v>
      </c>
      <c r="C63" s="3" t="s">
        <v>1376</v>
      </c>
      <c r="D63" s="23" t="n">
        <v>115464</v>
      </c>
      <c r="E63" s="23" t="n">
        <v>98000</v>
      </c>
      <c r="F63" s="23" t="n">
        <f aca="false">D63-E63</f>
        <v>17464</v>
      </c>
      <c r="G63" s="24" t="n">
        <f aca="false">IF(E63&gt;0,D63/E63-1,"")</f>
        <v>0.178204081632653</v>
      </c>
      <c r="H63" s="3" t="str">
        <f aca="false">IF(MAX(D63,E63)&lt;Parametros!$B$16,"",IF(E63=0,"PIDE SIN FCST",IF(ABS(G63)&gt;Parametros!$B$14,IF(G63&gt;0,"SOBRE FCST","BAJO FCST"),"")))</f>
        <v/>
      </c>
    </row>
    <row r="64" customFormat="false" ht="15" hidden="false" customHeight="false" outlineLevel="0" collapsed="false">
      <c r="A64" s="3" t="n">
        <v>30000049</v>
      </c>
      <c r="B64" s="3" t="s">
        <v>217</v>
      </c>
      <c r="C64" s="3" t="s">
        <v>1372</v>
      </c>
      <c r="D64" s="23" t="n">
        <v>37017.12</v>
      </c>
      <c r="E64" s="23" t="n">
        <v>19722.24</v>
      </c>
      <c r="F64" s="23" t="n">
        <f aca="false">D64-E64</f>
        <v>17294.88</v>
      </c>
      <c r="G64" s="24" t="n">
        <f aca="false">IF(E64&gt;0,D64/E64-1,"")</f>
        <v>0.876922702492212</v>
      </c>
      <c r="H64" s="3" t="str">
        <f aca="false">IF(MAX(D64,E64)&lt;Parametros!$B$16,"",IF(E64=0,"PIDE SIN FCST",IF(ABS(G64)&gt;Parametros!$B$14,IF(G64&gt;0,"SOBRE FCST","BAJO FCST"),"")))</f>
        <v>SOBRE FCST</v>
      </c>
    </row>
    <row r="65" customFormat="false" ht="15" hidden="false" customHeight="false" outlineLevel="0" collapsed="false">
      <c r="A65" s="3" t="n">
        <v>30000257</v>
      </c>
      <c r="B65" s="3" t="s">
        <v>228</v>
      </c>
      <c r="C65" s="3" t="s">
        <v>1380</v>
      </c>
      <c r="D65" s="23" t="n">
        <v>59616</v>
      </c>
      <c r="E65" s="23" t="n">
        <v>42698</v>
      </c>
      <c r="F65" s="23" t="n">
        <f aca="false">D65-E65</f>
        <v>16918</v>
      </c>
      <c r="G65" s="24" t="n">
        <f aca="false">IF(E65&gt;0,D65/E65-1,"")</f>
        <v>0.396224647524474</v>
      </c>
      <c r="H65" s="3" t="str">
        <f aca="false">IF(MAX(D65,E65)&lt;Parametros!$B$16,"",IF(E65=0,"PIDE SIN FCST",IF(ABS(G65)&gt;Parametros!$B$14,IF(G65&gt;0,"SOBRE FCST","BAJO FCST"),"")))</f>
        <v>SOBRE FCST</v>
      </c>
    </row>
    <row r="66" customFormat="false" ht="15" hidden="false" customHeight="false" outlineLevel="0" collapsed="false">
      <c r="A66" s="3" t="n">
        <v>30001038</v>
      </c>
      <c r="B66" s="3" t="s">
        <v>230</v>
      </c>
      <c r="C66" s="3" t="s">
        <v>1377</v>
      </c>
      <c r="D66" s="23" t="n">
        <v>38776.32</v>
      </c>
      <c r="E66" s="23" t="n">
        <v>55451.2542104402</v>
      </c>
      <c r="F66" s="23" t="n">
        <f aca="false">D66-E66</f>
        <v>-16674.9342104402</v>
      </c>
      <c r="G66" s="24" t="n">
        <f aca="false">IF(E66&gt;0,D66/E66-1,"")</f>
        <v>-0.300713382372886</v>
      </c>
      <c r="H66" s="3" t="str">
        <f aca="false">IF(MAX(D66,E66)&lt;Parametros!$B$16,"",IF(E66=0,"PIDE SIN FCST",IF(ABS(G66)&gt;Parametros!$B$14,IF(G66&gt;0,"SOBRE FCST","BAJO FCST"),"")))</f>
        <v>BAJO FCST</v>
      </c>
    </row>
    <row r="67" customFormat="false" ht="15" hidden="false" customHeight="false" outlineLevel="0" collapsed="false">
      <c r="A67" s="3" t="n">
        <v>30000400</v>
      </c>
      <c r="B67" s="3" t="s">
        <v>235</v>
      </c>
      <c r="C67" s="3" t="s">
        <v>1376</v>
      </c>
      <c r="D67" s="23" t="n">
        <v>90372</v>
      </c>
      <c r="E67" s="23" t="n">
        <v>74000</v>
      </c>
      <c r="F67" s="23" t="n">
        <f aca="false">D67-E67</f>
        <v>16372</v>
      </c>
      <c r="G67" s="24" t="n">
        <f aca="false">IF(E67&gt;0,D67/E67-1,"")</f>
        <v>0.221243243243243</v>
      </c>
      <c r="H67" s="3" t="str">
        <f aca="false">IF(MAX(D67,E67)&lt;Parametros!$B$16,"",IF(E67=0,"PIDE SIN FCST",IF(ABS(G67)&gt;Parametros!$B$14,IF(G67&gt;0,"SOBRE FCST","BAJO FCST"),"")))</f>
        <v>SOBRE FCST</v>
      </c>
    </row>
    <row r="68" customFormat="false" ht="15" hidden="false" customHeight="false" outlineLevel="0" collapsed="false">
      <c r="A68" s="3" t="n">
        <v>30000523</v>
      </c>
      <c r="B68" s="3" t="s">
        <v>222</v>
      </c>
      <c r="C68" s="3" t="s">
        <v>1372</v>
      </c>
      <c r="D68" s="23" t="n">
        <v>44520</v>
      </c>
      <c r="E68" s="23" t="n">
        <v>60550.0851155927</v>
      </c>
      <c r="F68" s="23" t="n">
        <f aca="false">D68-E68</f>
        <v>-16030.0851155927</v>
      </c>
      <c r="G68" s="24" t="n">
        <f aca="false">IF(E68&gt;0,D68/E68-1,"")</f>
        <v>-0.264740917952313</v>
      </c>
      <c r="H68" s="3" t="str">
        <f aca="false">IF(MAX(D68,E68)&lt;Parametros!$B$16,"",IF(E68=0,"PIDE SIN FCST",IF(ABS(G68)&gt;Parametros!$B$14,IF(G68&gt;0,"SOBRE FCST","BAJO FCST"),"")))</f>
        <v>BAJO FCST</v>
      </c>
    </row>
    <row r="69" customFormat="false" ht="15" hidden="false" customHeight="false" outlineLevel="0" collapsed="false">
      <c r="A69" s="3" t="n">
        <v>30000325</v>
      </c>
      <c r="B69" s="3" t="s">
        <v>216</v>
      </c>
      <c r="C69" s="3" t="s">
        <v>1380</v>
      </c>
      <c r="D69" s="23" t="n">
        <v>289224</v>
      </c>
      <c r="E69" s="23" t="n">
        <v>273200</v>
      </c>
      <c r="F69" s="23" t="n">
        <f aca="false">D69-E69</f>
        <v>16024</v>
      </c>
      <c r="G69" s="24" t="n">
        <f aca="false">IF(E69&gt;0,D69/E69-1,"")</f>
        <v>0.0586530014641289</v>
      </c>
      <c r="H69" s="3" t="str">
        <f aca="false">IF(MAX(D69,E69)&lt;Parametros!$B$16,"",IF(E69=0,"PIDE SIN FCST",IF(ABS(G69)&gt;Parametros!$B$14,IF(G69&gt;0,"SOBRE FCST","BAJO FCST"),"")))</f>
        <v/>
      </c>
    </row>
    <row r="70" customFormat="false" ht="15" hidden="false" customHeight="false" outlineLevel="0" collapsed="false">
      <c r="A70" s="3" t="n">
        <v>30002347</v>
      </c>
      <c r="B70" s="3" t="s">
        <v>271</v>
      </c>
      <c r="C70" s="3" t="s">
        <v>1373</v>
      </c>
      <c r="D70" s="23" t="n">
        <v>30050</v>
      </c>
      <c r="E70" s="23" t="n">
        <v>14382.0225930044</v>
      </c>
      <c r="F70" s="23" t="n">
        <f aca="false">D70-E70</f>
        <v>15667.9774069956</v>
      </c>
      <c r="G70" s="24" t="n">
        <f aca="false">IF(E70&gt;0,D70/E70-1,"")</f>
        <v>1.08941404490747</v>
      </c>
      <c r="H70" s="3" t="str">
        <f aca="false">IF(MAX(D70,E70)&lt;Parametros!$B$16,"",IF(E70=0,"PIDE SIN FCST",IF(ABS(G70)&gt;Parametros!$B$14,IF(G70&gt;0,"SOBRE FCST","BAJO FCST"),"")))</f>
        <v>SOBRE FCST</v>
      </c>
    </row>
    <row r="71" customFormat="false" ht="15" hidden="false" customHeight="false" outlineLevel="0" collapsed="false">
      <c r="A71" s="3" t="n">
        <v>30002330</v>
      </c>
      <c r="B71" s="3" t="s">
        <v>275</v>
      </c>
      <c r="C71" s="3" t="s">
        <v>1373</v>
      </c>
      <c r="D71" s="23" t="n">
        <v>25518</v>
      </c>
      <c r="E71" s="23" t="n">
        <v>10077.8666666667</v>
      </c>
      <c r="F71" s="23" t="n">
        <f aca="false">D71-E71</f>
        <v>15440.1333333333</v>
      </c>
      <c r="G71" s="24" t="n">
        <f aca="false">IF(E71&gt;0,D71/E71-1,"")</f>
        <v>1.53208350973751</v>
      </c>
      <c r="H71" s="3" t="str">
        <f aca="false">IF(MAX(D71,E71)&lt;Parametros!$B$16,"",IF(E71=0,"PIDE SIN FCST",IF(ABS(G71)&gt;Parametros!$B$14,IF(G71&gt;0,"SOBRE FCST","BAJO FCST"),"")))</f>
        <v>SOBRE FCST</v>
      </c>
    </row>
    <row r="72" customFormat="false" ht="15" hidden="false" customHeight="false" outlineLevel="0" collapsed="false">
      <c r="A72" s="3" t="n">
        <v>30000643</v>
      </c>
      <c r="B72" s="3" t="s">
        <v>240</v>
      </c>
      <c r="C72" s="3" t="s">
        <v>1380</v>
      </c>
      <c r="D72" s="23" t="n">
        <v>71987.2</v>
      </c>
      <c r="E72" s="23" t="n">
        <v>57000</v>
      </c>
      <c r="F72" s="23" t="n">
        <f aca="false">D72-E72</f>
        <v>14987.2</v>
      </c>
      <c r="G72" s="24" t="n">
        <f aca="false">IF(E72&gt;0,D72/E72-1,"")</f>
        <v>0.262933333333333</v>
      </c>
      <c r="H72" s="3" t="str">
        <f aca="false">IF(MAX(D72,E72)&lt;Parametros!$B$16,"",IF(E72=0,"PIDE SIN FCST",IF(ABS(G72)&gt;Parametros!$B$14,IF(G72&gt;0,"SOBRE FCST","BAJO FCST"),"")))</f>
        <v>SOBRE FCST</v>
      </c>
    </row>
    <row r="73" customFormat="false" ht="15" hidden="false" customHeight="false" outlineLevel="0" collapsed="false">
      <c r="A73" s="3" t="n">
        <v>30002347</v>
      </c>
      <c r="B73" s="3" t="s">
        <v>271</v>
      </c>
      <c r="C73" s="3" t="s">
        <v>1372</v>
      </c>
      <c r="D73" s="23" t="n">
        <v>7404</v>
      </c>
      <c r="E73" s="23" t="n">
        <v>21714.6067779013</v>
      </c>
      <c r="F73" s="23" t="n">
        <f aca="false">D73-E73</f>
        <v>-14310.6067779013</v>
      </c>
      <c r="G73" s="24" t="n">
        <f aca="false">IF(E73&gt;0,D73/E73-1,"")</f>
        <v>-0.659031357291952</v>
      </c>
      <c r="H73" s="3" t="str">
        <f aca="false">IF(MAX(D73,E73)&lt;Parametros!$B$16,"",IF(E73=0,"PIDE SIN FCST",IF(ABS(G73)&gt;Parametros!$B$14,IF(G73&gt;0,"SOBRE FCST","BAJO FCST"),"")))</f>
        <v>BAJO FCST</v>
      </c>
    </row>
    <row r="74" customFormat="false" ht="15" hidden="false" customHeight="false" outlineLevel="0" collapsed="false">
      <c r="A74" s="3" t="n">
        <v>30001041</v>
      </c>
      <c r="B74" s="3" t="s">
        <v>258</v>
      </c>
      <c r="C74" s="3" t="s">
        <v>1380</v>
      </c>
      <c r="D74" s="23" t="n">
        <v>8236.8</v>
      </c>
      <c r="E74" s="23" t="n">
        <v>22500</v>
      </c>
      <c r="F74" s="23" t="n">
        <f aca="false">D74-E74</f>
        <v>-14263.2</v>
      </c>
      <c r="G74" s="24" t="n">
        <f aca="false">IF(E74&gt;0,D74/E74-1,"")</f>
        <v>-0.63392</v>
      </c>
      <c r="H74" s="3" t="str">
        <f aca="false">IF(MAX(D74,E74)&lt;Parametros!$B$16,"",IF(E74=0,"PIDE SIN FCST",IF(ABS(G74)&gt;Parametros!$B$14,IF(G74&gt;0,"SOBRE FCST","BAJO FCST"),"")))</f>
        <v>BAJO FCST</v>
      </c>
    </row>
    <row r="75" customFormat="false" ht="15" hidden="false" customHeight="false" outlineLevel="0" collapsed="false">
      <c r="A75" s="3" t="n">
        <v>30000326</v>
      </c>
      <c r="B75" s="3" t="s">
        <v>218</v>
      </c>
      <c r="C75" s="3" t="s">
        <v>1379</v>
      </c>
      <c r="D75" s="23" t="n">
        <v>21216</v>
      </c>
      <c r="E75" s="23" t="n">
        <v>35477.1</v>
      </c>
      <c r="F75" s="23" t="n">
        <f aca="false">D75-E75</f>
        <v>-14261.1</v>
      </c>
      <c r="G75" s="24" t="n">
        <f aca="false">IF(E75&gt;0,D75/E75-1,"")</f>
        <v>-0.401980432447973</v>
      </c>
      <c r="H75" s="3" t="str">
        <f aca="false">IF(MAX(D75,E75)&lt;Parametros!$B$16,"",IF(E75=0,"PIDE SIN FCST",IF(ABS(G75)&gt;Parametros!$B$14,IF(G75&gt;0,"SOBRE FCST","BAJO FCST"),"")))</f>
        <v>BAJO FCST</v>
      </c>
    </row>
    <row r="76" customFormat="false" ht="15" hidden="false" customHeight="false" outlineLevel="0" collapsed="false">
      <c r="A76" s="3" t="n">
        <v>30000524</v>
      </c>
      <c r="B76" s="3" t="s">
        <v>220</v>
      </c>
      <c r="C76" s="3" t="s">
        <v>1378</v>
      </c>
      <c r="D76" s="23" t="n">
        <v>22680</v>
      </c>
      <c r="E76" s="23" t="n">
        <v>8994</v>
      </c>
      <c r="F76" s="23" t="n">
        <f aca="false">D76-E76</f>
        <v>13686</v>
      </c>
      <c r="G76" s="24" t="n">
        <f aca="false">IF(E76&gt;0,D76/E76-1,"")</f>
        <v>1.52168112074716</v>
      </c>
      <c r="H76" s="3" t="str">
        <f aca="false">IF(MAX(D76,E76)&lt;Parametros!$B$16,"",IF(E76=0,"PIDE SIN FCST",IF(ABS(G76)&gt;Parametros!$B$14,IF(G76&gt;0,"SOBRE FCST","BAJO FCST"),"")))</f>
        <v>SOBRE FCST</v>
      </c>
    </row>
    <row r="77" customFormat="false" ht="15" hidden="false" customHeight="false" outlineLevel="0" collapsed="false">
      <c r="A77" s="3" t="n">
        <v>30000049</v>
      </c>
      <c r="B77" s="3" t="s">
        <v>217</v>
      </c>
      <c r="C77" s="3" t="s">
        <v>1377</v>
      </c>
      <c r="D77" s="23" t="n">
        <v>7330.56</v>
      </c>
      <c r="E77" s="23" t="n">
        <v>21000</v>
      </c>
      <c r="F77" s="23" t="n">
        <f aca="false">D77-E77</f>
        <v>-13669.44</v>
      </c>
      <c r="G77" s="24" t="n">
        <f aca="false">IF(E77&gt;0,D77/E77-1,"")</f>
        <v>-0.650925714285714</v>
      </c>
      <c r="H77" s="3" t="str">
        <f aca="false">IF(MAX(D77,E77)&lt;Parametros!$B$16,"",IF(E77=0,"PIDE SIN FCST",IF(ABS(G77)&gt;Parametros!$B$14,IF(G77&gt;0,"SOBRE FCST","BAJO FCST"),"")))</f>
        <v>BAJO FCST</v>
      </c>
    </row>
    <row r="78" customFormat="false" ht="15" hidden="false" customHeight="false" outlineLevel="0" collapsed="false">
      <c r="A78" s="3" t="n">
        <v>30000038</v>
      </c>
      <c r="B78" s="3" t="s">
        <v>215</v>
      </c>
      <c r="C78" s="3" t="s">
        <v>1378</v>
      </c>
      <c r="D78" s="23" t="n">
        <v>71605.44</v>
      </c>
      <c r="E78" s="23" t="n">
        <v>58000</v>
      </c>
      <c r="F78" s="23" t="n">
        <f aca="false">D78-E78</f>
        <v>13605.44</v>
      </c>
      <c r="G78" s="24" t="n">
        <f aca="false">IF(E78&gt;0,D78/E78-1,"")</f>
        <v>0.234576551724138</v>
      </c>
      <c r="H78" s="3" t="str">
        <f aca="false">IF(MAX(D78,E78)&lt;Parametros!$B$16,"",IF(E78=0,"PIDE SIN FCST",IF(ABS(G78)&gt;Parametros!$B$14,IF(G78&gt;0,"SOBRE FCST","BAJO FCST"),"")))</f>
        <v>SOBRE FCST</v>
      </c>
    </row>
    <row r="79" customFormat="false" ht="15" hidden="false" customHeight="false" outlineLevel="0" collapsed="false">
      <c r="A79" s="3" t="n">
        <v>30000551</v>
      </c>
      <c r="B79" s="3" t="s">
        <v>245</v>
      </c>
      <c r="C79" s="3" t="s">
        <v>1378</v>
      </c>
      <c r="D79" s="23" t="n">
        <v>19101.6</v>
      </c>
      <c r="E79" s="23" t="n">
        <v>5500</v>
      </c>
      <c r="F79" s="23" t="n">
        <f aca="false">D79-E79</f>
        <v>13601.6</v>
      </c>
      <c r="G79" s="24" t="n">
        <f aca="false">IF(E79&gt;0,D79/E79-1,"")</f>
        <v>2.47301818181818</v>
      </c>
      <c r="H79" s="3" t="str">
        <f aca="false">IF(MAX(D79,E79)&lt;Parametros!$B$16,"",IF(E79=0,"PIDE SIN FCST",IF(ABS(G79)&gt;Parametros!$B$14,IF(G79&gt;0,"SOBRE FCST","BAJO FCST"),"")))</f>
        <v>SOBRE FCST</v>
      </c>
    </row>
    <row r="80" customFormat="false" ht="15" hidden="false" customHeight="false" outlineLevel="0" collapsed="false">
      <c r="A80" s="3" t="n">
        <v>30000258</v>
      </c>
      <c r="B80" s="3" t="s">
        <v>227</v>
      </c>
      <c r="C80" s="3" t="s">
        <v>1372</v>
      </c>
      <c r="D80" s="23" t="n">
        <v>11976</v>
      </c>
      <c r="E80" s="23" t="n">
        <v>25374.9687232135</v>
      </c>
      <c r="F80" s="23" t="n">
        <f aca="false">D80-E80</f>
        <v>-13398.9687232135</v>
      </c>
      <c r="G80" s="24" t="n">
        <f aca="false">IF(E80&gt;0,D80/E80-1,"")</f>
        <v>-0.52803882713581</v>
      </c>
      <c r="H80" s="3" t="str">
        <f aca="false">IF(MAX(D80,E80)&lt;Parametros!$B$16,"",IF(E80=0,"PIDE SIN FCST",IF(ABS(G80)&gt;Parametros!$B$14,IF(G80&gt;0,"SOBRE FCST","BAJO FCST"),"")))</f>
        <v>BAJO FCST</v>
      </c>
    </row>
    <row r="81" customFormat="false" ht="15" hidden="false" customHeight="false" outlineLevel="0" collapsed="false">
      <c r="A81" s="3" t="n">
        <v>30001056</v>
      </c>
      <c r="B81" s="3" t="s">
        <v>259</v>
      </c>
      <c r="C81" s="3" t="s">
        <v>1380</v>
      </c>
      <c r="D81" s="23" t="n">
        <v>34876.8</v>
      </c>
      <c r="E81" s="23" t="n">
        <v>48098.0722007508</v>
      </c>
      <c r="F81" s="23" t="n">
        <f aca="false">D81-E81</f>
        <v>-13221.2722007508</v>
      </c>
      <c r="G81" s="24" t="n">
        <f aca="false">IF(E81&gt;0,D81/E81-1,"")</f>
        <v>-0.274881540897691</v>
      </c>
      <c r="H81" s="3" t="str">
        <f aca="false">IF(MAX(D81,E81)&lt;Parametros!$B$16,"",IF(E81=0,"PIDE SIN FCST",IF(ABS(G81)&gt;Parametros!$B$14,IF(G81&gt;0,"SOBRE FCST","BAJO FCST"),"")))</f>
        <v>BAJO FCST</v>
      </c>
    </row>
    <row r="82" customFormat="false" ht="15" hidden="false" customHeight="false" outlineLevel="0" collapsed="false">
      <c r="A82" s="3" t="n">
        <v>30000115</v>
      </c>
      <c r="B82" s="3" t="s">
        <v>283</v>
      </c>
      <c r="C82" s="3" t="s">
        <v>1380</v>
      </c>
      <c r="D82" s="23" t="n">
        <v>7856</v>
      </c>
      <c r="E82" s="23" t="n">
        <v>21000</v>
      </c>
      <c r="F82" s="23" t="n">
        <f aca="false">D82-E82</f>
        <v>-13144</v>
      </c>
      <c r="G82" s="24" t="n">
        <f aca="false">IF(E82&gt;0,D82/E82-1,"")</f>
        <v>-0.625904761904762</v>
      </c>
      <c r="H82" s="3" t="str">
        <f aca="false">IF(MAX(D82,E82)&lt;Parametros!$B$16,"",IF(E82=0,"PIDE SIN FCST",IF(ABS(G82)&gt;Parametros!$B$14,IF(G82&gt;0,"SOBRE FCST","BAJO FCST"),"")))</f>
        <v>BAJO FCST</v>
      </c>
    </row>
    <row r="83" customFormat="false" ht="15" hidden="false" customHeight="false" outlineLevel="0" collapsed="false">
      <c r="A83" s="3" t="n">
        <v>30000258</v>
      </c>
      <c r="B83" s="3" t="s">
        <v>227</v>
      </c>
      <c r="C83" s="3" t="s">
        <v>1380</v>
      </c>
      <c r="D83" s="23" t="n">
        <v>38016</v>
      </c>
      <c r="E83" s="23" t="n">
        <v>24943.75</v>
      </c>
      <c r="F83" s="23" t="n">
        <f aca="false">D83-E83</f>
        <v>13072.25</v>
      </c>
      <c r="G83" s="24" t="n">
        <f aca="false">IF(E83&gt;0,D83/E83-1,"")</f>
        <v>0.5240691556001</v>
      </c>
      <c r="H83" s="3" t="str">
        <f aca="false">IF(MAX(D83,E83)&lt;Parametros!$B$16,"",IF(E83=0,"PIDE SIN FCST",IF(ABS(G83)&gt;Parametros!$B$14,IF(G83&gt;0,"SOBRE FCST","BAJO FCST"),"")))</f>
        <v>SOBRE FCST</v>
      </c>
    </row>
    <row r="84" customFormat="false" ht="15" hidden="false" customHeight="false" outlineLevel="0" collapsed="false">
      <c r="A84" s="3" t="n">
        <v>30000257</v>
      </c>
      <c r="B84" s="3" t="s">
        <v>228</v>
      </c>
      <c r="C84" s="3" t="s">
        <v>1372</v>
      </c>
      <c r="D84" s="23" t="n">
        <v>14166</v>
      </c>
      <c r="E84" s="23" t="n">
        <v>27141.2477036517</v>
      </c>
      <c r="F84" s="23" t="n">
        <f aca="false">D84-E84</f>
        <v>-12975.2477036517</v>
      </c>
      <c r="G84" s="24" t="n">
        <f aca="false">IF(E84&gt;0,D84/E84-1,"")</f>
        <v>-0.478063788567316</v>
      </c>
      <c r="H84" s="3" t="str">
        <f aca="false">IF(MAX(D84,E84)&lt;Parametros!$B$16,"",IF(E84=0,"PIDE SIN FCST",IF(ABS(G84)&gt;Parametros!$B$14,IF(G84&gt;0,"SOBRE FCST","BAJO FCST"),"")))</f>
        <v>BAJO FCST</v>
      </c>
    </row>
    <row r="85" customFormat="false" ht="15" hidden="false" customHeight="false" outlineLevel="0" collapsed="false">
      <c r="A85" s="3" t="n">
        <v>30002229</v>
      </c>
      <c r="B85" s="3" t="s">
        <v>344</v>
      </c>
      <c r="C85" s="3" t="s">
        <v>1380</v>
      </c>
      <c r="D85" s="23" t="n">
        <v>35650</v>
      </c>
      <c r="E85" s="23" t="n">
        <v>23300</v>
      </c>
      <c r="F85" s="23" t="n">
        <f aca="false">D85-E85</f>
        <v>12350</v>
      </c>
      <c r="G85" s="24" t="n">
        <f aca="false">IF(E85&gt;0,D85/E85-1,"")</f>
        <v>0.530042918454936</v>
      </c>
      <c r="H85" s="3" t="str">
        <f aca="false">IF(MAX(D85,E85)&lt;Parametros!$B$16,"",IF(E85=0,"PIDE SIN FCST",IF(ABS(G85)&gt;Parametros!$B$14,IF(G85&gt;0,"SOBRE FCST","BAJO FCST"),"")))</f>
        <v>SOBRE FCST</v>
      </c>
    </row>
    <row r="86" customFormat="false" ht="15" hidden="false" customHeight="false" outlineLevel="0" collapsed="false">
      <c r="A86" s="3" t="n">
        <v>30000353</v>
      </c>
      <c r="B86" s="3" t="s">
        <v>219</v>
      </c>
      <c r="C86" s="3" t="s">
        <v>1373</v>
      </c>
      <c r="D86" s="23" t="n">
        <v>14196</v>
      </c>
      <c r="E86" s="23" t="n">
        <v>26458.375</v>
      </c>
      <c r="F86" s="23" t="n">
        <f aca="false">D86-E86</f>
        <v>-12262.375</v>
      </c>
      <c r="G86" s="24" t="n">
        <f aca="false">IF(E86&gt;0,D86/E86-1,"")</f>
        <v>-0.463459112662815</v>
      </c>
      <c r="H86" s="3" t="str">
        <f aca="false">IF(MAX(D86,E86)&lt;Parametros!$B$16,"",IF(E86=0,"PIDE SIN FCST",IF(ABS(G86)&gt;Parametros!$B$14,IF(G86&gt;0,"SOBRE FCST","BAJO FCST"),"")))</f>
        <v>BAJO FCST</v>
      </c>
    </row>
    <row r="87" customFormat="false" ht="15" hidden="false" customHeight="false" outlineLevel="0" collapsed="false">
      <c r="A87" s="3" t="n">
        <v>30000049</v>
      </c>
      <c r="B87" s="3" t="s">
        <v>217</v>
      </c>
      <c r="C87" s="3" t="s">
        <v>1378</v>
      </c>
      <c r="D87" s="23" t="n">
        <v>56767.68</v>
      </c>
      <c r="E87" s="23" t="n">
        <v>69000</v>
      </c>
      <c r="F87" s="23" t="n">
        <f aca="false">D87-E87</f>
        <v>-12232.32</v>
      </c>
      <c r="G87" s="24" t="n">
        <f aca="false">IF(E87&gt;0,D87/E87-1,"")</f>
        <v>-0.17728</v>
      </c>
      <c r="H87" s="3" t="str">
        <f aca="false">IF(MAX(D87,E87)&lt;Parametros!$B$16,"",IF(E87=0,"PIDE SIN FCST",IF(ABS(G87)&gt;Parametros!$B$14,IF(G87&gt;0,"SOBRE FCST","BAJO FCST"),"")))</f>
        <v/>
      </c>
    </row>
    <row r="88" customFormat="false" ht="15" hidden="false" customHeight="false" outlineLevel="0" collapsed="false">
      <c r="A88" s="3" t="n">
        <v>30001861</v>
      </c>
      <c r="B88" s="3" t="s">
        <v>250</v>
      </c>
      <c r="C88" s="3" t="s">
        <v>1380</v>
      </c>
      <c r="D88" s="23" t="n">
        <v>22226.4</v>
      </c>
      <c r="E88" s="23" t="n">
        <v>34000</v>
      </c>
      <c r="F88" s="23" t="n">
        <f aca="false">D88-E88</f>
        <v>-11773.6</v>
      </c>
      <c r="G88" s="24" t="n">
        <f aca="false">IF(E88&gt;0,D88/E88-1,"")</f>
        <v>-0.346282352941176</v>
      </c>
      <c r="H88" s="3" t="str">
        <f aca="false">IF(MAX(D88,E88)&lt;Parametros!$B$16,"",IF(E88=0,"PIDE SIN FCST",IF(ABS(G88)&gt;Parametros!$B$14,IF(G88&gt;0,"SOBRE FCST","BAJO FCST"),"")))</f>
        <v>BAJO FCST</v>
      </c>
    </row>
    <row r="89" customFormat="false" ht="15" hidden="false" customHeight="false" outlineLevel="0" collapsed="false">
      <c r="A89" s="3" t="n">
        <v>30001715</v>
      </c>
      <c r="B89" s="3" t="s">
        <v>321</v>
      </c>
      <c r="C89" s="3" t="s">
        <v>1375</v>
      </c>
      <c r="D89" s="23" t="n">
        <v>6543.6</v>
      </c>
      <c r="E89" s="23" t="n">
        <v>18200</v>
      </c>
      <c r="F89" s="23" t="n">
        <f aca="false">D89-E89</f>
        <v>-11656.4</v>
      </c>
      <c r="G89" s="24" t="n">
        <f aca="false">IF(E89&gt;0,D89/E89-1,"")</f>
        <v>-0.640461538461538</v>
      </c>
      <c r="H89" s="3" t="str">
        <f aca="false">IF(MAX(D89,E89)&lt;Parametros!$B$16,"",IF(E89=0,"PIDE SIN FCST",IF(ABS(G89)&gt;Parametros!$B$14,IF(G89&gt;0,"SOBRE FCST","BAJO FCST"),"")))</f>
        <v>BAJO FCST</v>
      </c>
    </row>
    <row r="90" customFormat="false" ht="15" hidden="false" customHeight="false" outlineLevel="0" collapsed="false">
      <c r="A90" s="3" t="n">
        <v>30001042</v>
      </c>
      <c r="B90" s="3" t="s">
        <v>257</v>
      </c>
      <c r="C90" s="3" t="s">
        <v>1377</v>
      </c>
      <c r="D90" s="23" t="n">
        <v>8595.84</v>
      </c>
      <c r="E90" s="23" t="n">
        <v>20248.9432389143</v>
      </c>
      <c r="F90" s="23" t="n">
        <f aca="false">D90-E90</f>
        <v>-11653.1032389143</v>
      </c>
      <c r="G90" s="24" t="n">
        <f aca="false">IF(E90&gt;0,D90/E90-1,"")</f>
        <v>-0.575491920808955</v>
      </c>
      <c r="H90" s="3" t="str">
        <f aca="false">IF(MAX(D90,E90)&lt;Parametros!$B$16,"",IF(E90=0,"PIDE SIN FCST",IF(ABS(G90)&gt;Parametros!$B$14,IF(G90&gt;0,"SOBRE FCST","BAJO FCST"),"")))</f>
        <v>BAJO FCST</v>
      </c>
    </row>
    <row r="91" customFormat="false" ht="15" hidden="false" customHeight="false" outlineLevel="0" collapsed="false">
      <c r="A91" s="3" t="n">
        <v>30000325</v>
      </c>
      <c r="B91" s="3" t="s">
        <v>216</v>
      </c>
      <c r="C91" s="3" t="s">
        <v>1373</v>
      </c>
      <c r="D91" s="23" t="n">
        <v>16884</v>
      </c>
      <c r="E91" s="23" t="n">
        <v>28326.2916666667</v>
      </c>
      <c r="F91" s="23" t="n">
        <f aca="false">D91-E91</f>
        <v>-11442.2916666667</v>
      </c>
      <c r="G91" s="24" t="n">
        <f aca="false">IF(E91&gt;0,D91/E91-1,"")</f>
        <v>-0.40394598069226</v>
      </c>
      <c r="H91" s="3" t="str">
        <f aca="false">IF(MAX(D91,E91)&lt;Parametros!$B$16,"",IF(E91=0,"PIDE SIN FCST",IF(ABS(G91)&gt;Parametros!$B$14,IF(G91&gt;0,"SOBRE FCST","BAJO FCST"),"")))</f>
        <v>BAJO FCST</v>
      </c>
    </row>
    <row r="92" customFormat="false" ht="15" hidden="false" customHeight="false" outlineLevel="0" collapsed="false">
      <c r="A92" s="3" t="n">
        <v>30001362</v>
      </c>
      <c r="B92" s="3" t="s">
        <v>293</v>
      </c>
      <c r="C92" s="3" t="s">
        <v>1375</v>
      </c>
      <c r="D92" s="23" t="n">
        <v>28560.48</v>
      </c>
      <c r="E92" s="23" t="n">
        <v>17500</v>
      </c>
      <c r="F92" s="23" t="n">
        <f aca="false">D92-E92</f>
        <v>11060.48</v>
      </c>
      <c r="G92" s="24" t="n">
        <f aca="false">IF(E92&gt;0,D92/E92-1,"")</f>
        <v>0.632027428571429</v>
      </c>
      <c r="H92" s="3" t="str">
        <f aca="false">IF(MAX(D92,E92)&lt;Parametros!$B$16,"",IF(E92=0,"PIDE SIN FCST",IF(ABS(G92)&gt;Parametros!$B$14,IF(G92&gt;0,"SOBRE FCST","BAJO FCST"),"")))</f>
        <v>SOBRE FCST</v>
      </c>
    </row>
    <row r="93" customFormat="false" ht="15" hidden="false" customHeight="false" outlineLevel="0" collapsed="false">
      <c r="A93" s="3" t="n">
        <v>30001774</v>
      </c>
      <c r="B93" s="3" t="s">
        <v>284</v>
      </c>
      <c r="C93" s="3" t="s">
        <v>1375</v>
      </c>
      <c r="D93" s="23" t="n">
        <v>10200</v>
      </c>
      <c r="E93" s="23" t="n">
        <v>21000</v>
      </c>
      <c r="F93" s="23" t="n">
        <f aca="false">D93-E93</f>
        <v>-10800</v>
      </c>
      <c r="G93" s="24" t="n">
        <f aca="false">IF(E93&gt;0,D93/E93-1,"")</f>
        <v>-0.514285714285714</v>
      </c>
      <c r="H93" s="3" t="str">
        <f aca="false">IF(MAX(D93,E93)&lt;Parametros!$B$16,"",IF(E93=0,"PIDE SIN FCST",IF(ABS(G93)&gt;Parametros!$B$14,IF(G93&gt;0,"SOBRE FCST","BAJO FCST"),"")))</f>
        <v>BAJO FCST</v>
      </c>
    </row>
    <row r="94" customFormat="false" ht="15" hidden="false" customHeight="false" outlineLevel="0" collapsed="false">
      <c r="A94" s="3" t="n">
        <v>30000400</v>
      </c>
      <c r="B94" s="3" t="s">
        <v>235</v>
      </c>
      <c r="C94" s="3" t="s">
        <v>1380</v>
      </c>
      <c r="D94" s="23" t="n">
        <v>37152</v>
      </c>
      <c r="E94" s="23" t="n">
        <v>26380.221</v>
      </c>
      <c r="F94" s="23" t="n">
        <f aca="false">D94-E94</f>
        <v>10771.779</v>
      </c>
      <c r="G94" s="24" t="n">
        <f aca="false">IF(E94&gt;0,D94/E94-1,"")</f>
        <v>0.408327852901611</v>
      </c>
      <c r="H94" s="3" t="str">
        <f aca="false">IF(MAX(D94,E94)&lt;Parametros!$B$16,"",IF(E94=0,"PIDE SIN FCST",IF(ABS(G94)&gt;Parametros!$B$14,IF(G94&gt;0,"SOBRE FCST","BAJO FCST"),"")))</f>
        <v>SOBRE FCST</v>
      </c>
    </row>
    <row r="95" customFormat="false" ht="15" hidden="false" customHeight="false" outlineLevel="0" collapsed="false">
      <c r="A95" s="3" t="n">
        <v>30000626</v>
      </c>
      <c r="B95" s="3" t="s">
        <v>238</v>
      </c>
      <c r="C95" s="3" t="s">
        <v>1375</v>
      </c>
      <c r="D95" s="23" t="n">
        <v>14464.32</v>
      </c>
      <c r="E95" s="23" t="n">
        <v>25000</v>
      </c>
      <c r="F95" s="23" t="n">
        <f aca="false">D95-E95</f>
        <v>-10535.68</v>
      </c>
      <c r="G95" s="24" t="n">
        <f aca="false">IF(E95&gt;0,D95/E95-1,"")</f>
        <v>-0.4214272</v>
      </c>
      <c r="H95" s="3" t="str">
        <f aca="false">IF(MAX(D95,E95)&lt;Parametros!$B$16,"",IF(E95=0,"PIDE SIN FCST",IF(ABS(G95)&gt;Parametros!$B$14,IF(G95&gt;0,"SOBRE FCST","BAJO FCST"),"")))</f>
        <v>BAJO FCST</v>
      </c>
    </row>
    <row r="96" customFormat="false" ht="15" hidden="false" customHeight="false" outlineLevel="0" collapsed="false">
      <c r="A96" s="3" t="n">
        <v>30002183</v>
      </c>
      <c r="B96" s="3" t="s">
        <v>369</v>
      </c>
      <c r="C96" s="3" t="s">
        <v>1380</v>
      </c>
      <c r="D96" s="23" t="n">
        <v>14745.6</v>
      </c>
      <c r="E96" s="23" t="n">
        <v>4228.10069676812</v>
      </c>
      <c r="F96" s="23" t="n">
        <f aca="false">D96-E96</f>
        <v>10517.4993032319</v>
      </c>
      <c r="G96" s="24" t="n">
        <f aca="false">IF(E96&gt;0,D96/E96-1,"")</f>
        <v>2.48752337220144</v>
      </c>
      <c r="H96" s="3" t="str">
        <f aca="false">IF(MAX(D96,E96)&lt;Parametros!$B$16,"",IF(E96=0,"PIDE SIN FCST",IF(ABS(G96)&gt;Parametros!$B$14,IF(G96&gt;0,"SOBRE FCST","BAJO FCST"),"")))</f>
        <v>SOBRE FCST</v>
      </c>
    </row>
    <row r="97" customFormat="false" ht="15" hidden="false" customHeight="false" outlineLevel="0" collapsed="false">
      <c r="A97" s="3" t="n">
        <v>30001862</v>
      </c>
      <c r="B97" s="3" t="s">
        <v>239</v>
      </c>
      <c r="C97" s="3" t="s">
        <v>1373</v>
      </c>
      <c r="D97" s="23" t="n">
        <v>41256</v>
      </c>
      <c r="E97" s="23" t="n">
        <v>51754.5039297442</v>
      </c>
      <c r="F97" s="23" t="n">
        <f aca="false">D97-E97</f>
        <v>-10498.5039297442</v>
      </c>
      <c r="G97" s="24" t="n">
        <f aca="false">IF(E97&gt;0,D97/E97-1,"")</f>
        <v>-0.202851986447319</v>
      </c>
      <c r="H97" s="3" t="str">
        <f aca="false">IF(MAX(D97,E97)&lt;Parametros!$B$16,"",IF(E97=0,"PIDE SIN FCST",IF(ABS(G97)&gt;Parametros!$B$14,IF(G97&gt;0,"SOBRE FCST","BAJO FCST"),"")))</f>
        <v>BAJO FCST</v>
      </c>
    </row>
    <row r="98" customFormat="false" ht="15" hidden="false" customHeight="false" outlineLevel="0" collapsed="false">
      <c r="A98" s="3" t="n">
        <v>30001043</v>
      </c>
      <c r="B98" s="3" t="s">
        <v>290</v>
      </c>
      <c r="C98" s="3" t="s">
        <v>1377</v>
      </c>
      <c r="D98" s="23" t="n">
        <v>8162.88</v>
      </c>
      <c r="E98" s="23" t="n">
        <v>17859.0357304285</v>
      </c>
      <c r="F98" s="23" t="n">
        <f aca="false">D98-E98</f>
        <v>-9696.15573042848</v>
      </c>
      <c r="G98" s="24" t="n">
        <f aca="false">IF(E98&gt;0,D98/E98-1,"")</f>
        <v>-0.542927170133158</v>
      </c>
      <c r="H98" s="3" t="str">
        <f aca="false">IF(MAX(D98,E98)&lt;Parametros!$B$16,"",IF(E98=0,"PIDE SIN FCST",IF(ABS(G98)&gt;Parametros!$B$14,IF(G98&gt;0,"SOBRE FCST","BAJO FCST"),"")))</f>
        <v>BAJO FCST</v>
      </c>
    </row>
    <row r="99" customFormat="false" ht="15" hidden="false" customHeight="false" outlineLevel="0" collapsed="false">
      <c r="A99" s="3" t="n">
        <v>30000326</v>
      </c>
      <c r="B99" s="3" t="s">
        <v>218</v>
      </c>
      <c r="C99" s="3" t="s">
        <v>1378</v>
      </c>
      <c r="D99" s="23" t="n">
        <v>23880</v>
      </c>
      <c r="E99" s="23" t="n">
        <v>14304.3296294395</v>
      </c>
      <c r="F99" s="23" t="n">
        <f aca="false">D99-E99</f>
        <v>9575.67037056053</v>
      </c>
      <c r="G99" s="24" t="n">
        <f aca="false">IF(E99&gt;0,D99/E99-1,"")</f>
        <v>0.669424616086379</v>
      </c>
      <c r="H99" s="3" t="str">
        <f aca="false">IF(MAX(D99,E99)&lt;Parametros!$B$16,"",IF(E99=0,"PIDE SIN FCST",IF(ABS(G99)&gt;Parametros!$B$14,IF(G99&gt;0,"SOBRE FCST","BAJO FCST"),"")))</f>
        <v>SOBRE FCST</v>
      </c>
    </row>
    <row r="100" customFormat="false" ht="15" hidden="false" customHeight="false" outlineLevel="0" collapsed="false">
      <c r="A100" s="3" t="n">
        <v>30001038</v>
      </c>
      <c r="B100" s="3" t="s">
        <v>230</v>
      </c>
      <c r="C100" s="3" t="s">
        <v>1380</v>
      </c>
      <c r="D100" s="23" t="n">
        <v>12460.8</v>
      </c>
      <c r="E100" s="23" t="n">
        <v>22000</v>
      </c>
      <c r="F100" s="23" t="n">
        <f aca="false">D100-E100</f>
        <v>-9539.2</v>
      </c>
      <c r="G100" s="24" t="n">
        <f aca="false">IF(E100&gt;0,D100/E100-1,"")</f>
        <v>-0.4336</v>
      </c>
      <c r="H100" s="3" t="str">
        <f aca="false">IF(MAX(D100,E100)&lt;Parametros!$B$16,"",IF(E100=0,"PIDE SIN FCST",IF(ABS(G100)&gt;Parametros!$B$14,IF(G100&gt;0,"SOBRE FCST","BAJO FCST"),"")))</f>
        <v>BAJO FCST</v>
      </c>
    </row>
    <row r="101" customFormat="false" ht="15" hidden="false" customHeight="false" outlineLevel="0" collapsed="false">
      <c r="A101" s="3" t="n">
        <v>30001042</v>
      </c>
      <c r="B101" s="3" t="s">
        <v>257</v>
      </c>
      <c r="C101" s="3" t="s">
        <v>1380</v>
      </c>
      <c r="D101" s="23" t="n">
        <v>6336</v>
      </c>
      <c r="E101" s="23" t="n">
        <v>15800</v>
      </c>
      <c r="F101" s="23" t="n">
        <f aca="false">D101-E101</f>
        <v>-9464</v>
      </c>
      <c r="G101" s="24" t="n">
        <f aca="false">IF(E101&gt;0,D101/E101-1,"")</f>
        <v>-0.598987341772152</v>
      </c>
      <c r="H101" s="3" t="str">
        <f aca="false">IF(MAX(D101,E101)&lt;Parametros!$B$16,"",IF(E101=0,"PIDE SIN FCST",IF(ABS(G101)&gt;Parametros!$B$14,IF(G101&gt;0,"SOBRE FCST","BAJO FCST"),"")))</f>
        <v>BAJO FCST</v>
      </c>
    </row>
    <row r="102" customFormat="false" ht="15" hidden="false" customHeight="false" outlineLevel="0" collapsed="false">
      <c r="A102" s="3" t="n">
        <v>30002277</v>
      </c>
      <c r="B102" s="3" t="s">
        <v>391</v>
      </c>
      <c r="C102" s="3" t="s">
        <v>1373</v>
      </c>
      <c r="D102" s="23" t="n">
        <v>12599.888</v>
      </c>
      <c r="E102" s="23" t="n">
        <v>22000</v>
      </c>
      <c r="F102" s="23" t="n">
        <f aca="false">D102-E102</f>
        <v>-9400.112</v>
      </c>
      <c r="G102" s="24" t="n">
        <f aca="false">IF(E102&gt;0,D102/E102-1,"")</f>
        <v>-0.427277818181818</v>
      </c>
      <c r="H102" s="3" t="str">
        <f aca="false">IF(MAX(D102,E102)&lt;Parametros!$B$16,"",IF(E102=0,"PIDE SIN FCST",IF(ABS(G102)&gt;Parametros!$B$14,IF(G102&gt;0,"SOBRE FCST","BAJO FCST"),"")))</f>
        <v>BAJO FCST</v>
      </c>
    </row>
    <row r="103" customFormat="false" ht="15" hidden="false" customHeight="false" outlineLevel="0" collapsed="false">
      <c r="A103" s="3" t="n">
        <v>30001364</v>
      </c>
      <c r="B103" s="3" t="s">
        <v>248</v>
      </c>
      <c r="C103" s="3" t="s">
        <v>1373</v>
      </c>
      <c r="D103" s="23" t="n">
        <v>94131.8</v>
      </c>
      <c r="E103" s="23" t="n">
        <v>85000</v>
      </c>
      <c r="F103" s="23" t="n">
        <f aca="false">D103-E103</f>
        <v>9131.79999999999</v>
      </c>
      <c r="G103" s="24" t="n">
        <f aca="false">IF(E103&gt;0,D103/E103-1,"")</f>
        <v>0.107432941176471</v>
      </c>
      <c r="H103" s="3" t="str">
        <f aca="false">IF(MAX(D103,E103)&lt;Parametros!$B$16,"",IF(E103=0,"PIDE SIN FCST",IF(ABS(G103)&gt;Parametros!$B$14,IF(G103&gt;0,"SOBRE FCST","BAJO FCST"),"")))</f>
        <v/>
      </c>
    </row>
    <row r="104" customFormat="false" ht="15" hidden="false" customHeight="false" outlineLevel="0" collapsed="false">
      <c r="A104" s="3" t="n">
        <v>30000524</v>
      </c>
      <c r="B104" s="3" t="s">
        <v>220</v>
      </c>
      <c r="C104" s="3" t="s">
        <v>1372</v>
      </c>
      <c r="D104" s="23" t="n">
        <v>24360</v>
      </c>
      <c r="E104" s="23" t="n">
        <v>33185.1452757667</v>
      </c>
      <c r="F104" s="23" t="n">
        <f aca="false">D104-E104</f>
        <v>-8825.14527576666</v>
      </c>
      <c r="G104" s="24" t="n">
        <f aca="false">IF(E104&gt;0,D104/E104-1,"")</f>
        <v>-0.26593661719514</v>
      </c>
      <c r="H104" s="3" t="str">
        <f aca="false">IF(MAX(D104,E104)&lt;Parametros!$B$16,"",IF(E104=0,"PIDE SIN FCST",IF(ABS(G104)&gt;Parametros!$B$14,IF(G104&gt;0,"SOBRE FCST","BAJO FCST"),"")))</f>
        <v>BAJO FCST</v>
      </c>
    </row>
    <row r="105" customFormat="false" ht="15" hidden="false" customHeight="false" outlineLevel="0" collapsed="false">
      <c r="A105" s="3" t="n">
        <v>30001925</v>
      </c>
      <c r="B105" s="3" t="s">
        <v>551</v>
      </c>
      <c r="C105" s="3" t="s">
        <v>1379</v>
      </c>
      <c r="D105" s="23" t="n">
        <v>3588</v>
      </c>
      <c r="E105" s="23" t="n">
        <v>12332.7</v>
      </c>
      <c r="F105" s="23" t="n">
        <f aca="false">D105-E105</f>
        <v>-8744.7</v>
      </c>
      <c r="G105" s="24" t="n">
        <f aca="false">IF(E105&gt;0,D105/E105-1,"")</f>
        <v>-0.70906614123428</v>
      </c>
      <c r="H105" s="3" t="str">
        <f aca="false">IF(MAX(D105,E105)&lt;Parametros!$B$16,"",IF(E105=0,"PIDE SIN FCST",IF(ABS(G105)&gt;Parametros!$B$14,IF(G105&gt;0,"SOBRE FCST","BAJO FCST"),"")))</f>
        <v>BAJO FCST</v>
      </c>
    </row>
    <row r="106" customFormat="false" ht="15" hidden="false" customHeight="false" outlineLevel="0" collapsed="false">
      <c r="A106" s="3" t="n">
        <v>30000256</v>
      </c>
      <c r="B106" s="3" t="s">
        <v>225</v>
      </c>
      <c r="C106" s="3" t="s">
        <v>1380</v>
      </c>
      <c r="D106" s="23" t="n">
        <v>26784</v>
      </c>
      <c r="E106" s="23" t="n">
        <v>18040.7</v>
      </c>
      <c r="F106" s="23" t="n">
        <f aca="false">D106-E106</f>
        <v>8743.3</v>
      </c>
      <c r="G106" s="24" t="n">
        <f aca="false">IF(E106&gt;0,D106/E106-1,"")</f>
        <v>0.484643057087585</v>
      </c>
      <c r="H106" s="3" t="str">
        <f aca="false">IF(MAX(D106,E106)&lt;Parametros!$B$16,"",IF(E106=0,"PIDE SIN FCST",IF(ABS(G106)&gt;Parametros!$B$14,IF(G106&gt;0,"SOBRE FCST","BAJO FCST"),"")))</f>
        <v>SOBRE FCST</v>
      </c>
    </row>
    <row r="107" customFormat="false" ht="15" hidden="false" customHeight="false" outlineLevel="0" collapsed="false">
      <c r="A107" s="3" t="n">
        <v>30000255</v>
      </c>
      <c r="B107" s="3" t="s">
        <v>221</v>
      </c>
      <c r="C107" s="3" t="s">
        <v>1373</v>
      </c>
      <c r="D107" s="23" t="n">
        <v>26868</v>
      </c>
      <c r="E107" s="23" t="n">
        <v>35491.8390533333</v>
      </c>
      <c r="F107" s="23" t="n">
        <f aca="false">D107-E107</f>
        <v>-8623.83905333333</v>
      </c>
      <c r="G107" s="24" t="n">
        <f aca="false">IF(E107&gt;0,D107/E107-1,"")</f>
        <v>-0.24298090162007</v>
      </c>
      <c r="H107" s="3" t="str">
        <f aca="false">IF(MAX(D107,E107)&lt;Parametros!$B$16,"",IF(E107=0,"PIDE SIN FCST",IF(ABS(G107)&gt;Parametros!$B$14,IF(G107&gt;0,"SOBRE FCST","BAJO FCST"),"")))</f>
        <v>BAJO FCST</v>
      </c>
    </row>
    <row r="108" customFormat="false" ht="15" hidden="false" customHeight="false" outlineLevel="0" collapsed="false">
      <c r="A108" s="3" t="n">
        <v>30001942</v>
      </c>
      <c r="B108" s="3" t="s">
        <v>342</v>
      </c>
      <c r="C108" s="3" t="s">
        <v>1380</v>
      </c>
      <c r="D108" s="23" t="n">
        <v>13708.8</v>
      </c>
      <c r="E108" s="23" t="n">
        <v>5295</v>
      </c>
      <c r="F108" s="23" t="n">
        <f aca="false">D108-E108</f>
        <v>8413.8</v>
      </c>
      <c r="G108" s="24" t="n">
        <f aca="false">IF(E108&gt;0,D108/E108-1,"")</f>
        <v>1.58900849858357</v>
      </c>
      <c r="H108" s="3" t="str">
        <f aca="false">IF(MAX(D108,E108)&lt;Parametros!$B$16,"",IF(E108=0,"PIDE SIN FCST",IF(ABS(G108)&gt;Parametros!$B$14,IF(G108&gt;0,"SOBRE FCST","BAJO FCST"),"")))</f>
        <v>SOBRE FCST</v>
      </c>
    </row>
    <row r="109" customFormat="false" ht="15" hidden="false" customHeight="false" outlineLevel="0" collapsed="false">
      <c r="A109" s="3" t="n">
        <v>30002184</v>
      </c>
      <c r="B109" s="3" t="s">
        <v>379</v>
      </c>
      <c r="C109" s="3" t="s">
        <v>1380</v>
      </c>
      <c r="D109" s="23" t="n">
        <v>13708.8</v>
      </c>
      <c r="E109" s="23" t="n">
        <v>5338.32698650891</v>
      </c>
      <c r="F109" s="23" t="n">
        <f aca="false">D109-E109</f>
        <v>8370.47301349109</v>
      </c>
      <c r="G109" s="24" t="n">
        <f aca="false">IF(E109&gt;0,D109/E109-1,"")</f>
        <v>1.56799556015303</v>
      </c>
      <c r="H109" s="3" t="str">
        <f aca="false">IF(MAX(D109,E109)&lt;Parametros!$B$16,"",IF(E109=0,"PIDE SIN FCST",IF(ABS(G109)&gt;Parametros!$B$14,IF(G109&gt;0,"SOBRE FCST","BAJO FCST"),"")))</f>
        <v>SOBRE FCST</v>
      </c>
    </row>
    <row r="110" customFormat="false" ht="15" hidden="false" customHeight="false" outlineLevel="0" collapsed="false">
      <c r="A110" s="3" t="n">
        <v>30001043</v>
      </c>
      <c r="B110" s="3" t="s">
        <v>290</v>
      </c>
      <c r="C110" s="3" t="s">
        <v>1380</v>
      </c>
      <c r="D110" s="23" t="n">
        <v>5068.8</v>
      </c>
      <c r="E110" s="23" t="n">
        <v>13400</v>
      </c>
      <c r="F110" s="23" t="n">
        <f aca="false">D110-E110</f>
        <v>-8331.2</v>
      </c>
      <c r="G110" s="24" t="n">
        <f aca="false">IF(E110&gt;0,D110/E110-1,"")</f>
        <v>-0.621731343283582</v>
      </c>
      <c r="H110" s="3" t="str">
        <f aca="false">IF(MAX(D110,E110)&lt;Parametros!$B$16,"",IF(E110=0,"PIDE SIN FCST",IF(ABS(G110)&gt;Parametros!$B$14,IF(G110&gt;0,"SOBRE FCST","BAJO FCST"),"")))</f>
        <v>BAJO FCST</v>
      </c>
    </row>
    <row r="111" customFormat="false" ht="15" hidden="false" customHeight="false" outlineLevel="0" collapsed="false">
      <c r="A111" s="3" t="n">
        <v>30001042</v>
      </c>
      <c r="B111" s="3" t="s">
        <v>257</v>
      </c>
      <c r="C111" s="3" t="s">
        <v>1376</v>
      </c>
      <c r="D111" s="23" t="n">
        <v>28284.96</v>
      </c>
      <c r="E111" s="23" t="n">
        <v>20000</v>
      </c>
      <c r="F111" s="23" t="n">
        <f aca="false">D111-E111</f>
        <v>8284.96</v>
      </c>
      <c r="G111" s="24" t="n">
        <f aca="false">IF(E111&gt;0,D111/E111-1,"")</f>
        <v>0.414248</v>
      </c>
      <c r="H111" s="3" t="str">
        <f aca="false">IF(MAX(D111,E111)&lt;Parametros!$B$16,"",IF(E111=0,"PIDE SIN FCST",IF(ABS(G111)&gt;Parametros!$B$14,IF(G111&gt;0,"SOBRE FCST","BAJO FCST"),"")))</f>
        <v>SOBRE FCST</v>
      </c>
    </row>
    <row r="112" customFormat="false" ht="15" hidden="false" customHeight="false" outlineLevel="0" collapsed="false">
      <c r="A112" s="3" t="n">
        <v>30001597</v>
      </c>
      <c r="B112" s="3" t="s">
        <v>265</v>
      </c>
      <c r="C112" s="3" t="s">
        <v>1375</v>
      </c>
      <c r="D112" s="23" t="n">
        <v>9752</v>
      </c>
      <c r="E112" s="23" t="n">
        <v>18000</v>
      </c>
      <c r="F112" s="23" t="n">
        <f aca="false">D112-E112</f>
        <v>-8248</v>
      </c>
      <c r="G112" s="24" t="n">
        <f aca="false">IF(E112&gt;0,D112/E112-1,"")</f>
        <v>-0.458222222222222</v>
      </c>
      <c r="H112" s="3" t="str">
        <f aca="false">IF(MAX(D112,E112)&lt;Parametros!$B$16,"",IF(E112=0,"PIDE SIN FCST",IF(ABS(G112)&gt;Parametros!$B$14,IF(G112&gt;0,"SOBRE FCST","BAJO FCST"),"")))</f>
        <v>BAJO FCST</v>
      </c>
    </row>
    <row r="113" customFormat="false" ht="15" hidden="false" customHeight="false" outlineLevel="0" collapsed="false">
      <c r="A113" s="3" t="n">
        <v>30001400</v>
      </c>
      <c r="B113" s="3" t="s">
        <v>263</v>
      </c>
      <c r="C113" s="3" t="s">
        <v>1375</v>
      </c>
      <c r="D113" s="23" t="n">
        <v>26124.48</v>
      </c>
      <c r="E113" s="23" t="n">
        <v>18000</v>
      </c>
      <c r="F113" s="23" t="n">
        <f aca="false">D113-E113</f>
        <v>8124.48</v>
      </c>
      <c r="G113" s="24" t="n">
        <f aca="false">IF(E113&gt;0,D113/E113-1,"")</f>
        <v>0.45136</v>
      </c>
      <c r="H113" s="3" t="str">
        <f aca="false">IF(MAX(D113,E113)&lt;Parametros!$B$16,"",IF(E113=0,"PIDE SIN FCST",IF(ABS(G113)&gt;Parametros!$B$14,IF(G113&gt;0,"SOBRE FCST","BAJO FCST"),"")))</f>
        <v>SOBRE FCST</v>
      </c>
    </row>
    <row r="114" customFormat="false" ht="15" hidden="false" customHeight="false" outlineLevel="0" collapsed="false">
      <c r="A114" s="3" t="n">
        <v>30000637</v>
      </c>
      <c r="B114" s="3" t="s">
        <v>232</v>
      </c>
      <c r="C114" s="3" t="s">
        <v>1375</v>
      </c>
      <c r="D114" s="23" t="n">
        <v>22964.16</v>
      </c>
      <c r="E114" s="23" t="n">
        <v>31000</v>
      </c>
      <c r="F114" s="23" t="n">
        <f aca="false">D114-E114</f>
        <v>-8035.84</v>
      </c>
      <c r="G114" s="24" t="n">
        <f aca="false">IF(E114&gt;0,D114/E114-1,"")</f>
        <v>-0.25922064516129</v>
      </c>
      <c r="H114" s="3" t="str">
        <f aca="false">IF(MAX(D114,E114)&lt;Parametros!$B$16,"",IF(E114=0,"PIDE SIN FCST",IF(ABS(G114)&gt;Parametros!$B$14,IF(G114&gt;0,"SOBRE FCST","BAJO FCST"),"")))</f>
        <v>BAJO FCST</v>
      </c>
    </row>
    <row r="115" customFormat="false" ht="15" hidden="false" customHeight="false" outlineLevel="0" collapsed="false">
      <c r="A115" s="3" t="n">
        <v>30001041</v>
      </c>
      <c r="B115" s="3" t="s">
        <v>258</v>
      </c>
      <c r="C115" s="3" t="s">
        <v>1377</v>
      </c>
      <c r="D115" s="23" t="n">
        <v>10728.96</v>
      </c>
      <c r="E115" s="23" t="n">
        <v>18746.8698966422</v>
      </c>
      <c r="F115" s="23" t="n">
        <f aca="false">D115-E115</f>
        <v>-8017.90989664215</v>
      </c>
      <c r="G115" s="24" t="n">
        <f aca="false">IF(E115&gt;0,D115/E115-1,"")</f>
        <v>-0.427693259773371</v>
      </c>
      <c r="H115" s="3" t="str">
        <f aca="false">IF(MAX(D115,E115)&lt;Parametros!$B$16,"",IF(E115=0,"PIDE SIN FCST",IF(ABS(G115)&gt;Parametros!$B$14,IF(G115&gt;0,"SOBRE FCST","BAJO FCST"),"")))</f>
        <v>BAJO FCST</v>
      </c>
    </row>
    <row r="116" customFormat="false" ht="15" hidden="false" customHeight="false" outlineLevel="0" collapsed="false">
      <c r="A116" s="3" t="n">
        <v>30002090</v>
      </c>
      <c r="B116" s="3" t="s">
        <v>317</v>
      </c>
      <c r="C116" s="3" t="s">
        <v>1380</v>
      </c>
      <c r="D116" s="23" t="n">
        <v>11034</v>
      </c>
      <c r="E116" s="23" t="n">
        <v>3023.91282130394</v>
      </c>
      <c r="F116" s="23" t="n">
        <f aca="false">D116-E116</f>
        <v>8010.08717869607</v>
      </c>
      <c r="G116" s="24" t="n">
        <f aca="false">IF(E116&gt;0,D116/E116-1,"")</f>
        <v>2.64891471813068</v>
      </c>
      <c r="H116" s="3" t="str">
        <f aca="false">IF(MAX(D116,E116)&lt;Parametros!$B$16,"",IF(E116=0,"PIDE SIN FCST",IF(ABS(G116)&gt;Parametros!$B$14,IF(G116&gt;0,"SOBRE FCST","BAJO FCST"),"")))</f>
        <v>SOBRE FCST</v>
      </c>
    </row>
    <row r="117" customFormat="false" ht="15" hidden="false" customHeight="false" outlineLevel="0" collapsed="false">
      <c r="A117" s="3" t="n">
        <v>30000384</v>
      </c>
      <c r="B117" s="3" t="s">
        <v>262</v>
      </c>
      <c r="C117" s="3" t="s">
        <v>1380</v>
      </c>
      <c r="D117" s="23" t="n">
        <v>51234</v>
      </c>
      <c r="E117" s="23" t="n">
        <v>43224.4833950025</v>
      </c>
      <c r="F117" s="23" t="n">
        <f aca="false">D117-E117</f>
        <v>8009.51660499751</v>
      </c>
      <c r="G117" s="24" t="n">
        <f aca="false">IF(E117&gt;0,D117/E117-1,"")</f>
        <v>0.185300458811812</v>
      </c>
      <c r="H117" s="3" t="str">
        <f aca="false">IF(MAX(D117,E117)&lt;Parametros!$B$16,"",IF(E117=0,"PIDE SIN FCST",IF(ABS(G117)&gt;Parametros!$B$14,IF(G117&gt;0,"SOBRE FCST","BAJO FCST"),"")))</f>
        <v/>
      </c>
    </row>
    <row r="118" customFormat="false" ht="15" hidden="false" customHeight="false" outlineLevel="0" collapsed="false">
      <c r="A118" s="3" t="n">
        <v>30002354</v>
      </c>
      <c r="B118" s="3" t="s">
        <v>463</v>
      </c>
      <c r="C118" s="3" t="s">
        <v>1375</v>
      </c>
      <c r="D118" s="23" t="n">
        <v>16368</v>
      </c>
      <c r="E118" s="23" t="n">
        <v>8400</v>
      </c>
      <c r="F118" s="23" t="n">
        <f aca="false">D118-E118</f>
        <v>7968</v>
      </c>
      <c r="G118" s="24" t="n">
        <f aca="false">IF(E118&gt;0,D118/E118-1,"")</f>
        <v>0.948571428571429</v>
      </c>
      <c r="H118" s="3" t="str">
        <f aca="false">IF(MAX(D118,E118)&lt;Parametros!$B$16,"",IF(E118=0,"PIDE SIN FCST",IF(ABS(G118)&gt;Parametros!$B$14,IF(G118&gt;0,"SOBRE FCST","BAJO FCST"),"")))</f>
        <v>SOBRE FCST</v>
      </c>
    </row>
    <row r="119" customFormat="false" ht="15" hidden="false" customHeight="false" outlineLevel="0" collapsed="false">
      <c r="A119" s="3" t="n">
        <v>30000637</v>
      </c>
      <c r="B119" s="3" t="s">
        <v>232</v>
      </c>
      <c r="C119" s="3" t="s">
        <v>1380</v>
      </c>
      <c r="D119" s="23" t="n">
        <v>103420.8</v>
      </c>
      <c r="E119" s="23" t="n">
        <v>95500</v>
      </c>
      <c r="F119" s="23" t="n">
        <f aca="false">D119-E119</f>
        <v>7920.8</v>
      </c>
      <c r="G119" s="24" t="n">
        <f aca="false">IF(E119&gt;0,D119/E119-1,"")</f>
        <v>0.0829403141361258</v>
      </c>
      <c r="H119" s="3" t="str">
        <f aca="false">IF(MAX(D119,E119)&lt;Parametros!$B$16,"",IF(E119=0,"PIDE SIN FCST",IF(ABS(G119)&gt;Parametros!$B$14,IF(G119&gt;0,"SOBRE FCST","BAJO FCST"),"")))</f>
        <v/>
      </c>
    </row>
    <row r="120" customFormat="false" ht="15" hidden="false" customHeight="false" outlineLevel="0" collapsed="false">
      <c r="A120" s="3" t="n">
        <v>30000481</v>
      </c>
      <c r="B120" s="3" t="s">
        <v>241</v>
      </c>
      <c r="C120" s="3" t="s">
        <v>1375</v>
      </c>
      <c r="D120" s="23" t="n">
        <v>36204</v>
      </c>
      <c r="E120" s="23" t="n">
        <v>44000</v>
      </c>
      <c r="F120" s="23" t="n">
        <f aca="false">D120-E120</f>
        <v>-7796</v>
      </c>
      <c r="G120" s="24" t="n">
        <f aca="false">IF(E120&gt;0,D120/E120-1,"")</f>
        <v>-0.177181818181818</v>
      </c>
      <c r="H120" s="3" t="str">
        <f aca="false">IF(MAX(D120,E120)&lt;Parametros!$B$16,"",IF(E120=0,"PIDE SIN FCST",IF(ABS(G120)&gt;Parametros!$B$14,IF(G120&gt;0,"SOBRE FCST","BAJO FCST"),"")))</f>
        <v/>
      </c>
    </row>
    <row r="121" customFormat="false" ht="15" hidden="false" customHeight="false" outlineLevel="0" collapsed="false">
      <c r="A121" s="3" t="n">
        <v>30000514</v>
      </c>
      <c r="B121" s="3" t="s">
        <v>252</v>
      </c>
      <c r="C121" s="3" t="s">
        <v>1380</v>
      </c>
      <c r="D121" s="23" t="n">
        <v>33660</v>
      </c>
      <c r="E121" s="23" t="n">
        <v>25952.4</v>
      </c>
      <c r="F121" s="23" t="n">
        <f aca="false">D121-E121</f>
        <v>7707.6</v>
      </c>
      <c r="G121" s="24" t="n">
        <f aca="false">IF(E121&gt;0,D121/E121-1,"")</f>
        <v>0.2969898737689</v>
      </c>
      <c r="H121" s="3" t="str">
        <f aca="false">IF(MAX(D121,E121)&lt;Parametros!$B$16,"",IF(E121=0,"PIDE SIN FCST",IF(ABS(G121)&gt;Parametros!$B$14,IF(G121&gt;0,"SOBRE FCST","BAJO FCST"),"")))</f>
        <v>SOBRE FCST</v>
      </c>
    </row>
    <row r="122" customFormat="false" ht="15" hidden="false" customHeight="false" outlineLevel="0" collapsed="false">
      <c r="A122" s="3" t="n">
        <v>30000626</v>
      </c>
      <c r="B122" s="3" t="s">
        <v>238</v>
      </c>
      <c r="C122" s="3" t="s">
        <v>1372</v>
      </c>
      <c r="D122" s="23" t="n">
        <v>10141.44</v>
      </c>
      <c r="E122" s="23" t="n">
        <v>2460.56</v>
      </c>
      <c r="F122" s="23" t="n">
        <f aca="false">D122-E122</f>
        <v>7680.88</v>
      </c>
      <c r="G122" s="24" t="n">
        <f aca="false">IF(E122&gt;0,D122/E122-1,"")</f>
        <v>3.1215983353383</v>
      </c>
      <c r="H122" s="3" t="str">
        <f aca="false">IF(MAX(D122,E122)&lt;Parametros!$B$16,"",IF(E122=0,"PIDE SIN FCST",IF(ABS(G122)&gt;Parametros!$B$14,IF(G122&gt;0,"SOBRE FCST","BAJO FCST"),"")))</f>
        <v>SOBRE FCST</v>
      </c>
    </row>
    <row r="123" customFormat="false" ht="15" hidden="false" customHeight="false" outlineLevel="0" collapsed="false">
      <c r="A123" s="3" t="n">
        <v>30001409</v>
      </c>
      <c r="B123" s="3" t="s">
        <v>270</v>
      </c>
      <c r="C123" s="3" t="s">
        <v>1380</v>
      </c>
      <c r="D123" s="23" t="n">
        <v>20740</v>
      </c>
      <c r="E123" s="23" t="n">
        <v>28340.693</v>
      </c>
      <c r="F123" s="23" t="n">
        <f aca="false">D123-E123</f>
        <v>-7600.693</v>
      </c>
      <c r="G123" s="24" t="n">
        <f aca="false">IF(E123&gt;0,D123/E123-1,"")</f>
        <v>-0.268190089776563</v>
      </c>
      <c r="H123" s="3" t="str">
        <f aca="false">IF(MAX(D123,E123)&lt;Parametros!$B$16,"",IF(E123=0,"PIDE SIN FCST",IF(ABS(G123)&gt;Parametros!$B$14,IF(G123&gt;0,"SOBRE FCST","BAJO FCST"),"")))</f>
        <v>BAJO FCST</v>
      </c>
    </row>
    <row r="124" customFormat="false" ht="15" hidden="false" customHeight="false" outlineLevel="0" collapsed="false">
      <c r="A124" s="3" t="n">
        <v>30000257</v>
      </c>
      <c r="B124" s="3" t="s">
        <v>228</v>
      </c>
      <c r="C124" s="3" t="s">
        <v>1375</v>
      </c>
      <c r="D124" s="23" t="n">
        <v>14976</v>
      </c>
      <c r="E124" s="23" t="n">
        <v>22509.2013815385</v>
      </c>
      <c r="F124" s="23" t="n">
        <f aca="false">D124-E124</f>
        <v>-7533.20138153847</v>
      </c>
      <c r="G124" s="24" t="n">
        <f aca="false">IF(E124&gt;0,D124/E124-1,"")</f>
        <v>-0.334672086043756</v>
      </c>
      <c r="H124" s="3" t="str">
        <f aca="false">IF(MAX(D124,E124)&lt;Parametros!$B$16,"",IF(E124=0,"PIDE SIN FCST",IF(ABS(G124)&gt;Parametros!$B$14,IF(G124&gt;0,"SOBRE FCST","BAJO FCST"),"")))</f>
        <v>BAJO FCST</v>
      </c>
    </row>
    <row r="125" customFormat="false" ht="15" hidden="false" customHeight="false" outlineLevel="0" collapsed="false">
      <c r="A125" s="3" t="n">
        <v>30001598</v>
      </c>
      <c r="B125" s="3" t="s">
        <v>383</v>
      </c>
      <c r="C125" s="3" t="s">
        <v>1373</v>
      </c>
      <c r="D125" s="23" t="n">
        <v>3400</v>
      </c>
      <c r="E125" s="23" t="n">
        <v>10900</v>
      </c>
      <c r="F125" s="23" t="n">
        <f aca="false">D125-E125</f>
        <v>-7500</v>
      </c>
      <c r="G125" s="24" t="n">
        <f aca="false">IF(E125&gt;0,D125/E125-1,"")</f>
        <v>-0.688073394495413</v>
      </c>
      <c r="H125" s="3" t="str">
        <f aca="false">IF(MAX(D125,E125)&lt;Parametros!$B$16,"",IF(E125=0,"PIDE SIN FCST",IF(ABS(G125)&gt;Parametros!$B$14,IF(G125&gt;0,"SOBRE FCST","BAJO FCST"),"")))</f>
        <v>BAJO FCST</v>
      </c>
    </row>
    <row r="126" customFormat="false" ht="15" hidden="false" customHeight="false" outlineLevel="0" collapsed="false">
      <c r="A126" s="3" t="n">
        <v>30000038</v>
      </c>
      <c r="B126" s="3" t="s">
        <v>215</v>
      </c>
      <c r="C126" s="3" t="s">
        <v>1372</v>
      </c>
      <c r="D126" s="23" t="n">
        <v>13093.44</v>
      </c>
      <c r="E126" s="23" t="n">
        <v>20589.76</v>
      </c>
      <c r="F126" s="23" t="n">
        <f aca="false">D126-E126</f>
        <v>-7496.32</v>
      </c>
      <c r="G126" s="24" t="n">
        <f aca="false">IF(E126&gt;0,D126/E126-1,"")</f>
        <v>-0.364080008703355</v>
      </c>
      <c r="H126" s="3" t="str">
        <f aca="false">IF(MAX(D126,E126)&lt;Parametros!$B$16,"",IF(E126=0,"PIDE SIN FCST",IF(ABS(G126)&gt;Parametros!$B$14,IF(G126&gt;0,"SOBRE FCST","BAJO FCST"),"")))</f>
        <v>BAJO FCST</v>
      </c>
    </row>
    <row r="127" customFormat="false" ht="15" hidden="false" customHeight="false" outlineLevel="0" collapsed="false">
      <c r="A127" s="3" t="n">
        <v>30001400</v>
      </c>
      <c r="B127" s="3" t="s">
        <v>263</v>
      </c>
      <c r="C127" s="3" t="s">
        <v>1380</v>
      </c>
      <c r="D127" s="23" t="n">
        <v>26530.56</v>
      </c>
      <c r="E127" s="23" t="n">
        <v>34000</v>
      </c>
      <c r="F127" s="23" t="n">
        <f aca="false">D127-E127</f>
        <v>-7469.44</v>
      </c>
      <c r="G127" s="24" t="n">
        <f aca="false">IF(E127&gt;0,D127/E127-1,"")</f>
        <v>-0.219689411764706</v>
      </c>
      <c r="H127" s="3" t="str">
        <f aca="false">IF(MAX(D127,E127)&lt;Parametros!$B$16,"",IF(E127=0,"PIDE SIN FCST",IF(ABS(G127)&gt;Parametros!$B$14,IF(G127&gt;0,"SOBRE FCST","BAJO FCST"),"")))</f>
        <v>BAJO FCST</v>
      </c>
    </row>
    <row r="128" customFormat="false" ht="15" hidden="false" customHeight="false" outlineLevel="0" collapsed="false">
      <c r="A128" s="3" t="n">
        <v>30000481</v>
      </c>
      <c r="B128" s="3" t="s">
        <v>241</v>
      </c>
      <c r="C128" s="3" t="s">
        <v>1379</v>
      </c>
      <c r="D128" s="23" t="n">
        <v>17952</v>
      </c>
      <c r="E128" s="23" t="n">
        <v>10500</v>
      </c>
      <c r="F128" s="23" t="n">
        <f aca="false">D128-E128</f>
        <v>7452</v>
      </c>
      <c r="G128" s="24" t="n">
        <f aca="false">IF(E128&gt;0,D128/E128-1,"")</f>
        <v>0.709714285714286</v>
      </c>
      <c r="H128" s="3" t="str">
        <f aca="false">IF(MAX(D128,E128)&lt;Parametros!$B$16,"",IF(E128=0,"PIDE SIN FCST",IF(ABS(G128)&gt;Parametros!$B$14,IF(G128&gt;0,"SOBRE FCST","BAJO FCST"),"")))</f>
        <v>SOBRE FCST</v>
      </c>
    </row>
    <row r="129" customFormat="false" ht="15" hidden="false" customHeight="false" outlineLevel="0" collapsed="false">
      <c r="A129" s="3" t="n">
        <v>30000255</v>
      </c>
      <c r="B129" s="3" t="s">
        <v>221</v>
      </c>
      <c r="C129" s="3" t="s">
        <v>1375</v>
      </c>
      <c r="D129" s="23" t="n">
        <v>19434</v>
      </c>
      <c r="E129" s="23" t="n">
        <v>26856.0737606884</v>
      </c>
      <c r="F129" s="23" t="n">
        <f aca="false">D129-E129</f>
        <v>-7422.07376068836</v>
      </c>
      <c r="G129" s="24" t="n">
        <f aca="false">IF(E129&gt;0,D129/E129-1,"")</f>
        <v>-0.276364811432441</v>
      </c>
      <c r="H129" s="3" t="str">
        <f aca="false">IF(MAX(D129,E129)&lt;Parametros!$B$16,"",IF(E129=0,"PIDE SIN FCST",IF(ABS(G129)&gt;Parametros!$B$14,IF(G129&gt;0,"SOBRE FCST","BAJO FCST"),"")))</f>
        <v>BAJO FCST</v>
      </c>
    </row>
    <row r="130" customFormat="false" ht="15" hidden="false" customHeight="false" outlineLevel="0" collapsed="false">
      <c r="A130" s="3" t="n">
        <v>30000524</v>
      </c>
      <c r="B130" s="3" t="s">
        <v>220</v>
      </c>
      <c r="C130" s="3" t="s">
        <v>1376</v>
      </c>
      <c r="D130" s="23" t="n">
        <v>15000</v>
      </c>
      <c r="E130" s="23" t="n">
        <v>7600</v>
      </c>
      <c r="F130" s="23" t="n">
        <f aca="false">D130-E130</f>
        <v>7400</v>
      </c>
      <c r="G130" s="24" t="n">
        <f aca="false">IF(E130&gt;0,D130/E130-1,"")</f>
        <v>0.973684210526316</v>
      </c>
      <c r="H130" s="3" t="str">
        <f aca="false">IF(MAX(D130,E130)&lt;Parametros!$B$16,"",IF(E130=0,"PIDE SIN FCST",IF(ABS(G130)&gt;Parametros!$B$14,IF(G130&gt;0,"SOBRE FCST","BAJO FCST"),"")))</f>
        <v>SOBRE FCST</v>
      </c>
    </row>
    <row r="131" customFormat="false" ht="15" hidden="false" customHeight="false" outlineLevel="0" collapsed="false">
      <c r="A131" s="3" t="n">
        <v>30002091</v>
      </c>
      <c r="B131" s="3" t="s">
        <v>325</v>
      </c>
      <c r="C131" s="3" t="s">
        <v>1380</v>
      </c>
      <c r="D131" s="23" t="n">
        <v>10422</v>
      </c>
      <c r="E131" s="23" t="n">
        <v>3023.91282130394</v>
      </c>
      <c r="F131" s="23" t="n">
        <f aca="false">D131-E131</f>
        <v>7398.08717869607</v>
      </c>
      <c r="G131" s="24" t="n">
        <f aca="false">IF(E131&gt;0,D131/E131-1,"")</f>
        <v>2.44652793115443</v>
      </c>
      <c r="H131" s="3" t="str">
        <f aca="false">IF(MAX(D131,E131)&lt;Parametros!$B$16,"",IF(E131=0,"PIDE SIN FCST",IF(ABS(G131)&gt;Parametros!$B$14,IF(G131&gt;0,"SOBRE FCST","BAJO FCST"),"")))</f>
        <v>SOBRE FCST</v>
      </c>
    </row>
    <row r="132" customFormat="false" ht="15" hidden="false" customHeight="false" outlineLevel="0" collapsed="false">
      <c r="A132" s="3" t="n">
        <v>30000481</v>
      </c>
      <c r="B132" s="3" t="s">
        <v>241</v>
      </c>
      <c r="C132" s="3" t="s">
        <v>1373</v>
      </c>
      <c r="D132" s="23" t="n">
        <v>7008</v>
      </c>
      <c r="E132" s="23" t="n">
        <v>14403.0833333333</v>
      </c>
      <c r="F132" s="23" t="n">
        <f aca="false">D132-E132</f>
        <v>-7395.08333333333</v>
      </c>
      <c r="G132" s="24" t="n">
        <f aca="false">IF(E132&gt;0,D132/E132-1,"")</f>
        <v>-0.513437516272557</v>
      </c>
      <c r="H132" s="3" t="str">
        <f aca="false">IF(MAX(D132,E132)&lt;Parametros!$B$16,"",IF(E132=0,"PIDE SIN FCST",IF(ABS(G132)&gt;Parametros!$B$14,IF(G132&gt;0,"SOBRE FCST","BAJO FCST"),"")))</f>
        <v>BAJO FCST</v>
      </c>
    </row>
    <row r="133" customFormat="false" ht="15" hidden="false" customHeight="false" outlineLevel="0" collapsed="false">
      <c r="A133" s="3" t="n">
        <v>30000258</v>
      </c>
      <c r="B133" s="3" t="s">
        <v>227</v>
      </c>
      <c r="C133" s="3" t="s">
        <v>1375</v>
      </c>
      <c r="D133" s="23" t="n">
        <v>15750</v>
      </c>
      <c r="E133" s="23" t="n">
        <v>23124.5876598882</v>
      </c>
      <c r="F133" s="23" t="n">
        <f aca="false">D133-E133</f>
        <v>-7374.58765988816</v>
      </c>
      <c r="G133" s="24" t="n">
        <f aca="false">IF(E133&gt;0,D133/E133-1,"")</f>
        <v>-0.318906774397543</v>
      </c>
      <c r="H133" s="3" t="str">
        <f aca="false">IF(MAX(D133,E133)&lt;Parametros!$B$16,"",IF(E133=0,"PIDE SIN FCST",IF(ABS(G133)&gt;Parametros!$B$14,IF(G133&gt;0,"SOBRE FCST","BAJO FCST"),"")))</f>
        <v>BAJO FCST</v>
      </c>
    </row>
    <row r="134" customFormat="false" ht="15" hidden="false" customHeight="false" outlineLevel="0" collapsed="false">
      <c r="A134" s="3" t="n">
        <v>30001401</v>
      </c>
      <c r="B134" s="3" t="s">
        <v>304</v>
      </c>
      <c r="C134" s="3" t="s">
        <v>1373</v>
      </c>
      <c r="D134" s="23" t="n">
        <v>9898.2</v>
      </c>
      <c r="E134" s="23" t="n">
        <v>17251.5013099147</v>
      </c>
      <c r="F134" s="23" t="n">
        <f aca="false">D134-E134</f>
        <v>-7353.30130991473</v>
      </c>
      <c r="G134" s="24" t="n">
        <f aca="false">IF(E134&gt;0,D134/E134-1,"")</f>
        <v>-0.426241239983483</v>
      </c>
      <c r="H134" s="3" t="str">
        <f aca="false">IF(MAX(D134,E134)&lt;Parametros!$B$16,"",IF(E134=0,"PIDE SIN FCST",IF(ABS(G134)&gt;Parametros!$B$14,IF(G134&gt;0,"SOBRE FCST","BAJO FCST"),"")))</f>
        <v>BAJO FCST</v>
      </c>
    </row>
    <row r="135" customFormat="false" ht="15" hidden="false" customHeight="false" outlineLevel="0" collapsed="false">
      <c r="A135" s="3" t="n">
        <v>30002090</v>
      </c>
      <c r="B135" s="3" t="s">
        <v>317</v>
      </c>
      <c r="C135" s="3" t="s">
        <v>1375</v>
      </c>
      <c r="D135" s="23" t="n">
        <v>15793.2</v>
      </c>
      <c r="E135" s="23" t="n">
        <v>8500</v>
      </c>
      <c r="F135" s="23" t="n">
        <f aca="false">D135-E135</f>
        <v>7293.2</v>
      </c>
      <c r="G135" s="24" t="n">
        <f aca="false">IF(E135&gt;0,D135/E135-1,"")</f>
        <v>0.858023529411765</v>
      </c>
      <c r="H135" s="3" t="str">
        <f aca="false">IF(MAX(D135,E135)&lt;Parametros!$B$16,"",IF(E135=0,"PIDE SIN FCST",IF(ABS(G135)&gt;Parametros!$B$14,IF(G135&gt;0,"SOBRE FCST","BAJO FCST"),"")))</f>
        <v>SOBRE FCST</v>
      </c>
    </row>
    <row r="136" customFormat="false" ht="15" hidden="false" customHeight="false" outlineLevel="0" collapsed="false">
      <c r="A136" s="3" t="n">
        <v>30000441</v>
      </c>
      <c r="B136" s="3" t="s">
        <v>229</v>
      </c>
      <c r="C136" s="3" t="s">
        <v>1373</v>
      </c>
      <c r="D136" s="23" t="n">
        <v>117224</v>
      </c>
      <c r="E136" s="23" t="n">
        <v>110000</v>
      </c>
      <c r="F136" s="23" t="n">
        <f aca="false">D136-E136</f>
        <v>7224</v>
      </c>
      <c r="G136" s="24" t="n">
        <f aca="false">IF(E136&gt;0,D136/E136-1,"")</f>
        <v>0.0656727272727273</v>
      </c>
      <c r="H136" s="3" t="str">
        <f aca="false">IF(MAX(D136,E136)&lt;Parametros!$B$16,"",IF(E136=0,"PIDE SIN FCST",IF(ABS(G136)&gt;Parametros!$B$14,IF(G136&gt;0,"SOBRE FCST","BAJO FCST"),"")))</f>
        <v/>
      </c>
    </row>
    <row r="137" customFormat="false" ht="15" hidden="false" customHeight="false" outlineLevel="0" collapsed="false">
      <c r="A137" s="3" t="n">
        <v>30001057</v>
      </c>
      <c r="B137" s="3" t="s">
        <v>294</v>
      </c>
      <c r="C137" s="3" t="s">
        <v>1380</v>
      </c>
      <c r="D137" s="23" t="n">
        <v>16329.6</v>
      </c>
      <c r="E137" s="23" t="n">
        <v>23478.4577606006</v>
      </c>
      <c r="F137" s="23" t="n">
        <f aca="false">D137-E137</f>
        <v>-7148.85776060064</v>
      </c>
      <c r="G137" s="24" t="n">
        <f aca="false">IF(E137&gt;0,D137/E137-1,"")</f>
        <v>-0.30448583265112</v>
      </c>
      <c r="H137" s="3" t="str">
        <f aca="false">IF(MAX(D137,E137)&lt;Parametros!$B$16,"",IF(E137=0,"PIDE SIN FCST",IF(ABS(G137)&gt;Parametros!$B$14,IF(G137&gt;0,"SOBRE FCST","BAJO FCST"),"")))</f>
        <v>BAJO FCST</v>
      </c>
    </row>
    <row r="138" customFormat="false" ht="15" hidden="false" customHeight="false" outlineLevel="0" collapsed="false">
      <c r="A138" s="3" t="n">
        <v>30002228</v>
      </c>
      <c r="B138" s="3" t="s">
        <v>407</v>
      </c>
      <c r="C138" s="3" t="s">
        <v>1380</v>
      </c>
      <c r="D138" s="23" t="n">
        <v>20125</v>
      </c>
      <c r="E138" s="23" t="n">
        <v>13000</v>
      </c>
      <c r="F138" s="23" t="n">
        <f aca="false">D138-E138</f>
        <v>7125</v>
      </c>
      <c r="G138" s="24" t="n">
        <f aca="false">IF(E138&gt;0,D138/E138-1,"")</f>
        <v>0.548076923076923</v>
      </c>
      <c r="H138" s="3" t="str">
        <f aca="false">IF(MAX(D138,E138)&lt;Parametros!$B$16,"",IF(E138=0,"PIDE SIN FCST",IF(ABS(G138)&gt;Parametros!$B$14,IF(G138&gt;0,"SOBRE FCST","BAJO FCST"),"")))</f>
        <v>SOBRE FCST</v>
      </c>
    </row>
    <row r="139" customFormat="false" ht="15" hidden="false" customHeight="false" outlineLevel="0" collapsed="false">
      <c r="A139" s="3" t="n">
        <v>30000353</v>
      </c>
      <c r="B139" s="3" t="s">
        <v>219</v>
      </c>
      <c r="C139" s="3" t="s">
        <v>1378</v>
      </c>
      <c r="D139" s="23" t="n">
        <v>17952</v>
      </c>
      <c r="E139" s="23" t="n">
        <v>10831.44</v>
      </c>
      <c r="F139" s="23" t="n">
        <f aca="false">D139-E139</f>
        <v>7120.56</v>
      </c>
      <c r="G139" s="24" t="n">
        <f aca="false">IF(E139&gt;0,D139/E139-1,"")</f>
        <v>0.657397354368394</v>
      </c>
      <c r="H139" s="3" t="str">
        <f aca="false">IF(MAX(D139,E139)&lt;Parametros!$B$16,"",IF(E139=0,"PIDE SIN FCST",IF(ABS(G139)&gt;Parametros!$B$14,IF(G139&gt;0,"SOBRE FCST","BAJO FCST"),"")))</f>
        <v>SOBRE FCST</v>
      </c>
    </row>
    <row r="140" customFormat="false" ht="15" hidden="false" customHeight="false" outlineLevel="0" collapsed="false">
      <c r="A140" s="3" t="n">
        <v>30001753</v>
      </c>
      <c r="B140" s="3" t="s">
        <v>255</v>
      </c>
      <c r="C140" s="3" t="s">
        <v>1378</v>
      </c>
      <c r="D140" s="23" t="n">
        <v>8553.6</v>
      </c>
      <c r="E140" s="23" t="n">
        <v>1628.125</v>
      </c>
      <c r="F140" s="23" t="n">
        <f aca="false">D140-E140</f>
        <v>6925.475</v>
      </c>
      <c r="G140" s="24" t="n">
        <f aca="false">IF(E140&gt;0,D140/E140-1,"")</f>
        <v>4.25365067178503</v>
      </c>
      <c r="H140" s="3" t="str">
        <f aca="false">IF(MAX(D140,E140)&lt;Parametros!$B$16,"",IF(E140=0,"PIDE SIN FCST",IF(ABS(G140)&gt;Parametros!$B$14,IF(G140&gt;0,"SOBRE FCST","BAJO FCST"),"")))</f>
        <v>SOBRE FCST</v>
      </c>
    </row>
    <row r="141" customFormat="false" ht="15" hidden="false" customHeight="false" outlineLevel="0" collapsed="false">
      <c r="A141" s="3" t="n">
        <v>30000256</v>
      </c>
      <c r="B141" s="3" t="s">
        <v>225</v>
      </c>
      <c r="C141" s="3" t="s">
        <v>1375</v>
      </c>
      <c r="D141" s="23" t="n">
        <v>13812</v>
      </c>
      <c r="E141" s="23" t="n">
        <v>20736.4013815385</v>
      </c>
      <c r="F141" s="23" t="n">
        <f aca="false">D141-E141</f>
        <v>-6924.40138153847</v>
      </c>
      <c r="G141" s="24" t="n">
        <f aca="false">IF(E141&gt;0,D141/E141-1,"")</f>
        <v>-0.333924930084698</v>
      </c>
      <c r="H141" s="3" t="str">
        <f aca="false">IF(MAX(D141,E141)&lt;Parametros!$B$16,"",IF(E141=0,"PIDE SIN FCST",IF(ABS(G141)&gt;Parametros!$B$14,IF(G141&gt;0,"SOBRE FCST","BAJO FCST"),"")))</f>
        <v>BAJO FCST</v>
      </c>
    </row>
    <row r="142" customFormat="false" ht="15" hidden="false" customHeight="false" outlineLevel="0" collapsed="false">
      <c r="A142" s="3" t="n">
        <v>30002353</v>
      </c>
      <c r="B142" s="3" t="s">
        <v>481</v>
      </c>
      <c r="C142" s="3" t="s">
        <v>1375</v>
      </c>
      <c r="D142" s="23" t="n">
        <v>14520</v>
      </c>
      <c r="E142" s="23" t="n">
        <v>7600</v>
      </c>
      <c r="F142" s="23" t="n">
        <f aca="false">D142-E142</f>
        <v>6920</v>
      </c>
      <c r="G142" s="24" t="n">
        <f aca="false">IF(E142&gt;0,D142/E142-1,"")</f>
        <v>0.910526315789474</v>
      </c>
      <c r="H142" s="3" t="str">
        <f aca="false">IF(MAX(D142,E142)&lt;Parametros!$B$16,"",IF(E142=0,"PIDE SIN FCST",IF(ABS(G142)&gt;Parametros!$B$14,IF(G142&gt;0,"SOBRE FCST","BAJO FCST"),"")))</f>
        <v>SOBRE FCST</v>
      </c>
    </row>
    <row r="143" customFormat="false" ht="15" hidden="false" customHeight="false" outlineLevel="0" collapsed="false">
      <c r="A143" s="3" t="n">
        <v>30001055</v>
      </c>
      <c r="B143" s="3" t="s">
        <v>246</v>
      </c>
      <c r="C143" s="3" t="s">
        <v>1380</v>
      </c>
      <c r="D143" s="23" t="n">
        <v>45360</v>
      </c>
      <c r="E143" s="23" t="n">
        <v>52249.1522027785</v>
      </c>
      <c r="F143" s="23" t="n">
        <f aca="false">D143-E143</f>
        <v>-6889.15220277854</v>
      </c>
      <c r="G143" s="24" t="n">
        <f aca="false">IF(E143&gt;0,D143/E143-1,"")</f>
        <v>-0.131851942325146</v>
      </c>
      <c r="H143" s="3" t="str">
        <f aca="false">IF(MAX(D143,E143)&lt;Parametros!$B$16,"",IF(E143=0,"PIDE SIN FCST",IF(ABS(G143)&gt;Parametros!$B$14,IF(G143&gt;0,"SOBRE FCST","BAJO FCST"),"")))</f>
        <v/>
      </c>
    </row>
    <row r="144" customFormat="false" ht="15" hidden="false" customHeight="false" outlineLevel="0" collapsed="false">
      <c r="A144" s="3" t="n">
        <v>30001862</v>
      </c>
      <c r="B144" s="3" t="s">
        <v>239</v>
      </c>
      <c r="C144" s="3" t="s">
        <v>1380</v>
      </c>
      <c r="D144" s="23" t="n">
        <v>26010</v>
      </c>
      <c r="E144" s="23" t="n">
        <v>32852.0602480118</v>
      </c>
      <c r="F144" s="23" t="n">
        <f aca="false">D144-E144</f>
        <v>-6842.06024801183</v>
      </c>
      <c r="G144" s="24" t="n">
        <f aca="false">IF(E144&gt;0,D144/E144-1,"")</f>
        <v>-0.208268832954728</v>
      </c>
      <c r="H144" s="3" t="str">
        <f aca="false">IF(MAX(D144,E144)&lt;Parametros!$B$16,"",IF(E144=0,"PIDE SIN FCST",IF(ABS(G144)&gt;Parametros!$B$14,IF(G144&gt;0,"SOBRE FCST","BAJO FCST"),"")))</f>
        <v>BAJO FCST</v>
      </c>
    </row>
    <row r="145" customFormat="false" ht="15" hidden="false" customHeight="false" outlineLevel="0" collapsed="false">
      <c r="A145" s="3" t="n">
        <v>30001080</v>
      </c>
      <c r="B145" s="3" t="s">
        <v>278</v>
      </c>
      <c r="C145" s="3" t="s">
        <v>1380</v>
      </c>
      <c r="D145" s="23" t="n">
        <v>19641.6</v>
      </c>
      <c r="E145" s="23" t="n">
        <v>26315.7337100477</v>
      </c>
      <c r="F145" s="23" t="n">
        <f aca="false">D145-E145</f>
        <v>-6674.13371004768</v>
      </c>
      <c r="G145" s="24" t="n">
        <f aca="false">IF(E145&gt;0,D145/E145-1,"")</f>
        <v>-0.253617618402158</v>
      </c>
      <c r="H145" s="3" t="str">
        <f aca="false">IF(MAX(D145,E145)&lt;Parametros!$B$16,"",IF(E145=0,"PIDE SIN FCST",IF(ABS(G145)&gt;Parametros!$B$14,IF(G145&gt;0,"SOBRE FCST","BAJO FCST"),"")))</f>
        <v>BAJO FCST</v>
      </c>
    </row>
    <row r="146" customFormat="false" ht="15" hidden="false" customHeight="false" outlineLevel="0" collapsed="false">
      <c r="A146" s="3" t="n">
        <v>30002315</v>
      </c>
      <c r="B146" s="3" t="s">
        <v>260</v>
      </c>
      <c r="C146" s="3" t="s">
        <v>1378</v>
      </c>
      <c r="D146" s="23" t="n">
        <v>13068</v>
      </c>
      <c r="E146" s="23" t="n">
        <v>6400</v>
      </c>
      <c r="F146" s="23" t="n">
        <f aca="false">D146-E146</f>
        <v>6668</v>
      </c>
      <c r="G146" s="24" t="n">
        <f aca="false">IF(E146&gt;0,D146/E146-1,"")</f>
        <v>1.041875</v>
      </c>
      <c r="H146" s="3" t="str">
        <f aca="false">IF(MAX(D146,E146)&lt;Parametros!$B$16,"",IF(E146=0,"PIDE SIN FCST",IF(ABS(G146)&gt;Parametros!$B$14,IF(G146&gt;0,"SOBRE FCST","BAJO FCST"),"")))</f>
        <v>SOBRE FCST</v>
      </c>
    </row>
    <row r="147" customFormat="false" ht="15" hidden="false" customHeight="false" outlineLevel="0" collapsed="false">
      <c r="A147" s="3" t="n">
        <v>30001939</v>
      </c>
      <c r="B147" s="3" t="s">
        <v>312</v>
      </c>
      <c r="C147" s="3" t="s">
        <v>1375</v>
      </c>
      <c r="D147" s="23" t="n">
        <v>19785.6</v>
      </c>
      <c r="E147" s="23" t="n">
        <v>13200</v>
      </c>
      <c r="F147" s="23" t="n">
        <f aca="false">D147-E147</f>
        <v>6585.6</v>
      </c>
      <c r="G147" s="24" t="n">
        <f aca="false">IF(E147&gt;0,D147/E147-1,"")</f>
        <v>0.498909090909091</v>
      </c>
      <c r="H147" s="3" t="str">
        <f aca="false">IF(MAX(D147,E147)&lt;Parametros!$B$16,"",IF(E147=0,"PIDE SIN FCST",IF(ABS(G147)&gt;Parametros!$B$14,IF(G147&gt;0,"SOBRE FCST","BAJO FCST"),"")))</f>
        <v>SOBRE FCST</v>
      </c>
    </row>
    <row r="148" customFormat="false" ht="15" hidden="false" customHeight="false" outlineLevel="0" collapsed="false">
      <c r="A148" s="3" t="n">
        <v>30001709</v>
      </c>
      <c r="B148" s="3" t="s">
        <v>343</v>
      </c>
      <c r="C148" s="3" t="s">
        <v>1380</v>
      </c>
      <c r="D148" s="23" t="n">
        <v>7008.96</v>
      </c>
      <c r="E148" s="23" t="n">
        <v>13505.3712366434</v>
      </c>
      <c r="F148" s="23" t="n">
        <f aca="false">D148-E148</f>
        <v>-6496.41123664342</v>
      </c>
      <c r="G148" s="24" t="n">
        <f aca="false">IF(E148&gt;0,D148/E148-1,"")</f>
        <v>-0.481024262333274</v>
      </c>
      <c r="H148" s="3" t="str">
        <f aca="false">IF(MAX(D148,E148)&lt;Parametros!$B$16,"",IF(E148=0,"PIDE SIN FCST",IF(ABS(G148)&gt;Parametros!$B$14,IF(G148&gt;0,"SOBRE FCST","BAJO FCST"),"")))</f>
        <v>BAJO FCST</v>
      </c>
    </row>
    <row r="149" customFormat="false" ht="15" hidden="false" customHeight="false" outlineLevel="0" collapsed="false">
      <c r="A149" s="3" t="n">
        <v>30002099</v>
      </c>
      <c r="B149" s="3" t="s">
        <v>237</v>
      </c>
      <c r="C149" s="3" t="s">
        <v>1380</v>
      </c>
      <c r="D149" s="23" t="n">
        <v>20820</v>
      </c>
      <c r="E149" s="23" t="n">
        <v>14472.5197706589</v>
      </c>
      <c r="F149" s="23" t="n">
        <f aca="false">D149-E149</f>
        <v>6347.4802293411</v>
      </c>
      <c r="G149" s="24" t="n">
        <f aca="false">IF(E149&gt;0,D149/E149-1,"")</f>
        <v>0.438588464892601</v>
      </c>
      <c r="H149" s="3" t="str">
        <f aca="false">IF(MAX(D149,E149)&lt;Parametros!$B$16,"",IF(E149=0,"PIDE SIN FCST",IF(ABS(G149)&gt;Parametros!$B$14,IF(G149&gt;0,"SOBRE FCST","BAJO FCST"),"")))</f>
        <v>SOBRE FCST</v>
      </c>
    </row>
    <row r="150" customFormat="false" ht="15" hidden="false" customHeight="false" outlineLevel="0" collapsed="false">
      <c r="A150" s="3" t="n">
        <v>30002099</v>
      </c>
      <c r="B150" s="3" t="s">
        <v>237</v>
      </c>
      <c r="C150" s="3" t="s">
        <v>1372</v>
      </c>
      <c r="D150" s="23" t="n">
        <v>12396</v>
      </c>
      <c r="E150" s="23" t="n">
        <v>18659.8278470602</v>
      </c>
      <c r="F150" s="23" t="n">
        <f aca="false">D150-E150</f>
        <v>-6263.82784706022</v>
      </c>
      <c r="G150" s="24" t="n">
        <f aca="false">IF(E150&gt;0,D150/E150-1,"")</f>
        <v>-0.335685189509777</v>
      </c>
      <c r="H150" s="3" t="str">
        <f aca="false">IF(MAX(D150,E150)&lt;Parametros!$B$16,"",IF(E150=0,"PIDE SIN FCST",IF(ABS(G150)&gt;Parametros!$B$14,IF(G150&gt;0,"SOBRE FCST","BAJO FCST"),"")))</f>
        <v>BAJO FCST</v>
      </c>
    </row>
    <row r="151" customFormat="false" ht="15" hidden="false" customHeight="false" outlineLevel="0" collapsed="false">
      <c r="A151" s="3" t="n">
        <v>30000615</v>
      </c>
      <c r="B151" s="3" t="s">
        <v>279</v>
      </c>
      <c r="C151" s="3" t="s">
        <v>1373</v>
      </c>
      <c r="D151" s="23" t="n">
        <v>12000</v>
      </c>
      <c r="E151" s="23" t="n">
        <v>5756</v>
      </c>
      <c r="F151" s="23" t="n">
        <f aca="false">D151-E151</f>
        <v>6244</v>
      </c>
      <c r="G151" s="24" t="n">
        <f aca="false">IF(E151&gt;0,D151/E151-1,"")</f>
        <v>1.08478109798471</v>
      </c>
      <c r="H151" s="3" t="str">
        <f aca="false">IF(MAX(D151,E151)&lt;Parametros!$B$16,"",IF(E151=0,"PIDE SIN FCST",IF(ABS(G151)&gt;Parametros!$B$14,IF(G151&gt;0,"SOBRE FCST","BAJO FCST"),"")))</f>
        <v>SOBRE FCST</v>
      </c>
    </row>
    <row r="152" customFormat="false" ht="15" hidden="false" customHeight="false" outlineLevel="0" collapsed="false">
      <c r="A152" s="3" t="n">
        <v>30000524</v>
      </c>
      <c r="B152" s="3" t="s">
        <v>220</v>
      </c>
      <c r="C152" s="3" t="s">
        <v>1377</v>
      </c>
      <c r="D152" s="23" t="n">
        <v>15660</v>
      </c>
      <c r="E152" s="23" t="n">
        <v>21891.7901712058</v>
      </c>
      <c r="F152" s="23" t="n">
        <f aca="false">D152-E152</f>
        <v>-6231.79017120575</v>
      </c>
      <c r="G152" s="24" t="n">
        <f aca="false">IF(E152&gt;0,D152/E152-1,"")</f>
        <v>-0.284663342854547</v>
      </c>
      <c r="H152" s="3" t="str">
        <f aca="false">IF(MAX(D152,E152)&lt;Parametros!$B$16,"",IF(E152=0,"PIDE SIN FCST",IF(ABS(G152)&gt;Parametros!$B$14,IF(G152&gt;0,"SOBRE FCST","BAJO FCST"),"")))</f>
        <v>BAJO FCST</v>
      </c>
    </row>
    <row r="153" customFormat="false" ht="15" hidden="false" customHeight="false" outlineLevel="0" collapsed="false">
      <c r="A153" s="3" t="n">
        <v>30000309</v>
      </c>
      <c r="B153" s="3" t="s">
        <v>236</v>
      </c>
      <c r="C153" s="3" t="s">
        <v>1372</v>
      </c>
      <c r="D153" s="23" t="n">
        <v>7776</v>
      </c>
      <c r="E153" s="23" t="n">
        <v>13937.1003024419</v>
      </c>
      <c r="F153" s="23" t="n">
        <f aca="false">D153-E153</f>
        <v>-6161.10030244194</v>
      </c>
      <c r="G153" s="24" t="n">
        <f aca="false">IF(E153&gt;0,D153/E153-1,"")</f>
        <v>-0.442064717103489</v>
      </c>
      <c r="H153" s="3" t="str">
        <f aca="false">IF(MAX(D153,E153)&lt;Parametros!$B$16,"",IF(E153=0,"PIDE SIN FCST",IF(ABS(G153)&gt;Parametros!$B$14,IF(G153&gt;0,"SOBRE FCST","BAJO FCST"),"")))</f>
        <v>BAJO FCST</v>
      </c>
    </row>
    <row r="154" customFormat="false" ht="15" hidden="false" customHeight="false" outlineLevel="0" collapsed="false">
      <c r="A154" s="3" t="n">
        <v>30000258</v>
      </c>
      <c r="B154" s="3" t="s">
        <v>227</v>
      </c>
      <c r="C154" s="3" t="s">
        <v>1379</v>
      </c>
      <c r="D154" s="23" t="n">
        <v>6912</v>
      </c>
      <c r="E154" s="23" t="n">
        <v>13025.4</v>
      </c>
      <c r="F154" s="23" t="n">
        <f aca="false">D154-E154</f>
        <v>-6113.4</v>
      </c>
      <c r="G154" s="24" t="n">
        <f aca="false">IF(E154&gt;0,D154/E154-1,"")</f>
        <v>-0.469344511492929</v>
      </c>
      <c r="H154" s="3" t="str">
        <f aca="false">IF(MAX(D154,E154)&lt;Parametros!$B$16,"",IF(E154=0,"PIDE SIN FCST",IF(ABS(G154)&gt;Parametros!$B$14,IF(G154&gt;0,"SOBRE FCST","BAJO FCST"),"")))</f>
        <v>BAJO FCST</v>
      </c>
    </row>
    <row r="155" customFormat="false" ht="15" hidden="false" customHeight="false" outlineLevel="0" collapsed="false">
      <c r="A155" s="3" t="n">
        <v>30000637</v>
      </c>
      <c r="B155" s="3" t="s">
        <v>232</v>
      </c>
      <c r="C155" s="3" t="s">
        <v>1373</v>
      </c>
      <c r="D155" s="23" t="n">
        <v>28083.52</v>
      </c>
      <c r="E155" s="23" t="n">
        <v>22000</v>
      </c>
      <c r="F155" s="23" t="n">
        <f aca="false">D155-E155</f>
        <v>6083.52</v>
      </c>
      <c r="G155" s="24" t="n">
        <f aca="false">IF(E155&gt;0,D155/E155-1,"")</f>
        <v>0.276523636363636</v>
      </c>
      <c r="H155" s="3" t="str">
        <f aca="false">IF(MAX(D155,E155)&lt;Parametros!$B$16,"",IF(E155=0,"PIDE SIN FCST",IF(ABS(G155)&gt;Parametros!$B$14,IF(G155&gt;0,"SOBRE FCST","BAJO FCST"),"")))</f>
        <v>SOBRE FCST</v>
      </c>
    </row>
    <row r="156" customFormat="false" ht="15" hidden="false" customHeight="false" outlineLevel="0" collapsed="false">
      <c r="A156" s="3" t="n">
        <v>30002065</v>
      </c>
      <c r="B156" s="3" t="s">
        <v>313</v>
      </c>
      <c r="C156" s="3" t="s">
        <v>1380</v>
      </c>
      <c r="D156" s="23" t="n">
        <v>0</v>
      </c>
      <c r="E156" s="23" t="n">
        <v>6056.4</v>
      </c>
      <c r="F156" s="23" t="n">
        <f aca="false">D156-E156</f>
        <v>-6056.4</v>
      </c>
      <c r="G156" s="24" t="n">
        <f aca="false">IF(E156&gt;0,D156/E156-1,"")</f>
        <v>-1</v>
      </c>
      <c r="H156" s="3" t="str">
        <f aca="false">IF(MAX(D156,E156)&lt;Parametros!$B$16,"",IF(E156=0,"PIDE SIN FCST",IF(ABS(G156)&gt;Parametros!$B$14,IF(G156&gt;0,"SOBRE FCST","BAJO FCST"),"")))</f>
        <v>BAJO FCST</v>
      </c>
    </row>
    <row r="157" customFormat="false" ht="15" hidden="false" customHeight="false" outlineLevel="0" collapsed="false">
      <c r="A157" s="3" t="n">
        <v>30001774</v>
      </c>
      <c r="B157" s="3" t="s">
        <v>284</v>
      </c>
      <c r="C157" s="3" t="s">
        <v>1377</v>
      </c>
      <c r="D157" s="23" t="n">
        <v>6890</v>
      </c>
      <c r="E157" s="23" t="n">
        <v>12938.6259824361</v>
      </c>
      <c r="F157" s="23" t="n">
        <f aca="false">D157-E157</f>
        <v>-6048.62598243605</v>
      </c>
      <c r="G157" s="24" t="n">
        <f aca="false">IF(E157&gt;0,D157/E157-1,"")</f>
        <v>-0.467485959532871</v>
      </c>
      <c r="H157" s="3" t="str">
        <f aca="false">IF(MAX(D157,E157)&lt;Parametros!$B$16,"",IF(E157=0,"PIDE SIN FCST",IF(ABS(G157)&gt;Parametros!$B$14,IF(G157&gt;0,"SOBRE FCST","BAJO FCST"),"")))</f>
        <v>BAJO FCST</v>
      </c>
    </row>
    <row r="158" customFormat="false" ht="15" hidden="false" customHeight="false" outlineLevel="0" collapsed="false">
      <c r="A158" s="3" t="n">
        <v>30000038</v>
      </c>
      <c r="B158" s="3" t="s">
        <v>215</v>
      </c>
      <c r="C158" s="3" t="s">
        <v>1380</v>
      </c>
      <c r="D158" s="23" t="n">
        <v>151027.2</v>
      </c>
      <c r="E158" s="23" t="n">
        <v>145000</v>
      </c>
      <c r="F158" s="23" t="n">
        <f aca="false">D158-E158</f>
        <v>6027.20000000001</v>
      </c>
      <c r="G158" s="24" t="n">
        <f aca="false">IF(E158&gt;0,D158/E158-1,"")</f>
        <v>0.0415668965517242</v>
      </c>
      <c r="H158" s="3" t="str">
        <f aca="false">IF(MAX(D158,E158)&lt;Parametros!$B$16,"",IF(E158=0,"PIDE SIN FCST",IF(ABS(G158)&gt;Parametros!$B$14,IF(G158&gt;0,"SOBRE FCST","BAJO FCST"),"")))</f>
        <v/>
      </c>
    </row>
    <row r="159" customFormat="false" ht="15" hidden="false" customHeight="false" outlineLevel="0" collapsed="false">
      <c r="A159" s="3" t="n">
        <v>30002066</v>
      </c>
      <c r="B159" s="3" t="s">
        <v>247</v>
      </c>
      <c r="C159" s="3" t="s">
        <v>1380</v>
      </c>
      <c r="D159" s="23" t="n">
        <v>9072</v>
      </c>
      <c r="E159" s="23" t="n">
        <v>3087.6</v>
      </c>
      <c r="F159" s="23" t="n">
        <f aca="false">D159-E159</f>
        <v>5984.4</v>
      </c>
      <c r="G159" s="24" t="n">
        <f aca="false">IF(E159&gt;0,D159/E159-1,"")</f>
        <v>1.93820443062573</v>
      </c>
      <c r="H159" s="3" t="str">
        <f aca="false">IF(MAX(D159,E159)&lt;Parametros!$B$16,"",IF(E159=0,"PIDE SIN FCST",IF(ABS(G159)&gt;Parametros!$B$14,IF(G159&gt;0,"SOBRE FCST","BAJO FCST"),"")))</f>
        <v>SOBRE FCST</v>
      </c>
    </row>
    <row r="160" customFormat="false" ht="15" hidden="false" customHeight="false" outlineLevel="0" collapsed="false">
      <c r="A160" s="3" t="n">
        <v>30001758</v>
      </c>
      <c r="B160" s="3" t="s">
        <v>363</v>
      </c>
      <c r="C160" s="3" t="s">
        <v>1373</v>
      </c>
      <c r="D160" s="23" t="n">
        <v>22283.1</v>
      </c>
      <c r="E160" s="23" t="n">
        <v>16300</v>
      </c>
      <c r="F160" s="23" t="n">
        <f aca="false">D160-E160</f>
        <v>5983.1</v>
      </c>
      <c r="G160" s="24" t="n">
        <f aca="false">IF(E160&gt;0,D160/E160-1,"")</f>
        <v>0.367061349693252</v>
      </c>
      <c r="H160" s="3" t="str">
        <f aca="false">IF(MAX(D160,E160)&lt;Parametros!$B$16,"",IF(E160=0,"PIDE SIN FCST",IF(ABS(G160)&gt;Parametros!$B$14,IF(G160&gt;0,"SOBRE FCST","BAJO FCST"),"")))</f>
        <v>SOBRE FCST</v>
      </c>
    </row>
    <row r="161" customFormat="false" ht="15" hidden="false" customHeight="false" outlineLevel="0" collapsed="false">
      <c r="A161" s="3" t="n">
        <v>30001871</v>
      </c>
      <c r="B161" s="3" t="s">
        <v>242</v>
      </c>
      <c r="C161" s="3" t="s">
        <v>1373</v>
      </c>
      <c r="D161" s="23" t="n">
        <v>40478.4</v>
      </c>
      <c r="E161" s="23" t="n">
        <v>34503.0026198295</v>
      </c>
      <c r="F161" s="23" t="n">
        <f aca="false">D161-E161</f>
        <v>5975.39738017053</v>
      </c>
      <c r="G161" s="24" t="n">
        <f aca="false">IF(E161&gt;0,D161/E161-1,"")</f>
        <v>0.173184851359469</v>
      </c>
      <c r="H161" s="3" t="str">
        <f aca="false">IF(MAX(D161,E161)&lt;Parametros!$B$16,"",IF(E161=0,"PIDE SIN FCST",IF(ABS(G161)&gt;Parametros!$B$14,IF(G161&gt;0,"SOBRE FCST","BAJO FCST"),"")))</f>
        <v/>
      </c>
    </row>
    <row r="162" customFormat="false" ht="15" hidden="false" customHeight="false" outlineLevel="0" collapsed="false">
      <c r="A162" s="3" t="n">
        <v>30000643</v>
      </c>
      <c r="B162" s="3" t="s">
        <v>240</v>
      </c>
      <c r="C162" s="3" t="s">
        <v>1375</v>
      </c>
      <c r="D162" s="23" t="n">
        <v>17133.44</v>
      </c>
      <c r="E162" s="23" t="n">
        <v>23000</v>
      </c>
      <c r="F162" s="23" t="n">
        <f aca="false">D162-E162</f>
        <v>-5866.56</v>
      </c>
      <c r="G162" s="24" t="n">
        <f aca="false">IF(E162&gt;0,D162/E162-1,"")</f>
        <v>-0.255067826086957</v>
      </c>
      <c r="H162" s="3" t="str">
        <f aca="false">IF(MAX(D162,E162)&lt;Parametros!$B$16,"",IF(E162=0,"PIDE SIN FCST",IF(ABS(G162)&gt;Parametros!$B$14,IF(G162&gt;0,"SOBRE FCST","BAJO FCST"),"")))</f>
        <v>BAJO FCST</v>
      </c>
    </row>
    <row r="163" customFormat="false" ht="15" hidden="false" customHeight="false" outlineLevel="0" collapsed="false">
      <c r="A163" s="3" t="n">
        <v>30000325</v>
      </c>
      <c r="B163" s="3" t="s">
        <v>216</v>
      </c>
      <c r="C163" s="3" t="s">
        <v>1378</v>
      </c>
      <c r="D163" s="23" t="n">
        <v>20952</v>
      </c>
      <c r="E163" s="23" t="n">
        <v>15188.4724096811</v>
      </c>
      <c r="F163" s="23" t="n">
        <f aca="false">D163-E163</f>
        <v>5763.52759031891</v>
      </c>
      <c r="G163" s="24" t="n">
        <f aca="false">IF(E163&gt;0,D163/E163-1,"")</f>
        <v>0.379467232441707</v>
      </c>
      <c r="H163" s="3" t="str">
        <f aca="false">IF(MAX(D163,E163)&lt;Parametros!$B$16,"",IF(E163=0,"PIDE SIN FCST",IF(ABS(G163)&gt;Parametros!$B$14,IF(G163&gt;0,"SOBRE FCST","BAJO FCST"),"")))</f>
        <v>SOBRE FCST</v>
      </c>
    </row>
    <row r="164" customFormat="false" ht="15" hidden="false" customHeight="false" outlineLevel="0" collapsed="false">
      <c r="A164" s="3" t="n">
        <v>30001689</v>
      </c>
      <c r="B164" s="3" t="s">
        <v>358</v>
      </c>
      <c r="C164" s="3" t="s">
        <v>1380</v>
      </c>
      <c r="D164" s="23" t="n">
        <v>5241.6</v>
      </c>
      <c r="E164" s="23" t="n">
        <v>11000</v>
      </c>
      <c r="F164" s="23" t="n">
        <f aca="false">D164-E164</f>
        <v>-5758.4</v>
      </c>
      <c r="G164" s="24" t="n">
        <f aca="false">IF(E164&gt;0,D164/E164-1,"")</f>
        <v>-0.523490909090909</v>
      </c>
      <c r="H164" s="3" t="str">
        <f aca="false">IF(MAX(D164,E164)&lt;Parametros!$B$16,"",IF(E164=0,"PIDE SIN FCST",IF(ABS(G164)&gt;Parametros!$B$14,IF(G164&gt;0,"SOBRE FCST","BAJO FCST"),"")))</f>
        <v>BAJO FCST</v>
      </c>
    </row>
    <row r="165" customFormat="false" ht="15" hidden="false" customHeight="false" outlineLevel="0" collapsed="false">
      <c r="A165" s="3" t="n">
        <v>30001711</v>
      </c>
      <c r="B165" s="3" t="s">
        <v>309</v>
      </c>
      <c r="C165" s="3" t="s">
        <v>1380</v>
      </c>
      <c r="D165" s="23" t="n">
        <v>16994.88</v>
      </c>
      <c r="E165" s="23" t="n">
        <v>22751.9016528807</v>
      </c>
      <c r="F165" s="23" t="n">
        <f aca="false">D165-E165</f>
        <v>-5757.02165288065</v>
      </c>
      <c r="G165" s="24" t="n">
        <f aca="false">IF(E165&gt;0,D165/E165-1,"")</f>
        <v>-0.253034745873725</v>
      </c>
      <c r="H165" s="3" t="str">
        <f aca="false">IF(MAX(D165,E165)&lt;Parametros!$B$16,"",IF(E165=0,"PIDE SIN FCST",IF(ABS(G165)&gt;Parametros!$B$14,IF(G165&gt;0,"SOBRE FCST","BAJO FCST"),"")))</f>
        <v>BAJO FCST</v>
      </c>
    </row>
    <row r="166" customFormat="false" ht="15" hidden="false" customHeight="false" outlineLevel="0" collapsed="false">
      <c r="A166" s="3" t="n">
        <v>30001051</v>
      </c>
      <c r="B166" s="3" t="s">
        <v>226</v>
      </c>
      <c r="C166" s="3" t="s">
        <v>1380</v>
      </c>
      <c r="D166" s="23" t="n">
        <v>9900</v>
      </c>
      <c r="E166" s="23" t="n">
        <v>15654.7518889693</v>
      </c>
      <c r="F166" s="23" t="n">
        <f aca="false">D166-E166</f>
        <v>-5754.75188896931</v>
      </c>
      <c r="G166" s="24" t="n">
        <f aca="false">IF(E166&gt;0,D166/E166-1,"")</f>
        <v>-0.367604158135795</v>
      </c>
      <c r="H166" s="3" t="str">
        <f aca="false">IF(MAX(D166,E166)&lt;Parametros!$B$16,"",IF(E166=0,"PIDE SIN FCST",IF(ABS(G166)&gt;Parametros!$B$14,IF(G166&gt;0,"SOBRE FCST","BAJO FCST"),"")))</f>
        <v>BAJO FCST</v>
      </c>
    </row>
    <row r="167" customFormat="false" ht="15" hidden="false" customHeight="false" outlineLevel="0" collapsed="false">
      <c r="A167" s="3" t="n">
        <v>30001944</v>
      </c>
      <c r="B167" s="3" t="s">
        <v>336</v>
      </c>
      <c r="C167" s="3" t="s">
        <v>1375</v>
      </c>
      <c r="D167" s="23" t="n">
        <v>14745.6</v>
      </c>
      <c r="E167" s="23" t="n">
        <v>9000</v>
      </c>
      <c r="F167" s="23" t="n">
        <f aca="false">D167-E167</f>
        <v>5745.6</v>
      </c>
      <c r="G167" s="24" t="n">
        <f aca="false">IF(E167&gt;0,D167/E167-1,"")</f>
        <v>0.6384</v>
      </c>
      <c r="H167" s="3" t="str">
        <f aca="false">IF(MAX(D167,E167)&lt;Parametros!$B$16,"",IF(E167=0,"PIDE SIN FCST",IF(ABS(G167)&gt;Parametros!$B$14,IF(G167&gt;0,"SOBRE FCST","BAJO FCST"),"")))</f>
        <v>SOBRE FCST</v>
      </c>
    </row>
    <row r="168" customFormat="false" ht="15" hidden="false" customHeight="false" outlineLevel="0" collapsed="false">
      <c r="A168" s="3" t="n">
        <v>30001977</v>
      </c>
      <c r="B168" s="3" t="s">
        <v>292</v>
      </c>
      <c r="C168" s="3" t="s">
        <v>1379</v>
      </c>
      <c r="D168" s="23" t="n">
        <v>16740</v>
      </c>
      <c r="E168" s="23" t="n">
        <v>11000</v>
      </c>
      <c r="F168" s="23" t="n">
        <f aca="false">D168-E168</f>
        <v>5740</v>
      </c>
      <c r="G168" s="24" t="n">
        <f aca="false">IF(E168&gt;0,D168/E168-1,"")</f>
        <v>0.521818181818182</v>
      </c>
      <c r="H168" s="3" t="str">
        <f aca="false">IF(MAX(D168,E168)&lt;Parametros!$B$16,"",IF(E168=0,"PIDE SIN FCST",IF(ABS(G168)&gt;Parametros!$B$14,IF(G168&gt;0,"SOBRE FCST","BAJO FCST"),"")))</f>
        <v>SOBRE FCST</v>
      </c>
    </row>
    <row r="169" customFormat="false" ht="15" hidden="false" customHeight="false" outlineLevel="0" collapsed="false">
      <c r="A169" s="3" t="n">
        <v>30000254</v>
      </c>
      <c r="B169" s="3" t="s">
        <v>272</v>
      </c>
      <c r="C169" s="3" t="s">
        <v>1373</v>
      </c>
      <c r="D169" s="23" t="n">
        <v>8574</v>
      </c>
      <c r="E169" s="23" t="n">
        <v>14301.0116666667</v>
      </c>
      <c r="F169" s="23" t="n">
        <f aca="false">D169-E169</f>
        <v>-5727.01166666667</v>
      </c>
      <c r="G169" s="24" t="n">
        <f aca="false">IF(E169&gt;0,D169/E169-1,"")</f>
        <v>-0.400461995287746</v>
      </c>
      <c r="H169" s="3" t="str">
        <f aca="false">IF(MAX(D169,E169)&lt;Parametros!$B$16,"",IF(E169=0,"PIDE SIN FCST",IF(ABS(G169)&gt;Parametros!$B$14,IF(G169&gt;0,"SOBRE FCST","BAJO FCST"),"")))</f>
        <v>BAJO FCST</v>
      </c>
    </row>
    <row r="170" customFormat="false" ht="15" hidden="false" customHeight="false" outlineLevel="0" collapsed="false">
      <c r="A170" s="3" t="n">
        <v>30002315</v>
      </c>
      <c r="B170" s="3" t="s">
        <v>260</v>
      </c>
      <c r="C170" s="3" t="s">
        <v>1375</v>
      </c>
      <c r="D170" s="23" t="n">
        <v>24156</v>
      </c>
      <c r="E170" s="23" t="n">
        <v>18500</v>
      </c>
      <c r="F170" s="23" t="n">
        <f aca="false">D170-E170</f>
        <v>5656</v>
      </c>
      <c r="G170" s="24" t="n">
        <f aca="false">IF(E170&gt;0,D170/E170-1,"")</f>
        <v>0.30572972972973</v>
      </c>
      <c r="H170" s="3" t="str">
        <f aca="false">IF(MAX(D170,E170)&lt;Parametros!$B$16,"",IF(E170=0,"PIDE SIN FCST",IF(ABS(G170)&gt;Parametros!$B$14,IF(G170&gt;0,"SOBRE FCST","BAJO FCST"),"")))</f>
        <v>SOBRE FCST</v>
      </c>
    </row>
    <row r="171" customFormat="false" ht="15" hidden="false" customHeight="false" outlineLevel="0" collapsed="false">
      <c r="A171" s="3" t="n">
        <v>30001045</v>
      </c>
      <c r="B171" s="3" t="s">
        <v>361</v>
      </c>
      <c r="C171" s="3" t="s">
        <v>1380</v>
      </c>
      <c r="D171" s="23" t="n">
        <v>5184</v>
      </c>
      <c r="E171" s="23" t="n">
        <v>10809.1771446402</v>
      </c>
      <c r="F171" s="23" t="n">
        <f aca="false">D171-E171</f>
        <v>-5625.17714464021</v>
      </c>
      <c r="G171" s="24" t="n">
        <f aca="false">IF(E171&gt;0,D171/E171-1,"")</f>
        <v>-0.52040752680508</v>
      </c>
      <c r="H171" s="3" t="str">
        <f aca="false">IF(MAX(D171,E171)&lt;Parametros!$B$16,"",IF(E171=0,"PIDE SIN FCST",IF(ABS(G171)&gt;Parametros!$B$14,IF(G171&gt;0,"SOBRE FCST","BAJO FCST"),"")))</f>
        <v>BAJO FCST</v>
      </c>
    </row>
    <row r="172" customFormat="false" ht="15" hidden="false" customHeight="false" outlineLevel="0" collapsed="false">
      <c r="A172" s="3" t="n">
        <v>30001715</v>
      </c>
      <c r="B172" s="3" t="s">
        <v>321</v>
      </c>
      <c r="C172" s="3" t="s">
        <v>1380</v>
      </c>
      <c r="D172" s="23" t="n">
        <v>7600</v>
      </c>
      <c r="E172" s="23" t="n">
        <v>13200</v>
      </c>
      <c r="F172" s="23" t="n">
        <f aca="false">D172-E172</f>
        <v>-5600</v>
      </c>
      <c r="G172" s="24" t="n">
        <f aca="false">IF(E172&gt;0,D172/E172-1,"")</f>
        <v>-0.424242424242424</v>
      </c>
      <c r="H172" s="3" t="str">
        <f aca="false">IF(MAX(D172,E172)&lt;Parametros!$B$16,"",IF(E172=0,"PIDE SIN FCST",IF(ABS(G172)&gt;Parametros!$B$14,IF(G172&gt;0,"SOBRE FCST","BAJO FCST"),"")))</f>
        <v>BAJO FCST</v>
      </c>
    </row>
    <row r="173" customFormat="false" ht="15" hidden="false" customHeight="false" outlineLevel="0" collapsed="false">
      <c r="A173" s="3" t="n">
        <v>30001873</v>
      </c>
      <c r="B173" s="3" t="s">
        <v>299</v>
      </c>
      <c r="C173" s="3" t="s">
        <v>1377</v>
      </c>
      <c r="D173" s="23" t="n">
        <v>3461.4</v>
      </c>
      <c r="E173" s="23" t="n">
        <v>9022.3368919669</v>
      </c>
      <c r="F173" s="23" t="n">
        <f aca="false">D173-E173</f>
        <v>-5560.9368919669</v>
      </c>
      <c r="G173" s="24" t="n">
        <f aca="false">IF(E173&gt;0,D173/E173-1,"")</f>
        <v>-0.616352166689555</v>
      </c>
      <c r="H173" s="3" t="str">
        <f aca="false">IF(MAX(D173,E173)&lt;Parametros!$B$16,"",IF(E173=0,"PIDE SIN FCST",IF(ABS(G173)&gt;Parametros!$B$14,IF(G173&gt;0,"SOBRE FCST","BAJO FCST"),"")))</f>
        <v>BAJO FCST</v>
      </c>
    </row>
    <row r="174" customFormat="false" ht="15" hidden="false" customHeight="false" outlineLevel="0" collapsed="false">
      <c r="A174" s="3" t="n">
        <v>30000447</v>
      </c>
      <c r="B174" s="3" t="s">
        <v>590</v>
      </c>
      <c r="C174" s="3" t="s">
        <v>1373</v>
      </c>
      <c r="D174" s="23" t="n">
        <v>5000</v>
      </c>
      <c r="E174" s="23" t="n">
        <v>10500</v>
      </c>
      <c r="F174" s="23" t="n">
        <f aca="false">D174-E174</f>
        <v>-5500</v>
      </c>
      <c r="G174" s="24" t="n">
        <f aca="false">IF(E174&gt;0,D174/E174-1,"")</f>
        <v>-0.523809523809524</v>
      </c>
      <c r="H174" s="3" t="str">
        <f aca="false">IF(MAX(D174,E174)&lt;Parametros!$B$16,"",IF(E174=0,"PIDE SIN FCST",IF(ABS(G174)&gt;Parametros!$B$14,IF(G174&gt;0,"SOBRE FCST","BAJO FCST"),"")))</f>
        <v>BAJO FCST</v>
      </c>
    </row>
    <row r="175" customFormat="false" ht="15" hidden="false" customHeight="false" outlineLevel="0" collapsed="false">
      <c r="A175" s="3" t="n">
        <v>30001684</v>
      </c>
      <c r="B175" s="3" t="s">
        <v>274</v>
      </c>
      <c r="C175" s="3" t="s">
        <v>1380</v>
      </c>
      <c r="D175" s="23" t="n">
        <v>23910</v>
      </c>
      <c r="E175" s="23" t="n">
        <v>18500</v>
      </c>
      <c r="F175" s="23" t="n">
        <f aca="false">D175-E175</f>
        <v>5410</v>
      </c>
      <c r="G175" s="24" t="n">
        <f aca="false">IF(E175&gt;0,D175/E175-1,"")</f>
        <v>0.292432432432432</v>
      </c>
      <c r="H175" s="3" t="str">
        <f aca="false">IF(MAX(D175,E175)&lt;Parametros!$B$16,"",IF(E175=0,"PIDE SIN FCST",IF(ABS(G175)&gt;Parametros!$B$14,IF(G175&gt;0,"SOBRE FCST","BAJO FCST"),"")))</f>
        <v>SOBRE FCST</v>
      </c>
    </row>
    <row r="176" customFormat="false" ht="15" hidden="false" customHeight="false" outlineLevel="0" collapsed="false">
      <c r="A176" s="3" t="n">
        <v>30002099</v>
      </c>
      <c r="B176" s="3" t="s">
        <v>237</v>
      </c>
      <c r="C176" s="3" t="s">
        <v>1378</v>
      </c>
      <c r="D176" s="23" t="n">
        <v>7122</v>
      </c>
      <c r="E176" s="23" t="n">
        <v>12509.7</v>
      </c>
      <c r="F176" s="23" t="n">
        <f aca="false">D176-E176</f>
        <v>-5387.7</v>
      </c>
      <c r="G176" s="24" t="n">
        <f aca="false">IF(E176&gt;0,D176/E176-1,"")</f>
        <v>-0.430681790930238</v>
      </c>
      <c r="H176" s="3" t="str">
        <f aca="false">IF(MAX(D176,E176)&lt;Parametros!$B$16,"",IF(E176=0,"PIDE SIN FCST",IF(ABS(G176)&gt;Parametros!$B$14,IF(G176&gt;0,"SOBRE FCST","BAJO FCST"),"")))</f>
        <v>BAJO FCST</v>
      </c>
    </row>
    <row r="177" customFormat="false" ht="15" hidden="false" customHeight="false" outlineLevel="0" collapsed="false">
      <c r="A177" s="3" t="n">
        <v>30000639</v>
      </c>
      <c r="B177" s="3" t="s">
        <v>244</v>
      </c>
      <c r="C177" s="3" t="s">
        <v>1373</v>
      </c>
      <c r="D177" s="23" t="n">
        <v>18477.12</v>
      </c>
      <c r="E177" s="23" t="n">
        <v>13152.96</v>
      </c>
      <c r="F177" s="23" t="n">
        <f aca="false">D177-E177</f>
        <v>5324.16</v>
      </c>
      <c r="G177" s="24" t="n">
        <f aca="false">IF(E177&gt;0,D177/E177-1,"")</f>
        <v>0.404787971680899</v>
      </c>
      <c r="H177" s="3" t="str">
        <f aca="false">IF(MAX(D177,E177)&lt;Parametros!$B$16,"",IF(E177=0,"PIDE SIN FCST",IF(ABS(G177)&gt;Parametros!$B$14,IF(G177&gt;0,"SOBRE FCST","BAJO FCST"),"")))</f>
        <v>SOBRE FCST</v>
      </c>
    </row>
    <row r="178" customFormat="false" ht="15" hidden="false" customHeight="false" outlineLevel="0" collapsed="false">
      <c r="A178" s="3" t="n">
        <v>30000360</v>
      </c>
      <c r="B178" s="3" t="s">
        <v>382</v>
      </c>
      <c r="C178" s="3" t="s">
        <v>1373</v>
      </c>
      <c r="D178" s="23" t="n">
        <v>8808</v>
      </c>
      <c r="E178" s="23" t="n">
        <v>3490.75</v>
      </c>
      <c r="F178" s="23" t="n">
        <f aca="false">D178-E178</f>
        <v>5317.25</v>
      </c>
      <c r="G178" s="24" t="n">
        <f aca="false">IF(E178&gt;0,D178/E178-1,"")</f>
        <v>1.52323999140586</v>
      </c>
      <c r="H178" s="3" t="str">
        <f aca="false">IF(MAX(D178,E178)&lt;Parametros!$B$16,"",IF(E178=0,"PIDE SIN FCST",IF(ABS(G178)&gt;Parametros!$B$14,IF(G178&gt;0,"SOBRE FCST","BAJO FCST"),"")))</f>
        <v>SOBRE FCST</v>
      </c>
    </row>
    <row r="179" customFormat="false" ht="15" hidden="false" customHeight="false" outlineLevel="0" collapsed="false">
      <c r="A179" s="3" t="n">
        <v>30000256</v>
      </c>
      <c r="B179" s="3" t="s">
        <v>225</v>
      </c>
      <c r="C179" s="3" t="s">
        <v>1378</v>
      </c>
      <c r="D179" s="23" t="n">
        <v>13170</v>
      </c>
      <c r="E179" s="23" t="n">
        <v>18469</v>
      </c>
      <c r="F179" s="23" t="n">
        <f aca="false">D179-E179</f>
        <v>-5299</v>
      </c>
      <c r="G179" s="24" t="n">
        <f aca="false">IF(E179&gt;0,D179/E179-1,"")</f>
        <v>-0.28691320591261</v>
      </c>
      <c r="H179" s="3" t="str">
        <f aca="false">IF(MAX(D179,E179)&lt;Parametros!$B$16,"",IF(E179=0,"PIDE SIN FCST",IF(ABS(G179)&gt;Parametros!$B$14,IF(G179&gt;0,"SOBRE FCST","BAJO FCST"),"")))</f>
        <v>BAJO FCST</v>
      </c>
    </row>
    <row r="180" customFormat="false" ht="15" hidden="false" customHeight="false" outlineLevel="0" collapsed="false">
      <c r="A180" s="3" t="n">
        <v>30000254</v>
      </c>
      <c r="B180" s="3" t="s">
        <v>272</v>
      </c>
      <c r="C180" s="3" t="s">
        <v>1380</v>
      </c>
      <c r="D180" s="23" t="n">
        <v>14286</v>
      </c>
      <c r="E180" s="23" t="n">
        <v>9100</v>
      </c>
      <c r="F180" s="23" t="n">
        <f aca="false">D180-E180</f>
        <v>5186</v>
      </c>
      <c r="G180" s="24" t="n">
        <f aca="false">IF(E180&gt;0,D180/E180-1,"")</f>
        <v>0.56989010989011</v>
      </c>
      <c r="H180" s="3" t="str">
        <f aca="false">IF(MAX(D180,E180)&lt;Parametros!$B$16,"",IF(E180=0,"PIDE SIN FCST",IF(ABS(G180)&gt;Parametros!$B$14,IF(G180&gt;0,"SOBRE FCST","BAJO FCST"),"")))</f>
        <v>SOBRE FCST</v>
      </c>
    </row>
    <row r="181" customFormat="false" ht="15" hidden="false" customHeight="false" outlineLevel="0" collapsed="false">
      <c r="A181" s="3" t="n">
        <v>30002186</v>
      </c>
      <c r="B181" s="3" t="s">
        <v>623</v>
      </c>
      <c r="C181" s="3" t="s">
        <v>1380</v>
      </c>
      <c r="D181" s="23" t="n">
        <v>1825.05</v>
      </c>
      <c r="E181" s="23" t="n">
        <v>7000</v>
      </c>
      <c r="F181" s="23" t="n">
        <f aca="false">D181-E181</f>
        <v>-5174.95</v>
      </c>
      <c r="G181" s="24" t="n">
        <f aca="false">IF(E181&gt;0,D181/E181-1,"")</f>
        <v>-0.739278571428572</v>
      </c>
      <c r="H181" s="3" t="str">
        <f aca="false">IF(MAX(D181,E181)&lt;Parametros!$B$16,"",IF(E181=0,"PIDE SIN FCST",IF(ABS(G181)&gt;Parametros!$B$14,IF(G181&gt;0,"SOBRE FCST","BAJO FCST"),"")))</f>
        <v>BAJO FCST</v>
      </c>
    </row>
    <row r="182" customFormat="false" ht="15" hidden="false" customHeight="false" outlineLevel="0" collapsed="false">
      <c r="A182" s="3" t="n">
        <v>30000516</v>
      </c>
      <c r="B182" s="3" t="s">
        <v>281</v>
      </c>
      <c r="C182" s="3" t="s">
        <v>1372</v>
      </c>
      <c r="D182" s="23" t="n">
        <v>2040</v>
      </c>
      <c r="E182" s="23" t="n">
        <v>7209.7306122449</v>
      </c>
      <c r="F182" s="23" t="n">
        <f aca="false">D182-E182</f>
        <v>-5169.7306122449</v>
      </c>
      <c r="G182" s="24" t="n">
        <f aca="false">IF(E182&gt;0,D182/E182-1,"")</f>
        <v>-0.717049067473437</v>
      </c>
      <c r="H182" s="3" t="str">
        <f aca="false">IF(MAX(D182,E182)&lt;Parametros!$B$16,"",IF(E182=0,"PIDE SIN FCST",IF(ABS(G182)&gt;Parametros!$B$14,IF(G182&gt;0,"SOBRE FCST","BAJO FCST"),"")))</f>
        <v>BAJO FCST</v>
      </c>
    </row>
    <row r="183" customFormat="false" ht="15" hidden="false" customHeight="false" outlineLevel="0" collapsed="false">
      <c r="A183" s="3" t="n">
        <v>30001051</v>
      </c>
      <c r="B183" s="3" t="s">
        <v>226</v>
      </c>
      <c r="C183" s="3" t="s">
        <v>1379</v>
      </c>
      <c r="D183" s="23" t="n">
        <v>17580</v>
      </c>
      <c r="E183" s="23" t="n">
        <v>12433.3177423196</v>
      </c>
      <c r="F183" s="23" t="n">
        <f aca="false">D183-E183</f>
        <v>5146.68225768042</v>
      </c>
      <c r="G183" s="24" t="n">
        <f aca="false">IF(E183&gt;0,D183/E183-1,"")</f>
        <v>0.413942791807092</v>
      </c>
      <c r="H183" s="3" t="str">
        <f aca="false">IF(MAX(D183,E183)&lt;Parametros!$B$16,"",IF(E183=0,"PIDE SIN FCST",IF(ABS(G183)&gt;Parametros!$B$14,IF(G183&gt;0,"SOBRE FCST","BAJO FCST"),"")))</f>
        <v>SOBRE FCST</v>
      </c>
    </row>
    <row r="184" customFormat="false" ht="15" hidden="false" customHeight="false" outlineLevel="0" collapsed="false">
      <c r="A184" s="3" t="n">
        <v>30001751</v>
      </c>
      <c r="B184" s="3" t="s">
        <v>264</v>
      </c>
      <c r="C184" s="3" t="s">
        <v>1378</v>
      </c>
      <c r="D184" s="23" t="n">
        <v>6442.2</v>
      </c>
      <c r="E184" s="23" t="n">
        <v>1301.49456521739</v>
      </c>
      <c r="F184" s="23" t="n">
        <f aca="false">D184-E184</f>
        <v>5140.70543478261</v>
      </c>
      <c r="G184" s="24" t="n">
        <f aca="false">IF(E184&gt;0,D184/E184-1,"")</f>
        <v>3.9498477920451</v>
      </c>
      <c r="H184" s="3" t="str">
        <f aca="false">IF(MAX(D184,E184)&lt;Parametros!$B$16,"",IF(E184=0,"PIDE SIN FCST",IF(ABS(G184)&gt;Parametros!$B$14,IF(G184&gt;0,"SOBRE FCST","BAJO FCST"),"")))</f>
        <v>SOBRE FCST</v>
      </c>
    </row>
    <row r="185" customFormat="false" ht="15" hidden="false" customHeight="false" outlineLevel="0" collapsed="false">
      <c r="A185" s="3" t="n">
        <v>30001918</v>
      </c>
      <c r="B185" s="3" t="s">
        <v>532</v>
      </c>
      <c r="C185" s="3" t="s">
        <v>1375</v>
      </c>
      <c r="D185" s="23" t="n">
        <v>7576.8</v>
      </c>
      <c r="E185" s="23" t="n">
        <v>12716.0112965022</v>
      </c>
      <c r="F185" s="23" t="n">
        <f aca="false">D185-E185</f>
        <v>-5139.21129650222</v>
      </c>
      <c r="G185" s="24" t="n">
        <f aca="false">IF(E185&gt;0,D185/E185-1,"")</f>
        <v>-0.404152778467243</v>
      </c>
      <c r="H185" s="3" t="str">
        <f aca="false">IF(MAX(D185,E185)&lt;Parametros!$B$16,"",IF(E185=0,"PIDE SIN FCST",IF(ABS(G185)&gt;Parametros!$B$14,IF(G185&gt;0,"SOBRE FCST","BAJO FCST"),"")))</f>
        <v>BAJO FCST</v>
      </c>
    </row>
    <row r="186" customFormat="false" ht="15" hidden="false" customHeight="false" outlineLevel="0" collapsed="false">
      <c r="A186" s="3" t="n">
        <v>30000255</v>
      </c>
      <c r="B186" s="3" t="s">
        <v>221</v>
      </c>
      <c r="C186" s="3" t="s">
        <v>1378</v>
      </c>
      <c r="D186" s="23" t="n">
        <v>15822</v>
      </c>
      <c r="E186" s="23" t="n">
        <v>20954.1</v>
      </c>
      <c r="F186" s="23" t="n">
        <f aca="false">D186-E186</f>
        <v>-5132.1</v>
      </c>
      <c r="G186" s="24" t="n">
        <f aca="false">IF(E186&gt;0,D186/E186-1,"")</f>
        <v>-0.244921041705442</v>
      </c>
      <c r="H186" s="3" t="str">
        <f aca="false">IF(MAX(D186,E186)&lt;Parametros!$B$16,"",IF(E186=0,"PIDE SIN FCST",IF(ABS(G186)&gt;Parametros!$B$14,IF(G186&gt;0,"SOBRE FCST","BAJO FCST"),"")))</f>
        <v>BAJO FCST</v>
      </c>
    </row>
    <row r="187" customFormat="false" ht="15" hidden="false" customHeight="false" outlineLevel="0" collapsed="false">
      <c r="A187" s="3" t="n">
        <v>30001857</v>
      </c>
      <c r="B187" s="3" t="s">
        <v>330</v>
      </c>
      <c r="C187" s="3" t="s">
        <v>1380</v>
      </c>
      <c r="D187" s="23" t="n">
        <v>14515.2</v>
      </c>
      <c r="E187" s="23" t="n">
        <v>9399.46449694908</v>
      </c>
      <c r="F187" s="23" t="n">
        <f aca="false">D187-E187</f>
        <v>5115.73550305092</v>
      </c>
      <c r="G187" s="24" t="n">
        <f aca="false">IF(E187&gt;0,D187/E187-1,"")</f>
        <v>0.544258186698978</v>
      </c>
      <c r="H187" s="3" t="str">
        <f aca="false">IF(MAX(D187,E187)&lt;Parametros!$B$16,"",IF(E187=0,"PIDE SIN FCST",IF(ABS(G187)&gt;Parametros!$B$14,IF(G187&gt;0,"SOBRE FCST","BAJO FCST"),"")))</f>
        <v>SOBRE FCST</v>
      </c>
    </row>
    <row r="188" customFormat="false" ht="15" hidden="false" customHeight="false" outlineLevel="0" collapsed="false">
      <c r="A188" s="3" t="n">
        <v>30000194</v>
      </c>
      <c r="B188" s="3" t="s">
        <v>268</v>
      </c>
      <c r="C188" s="3" t="s">
        <v>1373</v>
      </c>
      <c r="D188" s="23" t="n">
        <v>28386</v>
      </c>
      <c r="E188" s="23" t="n">
        <v>33500</v>
      </c>
      <c r="F188" s="23" t="n">
        <f aca="false">D188-E188</f>
        <v>-5114</v>
      </c>
      <c r="G188" s="24" t="n">
        <f aca="false">IF(E188&gt;0,D188/E188-1,"")</f>
        <v>-0.15265671641791</v>
      </c>
      <c r="H188" s="3" t="str">
        <f aca="false">IF(MAX(D188,E188)&lt;Parametros!$B$16,"",IF(E188=0,"PIDE SIN FCST",IF(ABS(G188)&gt;Parametros!$B$14,IF(G188&gt;0,"SOBRE FCST","BAJO FCST"),"")))</f>
        <v/>
      </c>
    </row>
    <row r="189" customFormat="false" ht="15" hidden="false" customHeight="false" outlineLevel="0" collapsed="false">
      <c r="A189" s="3" t="n">
        <v>30002099</v>
      </c>
      <c r="B189" s="3" t="s">
        <v>237</v>
      </c>
      <c r="C189" s="3" t="s">
        <v>1374</v>
      </c>
      <c r="D189" s="23" t="n">
        <v>51840</v>
      </c>
      <c r="E189" s="23" t="n">
        <v>46728</v>
      </c>
      <c r="F189" s="23" t="n">
        <f aca="false">D189-E189</f>
        <v>5112.00000000001</v>
      </c>
      <c r="G189" s="24" t="n">
        <f aca="false">IF(E189&gt;0,D189/E189-1,"")</f>
        <v>0.109399075500771</v>
      </c>
      <c r="H189" s="3" t="str">
        <f aca="false">IF(MAX(D189,E189)&lt;Parametros!$B$16,"",IF(E189=0,"PIDE SIN FCST",IF(ABS(G189)&gt;Parametros!$B$14,IF(G189&gt;0,"SOBRE FCST","BAJO FCST"),"")))</f>
        <v/>
      </c>
    </row>
    <row r="190" customFormat="false" ht="15" hidden="false" customHeight="false" outlineLevel="0" collapsed="false">
      <c r="A190" s="3" t="n">
        <v>30000638</v>
      </c>
      <c r="B190" s="3" t="s">
        <v>277</v>
      </c>
      <c r="C190" s="3" t="s">
        <v>1380</v>
      </c>
      <c r="D190" s="23" t="n">
        <v>26904</v>
      </c>
      <c r="E190" s="23" t="n">
        <v>32000</v>
      </c>
      <c r="F190" s="23" t="n">
        <f aca="false">D190-E190</f>
        <v>-5096</v>
      </c>
      <c r="G190" s="24" t="n">
        <f aca="false">IF(E190&gt;0,D190/E190-1,"")</f>
        <v>-0.15925</v>
      </c>
      <c r="H190" s="3" t="str">
        <f aca="false">IF(MAX(D190,E190)&lt;Parametros!$B$16,"",IF(E190=0,"PIDE SIN FCST",IF(ABS(G190)&gt;Parametros!$B$14,IF(G190&gt;0,"SOBRE FCST","BAJO FCST"),"")))</f>
        <v/>
      </c>
    </row>
    <row r="191" customFormat="false" ht="15" hidden="false" customHeight="false" outlineLevel="0" collapsed="false">
      <c r="A191" s="3" t="n">
        <v>30001079</v>
      </c>
      <c r="B191" s="3" t="s">
        <v>282</v>
      </c>
      <c r="C191" s="3" t="s">
        <v>1375</v>
      </c>
      <c r="D191" s="23" t="n">
        <v>9704.64</v>
      </c>
      <c r="E191" s="23" t="n">
        <v>4619.23392232076</v>
      </c>
      <c r="F191" s="23" t="n">
        <f aca="false">D191-E191</f>
        <v>5085.40607767924</v>
      </c>
      <c r="G191" s="24" t="n">
        <f aca="false">IF(E191&gt;0,D191/E191-1,"")</f>
        <v>1.10091979821716</v>
      </c>
      <c r="H191" s="3" t="str">
        <f aca="false">IF(MAX(D191,E191)&lt;Parametros!$B$16,"",IF(E191=0,"PIDE SIN FCST",IF(ABS(G191)&gt;Parametros!$B$14,IF(G191&gt;0,"SOBRE FCST","BAJO FCST"),"")))</f>
        <v>SOBRE FCST</v>
      </c>
    </row>
    <row r="192" customFormat="false" ht="15" hidden="false" customHeight="false" outlineLevel="0" collapsed="false">
      <c r="A192" s="3" t="n">
        <v>30000516</v>
      </c>
      <c r="B192" s="3" t="s">
        <v>281</v>
      </c>
      <c r="C192" s="3" t="s">
        <v>1375</v>
      </c>
      <c r="D192" s="23" t="n">
        <v>16668</v>
      </c>
      <c r="E192" s="23" t="n">
        <v>11606.4056472389</v>
      </c>
      <c r="F192" s="23" t="n">
        <f aca="false">D192-E192</f>
        <v>5061.59435276108</v>
      </c>
      <c r="G192" s="24" t="n">
        <f aca="false">IF(E192&gt;0,D192/E192-1,"")</f>
        <v>0.436103519608174</v>
      </c>
      <c r="H192" s="3" t="str">
        <f aca="false">IF(MAX(D192,E192)&lt;Parametros!$B$16,"",IF(E192=0,"PIDE SIN FCST",IF(ABS(G192)&gt;Parametros!$B$14,IF(G192&gt;0,"SOBRE FCST","BAJO FCST"),"")))</f>
        <v>SOBRE FCST</v>
      </c>
    </row>
    <row r="193" customFormat="false" ht="15" hidden="false" customHeight="false" outlineLevel="0" collapsed="false">
      <c r="A193" s="3" t="n">
        <v>30000257</v>
      </c>
      <c r="B193" s="3" t="s">
        <v>228</v>
      </c>
      <c r="C193" s="3" t="s">
        <v>1378</v>
      </c>
      <c r="D193" s="23" t="n">
        <v>12306</v>
      </c>
      <c r="E193" s="23" t="n">
        <v>17345.5</v>
      </c>
      <c r="F193" s="23" t="n">
        <f aca="false">D193-E193</f>
        <v>-5039.5</v>
      </c>
      <c r="G193" s="24" t="n">
        <f aca="false">IF(E193&gt;0,D193/E193-1,"")</f>
        <v>-0.290536450376178</v>
      </c>
      <c r="H193" s="3" t="str">
        <f aca="false">IF(MAX(D193,E193)&lt;Parametros!$B$16,"",IF(E193=0,"PIDE SIN FCST",IF(ABS(G193)&gt;Parametros!$B$14,IF(G193&gt;0,"SOBRE FCST","BAJO FCST"),"")))</f>
        <v>BAJO FCST</v>
      </c>
    </row>
    <row r="194" customFormat="false" ht="15" hidden="false" customHeight="false" outlineLevel="0" collapsed="false">
      <c r="A194" s="3" t="n">
        <v>30000327</v>
      </c>
      <c r="B194" s="3" t="s">
        <v>423</v>
      </c>
      <c r="C194" s="3" t="s">
        <v>1380</v>
      </c>
      <c r="D194" s="23" t="n">
        <v>10200</v>
      </c>
      <c r="E194" s="23" t="n">
        <v>5177.71336784409</v>
      </c>
      <c r="F194" s="23" t="n">
        <f aca="false">D194-E194</f>
        <v>5022.28663215591</v>
      </c>
      <c r="G194" s="24" t="n">
        <f aca="false">IF(E194&gt;0,D194/E194-1,"")</f>
        <v>0.969981587498942</v>
      </c>
      <c r="H194" s="3" t="str">
        <f aca="false">IF(MAX(D194,E194)&lt;Parametros!$B$16,"",IF(E194=0,"PIDE SIN FCST",IF(ABS(G194)&gt;Parametros!$B$14,IF(G194&gt;0,"SOBRE FCST","BAJO FCST"),"")))</f>
        <v>SOBRE FCST</v>
      </c>
    </row>
    <row r="195" customFormat="false" ht="15" hidden="false" customHeight="false" outlineLevel="0" collapsed="false">
      <c r="A195" s="3" t="n">
        <v>30002077</v>
      </c>
      <c r="B195" s="3" t="s">
        <v>364</v>
      </c>
      <c r="C195" s="3" t="s">
        <v>1380</v>
      </c>
      <c r="D195" s="23" t="n">
        <v>13104</v>
      </c>
      <c r="E195" s="23" t="n">
        <v>8145.6</v>
      </c>
      <c r="F195" s="23" t="n">
        <f aca="false">D195-E195</f>
        <v>4958.4</v>
      </c>
      <c r="G195" s="24" t="n">
        <f aca="false">IF(E195&gt;0,D195/E195-1,"")</f>
        <v>0.608721272834414</v>
      </c>
      <c r="H195" s="3" t="str">
        <f aca="false">IF(MAX(D195,E195)&lt;Parametros!$B$16,"",IF(E195=0,"PIDE SIN FCST",IF(ABS(G195)&gt;Parametros!$B$14,IF(G195&gt;0,"SOBRE FCST","BAJO FCST"),"")))</f>
        <v>SOBRE FCST</v>
      </c>
    </row>
    <row r="196" customFormat="false" ht="15" hidden="false" customHeight="false" outlineLevel="0" collapsed="false">
      <c r="A196" s="3" t="n">
        <v>30001871</v>
      </c>
      <c r="B196" s="3" t="s">
        <v>242</v>
      </c>
      <c r="C196" s="3" t="s">
        <v>1378</v>
      </c>
      <c r="D196" s="23" t="n">
        <v>10173.6</v>
      </c>
      <c r="E196" s="23" t="n">
        <v>5232.06485754405</v>
      </c>
      <c r="F196" s="23" t="n">
        <f aca="false">D196-E196</f>
        <v>4941.53514245595</v>
      </c>
      <c r="G196" s="24" t="n">
        <f aca="false">IF(E196&gt;0,D196/E196-1,"")</f>
        <v>0.94447130855628</v>
      </c>
      <c r="H196" s="3" t="str">
        <f aca="false">IF(MAX(D196,E196)&lt;Parametros!$B$16,"",IF(E196=0,"PIDE SIN FCST",IF(ABS(G196)&gt;Parametros!$B$14,IF(G196&gt;0,"SOBRE FCST","BAJO FCST"),"")))</f>
        <v>SOBRE FCST</v>
      </c>
    </row>
    <row r="197" customFormat="false" ht="15" hidden="false" customHeight="false" outlineLevel="0" collapsed="false">
      <c r="A197" s="3" t="n">
        <v>30001895</v>
      </c>
      <c r="B197" s="3" t="s">
        <v>341</v>
      </c>
      <c r="C197" s="3" t="s">
        <v>1380</v>
      </c>
      <c r="D197" s="23" t="n">
        <v>4560</v>
      </c>
      <c r="E197" s="23" t="n">
        <v>9500</v>
      </c>
      <c r="F197" s="23" t="n">
        <f aca="false">D197-E197</f>
        <v>-4940</v>
      </c>
      <c r="G197" s="24" t="n">
        <f aca="false">IF(E197&gt;0,D197/E197-1,"")</f>
        <v>-0.52</v>
      </c>
      <c r="H197" s="3" t="str">
        <f aca="false">IF(MAX(D197,E197)&lt;Parametros!$B$16,"",IF(E197=0,"PIDE SIN FCST",IF(ABS(G197)&gt;Parametros!$B$14,IF(G197&gt;0,"SOBRE FCST","BAJO FCST"),"")))</f>
        <v>BAJO FCST</v>
      </c>
    </row>
    <row r="198" customFormat="false" ht="15" hidden="false" customHeight="false" outlineLevel="0" collapsed="false">
      <c r="A198" s="3" t="n">
        <v>30001942</v>
      </c>
      <c r="B198" s="3" t="s">
        <v>342</v>
      </c>
      <c r="C198" s="3" t="s">
        <v>1375</v>
      </c>
      <c r="D198" s="23" t="n">
        <v>10492.8</v>
      </c>
      <c r="E198" s="23" t="n">
        <v>5646.27158772019</v>
      </c>
      <c r="F198" s="23" t="n">
        <f aca="false">D198-E198</f>
        <v>4846.52841227981</v>
      </c>
      <c r="G198" s="24" t="n">
        <f aca="false">IF(E198&gt;0,D198/E198-1,"")</f>
        <v>0.858359067038201</v>
      </c>
      <c r="H198" s="3" t="str">
        <f aca="false">IF(MAX(D198,E198)&lt;Parametros!$B$16,"",IF(E198=0,"PIDE SIN FCST",IF(ABS(G198)&gt;Parametros!$B$14,IF(G198&gt;0,"SOBRE FCST","BAJO FCST"),"")))</f>
        <v>SOBRE FCST</v>
      </c>
    </row>
    <row r="199" customFormat="false" ht="15" hidden="false" customHeight="false" outlineLevel="0" collapsed="false">
      <c r="A199" s="3" t="n">
        <v>30000255</v>
      </c>
      <c r="B199" s="3" t="s">
        <v>221</v>
      </c>
      <c r="C199" s="3" t="s">
        <v>1377</v>
      </c>
      <c r="D199" s="23" t="n">
        <v>6852</v>
      </c>
      <c r="E199" s="23" t="n">
        <v>11694.6402129168</v>
      </c>
      <c r="F199" s="23" t="n">
        <f aca="false">D199-E199</f>
        <v>-4842.64021291678</v>
      </c>
      <c r="G199" s="24" t="n">
        <f aca="false">IF(E199&gt;0,D199/E199-1,"")</f>
        <v>-0.414090568392866</v>
      </c>
      <c r="H199" s="3" t="str">
        <f aca="false">IF(MAX(D199,E199)&lt;Parametros!$B$16,"",IF(E199=0,"PIDE SIN FCST",IF(ABS(G199)&gt;Parametros!$B$14,IF(G199&gt;0,"SOBRE FCST","BAJO FCST"),"")))</f>
        <v>BAJO FCST</v>
      </c>
    </row>
    <row r="200" customFormat="false" ht="15" hidden="false" customHeight="false" outlineLevel="0" collapsed="false">
      <c r="A200" s="3" t="n">
        <v>30000400</v>
      </c>
      <c r="B200" s="3" t="s">
        <v>235</v>
      </c>
      <c r="C200" s="3" t="s">
        <v>1373</v>
      </c>
      <c r="D200" s="23" t="n">
        <v>12774</v>
      </c>
      <c r="E200" s="23" t="n">
        <v>17603.4083333333</v>
      </c>
      <c r="F200" s="23" t="n">
        <f aca="false">D200-E200</f>
        <v>-4829.40833333333</v>
      </c>
      <c r="G200" s="24" t="n">
        <f aca="false">IF(E200&gt;0,D200/E200-1,"")</f>
        <v>-0.274345072379449</v>
      </c>
      <c r="H200" s="3" t="str">
        <f aca="false">IF(MAX(D200,E200)&lt;Parametros!$B$16,"",IF(E200=0,"PIDE SIN FCST",IF(ABS(G200)&gt;Parametros!$B$14,IF(G200&gt;0,"SOBRE FCST","BAJO FCST"),"")))</f>
        <v>BAJO FCST</v>
      </c>
    </row>
    <row r="201" customFormat="false" ht="15" hidden="false" customHeight="false" outlineLevel="0" collapsed="false">
      <c r="A201" s="3" t="n">
        <v>30001754</v>
      </c>
      <c r="B201" s="3" t="s">
        <v>296</v>
      </c>
      <c r="C201" s="3" t="s">
        <v>1378</v>
      </c>
      <c r="D201" s="23" t="n">
        <v>5880.6</v>
      </c>
      <c r="E201" s="23" t="n">
        <v>1120.92391304348</v>
      </c>
      <c r="F201" s="23" t="n">
        <f aca="false">D201-E201</f>
        <v>4759.67608695652</v>
      </c>
      <c r="G201" s="24" t="n">
        <f aca="false">IF(E201&gt;0,D201/E201-1,"")</f>
        <v>4.246208</v>
      </c>
      <c r="H201" s="3" t="str">
        <f aca="false">IF(MAX(D201,E201)&lt;Parametros!$B$16,"",IF(E201=0,"PIDE SIN FCST",IF(ABS(G201)&gt;Parametros!$B$14,IF(G201&gt;0,"SOBRE FCST","BAJO FCST"),"")))</f>
        <v>SOBRE FCST</v>
      </c>
    </row>
    <row r="202" customFormat="false" ht="15" hidden="false" customHeight="false" outlineLevel="0" collapsed="false">
      <c r="A202" s="3" t="n">
        <v>30000435</v>
      </c>
      <c r="B202" s="3" t="s">
        <v>459</v>
      </c>
      <c r="C202" s="3" t="s">
        <v>1380</v>
      </c>
      <c r="D202" s="23" t="n">
        <v>7168</v>
      </c>
      <c r="E202" s="23" t="n">
        <v>2416.93808790622</v>
      </c>
      <c r="F202" s="23" t="n">
        <f aca="false">D202-E202</f>
        <v>4751.06191209378</v>
      </c>
      <c r="G202" s="24" t="n">
        <f aca="false">IF(E202&gt;0,D202/E202-1,"")</f>
        <v>1.96573587708637</v>
      </c>
      <c r="H202" s="3" t="str">
        <f aca="false">IF(MAX(D202,E202)&lt;Parametros!$B$16,"",IF(E202=0,"PIDE SIN FCST",IF(ABS(G202)&gt;Parametros!$B$14,IF(G202&gt;0,"SOBRE FCST","BAJO FCST"),"")))</f>
        <v>SOBRE FCST</v>
      </c>
    </row>
    <row r="203" customFormat="false" ht="15" hidden="false" customHeight="false" outlineLevel="0" collapsed="false">
      <c r="A203" s="3" t="n">
        <v>30000523</v>
      </c>
      <c r="B203" s="3" t="s">
        <v>222</v>
      </c>
      <c r="C203" s="3" t="s">
        <v>1380</v>
      </c>
      <c r="D203" s="23" t="n">
        <v>29232</v>
      </c>
      <c r="E203" s="23" t="n">
        <v>33968</v>
      </c>
      <c r="F203" s="23" t="n">
        <f aca="false">D203-E203</f>
        <v>-4736</v>
      </c>
      <c r="G203" s="24" t="n">
        <f aca="false">IF(E203&gt;0,D203/E203-1,"")</f>
        <v>-0.13942534149788</v>
      </c>
      <c r="H203" s="3" t="str">
        <f aca="false">IF(MAX(D203,E203)&lt;Parametros!$B$16,"",IF(E203=0,"PIDE SIN FCST",IF(ABS(G203)&gt;Parametros!$B$14,IF(G203&gt;0,"SOBRE FCST","BAJO FCST"),"")))</f>
        <v/>
      </c>
    </row>
    <row r="204" customFormat="false" ht="15" hidden="false" customHeight="false" outlineLevel="0" collapsed="false">
      <c r="A204" s="3" t="n">
        <v>30002165</v>
      </c>
      <c r="B204" s="3" t="s">
        <v>314</v>
      </c>
      <c r="C204" s="3" t="s">
        <v>1380</v>
      </c>
      <c r="D204" s="23" t="n">
        <v>18144</v>
      </c>
      <c r="E204" s="23" t="n">
        <v>13438.6259824361</v>
      </c>
      <c r="F204" s="23" t="n">
        <f aca="false">D204-E204</f>
        <v>4705.37401756395</v>
      </c>
      <c r="G204" s="24" t="n">
        <f aca="false">IF(E204&gt;0,D204/E204-1,"")</f>
        <v>0.350138029268301</v>
      </c>
      <c r="H204" s="3" t="str">
        <f aca="false">IF(MAX(D204,E204)&lt;Parametros!$B$16,"",IF(E204=0,"PIDE SIN FCST",IF(ABS(G204)&gt;Parametros!$B$14,IF(G204&gt;0,"SOBRE FCST","BAJO FCST"),"")))</f>
        <v>SOBRE FCST</v>
      </c>
    </row>
    <row r="205" customFormat="false" ht="15" hidden="false" customHeight="false" outlineLevel="0" collapsed="false">
      <c r="A205" s="3" t="n">
        <v>30001094</v>
      </c>
      <c r="B205" s="3" t="s">
        <v>326</v>
      </c>
      <c r="C205" s="3" t="s">
        <v>1380</v>
      </c>
      <c r="D205" s="23" t="n">
        <v>7128</v>
      </c>
      <c r="E205" s="23" t="n">
        <v>11755.7743180627</v>
      </c>
      <c r="F205" s="23" t="n">
        <f aca="false">D205-E205</f>
        <v>-4627.77431806265</v>
      </c>
      <c r="G205" s="24" t="n">
        <f aca="false">IF(E205&gt;0,D205/E205-1,"")</f>
        <v>-0.393659676755798</v>
      </c>
      <c r="H205" s="3" t="str">
        <f aca="false">IF(MAX(D205,E205)&lt;Parametros!$B$16,"",IF(E205=0,"PIDE SIN FCST",IF(ABS(G205)&gt;Parametros!$B$14,IF(G205&gt;0,"SOBRE FCST","BAJO FCST"),"")))</f>
        <v>BAJO FCST</v>
      </c>
    </row>
    <row r="206" customFormat="false" ht="15" hidden="false" customHeight="false" outlineLevel="0" collapsed="false">
      <c r="A206" s="3" t="n">
        <v>30002155</v>
      </c>
      <c r="B206" s="3" t="s">
        <v>273</v>
      </c>
      <c r="C206" s="3" t="s">
        <v>1376</v>
      </c>
      <c r="D206" s="23" t="n">
        <v>32577.6</v>
      </c>
      <c r="E206" s="23" t="n">
        <v>28000</v>
      </c>
      <c r="F206" s="23" t="n">
        <f aca="false">D206-E206</f>
        <v>4577.6</v>
      </c>
      <c r="G206" s="24" t="n">
        <f aca="false">IF(E206&gt;0,D206/E206-1,"")</f>
        <v>0.163485714285714</v>
      </c>
      <c r="H206" s="3" t="str">
        <f aca="false">IF(MAX(D206,E206)&lt;Parametros!$B$16,"",IF(E206=0,"PIDE SIN FCST",IF(ABS(G206)&gt;Parametros!$B$14,IF(G206&gt;0,"SOBRE FCST","BAJO FCST"),"")))</f>
        <v/>
      </c>
    </row>
    <row r="207" customFormat="false" ht="15" hidden="false" customHeight="false" outlineLevel="0" collapsed="false">
      <c r="A207" s="3" t="n">
        <v>30001597</v>
      </c>
      <c r="B207" s="3" t="s">
        <v>265</v>
      </c>
      <c r="C207" s="3" t="s">
        <v>1373</v>
      </c>
      <c r="D207" s="23" t="n">
        <v>15736</v>
      </c>
      <c r="E207" s="23" t="n">
        <v>11200</v>
      </c>
      <c r="F207" s="23" t="n">
        <f aca="false">D207-E207</f>
        <v>4536</v>
      </c>
      <c r="G207" s="24" t="n">
        <f aca="false">IF(E207&gt;0,D207/E207-1,"")</f>
        <v>0.405</v>
      </c>
      <c r="H207" s="3" t="str">
        <f aca="false">IF(MAX(D207,E207)&lt;Parametros!$B$16,"",IF(E207=0,"PIDE SIN FCST",IF(ABS(G207)&gt;Parametros!$B$14,IF(G207&gt;0,"SOBRE FCST","BAJO FCST"),"")))</f>
        <v>SOBRE FCST</v>
      </c>
    </row>
    <row r="208" customFormat="false" ht="15" hidden="false" customHeight="false" outlineLevel="0" collapsed="false">
      <c r="A208" s="3" t="n">
        <v>30000384</v>
      </c>
      <c r="B208" s="3" t="s">
        <v>262</v>
      </c>
      <c r="C208" s="3" t="s">
        <v>1379</v>
      </c>
      <c r="D208" s="23" t="n">
        <v>8568</v>
      </c>
      <c r="E208" s="23" t="n">
        <v>4050</v>
      </c>
      <c r="F208" s="23" t="n">
        <f aca="false">D208-E208</f>
        <v>4518</v>
      </c>
      <c r="G208" s="24" t="n">
        <f aca="false">IF(E208&gt;0,D208/E208-1,"")</f>
        <v>1.11555555555556</v>
      </c>
      <c r="H208" s="3" t="str">
        <f aca="false">IF(MAX(D208,E208)&lt;Parametros!$B$16,"",IF(E208=0,"PIDE SIN FCST",IF(ABS(G208)&gt;Parametros!$B$14,IF(G208&gt;0,"SOBRE FCST","BAJO FCST"),"")))</f>
        <v>SOBRE FCST</v>
      </c>
    </row>
    <row r="209" customFormat="false" ht="15" hidden="false" customHeight="false" outlineLevel="0" collapsed="false">
      <c r="A209" s="3" t="n">
        <v>30000053</v>
      </c>
      <c r="B209" s="3" t="s">
        <v>525</v>
      </c>
      <c r="C209" s="3" t="s">
        <v>1376</v>
      </c>
      <c r="D209" s="23" t="n">
        <v>7281.6</v>
      </c>
      <c r="E209" s="23" t="n">
        <v>2800</v>
      </c>
      <c r="F209" s="23" t="n">
        <f aca="false">D209-E209</f>
        <v>4481.6</v>
      </c>
      <c r="G209" s="24" t="n">
        <f aca="false">IF(E209&gt;0,D209/E209-1,"")</f>
        <v>1.60057142857143</v>
      </c>
      <c r="H209" s="3" t="str">
        <f aca="false">IF(MAX(D209,E209)&lt;Parametros!$B$16,"",IF(E209=0,"PIDE SIN FCST",IF(ABS(G209)&gt;Parametros!$B$14,IF(G209&gt;0,"SOBRE FCST","BAJO FCST"),"")))</f>
        <v>SOBRE FCST</v>
      </c>
    </row>
    <row r="210" customFormat="false" ht="15" hidden="false" customHeight="false" outlineLevel="0" collapsed="false">
      <c r="A210" s="3" t="n">
        <v>30001042</v>
      </c>
      <c r="B210" s="3" t="s">
        <v>257</v>
      </c>
      <c r="C210" s="3" t="s">
        <v>1375</v>
      </c>
      <c r="D210" s="23" t="n">
        <v>5633.76</v>
      </c>
      <c r="E210" s="23" t="n">
        <v>10099.0777615665</v>
      </c>
      <c r="F210" s="23" t="n">
        <f aca="false">D210-E210</f>
        <v>-4465.31776156649</v>
      </c>
      <c r="G210" s="24" t="n">
        <f aca="false">IF(E210&gt;0,D210/E210-1,"")</f>
        <v>-0.442151042599148</v>
      </c>
      <c r="H210" s="3" t="str">
        <f aca="false">IF(MAX(D210,E210)&lt;Parametros!$B$16,"",IF(E210=0,"PIDE SIN FCST",IF(ABS(G210)&gt;Parametros!$B$14,IF(G210&gt;0,"SOBRE FCST","BAJO FCST"),"")))</f>
        <v>BAJO FCST</v>
      </c>
    </row>
    <row r="211" customFormat="false" ht="15" hidden="false" customHeight="false" outlineLevel="0" collapsed="false">
      <c r="A211" s="3" t="n">
        <v>30001755</v>
      </c>
      <c r="B211" s="3" t="s">
        <v>441</v>
      </c>
      <c r="C211" s="3" t="s">
        <v>1373</v>
      </c>
      <c r="D211" s="23" t="n">
        <v>14056.2</v>
      </c>
      <c r="E211" s="23" t="n">
        <v>9600</v>
      </c>
      <c r="F211" s="23" t="n">
        <f aca="false">D211-E211</f>
        <v>4456.2</v>
      </c>
      <c r="G211" s="24" t="n">
        <f aca="false">IF(E211&gt;0,D211/E211-1,"")</f>
        <v>0.4641875</v>
      </c>
      <c r="H211" s="3" t="str">
        <f aca="false">IF(MAX(D211,E211)&lt;Parametros!$B$16,"",IF(E211=0,"PIDE SIN FCST",IF(ABS(G211)&gt;Parametros!$B$14,IF(G211&gt;0,"SOBRE FCST","BAJO FCST"),"")))</f>
        <v>SOBRE FCST</v>
      </c>
    </row>
    <row r="212" customFormat="false" ht="15" hidden="false" customHeight="false" outlineLevel="0" collapsed="false">
      <c r="A212" s="3" t="n">
        <v>30002199</v>
      </c>
      <c r="B212" s="3" t="s">
        <v>276</v>
      </c>
      <c r="C212" s="3" t="s">
        <v>1375</v>
      </c>
      <c r="D212" s="23" t="n">
        <v>15451.2</v>
      </c>
      <c r="E212" s="23" t="n">
        <v>11000</v>
      </c>
      <c r="F212" s="23" t="n">
        <f aca="false">D212-E212</f>
        <v>4451.2</v>
      </c>
      <c r="G212" s="24" t="n">
        <f aca="false">IF(E212&gt;0,D212/E212-1,"")</f>
        <v>0.404654545454546</v>
      </c>
      <c r="H212" s="3" t="str">
        <f aca="false">IF(MAX(D212,E212)&lt;Parametros!$B$16,"",IF(E212=0,"PIDE SIN FCST",IF(ABS(G212)&gt;Parametros!$B$14,IF(G212&gt;0,"SOBRE FCST","BAJO FCST"),"")))</f>
        <v>SOBRE FCST</v>
      </c>
    </row>
    <row r="213" customFormat="false" ht="15" hidden="false" customHeight="false" outlineLevel="0" collapsed="false">
      <c r="A213" s="3" t="n">
        <v>30000360</v>
      </c>
      <c r="B213" s="3" t="s">
        <v>382</v>
      </c>
      <c r="C213" s="3" t="s">
        <v>1375</v>
      </c>
      <c r="D213" s="23" t="n">
        <v>4428</v>
      </c>
      <c r="E213" s="23" t="n">
        <v>8858.50814768012</v>
      </c>
      <c r="F213" s="23" t="n">
        <f aca="false">D213-E213</f>
        <v>-4430.50814768012</v>
      </c>
      <c r="G213" s="24" t="n">
        <f aca="false">IF(E213&gt;0,D213/E213-1,"")</f>
        <v>-0.500141567159973</v>
      </c>
      <c r="H213" s="3" t="str">
        <f aca="false">IF(MAX(D213,E213)&lt;Parametros!$B$16,"",IF(E213=0,"PIDE SIN FCST",IF(ABS(G213)&gt;Parametros!$B$14,IF(G213&gt;0,"SOBRE FCST","BAJO FCST"),"")))</f>
        <v>BAJO FCST</v>
      </c>
    </row>
    <row r="214" customFormat="false" ht="15" hidden="false" customHeight="false" outlineLevel="0" collapsed="false">
      <c r="A214" s="3" t="n">
        <v>30000244</v>
      </c>
      <c r="B214" s="3" t="s">
        <v>403</v>
      </c>
      <c r="C214" s="3" t="s">
        <v>1373</v>
      </c>
      <c r="D214" s="23" t="n">
        <v>10608</v>
      </c>
      <c r="E214" s="23" t="n">
        <v>15031.45</v>
      </c>
      <c r="F214" s="23" t="n">
        <f aca="false">D214-E214</f>
        <v>-4423.45</v>
      </c>
      <c r="G214" s="24" t="n">
        <f aca="false">IF(E214&gt;0,D214/E214-1,"")</f>
        <v>-0.294279660312212</v>
      </c>
      <c r="H214" s="3" t="str">
        <f aca="false">IF(MAX(D214,E214)&lt;Parametros!$B$16,"",IF(E214=0,"PIDE SIN FCST",IF(ABS(G214)&gt;Parametros!$B$14,IF(G214&gt;0,"SOBRE FCST","BAJO FCST"),"")))</f>
        <v>BAJO FCST</v>
      </c>
    </row>
    <row r="215" customFormat="false" ht="15" hidden="false" customHeight="false" outlineLevel="0" collapsed="false">
      <c r="A215" s="3" t="n">
        <v>30001042</v>
      </c>
      <c r="B215" s="3" t="s">
        <v>257</v>
      </c>
      <c r="C215" s="3" t="s">
        <v>1373</v>
      </c>
      <c r="D215" s="23" t="n">
        <v>7603.2</v>
      </c>
      <c r="E215" s="23" t="n">
        <v>11998.787555538</v>
      </c>
      <c r="F215" s="23" t="n">
        <f aca="false">D215-E215</f>
        <v>-4395.58755553803</v>
      </c>
      <c r="G215" s="24" t="n">
        <f aca="false">IF(E215&gt;0,D215/E215-1,"")</f>
        <v>-0.366335976463659</v>
      </c>
      <c r="H215" s="3" t="str">
        <f aca="false">IF(MAX(D215,E215)&lt;Parametros!$B$16,"",IF(E215=0,"PIDE SIN FCST",IF(ABS(G215)&gt;Parametros!$B$14,IF(G215&gt;0,"SOBRE FCST","BAJO FCST"),"")))</f>
        <v>BAJO FCST</v>
      </c>
    </row>
    <row r="216" customFormat="false" ht="15" hidden="false" customHeight="false" outlineLevel="0" collapsed="false">
      <c r="A216" s="3" t="n">
        <v>30001992</v>
      </c>
      <c r="B216" s="3" t="s">
        <v>490</v>
      </c>
      <c r="C216" s="3" t="s">
        <v>1380</v>
      </c>
      <c r="D216" s="23" t="n">
        <v>4080</v>
      </c>
      <c r="E216" s="23" t="n">
        <v>8473.71453243654</v>
      </c>
      <c r="F216" s="23" t="n">
        <f aca="false">D216-E216</f>
        <v>-4393.71453243654</v>
      </c>
      <c r="G216" s="24" t="n">
        <f aca="false">IF(E216&gt;0,D216/E216-1,"")</f>
        <v>-0.518511039712022</v>
      </c>
      <c r="H216" s="3" t="str">
        <f aca="false">IF(MAX(D216,E216)&lt;Parametros!$B$16,"",IF(E216=0,"PIDE SIN FCST",IF(ABS(G216)&gt;Parametros!$B$14,IF(G216&gt;0,"SOBRE FCST","BAJO FCST"),"")))</f>
        <v>BAJO FCST</v>
      </c>
    </row>
    <row r="217" customFormat="false" ht="15" hidden="false" customHeight="false" outlineLevel="0" collapsed="false">
      <c r="A217" s="3" t="n">
        <v>30000258</v>
      </c>
      <c r="B217" s="3" t="s">
        <v>227</v>
      </c>
      <c r="C217" s="3" t="s">
        <v>1377</v>
      </c>
      <c r="D217" s="23" t="n">
        <v>6120</v>
      </c>
      <c r="E217" s="23" t="n">
        <v>10501.4716038716</v>
      </c>
      <c r="F217" s="23" t="n">
        <f aca="false">D217-E217</f>
        <v>-4381.47160387161</v>
      </c>
      <c r="G217" s="24" t="n">
        <f aca="false">IF(E217&gt;0,D217/E217-1,"")</f>
        <v>-0.41722453472676</v>
      </c>
      <c r="H217" s="3" t="str">
        <f aca="false">IF(MAX(D217,E217)&lt;Parametros!$B$16,"",IF(E217=0,"PIDE SIN FCST",IF(ABS(G217)&gt;Parametros!$B$14,IF(G217&gt;0,"SOBRE FCST","BAJO FCST"),"")))</f>
        <v>BAJO FCST</v>
      </c>
    </row>
    <row r="218" customFormat="false" ht="15" hidden="false" customHeight="false" outlineLevel="0" collapsed="false">
      <c r="A218" s="3" t="n">
        <v>30000257</v>
      </c>
      <c r="B218" s="3" t="s">
        <v>228</v>
      </c>
      <c r="C218" s="3" t="s">
        <v>1379</v>
      </c>
      <c r="D218" s="23" t="n">
        <v>6048</v>
      </c>
      <c r="E218" s="23" t="n">
        <v>10427.5</v>
      </c>
      <c r="F218" s="23" t="n">
        <f aca="false">D218-E218</f>
        <v>-4379.5</v>
      </c>
      <c r="G218" s="24" t="n">
        <f aca="false">IF(E218&gt;0,D218/E218-1,"")</f>
        <v>-0.419995204986814</v>
      </c>
      <c r="H218" s="3" t="str">
        <f aca="false">IF(MAX(D218,E218)&lt;Parametros!$B$16,"",IF(E218=0,"PIDE SIN FCST",IF(ABS(G218)&gt;Parametros!$B$14,IF(G218&gt;0,"SOBRE FCST","BAJO FCST"),"")))</f>
        <v>BAJO FCST</v>
      </c>
    </row>
    <row r="219" customFormat="false" ht="15" hidden="false" customHeight="false" outlineLevel="0" collapsed="false">
      <c r="A219" s="3" t="n">
        <v>30000347</v>
      </c>
      <c r="B219" s="3" t="s">
        <v>319</v>
      </c>
      <c r="C219" s="3" t="s">
        <v>1373</v>
      </c>
      <c r="D219" s="23" t="n">
        <v>6630</v>
      </c>
      <c r="E219" s="23" t="n">
        <v>10993.7666666667</v>
      </c>
      <c r="F219" s="23" t="n">
        <f aca="false">D219-E219</f>
        <v>-4363.76666666667</v>
      </c>
      <c r="G219" s="24" t="n">
        <f aca="false">IF(E219&gt;0,D219/E219-1,"")</f>
        <v>-0.396930988166022</v>
      </c>
      <c r="H219" s="3" t="str">
        <f aca="false">IF(MAX(D219,E219)&lt;Parametros!$B$16,"",IF(E219=0,"PIDE SIN FCST",IF(ABS(G219)&gt;Parametros!$B$14,IF(G219&gt;0,"SOBRE FCST","BAJO FCST"),"")))</f>
        <v>BAJO FCST</v>
      </c>
    </row>
    <row r="220" customFormat="false" ht="15" hidden="false" customHeight="false" outlineLevel="0" collapsed="false">
      <c r="A220" s="3" t="n">
        <v>30000006</v>
      </c>
      <c r="B220" s="3" t="s">
        <v>402</v>
      </c>
      <c r="C220" s="3" t="s">
        <v>1380</v>
      </c>
      <c r="D220" s="23" t="n">
        <v>11088</v>
      </c>
      <c r="E220" s="23" t="n">
        <v>6727</v>
      </c>
      <c r="F220" s="23" t="n">
        <f aca="false">D220-E220</f>
        <v>4361</v>
      </c>
      <c r="G220" s="24" t="n">
        <f aca="false">IF(E220&gt;0,D220/E220-1,"")</f>
        <v>0.648283038501561</v>
      </c>
      <c r="H220" s="3" t="str">
        <f aca="false">IF(MAX(D220,E220)&lt;Parametros!$B$16,"",IF(E220=0,"PIDE SIN FCST",IF(ABS(G220)&gt;Parametros!$B$14,IF(G220&gt;0,"SOBRE FCST","BAJO FCST"),"")))</f>
        <v>SOBRE FCST</v>
      </c>
    </row>
    <row r="221" customFormat="false" ht="15" hidden="false" customHeight="false" outlineLevel="0" collapsed="false">
      <c r="A221" s="3" t="n">
        <v>30002177</v>
      </c>
      <c r="B221" s="3" t="s">
        <v>285</v>
      </c>
      <c r="C221" s="3" t="s">
        <v>1373</v>
      </c>
      <c r="D221" s="23" t="n">
        <v>9457.6</v>
      </c>
      <c r="E221" s="23" t="n">
        <v>13815.8933333333</v>
      </c>
      <c r="F221" s="23" t="n">
        <f aca="false">D221-E221</f>
        <v>-4358.29333333333</v>
      </c>
      <c r="G221" s="24" t="n">
        <f aca="false">IF(E221&gt;0,D221/E221-1,"")</f>
        <v>-0.315455050801396</v>
      </c>
      <c r="H221" s="3" t="str">
        <f aca="false">IF(MAX(D221,E221)&lt;Parametros!$B$16,"",IF(E221=0,"PIDE SIN FCST",IF(ABS(G221)&gt;Parametros!$B$14,IF(G221&gt;0,"SOBRE FCST","BAJO FCST"),"")))</f>
        <v>BAJO FCST</v>
      </c>
    </row>
    <row r="222" customFormat="false" ht="15" hidden="false" customHeight="false" outlineLevel="0" collapsed="false">
      <c r="A222" s="3" t="n">
        <v>30001746</v>
      </c>
      <c r="B222" s="3" t="s">
        <v>375</v>
      </c>
      <c r="C222" s="3" t="s">
        <v>1380</v>
      </c>
      <c r="D222" s="23" t="n">
        <v>12253.68</v>
      </c>
      <c r="E222" s="23" t="n">
        <v>7900</v>
      </c>
      <c r="F222" s="23" t="n">
        <f aca="false">D222-E222</f>
        <v>4353.68</v>
      </c>
      <c r="G222" s="24" t="n">
        <f aca="false">IF(E222&gt;0,D222/E222-1,"")</f>
        <v>0.551098734177215</v>
      </c>
      <c r="H222" s="3" t="str">
        <f aca="false">IF(MAX(D222,E222)&lt;Parametros!$B$16,"",IF(E222=0,"PIDE SIN FCST",IF(ABS(G222)&gt;Parametros!$B$14,IF(G222&gt;0,"SOBRE FCST","BAJO FCST"),"")))</f>
        <v>SOBRE FCST</v>
      </c>
    </row>
    <row r="223" customFormat="false" ht="15" hidden="false" customHeight="false" outlineLevel="0" collapsed="false">
      <c r="A223" s="3" t="n">
        <v>30002155</v>
      </c>
      <c r="B223" s="3" t="s">
        <v>273</v>
      </c>
      <c r="C223" s="3" t="s">
        <v>1372</v>
      </c>
      <c r="D223" s="23" t="n">
        <v>4329.6</v>
      </c>
      <c r="E223" s="23" t="n">
        <v>0</v>
      </c>
      <c r="F223" s="23" t="n">
        <f aca="false">D223-E223</f>
        <v>4329.6</v>
      </c>
      <c r="G223" s="24" t="str">
        <f aca="false">IF(E223&gt;0,D223/E223-1,"")</f>
        <v/>
      </c>
      <c r="H223" s="3" t="str">
        <f aca="false">IF(MAX(D223,E223)&lt;Parametros!$B$16,"",IF(E223=0,"PIDE SIN FCST",IF(ABS(G223)&gt;Parametros!$B$14,IF(G223&gt;0,"SOBRE FCST","BAJO FCST"),"")))</f>
        <v>PIDE SIN FCST</v>
      </c>
    </row>
    <row r="224" customFormat="false" ht="15" hidden="false" customHeight="false" outlineLevel="0" collapsed="false">
      <c r="A224" s="3" t="n">
        <v>30002331</v>
      </c>
      <c r="B224" s="3" t="s">
        <v>543</v>
      </c>
      <c r="C224" s="3" t="s">
        <v>1375</v>
      </c>
      <c r="D224" s="23" t="n">
        <v>9768</v>
      </c>
      <c r="E224" s="23" t="n">
        <v>5440</v>
      </c>
      <c r="F224" s="23" t="n">
        <f aca="false">D224-E224</f>
        <v>4328</v>
      </c>
      <c r="G224" s="24" t="n">
        <f aca="false">IF(E224&gt;0,D224/E224-1,"")</f>
        <v>0.795588235294118</v>
      </c>
      <c r="H224" s="3" t="str">
        <f aca="false">IF(MAX(D224,E224)&lt;Parametros!$B$16,"",IF(E224=0,"PIDE SIN FCST",IF(ABS(G224)&gt;Parametros!$B$14,IF(G224&gt;0,"SOBRE FCST","BAJO FCST"),"")))</f>
        <v>SOBRE FCST</v>
      </c>
    </row>
    <row r="225" customFormat="false" ht="15" hidden="false" customHeight="false" outlineLevel="0" collapsed="false">
      <c r="A225" s="3" t="n">
        <v>30002326</v>
      </c>
      <c r="B225" s="3" t="s">
        <v>533</v>
      </c>
      <c r="C225" s="3" t="s">
        <v>1375</v>
      </c>
      <c r="D225" s="23" t="n">
        <v>10323</v>
      </c>
      <c r="E225" s="23" t="n">
        <v>6000</v>
      </c>
      <c r="F225" s="23" t="n">
        <f aca="false">D225-E225</f>
        <v>4323</v>
      </c>
      <c r="G225" s="24" t="n">
        <f aca="false">IF(E225&gt;0,D225/E225-1,"")</f>
        <v>0.7205</v>
      </c>
      <c r="H225" s="3" t="str">
        <f aca="false">IF(MAX(D225,E225)&lt;Parametros!$B$16,"",IF(E225=0,"PIDE SIN FCST",IF(ABS(G225)&gt;Parametros!$B$14,IF(G225&gt;0,"SOBRE FCST","BAJO FCST"),"")))</f>
        <v>SOBRE FCST</v>
      </c>
    </row>
    <row r="226" customFormat="false" ht="15" hidden="false" customHeight="false" outlineLevel="0" collapsed="false">
      <c r="A226" s="3" t="n">
        <v>30002180</v>
      </c>
      <c r="B226" s="3" t="s">
        <v>426</v>
      </c>
      <c r="C226" s="3" t="s">
        <v>1373</v>
      </c>
      <c r="D226" s="23" t="n">
        <v>1715.7</v>
      </c>
      <c r="E226" s="23" t="n">
        <v>6028.11208333333</v>
      </c>
      <c r="F226" s="23" t="n">
        <f aca="false">D226-E226</f>
        <v>-4312.41208333333</v>
      </c>
      <c r="G226" s="24" t="n">
        <f aca="false">IF(E226&gt;0,D226/E226-1,"")</f>
        <v>-0.715383527001164</v>
      </c>
      <c r="H226" s="3" t="str">
        <f aca="false">IF(MAX(D226,E226)&lt;Parametros!$B$16,"",IF(E226=0,"PIDE SIN FCST",IF(ABS(G226)&gt;Parametros!$B$14,IF(G226&gt;0,"SOBRE FCST","BAJO FCST"),"")))</f>
        <v>BAJO FCST</v>
      </c>
    </row>
    <row r="227" customFormat="false" ht="15" hidden="false" customHeight="false" outlineLevel="0" collapsed="false">
      <c r="A227" s="3" t="n">
        <v>30000489</v>
      </c>
      <c r="B227" s="3" t="s">
        <v>415</v>
      </c>
      <c r="C227" s="3" t="s">
        <v>1380</v>
      </c>
      <c r="D227" s="23" t="n">
        <v>2430</v>
      </c>
      <c r="E227" s="23" t="n">
        <v>6727.83047766261</v>
      </c>
      <c r="F227" s="23" t="n">
        <f aca="false">D227-E227</f>
        <v>-4297.83047766261</v>
      </c>
      <c r="G227" s="24" t="n">
        <f aca="false">IF(E227&gt;0,D227/E227-1,"")</f>
        <v>-0.638813729319138</v>
      </c>
      <c r="H227" s="3" t="str">
        <f aca="false">IF(MAX(D227,E227)&lt;Parametros!$B$16,"",IF(E227=0,"PIDE SIN FCST",IF(ABS(G227)&gt;Parametros!$B$14,IF(G227&gt;0,"SOBRE FCST","BAJO FCST"),"")))</f>
        <v>BAJO FCST</v>
      </c>
    </row>
    <row r="228" customFormat="false" ht="15" hidden="false" customHeight="false" outlineLevel="0" collapsed="false">
      <c r="A228" s="3" t="n">
        <v>30000049</v>
      </c>
      <c r="B228" s="3" t="s">
        <v>217</v>
      </c>
      <c r="C228" s="3" t="s">
        <v>1373</v>
      </c>
      <c r="D228" s="23" t="n">
        <v>60708.96</v>
      </c>
      <c r="E228" s="23" t="n">
        <v>65000</v>
      </c>
      <c r="F228" s="23" t="n">
        <f aca="false">D228-E228</f>
        <v>-4291.03999999999</v>
      </c>
      <c r="G228" s="24" t="n">
        <f aca="false">IF(E228&gt;0,D228/E228-1,"")</f>
        <v>-0.0660159999999999</v>
      </c>
      <c r="H228" s="3" t="str">
        <f aca="false">IF(MAX(D228,E228)&lt;Parametros!$B$16,"",IF(E228=0,"PIDE SIN FCST",IF(ABS(G228)&gt;Parametros!$B$14,IF(G228&gt;0,"SOBRE FCST","BAJO FCST"),"")))</f>
        <v/>
      </c>
    </row>
    <row r="229" customFormat="false" ht="15" hidden="false" customHeight="false" outlineLevel="0" collapsed="false">
      <c r="A229" s="3" t="n">
        <v>30001075</v>
      </c>
      <c r="B229" s="3" t="s">
        <v>297</v>
      </c>
      <c r="C229" s="3" t="s">
        <v>1380</v>
      </c>
      <c r="D229" s="23" t="n">
        <v>8236.8</v>
      </c>
      <c r="E229" s="23" t="n">
        <v>12523.1936373294</v>
      </c>
      <c r="F229" s="23" t="n">
        <f aca="false">D229-E229</f>
        <v>-4286.39363732942</v>
      </c>
      <c r="G229" s="24" t="n">
        <f aca="false">IF(E229&gt;0,D229/E229-1,"")</f>
        <v>-0.342276400210921</v>
      </c>
      <c r="H229" s="3" t="str">
        <f aca="false">IF(MAX(D229,E229)&lt;Parametros!$B$16,"",IF(E229=0,"PIDE SIN FCST",IF(ABS(G229)&gt;Parametros!$B$14,IF(G229&gt;0,"SOBRE FCST","BAJO FCST"),"")))</f>
        <v>BAJO FCST</v>
      </c>
    </row>
    <row r="230" customFormat="false" ht="15" hidden="false" customHeight="false" outlineLevel="0" collapsed="false">
      <c r="A230" s="3" t="n">
        <v>30001684</v>
      </c>
      <c r="B230" s="3" t="s">
        <v>274</v>
      </c>
      <c r="C230" s="3" t="s">
        <v>1375</v>
      </c>
      <c r="D230" s="23" t="n">
        <v>14748</v>
      </c>
      <c r="E230" s="23" t="n">
        <v>19000</v>
      </c>
      <c r="F230" s="23" t="n">
        <f aca="false">D230-E230</f>
        <v>-4252</v>
      </c>
      <c r="G230" s="24" t="n">
        <f aca="false">IF(E230&gt;0,D230/E230-1,"")</f>
        <v>-0.223789473684211</v>
      </c>
      <c r="H230" s="3" t="str">
        <f aca="false">IF(MAX(D230,E230)&lt;Parametros!$B$16,"",IF(E230=0,"PIDE SIN FCST",IF(ABS(G230)&gt;Parametros!$B$14,IF(G230&gt;0,"SOBRE FCST","BAJO FCST"),"")))</f>
        <v>BAJO FCST</v>
      </c>
    </row>
    <row r="231" customFormat="false" ht="15" hidden="false" customHeight="false" outlineLevel="0" collapsed="false">
      <c r="A231" s="3" t="n">
        <v>30000256</v>
      </c>
      <c r="B231" s="3" t="s">
        <v>225</v>
      </c>
      <c r="C231" s="3" t="s">
        <v>1377</v>
      </c>
      <c r="D231" s="23" t="n">
        <v>5598</v>
      </c>
      <c r="E231" s="23" t="n">
        <v>9849.75394737365</v>
      </c>
      <c r="F231" s="23" t="n">
        <f aca="false">D231-E231</f>
        <v>-4251.75394737365</v>
      </c>
      <c r="G231" s="24" t="n">
        <f aca="false">IF(E231&gt;0,D231/E231-1,"")</f>
        <v>-0.43166092981514</v>
      </c>
      <c r="H231" s="3" t="str">
        <f aca="false">IF(MAX(D231,E231)&lt;Parametros!$B$16,"",IF(E231=0,"PIDE SIN FCST",IF(ABS(G231)&gt;Parametros!$B$14,IF(G231&gt;0,"SOBRE FCST","BAJO FCST"),"")))</f>
        <v>BAJO FCST</v>
      </c>
    </row>
    <row r="232" customFormat="false" ht="15" hidden="false" customHeight="false" outlineLevel="0" collapsed="false">
      <c r="A232" s="3" t="n">
        <v>30001049</v>
      </c>
      <c r="B232" s="3" t="s">
        <v>269</v>
      </c>
      <c r="C232" s="3" t="s">
        <v>1379</v>
      </c>
      <c r="D232" s="23" t="n">
        <v>12660</v>
      </c>
      <c r="E232" s="23" t="n">
        <v>8417.41949174846</v>
      </c>
      <c r="F232" s="23" t="n">
        <f aca="false">D232-E232</f>
        <v>4242.58050825154</v>
      </c>
      <c r="G232" s="24" t="n">
        <f aca="false">IF(E232&gt;0,D232/E232-1,"")</f>
        <v>0.504023889080319</v>
      </c>
      <c r="H232" s="3" t="str">
        <f aca="false">IF(MAX(D232,E232)&lt;Parametros!$B$16,"",IF(E232=0,"PIDE SIN FCST",IF(ABS(G232)&gt;Parametros!$B$14,IF(G232&gt;0,"SOBRE FCST","BAJO FCST"),"")))</f>
        <v>SOBRE FCST</v>
      </c>
    </row>
    <row r="233" customFormat="false" ht="15" hidden="false" customHeight="false" outlineLevel="0" collapsed="false">
      <c r="A233" s="3" t="n">
        <v>30000255</v>
      </c>
      <c r="B233" s="3" t="s">
        <v>221</v>
      </c>
      <c r="C233" s="3" t="s">
        <v>1379</v>
      </c>
      <c r="D233" s="23" t="n">
        <v>11232</v>
      </c>
      <c r="E233" s="23" t="n">
        <v>15439</v>
      </c>
      <c r="F233" s="23" t="n">
        <f aca="false">D233-E233</f>
        <v>-4207</v>
      </c>
      <c r="G233" s="24" t="n">
        <f aca="false">IF(E233&gt;0,D233/E233-1,"")</f>
        <v>-0.272491741693115</v>
      </c>
      <c r="H233" s="3" t="str">
        <f aca="false">IF(MAX(D233,E233)&lt;Parametros!$B$16,"",IF(E233=0,"PIDE SIN FCST",IF(ABS(G233)&gt;Parametros!$B$14,IF(G233&gt;0,"SOBRE FCST","BAJO FCST"),"")))</f>
        <v>BAJO FCST</v>
      </c>
    </row>
    <row r="234" customFormat="false" ht="15" hidden="false" customHeight="false" outlineLevel="0" collapsed="false">
      <c r="A234" s="3" t="n">
        <v>30001365</v>
      </c>
      <c r="B234" s="3" t="s">
        <v>302</v>
      </c>
      <c r="C234" s="3" t="s">
        <v>1375</v>
      </c>
      <c r="D234" s="23" t="n">
        <v>18187.35</v>
      </c>
      <c r="E234" s="23" t="n">
        <v>14000</v>
      </c>
      <c r="F234" s="23" t="n">
        <f aca="false">D234-E234</f>
        <v>4187.35</v>
      </c>
      <c r="G234" s="24" t="n">
        <f aca="false">IF(E234&gt;0,D234/E234-1,"")</f>
        <v>0.299096428571428</v>
      </c>
      <c r="H234" s="3" t="str">
        <f aca="false">IF(MAX(D234,E234)&lt;Parametros!$B$16,"",IF(E234=0,"PIDE SIN FCST",IF(ABS(G234)&gt;Parametros!$B$14,IF(G234&gt;0,"SOBRE FCST","BAJO FCST"),"")))</f>
        <v>SOBRE FCST</v>
      </c>
    </row>
    <row r="235" customFormat="false" ht="15" hidden="false" customHeight="false" outlineLevel="0" collapsed="false">
      <c r="A235" s="3" t="n">
        <v>30000010</v>
      </c>
      <c r="B235" s="3" t="s">
        <v>331</v>
      </c>
      <c r="C235" s="3" t="s">
        <v>1380</v>
      </c>
      <c r="D235" s="23" t="n">
        <v>11088</v>
      </c>
      <c r="E235" s="23" t="n">
        <v>15273</v>
      </c>
      <c r="F235" s="23" t="n">
        <f aca="false">D235-E235</f>
        <v>-4185</v>
      </c>
      <c r="G235" s="24" t="n">
        <f aca="false">IF(E235&gt;0,D235/E235-1,"")</f>
        <v>-0.274012964054213</v>
      </c>
      <c r="H235" s="3" t="str">
        <f aca="false">IF(MAX(D235,E235)&lt;Parametros!$B$16,"",IF(E235=0,"PIDE SIN FCST",IF(ABS(G235)&gt;Parametros!$B$14,IF(G235&gt;0,"SOBRE FCST","BAJO FCST"),"")))</f>
        <v>BAJO FCST</v>
      </c>
    </row>
    <row r="236" customFormat="false" ht="15" hidden="false" customHeight="false" outlineLevel="0" collapsed="false">
      <c r="A236" s="3" t="n">
        <v>30001816</v>
      </c>
      <c r="B236" s="3" t="s">
        <v>421</v>
      </c>
      <c r="C236" s="3" t="s">
        <v>1372</v>
      </c>
      <c r="D236" s="23" t="n">
        <v>5624.64</v>
      </c>
      <c r="E236" s="23" t="n">
        <v>1467.9154275049</v>
      </c>
      <c r="F236" s="23" t="n">
        <f aca="false">D236-E236</f>
        <v>4156.7245724951</v>
      </c>
      <c r="G236" s="24" t="n">
        <f aca="false">IF(E236&gt;0,D236/E236-1,"")</f>
        <v>2.83171938560556</v>
      </c>
      <c r="H236" s="3" t="str">
        <f aca="false">IF(MAX(D236,E236)&lt;Parametros!$B$16,"",IF(E236=0,"PIDE SIN FCST",IF(ABS(G236)&gt;Parametros!$B$14,IF(G236&gt;0,"SOBRE FCST","BAJO FCST"),"")))</f>
        <v>SOBRE FCST</v>
      </c>
    </row>
    <row r="237" customFormat="false" ht="15" hidden="false" customHeight="false" outlineLevel="0" collapsed="false">
      <c r="A237" s="3" t="n">
        <v>30002091</v>
      </c>
      <c r="B237" s="3" t="s">
        <v>325</v>
      </c>
      <c r="C237" s="3" t="s">
        <v>1375</v>
      </c>
      <c r="D237" s="23" t="n">
        <v>12650.4</v>
      </c>
      <c r="E237" s="23" t="n">
        <v>8500</v>
      </c>
      <c r="F237" s="23" t="n">
        <f aca="false">D237-E237</f>
        <v>4150.4</v>
      </c>
      <c r="G237" s="24" t="n">
        <f aca="false">IF(E237&gt;0,D237/E237-1,"")</f>
        <v>0.488282352941176</v>
      </c>
      <c r="H237" s="3" t="str">
        <f aca="false">IF(MAX(D237,E237)&lt;Parametros!$B$16,"",IF(E237=0,"PIDE SIN FCST",IF(ABS(G237)&gt;Parametros!$B$14,IF(G237&gt;0,"SOBRE FCST","BAJO FCST"),"")))</f>
        <v>SOBRE FCST</v>
      </c>
    </row>
    <row r="238" customFormat="false" ht="15" hidden="false" customHeight="false" outlineLevel="0" collapsed="false">
      <c r="A238" s="3" t="n">
        <v>30002315</v>
      </c>
      <c r="B238" s="3" t="s">
        <v>260</v>
      </c>
      <c r="C238" s="3" t="s">
        <v>1379</v>
      </c>
      <c r="D238" s="23" t="n">
        <v>6108</v>
      </c>
      <c r="E238" s="23" t="n">
        <v>2000</v>
      </c>
      <c r="F238" s="23" t="n">
        <f aca="false">D238-E238</f>
        <v>4108</v>
      </c>
      <c r="G238" s="24" t="n">
        <f aca="false">IF(E238&gt;0,D238/E238-1,"")</f>
        <v>2.054</v>
      </c>
      <c r="H238" s="3" t="str">
        <f aca="false">IF(MAX(D238,E238)&lt;Parametros!$B$16,"",IF(E238=0,"PIDE SIN FCST",IF(ABS(G238)&gt;Parametros!$B$14,IF(G238&gt;0,"SOBRE FCST","BAJO FCST"),"")))</f>
        <v>SOBRE FCST</v>
      </c>
    </row>
    <row r="239" customFormat="false" ht="15" hidden="false" customHeight="false" outlineLevel="0" collapsed="false">
      <c r="A239" s="3" t="n">
        <v>30001038</v>
      </c>
      <c r="B239" s="3" t="s">
        <v>230</v>
      </c>
      <c r="C239" s="3" t="s">
        <v>1378</v>
      </c>
      <c r="D239" s="23" t="n">
        <v>5823.84</v>
      </c>
      <c r="E239" s="23" t="n">
        <v>1725.15013099147</v>
      </c>
      <c r="F239" s="23" t="n">
        <f aca="false">D239-E239</f>
        <v>4098.68986900853</v>
      </c>
      <c r="G239" s="24" t="n">
        <f aca="false">IF(E239&gt;0,D239/E239-1,"")</f>
        <v>2.37584532231577</v>
      </c>
      <c r="H239" s="3" t="str">
        <f aca="false">IF(MAX(D239,E239)&lt;Parametros!$B$16,"",IF(E239=0,"PIDE SIN FCST",IF(ABS(G239)&gt;Parametros!$B$14,IF(G239&gt;0,"SOBRE FCST","BAJO FCST"),"")))</f>
        <v>SOBRE FCST</v>
      </c>
    </row>
    <row r="240" customFormat="false" ht="15" hidden="false" customHeight="false" outlineLevel="0" collapsed="false">
      <c r="A240" s="3" t="n">
        <v>30002078</v>
      </c>
      <c r="B240" s="3" t="s">
        <v>339</v>
      </c>
      <c r="C240" s="3" t="s">
        <v>1380</v>
      </c>
      <c r="D240" s="23" t="n">
        <v>16128</v>
      </c>
      <c r="E240" s="23" t="n">
        <v>12037.6</v>
      </c>
      <c r="F240" s="23" t="n">
        <f aca="false">D240-E240</f>
        <v>4090.4</v>
      </c>
      <c r="G240" s="24" t="n">
        <f aca="false">IF(E240&gt;0,D240/E240-1,"")</f>
        <v>0.339801953877849</v>
      </c>
      <c r="H240" s="3" t="str">
        <f aca="false">IF(MAX(D240,E240)&lt;Parametros!$B$16,"",IF(E240=0,"PIDE SIN FCST",IF(ABS(G240)&gt;Parametros!$B$14,IF(G240&gt;0,"SOBRE FCST","BAJO FCST"),"")))</f>
        <v>SOBRE FCST</v>
      </c>
    </row>
    <row r="241" customFormat="false" ht="15" hidden="false" customHeight="false" outlineLevel="0" collapsed="false">
      <c r="A241" s="3" t="n">
        <v>30000516</v>
      </c>
      <c r="B241" s="3" t="s">
        <v>281</v>
      </c>
      <c r="C241" s="3" t="s">
        <v>1373</v>
      </c>
      <c r="D241" s="23" t="n">
        <v>5208</v>
      </c>
      <c r="E241" s="23" t="n">
        <v>9296.5</v>
      </c>
      <c r="F241" s="23" t="n">
        <f aca="false">D241-E241</f>
        <v>-4088.5</v>
      </c>
      <c r="G241" s="24" t="n">
        <f aca="false">IF(E241&gt;0,D241/E241-1,"")</f>
        <v>-0.439789167966439</v>
      </c>
      <c r="H241" s="3" t="str">
        <f aca="false">IF(MAX(D241,E241)&lt;Parametros!$B$16,"",IF(E241=0,"PIDE SIN FCST",IF(ABS(G241)&gt;Parametros!$B$14,IF(G241&gt;0,"SOBRE FCST","BAJO FCST"),"")))</f>
        <v>BAJO FCST</v>
      </c>
    </row>
    <row r="242" customFormat="false" ht="15" hidden="false" customHeight="false" outlineLevel="0" collapsed="false">
      <c r="A242" s="3" t="n">
        <v>30002065</v>
      </c>
      <c r="B242" s="3" t="s">
        <v>313</v>
      </c>
      <c r="C242" s="3" t="s">
        <v>1376</v>
      </c>
      <c r="D242" s="23" t="n">
        <v>11388</v>
      </c>
      <c r="E242" s="23" t="n">
        <v>7300</v>
      </c>
      <c r="F242" s="23" t="n">
        <f aca="false">D242-E242</f>
        <v>4088</v>
      </c>
      <c r="G242" s="24" t="n">
        <f aca="false">IF(E242&gt;0,D242/E242-1,"")</f>
        <v>0.56</v>
      </c>
      <c r="H242" s="3" t="str">
        <f aca="false">IF(MAX(D242,E242)&lt;Parametros!$B$16,"",IF(E242=0,"PIDE SIN FCST",IF(ABS(G242)&gt;Parametros!$B$14,IF(G242&gt;0,"SOBRE FCST","BAJO FCST"),"")))</f>
        <v>SOBRE FCST</v>
      </c>
    </row>
    <row r="243" customFormat="false" ht="15" hidden="false" customHeight="false" outlineLevel="0" collapsed="false">
      <c r="A243" s="3" t="n">
        <v>30000551</v>
      </c>
      <c r="B243" s="3" t="s">
        <v>245</v>
      </c>
      <c r="C243" s="3" t="s">
        <v>1380</v>
      </c>
      <c r="D243" s="23" t="n">
        <v>64915.2</v>
      </c>
      <c r="E243" s="23" t="n">
        <v>69000</v>
      </c>
      <c r="F243" s="23" t="n">
        <f aca="false">D243-E243</f>
        <v>-4084.8</v>
      </c>
      <c r="G243" s="24" t="n">
        <f aca="false">IF(E243&gt;0,D243/E243-1,"")</f>
        <v>-0.0592</v>
      </c>
      <c r="H243" s="3" t="str">
        <f aca="false">IF(MAX(D243,E243)&lt;Parametros!$B$16,"",IF(E243=0,"PIDE SIN FCST",IF(ABS(G243)&gt;Parametros!$B$14,IF(G243&gt;0,"SOBRE FCST","BAJO FCST"),"")))</f>
        <v/>
      </c>
    </row>
    <row r="244" customFormat="false" ht="15" hidden="false" customHeight="false" outlineLevel="0" collapsed="false">
      <c r="A244" s="3" t="n">
        <v>30001988</v>
      </c>
      <c r="B244" s="3" t="s">
        <v>599</v>
      </c>
      <c r="C244" s="3" t="s">
        <v>1379</v>
      </c>
      <c r="D244" s="23" t="n">
        <v>2760</v>
      </c>
      <c r="E244" s="23" t="n">
        <v>6836</v>
      </c>
      <c r="F244" s="23" t="n">
        <f aca="false">D244-E244</f>
        <v>-4076</v>
      </c>
      <c r="G244" s="24" t="n">
        <f aca="false">IF(E244&gt;0,D244/E244-1,"")</f>
        <v>-0.596255119953189</v>
      </c>
      <c r="H244" s="3" t="str">
        <f aca="false">IF(MAX(D244,E244)&lt;Parametros!$B$16,"",IF(E244=0,"PIDE SIN FCST",IF(ABS(G244)&gt;Parametros!$B$14,IF(G244&gt;0,"SOBRE FCST","BAJO FCST"),"")))</f>
        <v>BAJO FCST</v>
      </c>
    </row>
    <row r="245" customFormat="false" ht="15" hidden="false" customHeight="false" outlineLevel="0" collapsed="false">
      <c r="A245" s="3" t="n">
        <v>30001091</v>
      </c>
      <c r="B245" s="3" t="s">
        <v>303</v>
      </c>
      <c r="C245" s="3" t="s">
        <v>1380</v>
      </c>
      <c r="D245" s="23" t="n">
        <v>8424</v>
      </c>
      <c r="E245" s="23" t="n">
        <v>12493.1051033099</v>
      </c>
      <c r="F245" s="23" t="n">
        <f aca="false">D245-E245</f>
        <v>-4069.10510330987</v>
      </c>
      <c r="G245" s="24" t="n">
        <f aca="false">IF(E245&gt;0,D245/E245-1,"")</f>
        <v>-0.325708066142165</v>
      </c>
      <c r="H245" s="3" t="str">
        <f aca="false">IF(MAX(D245,E245)&lt;Parametros!$B$16,"",IF(E245=0,"PIDE SIN FCST",IF(ABS(G245)&gt;Parametros!$B$14,IF(G245&gt;0,"SOBRE FCST","BAJO FCST"),"")))</f>
        <v>BAJO FCST</v>
      </c>
    </row>
    <row r="246" customFormat="false" ht="15" hidden="false" customHeight="false" outlineLevel="0" collapsed="false">
      <c r="A246" s="3" t="n">
        <v>30002065</v>
      </c>
      <c r="B246" s="3" t="s">
        <v>313</v>
      </c>
      <c r="C246" s="3" t="s">
        <v>1373</v>
      </c>
      <c r="D246" s="23" t="n">
        <v>6132</v>
      </c>
      <c r="E246" s="23" t="n">
        <v>10200.2691666667</v>
      </c>
      <c r="F246" s="23" t="n">
        <f aca="false">D246-E246</f>
        <v>-4068.26916666667</v>
      </c>
      <c r="G246" s="24" t="n">
        <f aca="false">IF(E246&gt;0,D246/E246-1,"")</f>
        <v>-0.398839393372218</v>
      </c>
      <c r="H246" s="3" t="str">
        <f aca="false">IF(MAX(D246,E246)&lt;Parametros!$B$16,"",IF(E246=0,"PIDE SIN FCST",IF(ABS(G246)&gt;Parametros!$B$14,IF(G246&gt;0,"SOBRE FCST","BAJO FCST"),"")))</f>
        <v>BAJO FCST</v>
      </c>
    </row>
    <row r="247" customFormat="false" ht="15" hidden="false" customHeight="false" outlineLevel="0" collapsed="false">
      <c r="A247" s="3" t="n">
        <v>30001749</v>
      </c>
      <c r="B247" s="3" t="s">
        <v>307</v>
      </c>
      <c r="C247" s="3" t="s">
        <v>1380</v>
      </c>
      <c r="D247" s="23" t="n">
        <v>13840.2</v>
      </c>
      <c r="E247" s="23" t="n">
        <v>9800</v>
      </c>
      <c r="F247" s="23" t="n">
        <f aca="false">D247-E247</f>
        <v>4040.2</v>
      </c>
      <c r="G247" s="24" t="n">
        <f aca="false">IF(E247&gt;0,D247/E247-1,"")</f>
        <v>0.412265306122449</v>
      </c>
      <c r="H247" s="3" t="str">
        <f aca="false">IF(MAX(D247,E247)&lt;Parametros!$B$16,"",IF(E247=0,"PIDE SIN FCST",IF(ABS(G247)&gt;Parametros!$B$14,IF(G247&gt;0,"SOBRE FCST","BAJO FCST"),"")))</f>
        <v>SOBRE FCST</v>
      </c>
    </row>
    <row r="248" customFormat="false" ht="15" hidden="false" customHeight="false" outlineLevel="0" collapsed="false">
      <c r="A248" s="3" t="n">
        <v>30000626</v>
      </c>
      <c r="B248" s="3" t="s">
        <v>238</v>
      </c>
      <c r="C248" s="3" t="s">
        <v>1378</v>
      </c>
      <c r="D248" s="23" t="n">
        <v>893.76</v>
      </c>
      <c r="E248" s="23" t="n">
        <v>4920.8</v>
      </c>
      <c r="F248" s="23" t="n">
        <f aca="false">D248-E248</f>
        <v>-4027.04</v>
      </c>
      <c r="G248" s="24" t="n">
        <f aca="false">IF(E248&gt;0,D248/E248-1,"")</f>
        <v>-0.818370996585921</v>
      </c>
      <c r="H248" s="3" t="str">
        <f aca="false">IF(MAX(D248,E248)&lt;Parametros!$B$16,"",IF(E248=0,"PIDE SIN FCST",IF(ABS(G248)&gt;Parametros!$B$14,IF(G248&gt;0,"SOBRE FCST","BAJO FCST"),"")))</f>
        <v>BAJO FCST</v>
      </c>
    </row>
    <row r="249" customFormat="false" ht="15" hidden="false" customHeight="false" outlineLevel="0" collapsed="false">
      <c r="A249" s="3" t="n">
        <v>30000075</v>
      </c>
      <c r="B249" s="3" t="s">
        <v>380</v>
      </c>
      <c r="C249" s="3" t="s">
        <v>1373</v>
      </c>
      <c r="D249" s="23" t="n">
        <v>16299</v>
      </c>
      <c r="E249" s="23" t="n">
        <v>20320.6485754405</v>
      </c>
      <c r="F249" s="23" t="n">
        <f aca="false">D249-E249</f>
        <v>-4021.64857544049</v>
      </c>
      <c r="G249" s="24" t="n">
        <f aca="false">IF(E249&gt;0,D249/E249-1,"")</f>
        <v>-0.197909459459923</v>
      </c>
      <c r="H249" s="3" t="str">
        <f aca="false">IF(MAX(D249,E249)&lt;Parametros!$B$16,"",IF(E249=0,"PIDE SIN FCST",IF(ABS(G249)&gt;Parametros!$B$14,IF(G249&gt;0,"SOBRE FCST","BAJO FCST"),"")))</f>
        <v/>
      </c>
    </row>
    <row r="250" customFormat="false" ht="15" hidden="false" customHeight="false" outlineLevel="0" collapsed="false">
      <c r="A250" s="3" t="n">
        <v>30000258</v>
      </c>
      <c r="B250" s="3" t="s">
        <v>227</v>
      </c>
      <c r="C250" s="3" t="s">
        <v>1378</v>
      </c>
      <c r="D250" s="23" t="n">
        <v>11412</v>
      </c>
      <c r="E250" s="23" t="n">
        <v>15428.5</v>
      </c>
      <c r="F250" s="23" t="n">
        <f aca="false">D250-E250</f>
        <v>-4016.5</v>
      </c>
      <c r="G250" s="24" t="n">
        <f aca="false">IF(E250&gt;0,D250/E250-1,"")</f>
        <v>-0.260329908934764</v>
      </c>
      <c r="H250" s="3" t="str">
        <f aca="false">IF(MAX(D250,E250)&lt;Parametros!$B$16,"",IF(E250=0,"PIDE SIN FCST",IF(ABS(G250)&gt;Parametros!$B$14,IF(G250&gt;0,"SOBRE FCST","BAJO FCST"),"")))</f>
        <v>BAJO FCST</v>
      </c>
    </row>
    <row r="251" customFormat="false" ht="15" hidden="false" customHeight="false" outlineLevel="0" collapsed="false">
      <c r="A251" s="3" t="n">
        <v>30002217</v>
      </c>
      <c r="B251" s="3" t="s">
        <v>584</v>
      </c>
      <c r="C251" s="3" t="s">
        <v>1379</v>
      </c>
      <c r="D251" s="23" t="n">
        <v>2794.5</v>
      </c>
      <c r="E251" s="23" t="n">
        <v>6769.94529746368</v>
      </c>
      <c r="F251" s="23" t="n">
        <f aca="false">D251-E251</f>
        <v>-3975.44529746368</v>
      </c>
      <c r="G251" s="24" t="n">
        <f aca="false">IF(E251&gt;0,D251/E251-1,"")</f>
        <v>-0.587219707514189</v>
      </c>
      <c r="H251" s="3" t="str">
        <f aca="false">IF(MAX(D251,E251)&lt;Parametros!$B$16,"",IF(E251=0,"PIDE SIN FCST",IF(ABS(G251)&gt;Parametros!$B$14,IF(G251&gt;0,"SOBRE FCST","BAJO FCST"),"")))</f>
        <v>BAJO FCST</v>
      </c>
    </row>
    <row r="252" customFormat="false" ht="15" hidden="false" customHeight="false" outlineLevel="0" collapsed="false">
      <c r="A252" s="3" t="n">
        <v>30001526</v>
      </c>
      <c r="B252" s="3" t="s">
        <v>569</v>
      </c>
      <c r="C252" s="3" t="s">
        <v>1375</v>
      </c>
      <c r="D252" s="23" t="n">
        <v>4890.56</v>
      </c>
      <c r="E252" s="23" t="n">
        <v>950</v>
      </c>
      <c r="F252" s="23" t="n">
        <f aca="false">D252-E252</f>
        <v>3940.56</v>
      </c>
      <c r="G252" s="24" t="n">
        <f aca="false">IF(E252&gt;0,D252/E252-1,"")</f>
        <v>4.14795789473684</v>
      </c>
      <c r="H252" s="3" t="str">
        <f aca="false">IF(MAX(D252,E252)&lt;Parametros!$B$16,"",IF(E252=0,"PIDE SIN FCST",IF(ABS(G252)&gt;Parametros!$B$14,IF(G252&gt;0,"SOBRE FCST","BAJO FCST"),"")))</f>
        <v>SOBRE FCST</v>
      </c>
    </row>
    <row r="253" customFormat="false" ht="15" hidden="false" customHeight="false" outlineLevel="0" collapsed="false">
      <c r="A253" s="3" t="n">
        <v>30000400</v>
      </c>
      <c r="B253" s="3" t="s">
        <v>235</v>
      </c>
      <c r="C253" s="3" t="s">
        <v>1377</v>
      </c>
      <c r="D253" s="23" t="n">
        <v>4950</v>
      </c>
      <c r="E253" s="23" t="n">
        <v>8882.89048384483</v>
      </c>
      <c r="F253" s="23" t="n">
        <f aca="false">D253-E253</f>
        <v>-3932.89048384483</v>
      </c>
      <c r="G253" s="24" t="n">
        <f aca="false">IF(E253&gt;0,D253/E253-1,"")</f>
        <v>-0.442748955533958</v>
      </c>
      <c r="H253" s="3" t="str">
        <f aca="false">IF(MAX(D253,E253)&lt;Parametros!$B$16,"",IF(E253=0,"PIDE SIN FCST",IF(ABS(G253)&gt;Parametros!$B$14,IF(G253&gt;0,"SOBRE FCST","BAJO FCST"),"")))</f>
        <v>BAJO FCST</v>
      </c>
    </row>
    <row r="254" customFormat="false" ht="15" hidden="false" customHeight="false" outlineLevel="0" collapsed="false">
      <c r="A254" s="3" t="n">
        <v>30001939</v>
      </c>
      <c r="B254" s="3" t="s">
        <v>312</v>
      </c>
      <c r="C254" s="3" t="s">
        <v>1373</v>
      </c>
      <c r="D254" s="23" t="n">
        <v>412.8</v>
      </c>
      <c r="E254" s="23" t="n">
        <v>4312.87532747868</v>
      </c>
      <c r="F254" s="23" t="n">
        <f aca="false">D254-E254</f>
        <v>-3900.07532747868</v>
      </c>
      <c r="G254" s="24" t="n">
        <f aca="false">IF(E254&gt;0,D254/E254-1,"")</f>
        <v>-0.904286591042889</v>
      </c>
      <c r="H254" s="3" t="str">
        <f aca="false">IF(MAX(D254,E254)&lt;Parametros!$B$16,"",IF(E254=0,"PIDE SIN FCST",IF(ABS(G254)&gt;Parametros!$B$14,IF(G254&gt;0,"SOBRE FCST","BAJO FCST"),"")))</f>
        <v>BAJO FCST</v>
      </c>
    </row>
    <row r="255" customFormat="false" ht="15" hidden="false" customHeight="false" outlineLevel="0" collapsed="false">
      <c r="A255" s="3" t="n">
        <v>30001083</v>
      </c>
      <c r="B255" s="3" t="s">
        <v>397</v>
      </c>
      <c r="C255" s="3" t="s">
        <v>1380</v>
      </c>
      <c r="D255" s="23" t="n">
        <v>11404.8</v>
      </c>
      <c r="E255" s="23" t="n">
        <v>7510.50679851669</v>
      </c>
      <c r="F255" s="23" t="n">
        <f aca="false">D255-E255</f>
        <v>3894.29320148331</v>
      </c>
      <c r="G255" s="24" t="n">
        <f aca="false">IF(E255&gt;0,D255/E255-1,"")</f>
        <v>0.518512705727452</v>
      </c>
      <c r="H255" s="3" t="str">
        <f aca="false">IF(MAX(D255,E255)&lt;Parametros!$B$16,"",IF(E255=0,"PIDE SIN FCST",IF(ABS(G255)&gt;Parametros!$B$14,IF(G255&gt;0,"SOBRE FCST","BAJO FCST"),"")))</f>
        <v>SOBRE FCST</v>
      </c>
    </row>
    <row r="256" customFormat="false" ht="15" hidden="false" customHeight="false" outlineLevel="0" collapsed="false">
      <c r="A256" s="3" t="n">
        <v>30001487</v>
      </c>
      <c r="B256" s="3" t="s">
        <v>353</v>
      </c>
      <c r="C256" s="3" t="s">
        <v>1380</v>
      </c>
      <c r="D256" s="23" t="n">
        <v>13824</v>
      </c>
      <c r="E256" s="23" t="n">
        <v>9944.16</v>
      </c>
      <c r="F256" s="23" t="n">
        <f aca="false">D256-E256</f>
        <v>3879.84</v>
      </c>
      <c r="G256" s="24" t="n">
        <f aca="false">IF(E256&gt;0,D256/E256-1,"")</f>
        <v>0.390162668340011</v>
      </c>
      <c r="H256" s="3" t="str">
        <f aca="false">IF(MAX(D256,E256)&lt;Parametros!$B$16,"",IF(E256=0,"PIDE SIN FCST",IF(ABS(G256)&gt;Parametros!$B$14,IF(G256&gt;0,"SOBRE FCST","BAJO FCST"),"")))</f>
        <v>SOBRE FCST</v>
      </c>
    </row>
    <row r="257" customFormat="false" ht="15" hidden="false" customHeight="false" outlineLevel="0" collapsed="false">
      <c r="A257" s="3" t="n">
        <v>30000639</v>
      </c>
      <c r="B257" s="3" t="s">
        <v>244</v>
      </c>
      <c r="C257" s="3" t="s">
        <v>1380</v>
      </c>
      <c r="D257" s="23" t="n">
        <v>58842.24</v>
      </c>
      <c r="E257" s="23" t="n">
        <v>55000</v>
      </c>
      <c r="F257" s="23" t="n">
        <f aca="false">D257-E257</f>
        <v>3842.24</v>
      </c>
      <c r="G257" s="24" t="n">
        <f aca="false">IF(E257&gt;0,D257/E257-1,"")</f>
        <v>0.069858909090909</v>
      </c>
      <c r="H257" s="3" t="str">
        <f aca="false">IF(MAX(D257,E257)&lt;Parametros!$B$16,"",IF(E257=0,"PIDE SIN FCST",IF(ABS(G257)&gt;Parametros!$B$14,IF(G257&gt;0,"SOBRE FCST","BAJO FCST"),"")))</f>
        <v/>
      </c>
    </row>
    <row r="258" customFormat="false" ht="15" hidden="false" customHeight="false" outlineLevel="0" collapsed="false">
      <c r="A258" s="3" t="n">
        <v>30000306</v>
      </c>
      <c r="B258" s="3" t="s">
        <v>329</v>
      </c>
      <c r="C258" s="3" t="s">
        <v>1373</v>
      </c>
      <c r="D258" s="23" t="n">
        <v>8460</v>
      </c>
      <c r="E258" s="23" t="n">
        <v>12276.1416666667</v>
      </c>
      <c r="F258" s="23" t="n">
        <f aca="false">D258-E258</f>
        <v>-3816.14166666667</v>
      </c>
      <c r="G258" s="24" t="n">
        <f aca="false">IF(E258&gt;0,D258/E258-1,"")</f>
        <v>-0.310858392668163</v>
      </c>
      <c r="H258" s="3" t="str">
        <f aca="false">IF(MAX(D258,E258)&lt;Parametros!$B$16,"",IF(E258=0,"PIDE SIN FCST",IF(ABS(G258)&gt;Parametros!$B$14,IF(G258&gt;0,"SOBRE FCST","BAJO FCST"),"")))</f>
        <v>BAJO FCST</v>
      </c>
    </row>
    <row r="259" customFormat="false" ht="15" hidden="false" customHeight="false" outlineLevel="0" collapsed="false">
      <c r="A259" s="3" t="n">
        <v>30000075</v>
      </c>
      <c r="B259" s="3" t="s">
        <v>380</v>
      </c>
      <c r="C259" s="3" t="s">
        <v>1372</v>
      </c>
      <c r="D259" s="23" t="n">
        <v>90</v>
      </c>
      <c r="E259" s="23" t="n">
        <v>3881.58779473081</v>
      </c>
      <c r="F259" s="23" t="n">
        <f aca="false">D259-E259</f>
        <v>-3791.58779473081</v>
      </c>
      <c r="G259" s="24" t="n">
        <f aca="false">IF(E259&gt;0,D259/E259-1,"")</f>
        <v>-0.976813612171243</v>
      </c>
      <c r="H259" s="3" t="str">
        <f aca="false">IF(MAX(D259,E259)&lt;Parametros!$B$16,"",IF(E259=0,"PIDE SIN FCST",IF(ABS(G259)&gt;Parametros!$B$14,IF(G259&gt;0,"SOBRE FCST","BAJO FCST"),"")))</f>
        <v>BAJO FCST</v>
      </c>
    </row>
    <row r="260" customFormat="false" ht="15" hidden="false" customHeight="false" outlineLevel="0" collapsed="false">
      <c r="A260" s="3" t="n">
        <v>30000066</v>
      </c>
      <c r="B260" s="3" t="s">
        <v>442</v>
      </c>
      <c r="C260" s="3" t="s">
        <v>1373</v>
      </c>
      <c r="D260" s="23" t="n">
        <v>6379.2</v>
      </c>
      <c r="E260" s="23" t="n">
        <v>2587.72519648721</v>
      </c>
      <c r="F260" s="23" t="n">
        <f aca="false">D260-E260</f>
        <v>3791.47480351279</v>
      </c>
      <c r="G260" s="24" t="n">
        <f aca="false">IF(E260&gt;0,D260/E260-1,"")</f>
        <v>1.46517675395349</v>
      </c>
      <c r="H260" s="3" t="str">
        <f aca="false">IF(MAX(D260,E260)&lt;Parametros!$B$16,"",IF(E260=0,"PIDE SIN FCST",IF(ABS(G260)&gt;Parametros!$B$14,IF(G260&gt;0,"SOBRE FCST","BAJO FCST"),"")))</f>
        <v>SOBRE FCST</v>
      </c>
    </row>
    <row r="261" customFormat="false" ht="15" hidden="false" customHeight="false" outlineLevel="0" collapsed="false">
      <c r="A261" s="3" t="n">
        <v>30002278</v>
      </c>
      <c r="B261" s="3" t="s">
        <v>436</v>
      </c>
      <c r="C261" s="3" t="s">
        <v>1373</v>
      </c>
      <c r="D261" s="23" t="n">
        <v>10710.81</v>
      </c>
      <c r="E261" s="23" t="n">
        <v>14500</v>
      </c>
      <c r="F261" s="23" t="n">
        <f aca="false">D261-E261</f>
        <v>-3789.19</v>
      </c>
      <c r="G261" s="24" t="n">
        <f aca="false">IF(E261&gt;0,D261/E261-1,"")</f>
        <v>-0.261323448275862</v>
      </c>
      <c r="H261" s="3" t="str">
        <f aca="false">IF(MAX(D261,E261)&lt;Parametros!$B$16,"",IF(E261=0,"PIDE SIN FCST",IF(ABS(G261)&gt;Parametros!$B$14,IF(G261&gt;0,"SOBRE FCST","BAJO FCST"),"")))</f>
        <v>BAJO FCST</v>
      </c>
    </row>
    <row r="262" customFormat="false" ht="15" hidden="false" customHeight="false" outlineLevel="0" collapsed="false">
      <c r="A262" s="3" t="n">
        <v>30001760</v>
      </c>
      <c r="B262" s="3" t="s">
        <v>301</v>
      </c>
      <c r="C262" s="3" t="s">
        <v>1378</v>
      </c>
      <c r="D262" s="23" t="n">
        <v>4249.8</v>
      </c>
      <c r="E262" s="23" t="n">
        <v>478.66847826087</v>
      </c>
      <c r="F262" s="23" t="n">
        <f aca="false">D262-E262</f>
        <v>3771.13152173913</v>
      </c>
      <c r="G262" s="24" t="n">
        <f aca="false">IF(E262&gt;0,D262/E262-1,"")</f>
        <v>7.87837865455578</v>
      </c>
      <c r="H262" s="3" t="str">
        <f aca="false">IF(MAX(D262,E262)&lt;Parametros!$B$16,"",IF(E262=0,"PIDE SIN FCST",IF(ABS(G262)&gt;Parametros!$B$14,IF(G262&gt;0,"SOBRE FCST","BAJO FCST"),"")))</f>
        <v>SOBRE FCST</v>
      </c>
    </row>
    <row r="263" customFormat="false" ht="15" hidden="false" customHeight="false" outlineLevel="0" collapsed="false">
      <c r="A263" s="3" t="n">
        <v>30001401</v>
      </c>
      <c r="B263" s="3" t="s">
        <v>304</v>
      </c>
      <c r="C263" s="3" t="s">
        <v>1372</v>
      </c>
      <c r="D263" s="23" t="n">
        <v>2278.8</v>
      </c>
      <c r="E263" s="23" t="n">
        <v>6045.17074136446</v>
      </c>
      <c r="F263" s="23" t="n">
        <f aca="false">D263-E263</f>
        <v>-3766.37074136446</v>
      </c>
      <c r="G263" s="24" t="n">
        <f aca="false">IF(E263&gt;0,D263/E263-1,"")</f>
        <v>-0.623037942599839</v>
      </c>
      <c r="H263" s="3" t="str">
        <f aca="false">IF(MAX(D263,E263)&lt;Parametros!$B$16,"",IF(E263=0,"PIDE SIN FCST",IF(ABS(G263)&gt;Parametros!$B$14,IF(G263&gt;0,"SOBRE FCST","BAJO FCST"),"")))</f>
        <v>BAJO FCST</v>
      </c>
    </row>
    <row r="264" customFormat="false" ht="15" hidden="false" customHeight="false" outlineLevel="0" collapsed="false">
      <c r="A264" s="3" t="n">
        <v>30000301</v>
      </c>
      <c r="B264" s="3" t="s">
        <v>323</v>
      </c>
      <c r="C264" s="3" t="s">
        <v>1373</v>
      </c>
      <c r="D264" s="23" t="n">
        <v>17535</v>
      </c>
      <c r="E264" s="23" t="n">
        <v>21293.9278608204</v>
      </c>
      <c r="F264" s="23" t="n">
        <f aca="false">D264-E264</f>
        <v>-3758.92786082044</v>
      </c>
      <c r="G264" s="24" t="n">
        <f aca="false">IF(E264&gt;0,D264/E264-1,"")</f>
        <v>-0.176525809864165</v>
      </c>
      <c r="H264" s="3" t="str">
        <f aca="false">IF(MAX(D264,E264)&lt;Parametros!$B$16,"",IF(E264=0,"PIDE SIN FCST",IF(ABS(G264)&gt;Parametros!$B$14,IF(G264&gt;0,"SOBRE FCST","BAJO FCST"),"")))</f>
        <v/>
      </c>
    </row>
    <row r="265" customFormat="false" ht="15" hidden="false" customHeight="false" outlineLevel="0" collapsed="false">
      <c r="A265" s="3" t="n">
        <v>30001873</v>
      </c>
      <c r="B265" s="3" t="s">
        <v>299</v>
      </c>
      <c r="C265" s="3" t="s">
        <v>1373</v>
      </c>
      <c r="D265" s="23" t="n">
        <v>5977.8</v>
      </c>
      <c r="E265" s="23" t="n">
        <v>9716.36280673359</v>
      </c>
      <c r="F265" s="23" t="n">
        <f aca="false">D265-E265</f>
        <v>-3738.56280673359</v>
      </c>
      <c r="G265" s="24" t="n">
        <f aca="false">IF(E265&gt;0,D265/E265-1,"")</f>
        <v>-0.384769782798014</v>
      </c>
      <c r="H265" s="3" t="str">
        <f aca="false">IF(MAX(D265,E265)&lt;Parametros!$B$16,"",IF(E265=0,"PIDE SIN FCST",IF(ABS(G265)&gt;Parametros!$B$14,IF(G265&gt;0,"SOBRE FCST","BAJO FCST"),"")))</f>
        <v>BAJO FCST</v>
      </c>
    </row>
    <row r="266" customFormat="false" ht="15" hidden="false" customHeight="false" outlineLevel="0" collapsed="false">
      <c r="A266" s="3" t="n">
        <v>30001048</v>
      </c>
      <c r="B266" s="3" t="s">
        <v>456</v>
      </c>
      <c r="C266" s="3" t="s">
        <v>1380</v>
      </c>
      <c r="D266" s="23" t="n">
        <v>3024</v>
      </c>
      <c r="E266" s="23" t="n">
        <v>6755.73571540013</v>
      </c>
      <c r="F266" s="23" t="n">
        <f aca="false">D266-E266</f>
        <v>-3731.73571540013</v>
      </c>
      <c r="G266" s="24" t="n">
        <f aca="false">IF(E266&gt;0,D266/E266-1,"")</f>
        <v>-0.552380358351408</v>
      </c>
      <c r="H266" s="3" t="str">
        <f aca="false">IF(MAX(D266,E266)&lt;Parametros!$B$16,"",IF(E266=0,"PIDE SIN FCST",IF(ABS(G266)&gt;Parametros!$B$14,IF(G266&gt;0,"SOBRE FCST","BAJO FCST"),"")))</f>
        <v>BAJO FCST</v>
      </c>
    </row>
    <row r="267" customFormat="false" ht="15" hidden="false" customHeight="false" outlineLevel="0" collapsed="false">
      <c r="A267" s="3" t="n">
        <v>30001871</v>
      </c>
      <c r="B267" s="3" t="s">
        <v>242</v>
      </c>
      <c r="C267" s="3" t="s">
        <v>1380</v>
      </c>
      <c r="D267" s="23" t="n">
        <v>50274</v>
      </c>
      <c r="E267" s="23" t="n">
        <v>54000</v>
      </c>
      <c r="F267" s="23" t="n">
        <f aca="false">D267-E267</f>
        <v>-3726</v>
      </c>
      <c r="G267" s="24" t="n">
        <f aca="false">IF(E267&gt;0,D267/E267-1,"")</f>
        <v>-0.069</v>
      </c>
      <c r="H267" s="3" t="str">
        <f aca="false">IF(MAX(D267,E267)&lt;Parametros!$B$16,"",IF(E267=0,"PIDE SIN FCST",IF(ABS(G267)&gt;Parametros!$B$14,IF(G267&gt;0,"SOBRE FCST","BAJO FCST"),"")))</f>
        <v/>
      </c>
    </row>
    <row r="268" customFormat="false" ht="15" hidden="false" customHeight="false" outlineLevel="0" collapsed="false">
      <c r="A268" s="3" t="n">
        <v>30001854</v>
      </c>
      <c r="B268" s="3" t="s">
        <v>420</v>
      </c>
      <c r="C268" s="3" t="s">
        <v>1380</v>
      </c>
      <c r="D268" s="23" t="n">
        <v>9676.8</v>
      </c>
      <c r="E268" s="23" t="n">
        <v>5974.24375938274</v>
      </c>
      <c r="F268" s="23" t="n">
        <f aca="false">D268-E268</f>
        <v>3702.55624061726</v>
      </c>
      <c r="G268" s="24" t="n">
        <f aca="false">IF(E268&gt;0,D268/E268-1,"")</f>
        <v>0.619753125205558</v>
      </c>
      <c r="H268" s="3" t="str">
        <f aca="false">IF(MAX(D268,E268)&lt;Parametros!$B$16,"",IF(E268=0,"PIDE SIN FCST",IF(ABS(G268)&gt;Parametros!$B$14,IF(G268&gt;0,"SOBRE FCST","BAJO FCST"),"")))</f>
        <v>SOBRE FCST</v>
      </c>
    </row>
    <row r="269" customFormat="false" ht="15" hidden="false" customHeight="false" outlineLevel="0" collapsed="false">
      <c r="A269" s="3" t="n">
        <v>30001019</v>
      </c>
      <c r="B269" s="3" t="s">
        <v>355</v>
      </c>
      <c r="C269" s="3" t="s">
        <v>1375</v>
      </c>
      <c r="D269" s="23" t="n">
        <v>7612.08</v>
      </c>
      <c r="E269" s="23" t="n">
        <v>3929.05827249367</v>
      </c>
      <c r="F269" s="23" t="n">
        <f aca="false">D269-E269</f>
        <v>3683.02172750633</v>
      </c>
      <c r="G269" s="24" t="n">
        <f aca="false">IF(E269&gt;0,D269/E269-1,"")</f>
        <v>0.937380275902301</v>
      </c>
      <c r="H269" s="3" t="str">
        <f aca="false">IF(MAX(D269,E269)&lt;Parametros!$B$16,"",IF(E269=0,"PIDE SIN FCST",IF(ABS(G269)&gt;Parametros!$B$14,IF(G269&gt;0,"SOBRE FCST","BAJO FCST"),"")))</f>
        <v>SOBRE FCST</v>
      </c>
    </row>
    <row r="270" customFormat="false" ht="15" hidden="false" customHeight="false" outlineLevel="0" collapsed="false">
      <c r="A270" s="3" t="n">
        <v>30001049</v>
      </c>
      <c r="B270" s="3" t="s">
        <v>269</v>
      </c>
      <c r="C270" s="3" t="s">
        <v>1380</v>
      </c>
      <c r="D270" s="23" t="n">
        <v>11700</v>
      </c>
      <c r="E270" s="23" t="n">
        <v>15377.3964104002</v>
      </c>
      <c r="F270" s="23" t="n">
        <f aca="false">D270-E270</f>
        <v>-3677.39641040019</v>
      </c>
      <c r="G270" s="24" t="n">
        <f aca="false">IF(E270&gt;0,D270/E270-1,"")</f>
        <v>-0.239142980531676</v>
      </c>
      <c r="H270" s="3" t="str">
        <f aca="false">IF(MAX(D270,E270)&lt;Parametros!$B$16,"",IF(E270=0,"PIDE SIN FCST",IF(ABS(G270)&gt;Parametros!$B$14,IF(G270&gt;0,"SOBRE FCST","BAJO FCST"),"")))</f>
        <v>BAJO FCST</v>
      </c>
    </row>
    <row r="271" customFormat="false" ht="15" hidden="false" customHeight="false" outlineLevel="0" collapsed="false">
      <c r="A271" s="3" t="n">
        <v>30001887</v>
      </c>
      <c r="B271" s="3" t="s">
        <v>310</v>
      </c>
      <c r="C271" s="3" t="s">
        <v>1380</v>
      </c>
      <c r="D271" s="23" t="n">
        <v>3240</v>
      </c>
      <c r="E271" s="23" t="n">
        <v>6900</v>
      </c>
      <c r="F271" s="23" t="n">
        <f aca="false">D271-E271</f>
        <v>-3660</v>
      </c>
      <c r="G271" s="24" t="n">
        <f aca="false">IF(E271&gt;0,D271/E271-1,"")</f>
        <v>-0.530434782608696</v>
      </c>
      <c r="H271" s="3" t="str">
        <f aca="false">IF(MAX(D271,E271)&lt;Parametros!$B$16,"",IF(E271=0,"PIDE SIN FCST",IF(ABS(G271)&gt;Parametros!$B$14,IF(G271&gt;0,"SOBRE FCST","BAJO FCST"),"")))</f>
        <v>BAJO FCST</v>
      </c>
    </row>
    <row r="272" customFormat="false" ht="15" hidden="false" customHeight="false" outlineLevel="0" collapsed="false">
      <c r="A272" s="3" t="n">
        <v>30001597</v>
      </c>
      <c r="B272" s="3" t="s">
        <v>265</v>
      </c>
      <c r="C272" s="3" t="s">
        <v>1379</v>
      </c>
      <c r="D272" s="23" t="n">
        <v>7560</v>
      </c>
      <c r="E272" s="23" t="n">
        <v>3940</v>
      </c>
      <c r="F272" s="23" t="n">
        <f aca="false">D272-E272</f>
        <v>3620</v>
      </c>
      <c r="G272" s="24" t="n">
        <f aca="false">IF(E272&gt;0,D272/E272-1,"")</f>
        <v>0.918781725888325</v>
      </c>
      <c r="H272" s="3" t="str">
        <f aca="false">IF(MAX(D272,E272)&lt;Parametros!$B$16,"",IF(E272=0,"PIDE SIN FCST",IF(ABS(G272)&gt;Parametros!$B$14,IF(G272&gt;0,"SOBRE FCST","BAJO FCST"),"")))</f>
        <v>SOBRE FCST</v>
      </c>
    </row>
    <row r="273" customFormat="false" ht="15" hidden="false" customHeight="false" outlineLevel="0" collapsed="false">
      <c r="A273" s="3" t="n">
        <v>30001074</v>
      </c>
      <c r="B273" s="3" t="s">
        <v>256</v>
      </c>
      <c r="C273" s="3" t="s">
        <v>1379</v>
      </c>
      <c r="D273" s="23" t="n">
        <v>11584.32</v>
      </c>
      <c r="E273" s="23" t="n">
        <v>7969.91688421195</v>
      </c>
      <c r="F273" s="23" t="n">
        <f aca="false">D273-E273</f>
        <v>3614.40311578805</v>
      </c>
      <c r="G273" s="24" t="n">
        <f aca="false">IF(E273&gt;0,D273/E273-1,"")</f>
        <v>0.453505747713382</v>
      </c>
      <c r="H273" s="3" t="str">
        <f aca="false">IF(MAX(D273,E273)&lt;Parametros!$B$16,"",IF(E273=0,"PIDE SIN FCST",IF(ABS(G273)&gt;Parametros!$B$14,IF(G273&gt;0,"SOBRE FCST","BAJO FCST"),"")))</f>
        <v>SOBRE FCST</v>
      </c>
    </row>
    <row r="274" customFormat="false" ht="15" hidden="false" customHeight="false" outlineLevel="0" collapsed="false">
      <c r="A274" s="3" t="n">
        <v>30000305</v>
      </c>
      <c r="B274" s="3" t="s">
        <v>254</v>
      </c>
      <c r="C274" s="3" t="s">
        <v>1379</v>
      </c>
      <c r="D274" s="23" t="n">
        <v>8640</v>
      </c>
      <c r="E274" s="23" t="n">
        <v>5040.96</v>
      </c>
      <c r="F274" s="23" t="n">
        <f aca="false">D274-E274</f>
        <v>3599.04</v>
      </c>
      <c r="G274" s="24" t="n">
        <f aca="false">IF(E274&gt;0,D274/E274-1,"")</f>
        <v>0.713959245857932</v>
      </c>
      <c r="H274" s="3" t="str">
        <f aca="false">IF(MAX(D274,E274)&lt;Parametros!$B$16,"",IF(E274=0,"PIDE SIN FCST",IF(ABS(G274)&gt;Parametros!$B$14,IF(G274&gt;0,"SOBRE FCST","BAJO FCST"),"")))</f>
        <v>SOBRE FCST</v>
      </c>
    </row>
    <row r="275" customFormat="false" ht="15" hidden="false" customHeight="false" outlineLevel="0" collapsed="false">
      <c r="A275" s="3" t="n">
        <v>30001946</v>
      </c>
      <c r="B275" s="3" t="s">
        <v>400</v>
      </c>
      <c r="C275" s="3" t="s">
        <v>1380</v>
      </c>
      <c r="D275" s="23" t="n">
        <v>8486.4</v>
      </c>
      <c r="E275" s="23" t="n">
        <v>4900</v>
      </c>
      <c r="F275" s="23" t="n">
        <f aca="false">D275-E275</f>
        <v>3586.4</v>
      </c>
      <c r="G275" s="24" t="n">
        <f aca="false">IF(E275&gt;0,D275/E275-1,"")</f>
        <v>0.731918367346939</v>
      </c>
      <c r="H275" s="3" t="str">
        <f aca="false">IF(MAX(D275,E275)&lt;Parametros!$B$16,"",IF(E275=0,"PIDE SIN FCST",IF(ABS(G275)&gt;Parametros!$B$14,IF(G275&gt;0,"SOBRE FCST","BAJO FCST"),"")))</f>
        <v>SOBRE FCST</v>
      </c>
    </row>
    <row r="276" customFormat="false" ht="15" hidden="false" customHeight="false" outlineLevel="0" collapsed="false">
      <c r="A276" s="3" t="n">
        <v>30001943</v>
      </c>
      <c r="B276" s="3" t="s">
        <v>520</v>
      </c>
      <c r="C276" s="3" t="s">
        <v>1375</v>
      </c>
      <c r="D276" s="23" t="n">
        <v>6518.4</v>
      </c>
      <c r="E276" s="23" t="n">
        <v>2936.0612256145</v>
      </c>
      <c r="F276" s="23" t="n">
        <f aca="false">D276-E276</f>
        <v>3582.3387743855</v>
      </c>
      <c r="G276" s="24" t="n">
        <f aca="false">IF(E276&gt;0,D276/E276-1,"")</f>
        <v>1.22011719072232</v>
      </c>
      <c r="H276" s="3" t="str">
        <f aca="false">IF(MAX(D276,E276)&lt;Parametros!$B$16,"",IF(E276=0,"PIDE SIN FCST",IF(ABS(G276)&gt;Parametros!$B$14,IF(G276&gt;0,"SOBRE FCST","BAJO FCST"),"")))</f>
        <v>SOBRE FCST</v>
      </c>
    </row>
    <row r="277" customFormat="false" ht="15" hidden="false" customHeight="false" outlineLevel="0" collapsed="false">
      <c r="A277" s="3" t="n">
        <v>30000119</v>
      </c>
      <c r="B277" s="3" t="s">
        <v>528</v>
      </c>
      <c r="C277" s="3" t="s">
        <v>1373</v>
      </c>
      <c r="D277" s="23" t="n">
        <v>4284</v>
      </c>
      <c r="E277" s="23" t="n">
        <v>7865.68811252252</v>
      </c>
      <c r="F277" s="23" t="n">
        <f aca="false">D277-E277</f>
        <v>-3581.68811252252</v>
      </c>
      <c r="G277" s="24" t="n">
        <f aca="false">IF(E277&gt;0,D277/E277-1,"")</f>
        <v>-0.455355979195299</v>
      </c>
      <c r="H277" s="3" t="str">
        <f aca="false">IF(MAX(D277,E277)&lt;Parametros!$B$16,"",IF(E277=0,"PIDE SIN FCST",IF(ABS(G277)&gt;Parametros!$B$14,IF(G277&gt;0,"SOBRE FCST","BAJO FCST"),"")))</f>
        <v>BAJO FCST</v>
      </c>
    </row>
    <row r="278" customFormat="false" ht="15" hidden="false" customHeight="false" outlineLevel="0" collapsed="false">
      <c r="A278" s="3" t="n">
        <v>30001401</v>
      </c>
      <c r="B278" s="3" t="s">
        <v>304</v>
      </c>
      <c r="C278" s="3" t="s">
        <v>1377</v>
      </c>
      <c r="D278" s="23" t="n">
        <v>3677.4</v>
      </c>
      <c r="E278" s="23" t="n">
        <v>7254.20488963734</v>
      </c>
      <c r="F278" s="23" t="n">
        <f aca="false">D278-E278</f>
        <v>-3576.80488963734</v>
      </c>
      <c r="G278" s="24" t="n">
        <f aca="false">IF(E278&gt;0,D278/E278-1,"")</f>
        <v>-0.493066427548362</v>
      </c>
      <c r="H278" s="3" t="str">
        <f aca="false">IF(MAX(D278,E278)&lt;Parametros!$B$16,"",IF(E278=0,"PIDE SIN FCST",IF(ABS(G278)&gt;Parametros!$B$14,IF(G278&gt;0,"SOBRE FCST","BAJO FCST"),"")))</f>
        <v>BAJO FCST</v>
      </c>
    </row>
    <row r="279" customFormat="false" ht="15" hidden="false" customHeight="false" outlineLevel="0" collapsed="false">
      <c r="A279" s="3" t="n">
        <v>30000644</v>
      </c>
      <c r="B279" s="3" t="s">
        <v>261</v>
      </c>
      <c r="C279" s="3" t="s">
        <v>1375</v>
      </c>
      <c r="D279" s="23" t="n">
        <v>7528</v>
      </c>
      <c r="E279" s="23" t="n">
        <v>11100</v>
      </c>
      <c r="F279" s="23" t="n">
        <f aca="false">D279-E279</f>
        <v>-3572</v>
      </c>
      <c r="G279" s="24" t="n">
        <f aca="false">IF(E279&gt;0,D279/E279-1,"")</f>
        <v>-0.321801801801802</v>
      </c>
      <c r="H279" s="3" t="str">
        <f aca="false">IF(MAX(D279,E279)&lt;Parametros!$B$16,"",IF(E279=0,"PIDE SIN FCST",IF(ABS(G279)&gt;Parametros!$B$14,IF(G279&gt;0,"SOBRE FCST","BAJO FCST"),"")))</f>
        <v>BAJO FCST</v>
      </c>
    </row>
    <row r="280" customFormat="false" ht="15" hidden="false" customHeight="false" outlineLevel="0" collapsed="false">
      <c r="A280" s="3" t="n">
        <v>30002199</v>
      </c>
      <c r="B280" s="3" t="s">
        <v>276</v>
      </c>
      <c r="C280" s="3" t="s">
        <v>1372</v>
      </c>
      <c r="D280" s="23" t="n">
        <v>3566.4</v>
      </c>
      <c r="E280" s="23" t="n">
        <v>0</v>
      </c>
      <c r="F280" s="23" t="n">
        <f aca="false">D280-E280</f>
        <v>3566.4</v>
      </c>
      <c r="G280" s="24" t="str">
        <f aca="false">IF(E280&gt;0,D280/E280-1,"")</f>
        <v/>
      </c>
      <c r="H280" s="3" t="str">
        <f aca="false">IF(MAX(D280,E280)&lt;Parametros!$B$16,"",IF(E280=0,"PIDE SIN FCST",IF(ABS(G280)&gt;Parametros!$B$14,IF(G280&gt;0,"SOBRE FCST","BAJO FCST"),"")))</f>
        <v>PIDE SIN FCST</v>
      </c>
    </row>
    <row r="281" customFormat="false" ht="15" hidden="false" customHeight="false" outlineLevel="0" collapsed="false">
      <c r="A281" s="3" t="n">
        <v>30000644</v>
      </c>
      <c r="B281" s="3" t="s">
        <v>261</v>
      </c>
      <c r="C281" s="3" t="s">
        <v>1373</v>
      </c>
      <c r="D281" s="23" t="n">
        <v>14936</v>
      </c>
      <c r="E281" s="23" t="n">
        <v>18500</v>
      </c>
      <c r="F281" s="23" t="n">
        <f aca="false">D281-E281</f>
        <v>-3564</v>
      </c>
      <c r="G281" s="24" t="n">
        <f aca="false">IF(E281&gt;0,D281/E281-1,"")</f>
        <v>-0.192648648648649</v>
      </c>
      <c r="H281" s="3" t="str">
        <f aca="false">IF(MAX(D281,E281)&lt;Parametros!$B$16,"",IF(E281=0,"PIDE SIN FCST",IF(ABS(G281)&gt;Parametros!$B$14,IF(G281&gt;0,"SOBRE FCST","BAJO FCST"),"")))</f>
        <v/>
      </c>
    </row>
    <row r="282" customFormat="false" ht="15" hidden="false" customHeight="false" outlineLevel="0" collapsed="false">
      <c r="A282" s="3" t="n">
        <v>30001043</v>
      </c>
      <c r="B282" s="3" t="s">
        <v>290</v>
      </c>
      <c r="C282" s="3" t="s">
        <v>1373</v>
      </c>
      <c r="D282" s="23" t="n">
        <v>6552.48</v>
      </c>
      <c r="E282" s="23" t="n">
        <v>10108.1321899036</v>
      </c>
      <c r="F282" s="23" t="n">
        <f aca="false">D282-E282</f>
        <v>-3555.65218990357</v>
      </c>
      <c r="G282" s="24" t="n">
        <f aca="false">IF(E282&gt;0,D282/E282-1,"")</f>
        <v>-0.351761544378605</v>
      </c>
      <c r="H282" s="3" t="str">
        <f aca="false">IF(MAX(D282,E282)&lt;Parametros!$B$16,"",IF(E282=0,"PIDE SIN FCST",IF(ABS(G282)&gt;Parametros!$B$14,IF(G282&gt;0,"SOBRE FCST","BAJO FCST"),"")))</f>
        <v>BAJO FCST</v>
      </c>
    </row>
    <row r="283" customFormat="false" ht="15" hidden="false" customHeight="false" outlineLevel="0" collapsed="false">
      <c r="A283" s="3" t="n">
        <v>30002169</v>
      </c>
      <c r="B283" s="3" t="s">
        <v>377</v>
      </c>
      <c r="C283" s="3" t="s">
        <v>1375</v>
      </c>
      <c r="D283" s="23" t="n">
        <v>6852.6</v>
      </c>
      <c r="E283" s="23" t="n">
        <v>3300</v>
      </c>
      <c r="F283" s="23" t="n">
        <f aca="false">D283-E283</f>
        <v>3552.6</v>
      </c>
      <c r="G283" s="24" t="n">
        <f aca="false">IF(E283&gt;0,D283/E283-1,"")</f>
        <v>1.07654545454545</v>
      </c>
      <c r="H283" s="3" t="str">
        <f aca="false">IF(MAX(D283,E283)&lt;Parametros!$B$16,"",IF(E283=0,"PIDE SIN FCST",IF(ABS(G283)&gt;Parametros!$B$14,IF(G283&gt;0,"SOBRE FCST","BAJO FCST"),"")))</f>
        <v>SOBRE FCST</v>
      </c>
    </row>
    <row r="284" customFormat="false" ht="15" hidden="false" customHeight="false" outlineLevel="0" collapsed="false">
      <c r="A284" s="3" t="n">
        <v>30000252</v>
      </c>
      <c r="B284" s="3" t="s">
        <v>405</v>
      </c>
      <c r="C284" s="3" t="s">
        <v>1375</v>
      </c>
      <c r="D284" s="23" t="n">
        <v>4350</v>
      </c>
      <c r="E284" s="23" t="n">
        <v>800</v>
      </c>
      <c r="F284" s="23" t="n">
        <f aca="false">D284-E284</f>
        <v>3550</v>
      </c>
      <c r="G284" s="24" t="n">
        <f aca="false">IF(E284&gt;0,D284/E284-1,"")</f>
        <v>4.4375</v>
      </c>
      <c r="H284" s="3" t="str">
        <f aca="false">IF(MAX(D284,E284)&lt;Parametros!$B$16,"",IF(E284=0,"PIDE SIN FCST",IF(ABS(G284)&gt;Parametros!$B$14,IF(G284&gt;0,"SOBRE FCST","BAJO FCST"),"")))</f>
        <v>SOBRE FCST</v>
      </c>
    </row>
    <row r="285" customFormat="false" ht="15" hidden="false" customHeight="false" outlineLevel="0" collapsed="false">
      <c r="A285" s="3" t="n">
        <v>30000644</v>
      </c>
      <c r="B285" s="3" t="s">
        <v>261</v>
      </c>
      <c r="C285" s="3" t="s">
        <v>1379</v>
      </c>
      <c r="D285" s="23" t="n">
        <v>6240</v>
      </c>
      <c r="E285" s="23" t="n">
        <v>2700</v>
      </c>
      <c r="F285" s="23" t="n">
        <f aca="false">D285-E285</f>
        <v>3540</v>
      </c>
      <c r="G285" s="24" t="n">
        <f aca="false">IF(E285&gt;0,D285/E285-1,"")</f>
        <v>1.31111111111111</v>
      </c>
      <c r="H285" s="3" t="str">
        <f aca="false">IF(MAX(D285,E285)&lt;Parametros!$B$16,"",IF(E285=0,"PIDE SIN FCST",IF(ABS(G285)&gt;Parametros!$B$14,IF(G285&gt;0,"SOBRE FCST","BAJO FCST"),"")))</f>
        <v>SOBRE FCST</v>
      </c>
    </row>
    <row r="286" customFormat="false" ht="15" hidden="false" customHeight="false" outlineLevel="0" collapsed="false">
      <c r="A286" s="3" t="n">
        <v>30001536</v>
      </c>
      <c r="B286" s="3" t="s">
        <v>440</v>
      </c>
      <c r="C286" s="3" t="s">
        <v>1375</v>
      </c>
      <c r="D286" s="23" t="n">
        <v>7471.56</v>
      </c>
      <c r="E286" s="23" t="n">
        <v>3934.52844839673</v>
      </c>
      <c r="F286" s="23" t="n">
        <f aca="false">D286-E286</f>
        <v>3537.03155160327</v>
      </c>
      <c r="G286" s="24" t="n">
        <f aca="false">IF(E286&gt;0,D286/E286-1,"")</f>
        <v>0.898972163498922</v>
      </c>
      <c r="H286" s="3" t="str">
        <f aca="false">IF(MAX(D286,E286)&lt;Parametros!$B$16,"",IF(E286=0,"PIDE SIN FCST",IF(ABS(G286)&gt;Parametros!$B$14,IF(G286&gt;0,"SOBRE FCST","BAJO FCST"),"")))</f>
        <v>SOBRE FCST</v>
      </c>
    </row>
    <row r="287" customFormat="false" ht="15" hidden="false" customHeight="false" outlineLevel="0" collapsed="false">
      <c r="A287" s="3" t="n">
        <v>30001362</v>
      </c>
      <c r="B287" s="3" t="s">
        <v>293</v>
      </c>
      <c r="C287" s="3" t="s">
        <v>1379</v>
      </c>
      <c r="D287" s="23" t="n">
        <v>4863.12</v>
      </c>
      <c r="E287" s="23" t="n">
        <v>8391.04</v>
      </c>
      <c r="F287" s="23" t="n">
        <f aca="false">D287-E287</f>
        <v>-3527.92</v>
      </c>
      <c r="G287" s="24" t="n">
        <f aca="false">IF(E287&gt;0,D287/E287-1,"")</f>
        <v>-0.420438944397834</v>
      </c>
      <c r="H287" s="3" t="str">
        <f aca="false">IF(MAX(D287,E287)&lt;Parametros!$B$16,"",IF(E287=0,"PIDE SIN FCST",IF(ABS(G287)&gt;Parametros!$B$14,IF(G287&gt;0,"SOBRE FCST","BAJO FCST"),"")))</f>
        <v>BAJO FCST</v>
      </c>
    </row>
    <row r="288" customFormat="false" ht="15" hidden="false" customHeight="false" outlineLevel="0" collapsed="false">
      <c r="A288" s="3" t="n">
        <v>30000055</v>
      </c>
      <c r="B288" s="3" t="s">
        <v>417</v>
      </c>
      <c r="C288" s="3" t="s">
        <v>1380</v>
      </c>
      <c r="D288" s="23" t="n">
        <v>7038</v>
      </c>
      <c r="E288" s="23" t="n">
        <v>3524</v>
      </c>
      <c r="F288" s="23" t="n">
        <f aca="false">D288-E288</f>
        <v>3514</v>
      </c>
      <c r="G288" s="24" t="n">
        <f aca="false">IF(E288&gt;0,D288/E288-1,"")</f>
        <v>0.997162315550511</v>
      </c>
      <c r="H288" s="3" t="str">
        <f aca="false">IF(MAX(D288,E288)&lt;Parametros!$B$16,"",IF(E288=0,"PIDE SIN FCST",IF(ABS(G288)&gt;Parametros!$B$14,IF(G288&gt;0,"SOBRE FCST","BAJO FCST"),"")))</f>
        <v>SOBRE FCST</v>
      </c>
    </row>
    <row r="289" customFormat="false" ht="15" hidden="false" customHeight="false" outlineLevel="0" collapsed="false">
      <c r="A289" s="3" t="n">
        <v>30000400</v>
      </c>
      <c r="B289" s="3" t="s">
        <v>235</v>
      </c>
      <c r="C289" s="3" t="s">
        <v>1378</v>
      </c>
      <c r="D289" s="23" t="n">
        <v>5928</v>
      </c>
      <c r="E289" s="23" t="n">
        <v>2416.11941749942</v>
      </c>
      <c r="F289" s="23" t="n">
        <f aca="false">D289-E289</f>
        <v>3511.88058250058</v>
      </c>
      <c r="G289" s="24" t="n">
        <f aca="false">IF(E289&gt;0,D289/E289-1,"")</f>
        <v>1.45352111202154</v>
      </c>
      <c r="H289" s="3" t="str">
        <f aca="false">IF(MAX(D289,E289)&lt;Parametros!$B$16,"",IF(E289=0,"PIDE SIN FCST",IF(ABS(G289)&gt;Parametros!$B$14,IF(G289&gt;0,"SOBRE FCST","BAJO FCST"),"")))</f>
        <v>SOBRE FCST</v>
      </c>
    </row>
    <row r="290" customFormat="false" ht="15" hidden="false" customHeight="false" outlineLevel="0" collapsed="false">
      <c r="A290" s="3" t="n">
        <v>30000325</v>
      </c>
      <c r="B290" s="3" t="s">
        <v>216</v>
      </c>
      <c r="C290" s="3" t="s">
        <v>1372</v>
      </c>
      <c r="D290" s="23" t="n">
        <v>4080</v>
      </c>
      <c r="E290" s="23" t="n">
        <v>7590.44095194773</v>
      </c>
      <c r="F290" s="23" t="n">
        <f aca="false">D290-E290</f>
        <v>-3510.44095194773</v>
      </c>
      <c r="G290" s="24" t="n">
        <f aca="false">IF(E290&gt;0,D290/E290-1,"")</f>
        <v>-0.462481820775767</v>
      </c>
      <c r="H290" s="3" t="str">
        <f aca="false">IF(MAX(D290,E290)&lt;Parametros!$B$16,"",IF(E290=0,"PIDE SIN FCST",IF(ABS(G290)&gt;Parametros!$B$14,IF(G290&gt;0,"SOBRE FCST","BAJO FCST"),"")))</f>
        <v>BAJO FCST</v>
      </c>
    </row>
    <row r="291" customFormat="false" ht="15" hidden="false" customHeight="false" outlineLevel="0" collapsed="false">
      <c r="A291" s="3" t="n">
        <v>30000600</v>
      </c>
      <c r="B291" s="3" t="s">
        <v>338</v>
      </c>
      <c r="C291" s="3" t="s">
        <v>1373</v>
      </c>
      <c r="D291" s="23" t="n">
        <v>11993.52</v>
      </c>
      <c r="E291" s="23" t="n">
        <v>15500</v>
      </c>
      <c r="F291" s="23" t="n">
        <f aca="false">D291-E291</f>
        <v>-3506.48</v>
      </c>
      <c r="G291" s="24" t="n">
        <f aca="false">IF(E291&gt;0,D291/E291-1,"")</f>
        <v>-0.226224516129032</v>
      </c>
      <c r="H291" s="3" t="str">
        <f aca="false">IF(MAX(D291,E291)&lt;Parametros!$B$16,"",IF(E291=0,"PIDE SIN FCST",IF(ABS(G291)&gt;Parametros!$B$14,IF(G291&gt;0,"SOBRE FCST","BAJO FCST"),"")))</f>
        <v>BAJO FCST</v>
      </c>
    </row>
    <row r="292" customFormat="false" ht="15" hidden="false" customHeight="false" outlineLevel="0" collapsed="false">
      <c r="A292" s="3" t="n">
        <v>30000629</v>
      </c>
      <c r="B292" s="3" t="s">
        <v>347</v>
      </c>
      <c r="C292" s="3" t="s">
        <v>1380</v>
      </c>
      <c r="D292" s="23" t="n">
        <v>3295.36</v>
      </c>
      <c r="E292" s="23" t="n">
        <v>6800</v>
      </c>
      <c r="F292" s="23" t="n">
        <f aca="false">D292-E292</f>
        <v>-3504.64</v>
      </c>
      <c r="G292" s="24" t="n">
        <f aca="false">IF(E292&gt;0,D292/E292-1,"")</f>
        <v>-0.515388235294118</v>
      </c>
      <c r="H292" s="3" t="str">
        <f aca="false">IF(MAX(D292,E292)&lt;Parametros!$B$16,"",IF(E292=0,"PIDE SIN FCST",IF(ABS(G292)&gt;Parametros!$B$14,IF(G292&gt;0,"SOBRE FCST","BAJO FCST"),"")))</f>
        <v>BAJO FCST</v>
      </c>
    </row>
    <row r="293" customFormat="false" ht="15" hidden="false" customHeight="false" outlineLevel="0" collapsed="false">
      <c r="A293" s="3" t="n">
        <v>30001747</v>
      </c>
      <c r="B293" s="3" t="s">
        <v>381</v>
      </c>
      <c r="C293" s="3" t="s">
        <v>1380</v>
      </c>
      <c r="D293" s="23" t="n">
        <v>11174.76</v>
      </c>
      <c r="E293" s="23" t="n">
        <v>7700</v>
      </c>
      <c r="F293" s="23" t="n">
        <f aca="false">D293-E293</f>
        <v>3474.76</v>
      </c>
      <c r="G293" s="24" t="n">
        <f aca="false">IF(E293&gt;0,D293/E293-1,"")</f>
        <v>0.451267532467533</v>
      </c>
      <c r="H293" s="3" t="str">
        <f aca="false">IF(MAX(D293,E293)&lt;Parametros!$B$16,"",IF(E293=0,"PIDE SIN FCST",IF(ABS(G293)&gt;Parametros!$B$14,IF(G293&gt;0,"SOBRE FCST","BAJO FCST"),"")))</f>
        <v>SOBRE FCST</v>
      </c>
    </row>
    <row r="294" customFormat="false" ht="15" hidden="false" customHeight="false" outlineLevel="0" collapsed="false">
      <c r="A294" s="3" t="n">
        <v>30000626</v>
      </c>
      <c r="B294" s="3" t="s">
        <v>238</v>
      </c>
      <c r="C294" s="3" t="s">
        <v>1373</v>
      </c>
      <c r="D294" s="23" t="n">
        <v>9034.88</v>
      </c>
      <c r="E294" s="23" t="n">
        <v>12500</v>
      </c>
      <c r="F294" s="23" t="n">
        <f aca="false">D294-E294</f>
        <v>-3465.12</v>
      </c>
      <c r="G294" s="24" t="n">
        <f aca="false">IF(E294&gt;0,D294/E294-1,"")</f>
        <v>-0.2772096</v>
      </c>
      <c r="H294" s="3" t="str">
        <f aca="false">IF(MAX(D294,E294)&lt;Parametros!$B$16,"",IF(E294=0,"PIDE SIN FCST",IF(ABS(G294)&gt;Parametros!$B$14,IF(G294&gt;0,"SOBRE FCST","BAJO FCST"),"")))</f>
        <v>BAJO FCST</v>
      </c>
    </row>
    <row r="295" customFormat="false" ht="15" hidden="false" customHeight="false" outlineLevel="0" collapsed="false">
      <c r="A295" s="3" t="n">
        <v>30001876</v>
      </c>
      <c r="B295" s="3" t="s">
        <v>373</v>
      </c>
      <c r="C295" s="3" t="s">
        <v>1380</v>
      </c>
      <c r="D295" s="23" t="n">
        <v>5540.4</v>
      </c>
      <c r="E295" s="23" t="n">
        <v>9000</v>
      </c>
      <c r="F295" s="23" t="n">
        <f aca="false">D295-E295</f>
        <v>-3459.6</v>
      </c>
      <c r="G295" s="24" t="n">
        <f aca="false">IF(E295&gt;0,D295/E295-1,"")</f>
        <v>-0.3844</v>
      </c>
      <c r="H295" s="3" t="str">
        <f aca="false">IF(MAX(D295,E295)&lt;Parametros!$B$16,"",IF(E295=0,"PIDE SIN FCST",IF(ABS(G295)&gt;Parametros!$B$14,IF(G295&gt;0,"SOBRE FCST","BAJO FCST"),"")))</f>
        <v>BAJO FCST</v>
      </c>
    </row>
    <row r="296" customFormat="false" ht="15" hidden="false" customHeight="false" outlineLevel="0" collapsed="false">
      <c r="A296" s="3" t="n">
        <v>30001055</v>
      </c>
      <c r="B296" s="3" t="s">
        <v>246</v>
      </c>
      <c r="C296" s="3" t="s">
        <v>1378</v>
      </c>
      <c r="D296" s="23" t="n">
        <v>5802.72</v>
      </c>
      <c r="E296" s="23" t="n">
        <v>2350.78847385354</v>
      </c>
      <c r="F296" s="23" t="n">
        <f aca="false">D296-E296</f>
        <v>3451.93152614646</v>
      </c>
      <c r="G296" s="24" t="n">
        <f aca="false">IF(E296&gt;0,D296/E296-1,"")</f>
        <v>1.46841434886222</v>
      </c>
      <c r="H296" s="3" t="str">
        <f aca="false">IF(MAX(D296,E296)&lt;Parametros!$B$16,"",IF(E296=0,"PIDE SIN FCST",IF(ABS(G296)&gt;Parametros!$B$14,IF(G296&gt;0,"SOBRE FCST","BAJO FCST"),"")))</f>
        <v>SOBRE FCST</v>
      </c>
    </row>
    <row r="297" customFormat="false" ht="15" hidden="false" customHeight="false" outlineLevel="0" collapsed="false">
      <c r="A297" s="3" t="n">
        <v>30000459</v>
      </c>
      <c r="B297" s="3" t="s">
        <v>666</v>
      </c>
      <c r="C297" s="3" t="s">
        <v>1373</v>
      </c>
      <c r="D297" s="23" t="n">
        <v>0</v>
      </c>
      <c r="E297" s="23" t="n">
        <v>3450.30026198295</v>
      </c>
      <c r="F297" s="23" t="n">
        <f aca="false">D297-E297</f>
        <v>-3450.30026198295</v>
      </c>
      <c r="G297" s="24" t="n">
        <f aca="false">IF(E297&gt;0,D297/E297-1,"")</f>
        <v>-1</v>
      </c>
      <c r="H297" s="3" t="str">
        <f aca="false">IF(MAX(D297,E297)&lt;Parametros!$B$16,"",IF(E297=0,"PIDE SIN FCST",IF(ABS(G297)&gt;Parametros!$B$14,IF(G297&gt;0,"SOBRE FCST","BAJO FCST"),"")))</f>
        <v>BAJO FCST</v>
      </c>
    </row>
    <row r="298" customFormat="false" ht="15" hidden="false" customHeight="false" outlineLevel="0" collapsed="false">
      <c r="A298" s="3" t="n">
        <v>30001019</v>
      </c>
      <c r="B298" s="3" t="s">
        <v>355</v>
      </c>
      <c r="C298" s="3" t="s">
        <v>1380</v>
      </c>
      <c r="D298" s="23" t="n">
        <v>9936</v>
      </c>
      <c r="E298" s="23" t="n">
        <v>6499.57679181202</v>
      </c>
      <c r="F298" s="23" t="n">
        <f aca="false">D298-E298</f>
        <v>3436.42320818799</v>
      </c>
      <c r="G298" s="24" t="n">
        <f aca="false">IF(E298&gt;0,D298/E298-1,"")</f>
        <v>0.528714917641576</v>
      </c>
      <c r="H298" s="3" t="str">
        <f aca="false">IF(MAX(D298,E298)&lt;Parametros!$B$16,"",IF(E298=0,"PIDE SIN FCST",IF(ABS(G298)&gt;Parametros!$B$14,IF(G298&gt;0,"SOBRE FCST","BAJO FCST"),"")))</f>
        <v>SOBRE FCST</v>
      </c>
    </row>
    <row r="299" customFormat="false" ht="15" hidden="false" customHeight="false" outlineLevel="0" collapsed="false">
      <c r="A299" s="3" t="n">
        <v>30000490</v>
      </c>
      <c r="B299" s="3" t="s">
        <v>396</v>
      </c>
      <c r="C299" s="3" t="s">
        <v>1375</v>
      </c>
      <c r="D299" s="23" t="n">
        <v>7840.8</v>
      </c>
      <c r="E299" s="23" t="n">
        <v>4424.95494132685</v>
      </c>
      <c r="F299" s="23" t="n">
        <f aca="false">D299-E299</f>
        <v>3415.84505867315</v>
      </c>
      <c r="G299" s="24" t="n">
        <f aca="false">IF(E299&gt;0,D299/E299-1,"")</f>
        <v>0.771950246717969</v>
      </c>
      <c r="H299" s="3" t="str">
        <f aca="false">IF(MAX(D299,E299)&lt;Parametros!$B$16,"",IF(E299=0,"PIDE SIN FCST",IF(ABS(G299)&gt;Parametros!$B$14,IF(G299&gt;0,"SOBRE FCST","BAJO FCST"),"")))</f>
        <v>SOBRE FCST</v>
      </c>
    </row>
    <row r="300" customFormat="false" ht="15" hidden="false" customHeight="false" outlineLevel="0" collapsed="false">
      <c r="A300" s="3" t="n">
        <v>30001887</v>
      </c>
      <c r="B300" s="3" t="s">
        <v>310</v>
      </c>
      <c r="C300" s="3" t="s">
        <v>1373</v>
      </c>
      <c r="D300" s="23" t="n">
        <v>5932</v>
      </c>
      <c r="E300" s="23" t="n">
        <v>9342.81162899548</v>
      </c>
      <c r="F300" s="23" t="n">
        <f aca="false">D300-E300</f>
        <v>-3410.81162899548</v>
      </c>
      <c r="G300" s="24" t="n">
        <f aca="false">IF(E300&gt;0,D300/E300-1,"")</f>
        <v>-0.365073359545215</v>
      </c>
      <c r="H300" s="3" t="str">
        <f aca="false">IF(MAX(D300,E300)&lt;Parametros!$B$16,"",IF(E300=0,"PIDE SIN FCST",IF(ABS(G300)&gt;Parametros!$B$14,IF(G300&gt;0,"SOBRE FCST","BAJO FCST"),"")))</f>
        <v>BAJO FCST</v>
      </c>
    </row>
    <row r="301" customFormat="false" ht="15" hidden="false" customHeight="false" outlineLevel="0" collapsed="false">
      <c r="A301" s="3" t="n">
        <v>30001739</v>
      </c>
      <c r="B301" s="3" t="s">
        <v>429</v>
      </c>
      <c r="C301" s="3" t="s">
        <v>1379</v>
      </c>
      <c r="D301" s="23" t="n">
        <v>7960</v>
      </c>
      <c r="E301" s="23" t="n">
        <v>4600</v>
      </c>
      <c r="F301" s="23" t="n">
        <f aca="false">D301-E301</f>
        <v>3360</v>
      </c>
      <c r="G301" s="24" t="n">
        <f aca="false">IF(E301&gt;0,D301/E301-1,"")</f>
        <v>0.730434782608696</v>
      </c>
      <c r="H301" s="3" t="str">
        <f aca="false">IF(MAX(D301,E301)&lt;Parametros!$B$16,"",IF(E301=0,"PIDE SIN FCST",IF(ABS(G301)&gt;Parametros!$B$14,IF(G301&gt;0,"SOBRE FCST","BAJO FCST"),"")))</f>
        <v>SOBRE FCST</v>
      </c>
    </row>
    <row r="302" customFormat="false" ht="15" hidden="false" customHeight="false" outlineLevel="0" collapsed="false">
      <c r="A302" s="3" t="n">
        <v>30000514</v>
      </c>
      <c r="B302" s="3" t="s">
        <v>252</v>
      </c>
      <c r="C302" s="3" t="s">
        <v>1375</v>
      </c>
      <c r="D302" s="23" t="n">
        <v>23652</v>
      </c>
      <c r="E302" s="23" t="n">
        <v>20298.85</v>
      </c>
      <c r="F302" s="23" t="n">
        <f aca="false">D302-E302</f>
        <v>3353.15</v>
      </c>
      <c r="G302" s="24" t="n">
        <f aca="false">IF(E302&gt;0,D302/E302-1,"")</f>
        <v>0.165189160962321</v>
      </c>
      <c r="H302" s="3" t="str">
        <f aca="false">IF(MAX(D302,E302)&lt;Parametros!$B$16,"",IF(E302=0,"PIDE SIN FCST",IF(ABS(G302)&gt;Parametros!$B$14,IF(G302&gt;0,"SOBRE FCST","BAJO FCST"),"")))</f>
        <v/>
      </c>
    </row>
    <row r="303" customFormat="false" ht="15" hidden="false" customHeight="false" outlineLevel="0" collapsed="false">
      <c r="A303" s="3" t="n">
        <v>30000326</v>
      </c>
      <c r="B303" s="3" t="s">
        <v>218</v>
      </c>
      <c r="C303" s="3" t="s">
        <v>1372</v>
      </c>
      <c r="D303" s="23" t="n">
        <v>3060</v>
      </c>
      <c r="E303" s="23" t="n">
        <v>6387.65285666872</v>
      </c>
      <c r="F303" s="23" t="n">
        <f aca="false">D303-E303</f>
        <v>-3327.65285666872</v>
      </c>
      <c r="G303" s="24" t="n">
        <f aca="false">IF(E303&gt;0,D303/E303-1,"")</f>
        <v>-0.520950798569876</v>
      </c>
      <c r="H303" s="3" t="str">
        <f aca="false">IF(MAX(D303,E303)&lt;Parametros!$B$16,"",IF(E303=0,"PIDE SIN FCST",IF(ABS(G303)&gt;Parametros!$B$14,IF(G303&gt;0,"SOBRE FCST","BAJO FCST"),"")))</f>
        <v>BAJO FCST</v>
      </c>
    </row>
    <row r="304" customFormat="false" ht="15" hidden="false" customHeight="false" outlineLevel="0" collapsed="false">
      <c r="A304" s="3" t="n">
        <v>30000355</v>
      </c>
      <c r="B304" s="3" t="s">
        <v>583</v>
      </c>
      <c r="C304" s="3" t="s">
        <v>1373</v>
      </c>
      <c r="D304" s="23" t="n">
        <v>744</v>
      </c>
      <c r="E304" s="23" t="n">
        <v>4045.33333333333</v>
      </c>
      <c r="F304" s="23" t="n">
        <f aca="false">D304-E304</f>
        <v>-3301.33333333333</v>
      </c>
      <c r="G304" s="24" t="n">
        <f aca="false">IF(E304&gt;0,D304/E304-1,"")</f>
        <v>-0.816084377059987</v>
      </c>
      <c r="H304" s="3" t="str">
        <f aca="false">IF(MAX(D304,E304)&lt;Parametros!$B$16,"",IF(E304=0,"PIDE SIN FCST",IF(ABS(G304)&gt;Parametros!$B$14,IF(G304&gt;0,"SOBRE FCST","BAJO FCST"),"")))</f>
        <v>BAJO FCST</v>
      </c>
    </row>
    <row r="305" customFormat="false" ht="15" hidden="false" customHeight="false" outlineLevel="0" collapsed="false">
      <c r="A305" s="3" t="n">
        <v>30001871</v>
      </c>
      <c r="B305" s="3" t="s">
        <v>242</v>
      </c>
      <c r="C305" s="3" t="s">
        <v>1372</v>
      </c>
      <c r="D305" s="23" t="n">
        <v>2305.8</v>
      </c>
      <c r="E305" s="23" t="n">
        <v>5606.73792572229</v>
      </c>
      <c r="F305" s="23" t="n">
        <f aca="false">D305-E305</f>
        <v>-3300.93792572229</v>
      </c>
      <c r="G305" s="24" t="n">
        <f aca="false">IF(E305&gt;0,D305/E305-1,"")</f>
        <v>-0.588744822649624</v>
      </c>
      <c r="H305" s="3" t="str">
        <f aca="false">IF(MAX(D305,E305)&lt;Parametros!$B$16,"",IF(E305=0,"PIDE SIN FCST",IF(ABS(G305)&gt;Parametros!$B$14,IF(G305&gt;0,"SOBRE FCST","BAJO FCST"),"")))</f>
        <v>BAJO FCST</v>
      </c>
    </row>
    <row r="306" customFormat="false" ht="15" hidden="false" customHeight="false" outlineLevel="0" collapsed="false">
      <c r="A306" s="3" t="n">
        <v>30001774</v>
      </c>
      <c r="B306" s="3" t="s">
        <v>284</v>
      </c>
      <c r="C306" s="3" t="s">
        <v>1373</v>
      </c>
      <c r="D306" s="23" t="n">
        <v>3784</v>
      </c>
      <c r="E306" s="23" t="n">
        <v>7080.16214386012</v>
      </c>
      <c r="F306" s="23" t="n">
        <f aca="false">D306-E306</f>
        <v>-3296.16214386012</v>
      </c>
      <c r="G306" s="24" t="n">
        <f aca="false">IF(E306&gt;0,D306/E306-1,"")</f>
        <v>-0.46554896298788</v>
      </c>
      <c r="H306" s="3" t="str">
        <f aca="false">IF(MAX(D306,E306)&lt;Parametros!$B$16,"",IF(E306=0,"PIDE SIN FCST",IF(ABS(G306)&gt;Parametros!$B$14,IF(G306&gt;0,"SOBRE FCST","BAJO FCST"),"")))</f>
        <v>BAJO FCST</v>
      </c>
    </row>
    <row r="307" customFormat="false" ht="15" hidden="false" customHeight="false" outlineLevel="0" collapsed="false">
      <c r="A307" s="3" t="n">
        <v>30001689</v>
      </c>
      <c r="B307" s="3" t="s">
        <v>358</v>
      </c>
      <c r="C307" s="3" t="s">
        <v>1375</v>
      </c>
      <c r="D307" s="23" t="n">
        <v>10790</v>
      </c>
      <c r="E307" s="23" t="n">
        <v>7500</v>
      </c>
      <c r="F307" s="23" t="n">
        <f aca="false">D307-E307</f>
        <v>3290</v>
      </c>
      <c r="G307" s="24" t="n">
        <f aca="false">IF(E307&gt;0,D307/E307-1,"")</f>
        <v>0.438666666666667</v>
      </c>
      <c r="H307" s="3" t="str">
        <f aca="false">IF(MAX(D307,E307)&lt;Parametros!$B$16,"",IF(E307=0,"PIDE SIN FCST",IF(ABS(G307)&gt;Parametros!$B$14,IF(G307&gt;0,"SOBRE FCST","BAJO FCST"),"")))</f>
        <v>SOBRE FCST</v>
      </c>
    </row>
    <row r="308" customFormat="false" ht="15" hidden="false" customHeight="false" outlineLevel="0" collapsed="false">
      <c r="A308" s="3" t="n">
        <v>30000514</v>
      </c>
      <c r="B308" s="3" t="s">
        <v>252</v>
      </c>
      <c r="C308" s="3" t="s">
        <v>1379</v>
      </c>
      <c r="D308" s="23" t="n">
        <v>11424</v>
      </c>
      <c r="E308" s="23" t="n">
        <v>8145.52</v>
      </c>
      <c r="F308" s="23" t="n">
        <f aca="false">D308-E308</f>
        <v>3278.48</v>
      </c>
      <c r="G308" s="24" t="n">
        <f aca="false">IF(E308&gt;0,D308/E308-1,"")</f>
        <v>0.402488730001277</v>
      </c>
      <c r="H308" s="3" t="str">
        <f aca="false">IF(MAX(D308,E308)&lt;Parametros!$B$16,"",IF(E308=0,"PIDE SIN FCST",IF(ABS(G308)&gt;Parametros!$B$14,IF(G308&gt;0,"SOBRE FCST","BAJO FCST"),"")))</f>
        <v>SOBRE FCST</v>
      </c>
    </row>
    <row r="309" customFormat="false" ht="15" hidden="false" customHeight="false" outlineLevel="0" collapsed="false">
      <c r="A309" s="3" t="n">
        <v>30000206</v>
      </c>
      <c r="B309" s="3" t="s">
        <v>287</v>
      </c>
      <c r="C309" s="3" t="s">
        <v>1378</v>
      </c>
      <c r="D309" s="23" t="n">
        <v>1848</v>
      </c>
      <c r="E309" s="23" t="n">
        <v>5106.8</v>
      </c>
      <c r="F309" s="23" t="n">
        <f aca="false">D309-E309</f>
        <v>-3258.8</v>
      </c>
      <c r="G309" s="24" t="n">
        <f aca="false">IF(E309&gt;0,D309/E309-1,"")</f>
        <v>-0.638129552753192</v>
      </c>
      <c r="H309" s="3" t="str">
        <f aca="false">IF(MAX(D309,E309)&lt;Parametros!$B$16,"",IF(E309=0,"PIDE SIN FCST",IF(ABS(G309)&gt;Parametros!$B$14,IF(G309&gt;0,"SOBRE FCST","BAJO FCST"),"")))</f>
        <v>BAJO FCST</v>
      </c>
    </row>
    <row r="310" customFormat="false" ht="15" hidden="false" customHeight="false" outlineLevel="0" collapsed="false">
      <c r="A310" s="3" t="n">
        <v>30001056</v>
      </c>
      <c r="B310" s="3" t="s">
        <v>259</v>
      </c>
      <c r="C310" s="3" t="s">
        <v>1375</v>
      </c>
      <c r="D310" s="23" t="n">
        <v>17892</v>
      </c>
      <c r="E310" s="23" t="n">
        <v>14640.0627228831</v>
      </c>
      <c r="F310" s="23" t="n">
        <f aca="false">D310-E310</f>
        <v>3251.93727711695</v>
      </c>
      <c r="G310" s="24" t="n">
        <f aca="false">IF(E310&gt;0,D310/E310-1,"")</f>
        <v>0.222125911525914</v>
      </c>
      <c r="H310" s="3" t="str">
        <f aca="false">IF(MAX(D310,E310)&lt;Parametros!$B$16,"",IF(E310=0,"PIDE SIN FCST",IF(ABS(G310)&gt;Parametros!$B$14,IF(G310&gt;0,"SOBRE FCST","BAJO FCST"),"")))</f>
        <v>SOBRE FCST</v>
      </c>
    </row>
    <row r="311" customFormat="false" ht="15" hidden="false" customHeight="false" outlineLevel="0" collapsed="false">
      <c r="A311" s="3" t="n">
        <v>30001710</v>
      </c>
      <c r="B311" s="3" t="s">
        <v>335</v>
      </c>
      <c r="C311" s="3" t="s">
        <v>1380</v>
      </c>
      <c r="D311" s="23" t="n">
        <v>8668.8</v>
      </c>
      <c r="E311" s="23" t="n">
        <v>11909.0323994658</v>
      </c>
      <c r="F311" s="23" t="n">
        <f aca="false">D311-E311</f>
        <v>-3240.23239946576</v>
      </c>
      <c r="G311" s="24" t="n">
        <f aca="false">IF(E311&gt;0,D311/E311-1,"")</f>
        <v>-0.272081919905694</v>
      </c>
      <c r="H311" s="3" t="str">
        <f aca="false">IF(MAX(D311,E311)&lt;Parametros!$B$16,"",IF(E311=0,"PIDE SIN FCST",IF(ABS(G311)&gt;Parametros!$B$14,IF(G311&gt;0,"SOBRE FCST","BAJO FCST"),"")))</f>
        <v>BAJO FCST</v>
      </c>
    </row>
    <row r="312" customFormat="false" ht="15" hidden="false" customHeight="false" outlineLevel="0" collapsed="false">
      <c r="A312" s="3" t="n">
        <v>30000309</v>
      </c>
      <c r="B312" s="3" t="s">
        <v>236</v>
      </c>
      <c r="C312" s="3" t="s">
        <v>1379</v>
      </c>
      <c r="D312" s="23" t="n">
        <v>10272</v>
      </c>
      <c r="E312" s="23" t="n">
        <v>7051.65</v>
      </c>
      <c r="F312" s="23" t="n">
        <f aca="false">D312-E312</f>
        <v>3220.35</v>
      </c>
      <c r="G312" s="24" t="n">
        <f aca="false">IF(E312&gt;0,D312/E312-1,"")</f>
        <v>0.456680351407118</v>
      </c>
      <c r="H312" s="3" t="str">
        <f aca="false">IF(MAX(D312,E312)&lt;Parametros!$B$16,"",IF(E312=0,"PIDE SIN FCST",IF(ABS(G312)&gt;Parametros!$B$14,IF(G312&gt;0,"SOBRE FCST","BAJO FCST"),"")))</f>
        <v>SOBRE FCST</v>
      </c>
    </row>
    <row r="313" customFormat="false" ht="15" hidden="false" customHeight="false" outlineLevel="0" collapsed="false">
      <c r="A313" s="3" t="n">
        <v>30002293</v>
      </c>
      <c r="B313" s="3" t="s">
        <v>454</v>
      </c>
      <c r="C313" s="3" t="s">
        <v>1375</v>
      </c>
      <c r="D313" s="23" t="n">
        <v>10719</v>
      </c>
      <c r="E313" s="23" t="n">
        <v>7500</v>
      </c>
      <c r="F313" s="23" t="n">
        <f aca="false">D313-E313</f>
        <v>3219</v>
      </c>
      <c r="G313" s="24" t="n">
        <f aca="false">IF(E313&gt;0,D313/E313-1,"")</f>
        <v>0.4292</v>
      </c>
      <c r="H313" s="3" t="str">
        <f aca="false">IF(MAX(D313,E313)&lt;Parametros!$B$16,"",IF(E313=0,"PIDE SIN FCST",IF(ABS(G313)&gt;Parametros!$B$14,IF(G313&gt;0,"SOBRE FCST","BAJO FCST"),"")))</f>
        <v>SOBRE FCST</v>
      </c>
    </row>
    <row r="314" customFormat="false" ht="15" hidden="false" customHeight="false" outlineLevel="0" collapsed="false">
      <c r="A314" s="3" t="n">
        <v>30001081</v>
      </c>
      <c r="B314" s="3" t="s">
        <v>267</v>
      </c>
      <c r="C314" s="3" t="s">
        <v>1375</v>
      </c>
      <c r="D314" s="23" t="n">
        <v>8748.96</v>
      </c>
      <c r="E314" s="23" t="n">
        <v>5545.62673839738</v>
      </c>
      <c r="F314" s="23" t="n">
        <f aca="false">D314-E314</f>
        <v>3203.33326160262</v>
      </c>
      <c r="G314" s="24" t="n">
        <f aca="false">IF(E314&gt;0,D314/E314-1,"")</f>
        <v>0.577632324120022</v>
      </c>
      <c r="H314" s="3" t="str">
        <f aca="false">IF(MAX(D314,E314)&lt;Parametros!$B$16,"",IF(E314=0,"PIDE SIN FCST",IF(ABS(G314)&gt;Parametros!$B$14,IF(G314&gt;0,"SOBRE FCST","BAJO FCST"),"")))</f>
        <v>SOBRE FCST</v>
      </c>
    </row>
    <row r="315" customFormat="false" ht="15" hidden="false" customHeight="false" outlineLevel="0" collapsed="false">
      <c r="A315" s="3" t="n">
        <v>30000301</v>
      </c>
      <c r="B315" s="3" t="s">
        <v>323</v>
      </c>
      <c r="C315" s="3" t="s">
        <v>1380</v>
      </c>
      <c r="D315" s="23" t="n">
        <v>4000</v>
      </c>
      <c r="E315" s="23" t="n">
        <v>7200</v>
      </c>
      <c r="F315" s="23" t="n">
        <f aca="false">D315-E315</f>
        <v>-3200</v>
      </c>
      <c r="G315" s="24" t="n">
        <f aca="false">IF(E315&gt;0,D315/E315-1,"")</f>
        <v>-0.444444444444444</v>
      </c>
      <c r="H315" s="3" t="str">
        <f aca="false">IF(MAX(D315,E315)&lt;Parametros!$B$16,"",IF(E315=0,"PIDE SIN FCST",IF(ABS(G315)&gt;Parametros!$B$14,IF(G315&gt;0,"SOBRE FCST","BAJO FCST"),"")))</f>
        <v>BAJO FCST</v>
      </c>
    </row>
    <row r="316" customFormat="false" ht="15" hidden="false" customHeight="false" outlineLevel="0" collapsed="false">
      <c r="A316" s="3" t="n">
        <v>30000615</v>
      </c>
      <c r="B316" s="3" t="s">
        <v>279</v>
      </c>
      <c r="C316" s="3" t="s">
        <v>1380</v>
      </c>
      <c r="D316" s="23" t="n">
        <v>20208</v>
      </c>
      <c r="E316" s="23" t="n">
        <v>23400</v>
      </c>
      <c r="F316" s="23" t="n">
        <f aca="false">D316-E316</f>
        <v>-3192</v>
      </c>
      <c r="G316" s="24" t="n">
        <f aca="false">IF(E316&gt;0,D316/E316-1,"")</f>
        <v>-0.136410256410256</v>
      </c>
      <c r="H316" s="3" t="str">
        <f aca="false">IF(MAX(D316,E316)&lt;Parametros!$B$16,"",IF(E316=0,"PIDE SIN FCST",IF(ABS(G316)&gt;Parametros!$B$14,IF(G316&gt;0,"SOBRE FCST","BAJO FCST"),"")))</f>
        <v/>
      </c>
    </row>
    <row r="317" customFormat="false" ht="15" hidden="false" customHeight="false" outlineLevel="0" collapsed="false">
      <c r="A317" s="3" t="n">
        <v>30001939</v>
      </c>
      <c r="B317" s="3" t="s">
        <v>312</v>
      </c>
      <c r="C317" s="3" t="s">
        <v>1380</v>
      </c>
      <c r="D317" s="23" t="n">
        <v>7180.8</v>
      </c>
      <c r="E317" s="23" t="n">
        <v>4000.00006015216</v>
      </c>
      <c r="F317" s="23" t="n">
        <f aca="false">D317-E317</f>
        <v>3180.79993984784</v>
      </c>
      <c r="G317" s="24" t="n">
        <f aca="false">IF(E317&gt;0,D317/E317-1,"")</f>
        <v>0.79519997300371</v>
      </c>
      <c r="H317" s="3" t="str">
        <f aca="false">IF(MAX(D317,E317)&lt;Parametros!$B$16,"",IF(E317=0,"PIDE SIN FCST",IF(ABS(G317)&gt;Parametros!$B$14,IF(G317&gt;0,"SOBRE FCST","BAJO FCST"),"")))</f>
        <v>SOBRE FCST</v>
      </c>
    </row>
    <row r="318" customFormat="false" ht="15" hidden="false" customHeight="false" outlineLevel="0" collapsed="false">
      <c r="A318" s="3" t="n">
        <v>30001753</v>
      </c>
      <c r="B318" s="3" t="s">
        <v>255</v>
      </c>
      <c r="C318" s="3" t="s">
        <v>1379</v>
      </c>
      <c r="D318" s="23" t="n">
        <v>6804</v>
      </c>
      <c r="E318" s="23" t="n">
        <v>3629.2</v>
      </c>
      <c r="F318" s="23" t="n">
        <f aca="false">D318-E318</f>
        <v>3174.8</v>
      </c>
      <c r="G318" s="24" t="n">
        <f aca="false">IF(E318&gt;0,D318/E318-1,"")</f>
        <v>0.874793342885485</v>
      </c>
      <c r="H318" s="3" t="str">
        <f aca="false">IF(MAX(D318,E318)&lt;Parametros!$B$16,"",IF(E318=0,"PIDE SIN FCST",IF(ABS(G318)&gt;Parametros!$B$14,IF(G318&gt;0,"SOBRE FCST","BAJO FCST"),"")))</f>
        <v>SOBRE FCST</v>
      </c>
    </row>
    <row r="319" customFormat="false" ht="15" hidden="false" customHeight="false" outlineLevel="0" collapsed="false">
      <c r="A319" s="3" t="n">
        <v>30002325</v>
      </c>
      <c r="B319" s="3" t="s">
        <v>505</v>
      </c>
      <c r="C319" s="3" t="s">
        <v>1375</v>
      </c>
      <c r="D319" s="23" t="n">
        <v>6156</v>
      </c>
      <c r="E319" s="23" t="n">
        <v>2987.6</v>
      </c>
      <c r="F319" s="23" t="n">
        <f aca="false">D319-E319</f>
        <v>3168.4</v>
      </c>
      <c r="G319" s="24" t="n">
        <f aca="false">IF(E319&gt;0,D319/E319-1,"")</f>
        <v>1.06051680278484</v>
      </c>
      <c r="H319" s="3" t="str">
        <f aca="false">IF(MAX(D319,E319)&lt;Parametros!$B$16,"",IF(E319=0,"PIDE SIN FCST",IF(ABS(G319)&gt;Parametros!$B$14,IF(G319&gt;0,"SOBRE FCST","BAJO FCST"),"")))</f>
        <v>SOBRE FCST</v>
      </c>
    </row>
    <row r="320" customFormat="false" ht="15" hidden="false" customHeight="false" outlineLevel="0" collapsed="false">
      <c r="A320" s="3" t="n">
        <v>30001746</v>
      </c>
      <c r="B320" s="3" t="s">
        <v>375</v>
      </c>
      <c r="C320" s="3" t="s">
        <v>1373</v>
      </c>
      <c r="D320" s="23" t="n">
        <v>5754.24</v>
      </c>
      <c r="E320" s="23" t="n">
        <v>2600</v>
      </c>
      <c r="F320" s="23" t="n">
        <f aca="false">D320-E320</f>
        <v>3154.24</v>
      </c>
      <c r="G320" s="24" t="n">
        <f aca="false">IF(E320&gt;0,D320/E320-1,"")</f>
        <v>1.21316923076923</v>
      </c>
      <c r="H320" s="3" t="str">
        <f aca="false">IF(MAX(D320,E320)&lt;Parametros!$B$16,"",IF(E320=0,"PIDE SIN FCST",IF(ABS(G320)&gt;Parametros!$B$14,IF(G320&gt;0,"SOBRE FCST","BAJO FCST"),"")))</f>
        <v>SOBRE FCST</v>
      </c>
    </row>
    <row r="321" customFormat="false" ht="15" hidden="false" customHeight="false" outlineLevel="0" collapsed="false">
      <c r="A321" s="3" t="n">
        <v>30002329</v>
      </c>
      <c r="B321" s="3" t="s">
        <v>253</v>
      </c>
      <c r="C321" s="3" t="s">
        <v>1380</v>
      </c>
      <c r="D321" s="23" t="n">
        <v>42864</v>
      </c>
      <c r="E321" s="23" t="n">
        <v>46000</v>
      </c>
      <c r="F321" s="23" t="n">
        <f aca="false">D321-E321</f>
        <v>-3136</v>
      </c>
      <c r="G321" s="24" t="n">
        <f aca="false">IF(E321&gt;0,D321/E321-1,"")</f>
        <v>-0.0681739130434783</v>
      </c>
      <c r="H321" s="3" t="str">
        <f aca="false">IF(MAX(D321,E321)&lt;Parametros!$B$16,"",IF(E321=0,"PIDE SIN FCST",IF(ABS(G321)&gt;Parametros!$B$14,IF(G321&gt;0,"SOBRE FCST","BAJO FCST"),"")))</f>
        <v/>
      </c>
    </row>
    <row r="322" customFormat="false" ht="15" hidden="false" customHeight="false" outlineLevel="0" collapsed="false">
      <c r="A322" s="3" t="n">
        <v>30000643</v>
      </c>
      <c r="B322" s="3" t="s">
        <v>240</v>
      </c>
      <c r="C322" s="3" t="s">
        <v>1379</v>
      </c>
      <c r="D322" s="23" t="n">
        <v>7387.2</v>
      </c>
      <c r="E322" s="23" t="n">
        <v>4262.4</v>
      </c>
      <c r="F322" s="23" t="n">
        <f aca="false">D322-E322</f>
        <v>3124.8</v>
      </c>
      <c r="G322" s="24" t="n">
        <f aca="false">IF(E322&gt;0,D322/E322-1,"")</f>
        <v>0.733108108108108</v>
      </c>
      <c r="H322" s="3" t="str">
        <f aca="false">IF(MAX(D322,E322)&lt;Parametros!$B$16,"",IF(E322=0,"PIDE SIN FCST",IF(ABS(G322)&gt;Parametros!$B$14,IF(G322&gt;0,"SOBRE FCST","BAJO FCST"),"")))</f>
        <v>SOBRE FCST</v>
      </c>
    </row>
    <row r="323" customFormat="false" ht="15" hidden="false" customHeight="false" outlineLevel="0" collapsed="false">
      <c r="A323" s="3" t="n">
        <v>30000254</v>
      </c>
      <c r="B323" s="3" t="s">
        <v>272</v>
      </c>
      <c r="C323" s="3" t="s">
        <v>1378</v>
      </c>
      <c r="D323" s="23" t="n">
        <v>7032</v>
      </c>
      <c r="E323" s="23" t="n">
        <v>10142.8</v>
      </c>
      <c r="F323" s="23" t="n">
        <f aca="false">D323-E323</f>
        <v>-3110.8</v>
      </c>
      <c r="G323" s="24" t="n">
        <f aca="false">IF(E323&gt;0,D323/E323-1,"")</f>
        <v>-0.306700319438419</v>
      </c>
      <c r="H323" s="3" t="str">
        <f aca="false">IF(MAX(D323,E323)&lt;Parametros!$B$16,"",IF(E323=0,"PIDE SIN FCST",IF(ABS(G323)&gt;Parametros!$B$14,IF(G323&gt;0,"SOBRE FCST","BAJO FCST"),"")))</f>
        <v>BAJO FCST</v>
      </c>
    </row>
    <row r="324" customFormat="false" ht="15" hidden="false" customHeight="false" outlineLevel="0" collapsed="false">
      <c r="A324" s="3" t="n">
        <v>30000305</v>
      </c>
      <c r="B324" s="3" t="s">
        <v>254</v>
      </c>
      <c r="C324" s="3" t="s">
        <v>1375</v>
      </c>
      <c r="D324" s="23" t="n">
        <v>10824</v>
      </c>
      <c r="E324" s="23" t="n">
        <v>13930.405</v>
      </c>
      <c r="F324" s="23" t="n">
        <f aca="false">D324-E324</f>
        <v>-3106.405</v>
      </c>
      <c r="G324" s="24" t="n">
        <f aca="false">IF(E324&gt;0,D324/E324-1,"")</f>
        <v>-0.222994593480951</v>
      </c>
      <c r="H324" s="3" t="str">
        <f aca="false">IF(MAX(D324,E324)&lt;Parametros!$B$16,"",IF(E324=0,"PIDE SIN FCST",IF(ABS(G324)&gt;Parametros!$B$14,IF(G324&gt;0,"SOBRE FCST","BAJO FCST"),"")))</f>
        <v>BAJO FCST</v>
      </c>
    </row>
    <row r="325" customFormat="false" ht="15" hidden="false" customHeight="false" outlineLevel="0" collapsed="false">
      <c r="A325" s="3" t="n">
        <v>30000300</v>
      </c>
      <c r="B325" s="3" t="s">
        <v>291</v>
      </c>
      <c r="C325" s="3" t="s">
        <v>1379</v>
      </c>
      <c r="D325" s="23" t="n">
        <v>5568</v>
      </c>
      <c r="E325" s="23" t="n">
        <v>2466.79</v>
      </c>
      <c r="F325" s="23" t="n">
        <f aca="false">D325-E325</f>
        <v>3101.21</v>
      </c>
      <c r="G325" s="24" t="n">
        <f aca="false">IF(E325&gt;0,D325/E325-1,"")</f>
        <v>1.25718443807539</v>
      </c>
      <c r="H325" s="3" t="str">
        <f aca="false">IF(MAX(D325,E325)&lt;Parametros!$B$16,"",IF(E325=0,"PIDE SIN FCST",IF(ABS(G325)&gt;Parametros!$B$14,IF(G325&gt;0,"SOBRE FCST","BAJO FCST"),"")))</f>
        <v>SOBRE FCST</v>
      </c>
    </row>
    <row r="326" customFormat="false" ht="15" hidden="false" customHeight="false" outlineLevel="0" collapsed="false">
      <c r="A326" s="3" t="n">
        <v>30001773</v>
      </c>
      <c r="B326" s="3" t="s">
        <v>345</v>
      </c>
      <c r="C326" s="3" t="s">
        <v>1380</v>
      </c>
      <c r="D326" s="23" t="n">
        <v>18397.68</v>
      </c>
      <c r="E326" s="23" t="n">
        <v>15300</v>
      </c>
      <c r="F326" s="23" t="n">
        <f aca="false">D326-E326</f>
        <v>3097.68</v>
      </c>
      <c r="G326" s="24" t="n">
        <f aca="false">IF(E326&gt;0,D326/E326-1,"")</f>
        <v>0.202462745098039</v>
      </c>
      <c r="H326" s="3" t="str">
        <f aca="false">IF(MAX(D326,E326)&lt;Parametros!$B$16,"",IF(E326=0,"PIDE SIN FCST",IF(ABS(G326)&gt;Parametros!$B$14,IF(G326&gt;0,"SOBRE FCST","BAJO FCST"),"")))</f>
        <v>SOBRE FCST</v>
      </c>
    </row>
    <row r="327" customFormat="false" ht="15" hidden="false" customHeight="false" outlineLevel="0" collapsed="false">
      <c r="A327" s="3" t="n">
        <v>30001032</v>
      </c>
      <c r="B327" s="3" t="s">
        <v>316</v>
      </c>
      <c r="C327" s="3" t="s">
        <v>1375</v>
      </c>
      <c r="D327" s="23" t="n">
        <v>16232.4</v>
      </c>
      <c r="E327" s="23" t="n">
        <v>13156.4709144045</v>
      </c>
      <c r="F327" s="23" t="n">
        <f aca="false">D327-E327</f>
        <v>3075.92908559553</v>
      </c>
      <c r="G327" s="24" t="n">
        <f aca="false">IF(E327&gt;0,D327/E327-1,"")</f>
        <v>0.233795909678774</v>
      </c>
      <c r="H327" s="3" t="str">
        <f aca="false">IF(MAX(D327,E327)&lt;Parametros!$B$16,"",IF(E327=0,"PIDE SIN FCST",IF(ABS(G327)&gt;Parametros!$B$14,IF(G327&gt;0,"SOBRE FCST","BAJO FCST"),"")))</f>
        <v>SOBRE FCST</v>
      </c>
    </row>
    <row r="328" customFormat="false" ht="15" hidden="false" customHeight="false" outlineLevel="0" collapsed="false">
      <c r="A328" s="3" t="n">
        <v>30000257</v>
      </c>
      <c r="B328" s="3" t="s">
        <v>228</v>
      </c>
      <c r="C328" s="3" t="s">
        <v>1377</v>
      </c>
      <c r="D328" s="23" t="n">
        <v>5448</v>
      </c>
      <c r="E328" s="23" t="n">
        <v>8512.1877164785</v>
      </c>
      <c r="F328" s="23" t="n">
        <f aca="false">D328-E328</f>
        <v>-3064.1877164785</v>
      </c>
      <c r="G328" s="24" t="n">
        <f aca="false">IF(E328&gt;0,D328/E328-1,"")</f>
        <v>-0.359976520553773</v>
      </c>
      <c r="H328" s="3" t="str">
        <f aca="false">IF(MAX(D328,E328)&lt;Parametros!$B$16,"",IF(E328=0,"PIDE SIN FCST",IF(ABS(G328)&gt;Parametros!$B$14,IF(G328&gt;0,"SOBRE FCST","BAJO FCST"),"")))</f>
        <v>BAJO FCST</v>
      </c>
    </row>
    <row r="329" customFormat="false" ht="15" hidden="false" customHeight="false" outlineLevel="0" collapsed="false">
      <c r="A329" s="3" t="n">
        <v>30002336</v>
      </c>
      <c r="B329" s="3" t="s">
        <v>286</v>
      </c>
      <c r="C329" s="3" t="s">
        <v>1373</v>
      </c>
      <c r="D329" s="23" t="n">
        <v>25540</v>
      </c>
      <c r="E329" s="23" t="n">
        <v>22501.9582303236</v>
      </c>
      <c r="F329" s="23" t="n">
        <f aca="false">D329-E329</f>
        <v>3038.04176967643</v>
      </c>
      <c r="G329" s="24" t="n">
        <f aca="false">IF(E329&gt;0,D329/E329-1,"")</f>
        <v>0.135012328197391</v>
      </c>
      <c r="H329" s="3" t="str">
        <f aca="false">IF(MAX(D329,E329)&lt;Parametros!$B$16,"",IF(E329=0,"PIDE SIN FCST",IF(ABS(G329)&gt;Parametros!$B$14,IF(G329&gt;0,"SOBRE FCST","BAJO FCST"),"")))</f>
        <v/>
      </c>
    </row>
    <row r="330" customFormat="false" ht="15" hidden="false" customHeight="false" outlineLevel="0" collapsed="false">
      <c r="A330" s="3" t="n">
        <v>30002155</v>
      </c>
      <c r="B330" s="3" t="s">
        <v>273</v>
      </c>
      <c r="C330" s="3" t="s">
        <v>1380</v>
      </c>
      <c r="D330" s="23" t="n">
        <v>1267.2</v>
      </c>
      <c r="E330" s="23" t="n">
        <v>4300</v>
      </c>
      <c r="F330" s="23" t="n">
        <f aca="false">D330-E330</f>
        <v>-3032.8</v>
      </c>
      <c r="G330" s="24" t="n">
        <f aca="false">IF(E330&gt;0,D330/E330-1,"")</f>
        <v>-0.705302325581395</v>
      </c>
      <c r="H330" s="3" t="str">
        <f aca="false">IF(MAX(D330,E330)&lt;Parametros!$B$16,"",IF(E330=0,"PIDE SIN FCST",IF(ABS(G330)&gt;Parametros!$B$14,IF(G330&gt;0,"SOBRE FCST","BAJO FCST"),"")))</f>
        <v>BAJO FCST</v>
      </c>
    </row>
    <row r="331" customFormat="false" ht="15" hidden="false" customHeight="false" outlineLevel="0" collapsed="false">
      <c r="A331" s="3" t="n">
        <v>30001093</v>
      </c>
      <c r="B331" s="3" t="s">
        <v>327</v>
      </c>
      <c r="C331" s="3" t="s">
        <v>1380</v>
      </c>
      <c r="D331" s="23" t="n">
        <v>6480</v>
      </c>
      <c r="E331" s="23" t="n">
        <v>9510.74099385749</v>
      </c>
      <c r="F331" s="23" t="n">
        <f aca="false">D331-E331</f>
        <v>-3030.74099385749</v>
      </c>
      <c r="G331" s="24" t="n">
        <f aca="false">IF(E331&gt;0,D331/E331-1,"")</f>
        <v>-0.318665075183405</v>
      </c>
      <c r="H331" s="3" t="str">
        <f aca="false">IF(MAX(D331,E331)&lt;Parametros!$B$16,"",IF(E331=0,"PIDE SIN FCST",IF(ABS(G331)&gt;Parametros!$B$14,IF(G331&gt;0,"SOBRE FCST","BAJO FCST"),"")))</f>
        <v>BAJO FCST</v>
      </c>
    </row>
    <row r="332" customFormat="false" ht="15" hidden="false" customHeight="false" outlineLevel="0" collapsed="false">
      <c r="A332" s="3" t="n">
        <v>30000207</v>
      </c>
      <c r="B332" s="3" t="s">
        <v>300</v>
      </c>
      <c r="C332" s="3" t="s">
        <v>1372</v>
      </c>
      <c r="D332" s="23" t="n">
        <v>1842</v>
      </c>
      <c r="E332" s="23" t="n">
        <v>4871.69891150669</v>
      </c>
      <c r="F332" s="23" t="n">
        <f aca="false">D332-E332</f>
        <v>-3029.69891150669</v>
      </c>
      <c r="G332" s="24" t="n">
        <f aca="false">IF(E332&gt;0,D332/E332-1,"")</f>
        <v>-0.621897815636903</v>
      </c>
      <c r="H332" s="3" t="str">
        <f aca="false">IF(MAX(D332,E332)&lt;Parametros!$B$16,"",IF(E332=0,"PIDE SIN FCST",IF(ABS(G332)&gt;Parametros!$B$14,IF(G332&gt;0,"SOBRE FCST","BAJO FCST"),"")))</f>
        <v>BAJO FCST</v>
      </c>
    </row>
    <row r="333" customFormat="false" ht="15" hidden="false" customHeight="false" outlineLevel="0" collapsed="false">
      <c r="A333" s="3" t="n">
        <v>30002315</v>
      </c>
      <c r="B333" s="3" t="s">
        <v>260</v>
      </c>
      <c r="C333" s="3" t="s">
        <v>1380</v>
      </c>
      <c r="D333" s="23" t="n">
        <v>26520</v>
      </c>
      <c r="E333" s="23" t="n">
        <v>23500</v>
      </c>
      <c r="F333" s="23" t="n">
        <f aca="false">D333-E333</f>
        <v>3020</v>
      </c>
      <c r="G333" s="24" t="n">
        <f aca="false">IF(E333&gt;0,D333/E333-1,"")</f>
        <v>0.128510638297872</v>
      </c>
      <c r="H333" s="3" t="str">
        <f aca="false">IF(MAX(D333,E333)&lt;Parametros!$B$16,"",IF(E333=0,"PIDE SIN FCST",IF(ABS(G333)&gt;Parametros!$B$14,IF(G333&gt;0,"SOBRE FCST","BAJO FCST"),"")))</f>
        <v/>
      </c>
    </row>
    <row r="334" customFormat="false" ht="15" hidden="false" customHeight="false" outlineLevel="0" collapsed="false">
      <c r="A334" s="3" t="n">
        <v>30000307</v>
      </c>
      <c r="B334" s="3" t="s">
        <v>410</v>
      </c>
      <c r="C334" s="3" t="s">
        <v>1373</v>
      </c>
      <c r="D334" s="23" t="n">
        <v>6228</v>
      </c>
      <c r="E334" s="23" t="n">
        <v>9242.03333333333</v>
      </c>
      <c r="F334" s="23" t="n">
        <f aca="false">D334-E334</f>
        <v>-3014.03333333333</v>
      </c>
      <c r="G334" s="24" t="n">
        <f aca="false">IF(E334&gt;0,D334/E334-1,"")</f>
        <v>-0.326122317960333</v>
      </c>
      <c r="H334" s="3" t="str">
        <f aca="false">IF(MAX(D334,E334)&lt;Parametros!$B$16,"",IF(E334=0,"PIDE SIN FCST",IF(ABS(G334)&gt;Parametros!$B$14,IF(G334&gt;0,"SOBRE FCST","BAJO FCST"),"")))</f>
        <v>BAJO FCST</v>
      </c>
    </row>
    <row r="335" customFormat="false" ht="15" hidden="false" customHeight="false" outlineLevel="0" collapsed="false">
      <c r="A335" s="3" t="n">
        <v>30001862</v>
      </c>
      <c r="B335" s="3" t="s">
        <v>239</v>
      </c>
      <c r="C335" s="3" t="s">
        <v>1377</v>
      </c>
      <c r="D335" s="23" t="n">
        <v>10755</v>
      </c>
      <c r="E335" s="23" t="n">
        <v>7763.17558946163</v>
      </c>
      <c r="F335" s="23" t="n">
        <f aca="false">D335-E335</f>
        <v>2991.82441053837</v>
      </c>
      <c r="G335" s="24" t="n">
        <f aca="false">IF(E335&gt;0,D335/E335-1,"")</f>
        <v>0.385386672768257</v>
      </c>
      <c r="H335" s="3" t="str">
        <f aca="false">IF(MAX(D335,E335)&lt;Parametros!$B$16,"",IF(E335=0,"PIDE SIN FCST",IF(ABS(G335)&gt;Parametros!$B$14,IF(G335&gt;0,"SOBRE FCST","BAJO FCST"),"")))</f>
        <v>SOBRE FCST</v>
      </c>
    </row>
    <row r="336" customFormat="false" ht="15" hidden="false" customHeight="false" outlineLevel="0" collapsed="false">
      <c r="A336" s="3" t="n">
        <v>30001873</v>
      </c>
      <c r="B336" s="3" t="s">
        <v>299</v>
      </c>
      <c r="C336" s="3" t="s">
        <v>1379</v>
      </c>
      <c r="D336" s="23" t="n">
        <v>4309.2</v>
      </c>
      <c r="E336" s="23" t="n">
        <v>7300</v>
      </c>
      <c r="F336" s="23" t="n">
        <f aca="false">D336-E336</f>
        <v>-2990.8</v>
      </c>
      <c r="G336" s="24" t="n">
        <f aca="false">IF(E336&gt;0,D336/E336-1,"")</f>
        <v>-0.409698630136986</v>
      </c>
      <c r="H336" s="3" t="str">
        <f aca="false">IF(MAX(D336,E336)&lt;Parametros!$B$16,"",IF(E336=0,"PIDE SIN FCST",IF(ABS(G336)&gt;Parametros!$B$14,IF(G336&gt;0,"SOBRE FCST","BAJO FCST"),"")))</f>
        <v>BAJO FCST</v>
      </c>
    </row>
    <row r="337" customFormat="false" ht="15" hidden="false" customHeight="false" outlineLevel="0" collapsed="false">
      <c r="A337" s="3" t="n">
        <v>30000398</v>
      </c>
      <c r="B337" s="3" t="s">
        <v>295</v>
      </c>
      <c r="C337" s="3" t="s">
        <v>1380</v>
      </c>
      <c r="D337" s="23" t="n">
        <v>14688</v>
      </c>
      <c r="E337" s="23" t="n">
        <v>11700</v>
      </c>
      <c r="F337" s="23" t="n">
        <f aca="false">D337-E337</f>
        <v>2988</v>
      </c>
      <c r="G337" s="24" t="n">
        <f aca="false">IF(E337&gt;0,D337/E337-1,"")</f>
        <v>0.255384615384615</v>
      </c>
      <c r="H337" s="3" t="str">
        <f aca="false">IF(MAX(D337,E337)&lt;Parametros!$B$16,"",IF(E337=0,"PIDE SIN FCST",IF(ABS(G337)&gt;Parametros!$B$14,IF(G337&gt;0,"SOBRE FCST","BAJO FCST"),"")))</f>
        <v>SOBRE FCST</v>
      </c>
    </row>
    <row r="338" customFormat="false" ht="15" hidden="false" customHeight="false" outlineLevel="0" collapsed="false">
      <c r="A338" s="3" t="n">
        <v>30001489</v>
      </c>
      <c r="B338" s="3" t="s">
        <v>289</v>
      </c>
      <c r="C338" s="3" t="s">
        <v>1375</v>
      </c>
      <c r="D338" s="23" t="n">
        <v>6684.792</v>
      </c>
      <c r="E338" s="23" t="n">
        <v>9671.62292187095</v>
      </c>
      <c r="F338" s="23" t="n">
        <f aca="false">D338-E338</f>
        <v>-2986.83092187094</v>
      </c>
      <c r="G338" s="24" t="n">
        <f aca="false">IF(E338&gt;0,D338/E338-1,"")</f>
        <v>-0.308824170048717</v>
      </c>
      <c r="H338" s="3" t="str">
        <f aca="false">IF(MAX(D338,E338)&lt;Parametros!$B$16,"",IF(E338=0,"PIDE SIN FCST",IF(ABS(G338)&gt;Parametros!$B$14,IF(G338&gt;0,"SOBRE FCST","BAJO FCST"),"")))</f>
        <v>BAJO FCST</v>
      </c>
    </row>
    <row r="339" customFormat="false" ht="15" hidden="false" customHeight="false" outlineLevel="0" collapsed="false">
      <c r="A339" s="3" t="n">
        <v>30000054</v>
      </c>
      <c r="B339" s="3" t="s">
        <v>349</v>
      </c>
      <c r="C339" s="3" t="s">
        <v>1380</v>
      </c>
      <c r="D339" s="23" t="n">
        <v>9185.28</v>
      </c>
      <c r="E339" s="23" t="n">
        <v>6200</v>
      </c>
      <c r="F339" s="23" t="n">
        <f aca="false">D339-E339</f>
        <v>2985.28</v>
      </c>
      <c r="G339" s="24" t="n">
        <f aca="false">IF(E339&gt;0,D339/E339-1,"")</f>
        <v>0.481496774193549</v>
      </c>
      <c r="H339" s="3" t="str">
        <f aca="false">IF(MAX(D339,E339)&lt;Parametros!$B$16,"",IF(E339=0,"PIDE SIN FCST",IF(ABS(G339)&gt;Parametros!$B$14,IF(G339&gt;0,"SOBRE FCST","BAJO FCST"),"")))</f>
        <v>SOBRE FCST</v>
      </c>
    </row>
    <row r="340" customFormat="false" ht="15" hidden="false" customHeight="false" outlineLevel="0" collapsed="false">
      <c r="A340" s="3" t="n">
        <v>30001750</v>
      </c>
      <c r="B340" s="3" t="s">
        <v>298</v>
      </c>
      <c r="C340" s="3" t="s">
        <v>1379</v>
      </c>
      <c r="D340" s="23" t="n">
        <v>5427</v>
      </c>
      <c r="E340" s="23" t="n">
        <v>2443</v>
      </c>
      <c r="F340" s="23" t="n">
        <f aca="false">D340-E340</f>
        <v>2984</v>
      </c>
      <c r="G340" s="24" t="n">
        <f aca="false">IF(E340&gt;0,D340/E340-1,"")</f>
        <v>1.22144903806795</v>
      </c>
      <c r="H340" s="3" t="str">
        <f aca="false">IF(MAX(D340,E340)&lt;Parametros!$B$16,"",IF(E340=0,"PIDE SIN FCST",IF(ABS(G340)&gt;Parametros!$B$14,IF(G340&gt;0,"SOBRE FCST","BAJO FCST"),"")))</f>
        <v>SOBRE FCST</v>
      </c>
    </row>
    <row r="341" customFormat="false" ht="15" hidden="false" customHeight="false" outlineLevel="0" collapsed="false">
      <c r="A341" s="3" t="n">
        <v>30001945</v>
      </c>
      <c r="B341" s="3" t="s">
        <v>478</v>
      </c>
      <c r="C341" s="3" t="s">
        <v>1380</v>
      </c>
      <c r="D341" s="23" t="n">
        <v>6528</v>
      </c>
      <c r="E341" s="23" t="n">
        <v>3555.80528789585</v>
      </c>
      <c r="F341" s="23" t="n">
        <f aca="false">D341-E341</f>
        <v>2972.19471210415</v>
      </c>
      <c r="G341" s="24" t="n">
        <f aca="false">IF(E341&gt;0,D341/E341-1,"")</f>
        <v>0.835871053519624</v>
      </c>
      <c r="H341" s="3" t="str">
        <f aca="false">IF(MAX(D341,E341)&lt;Parametros!$B$16,"",IF(E341=0,"PIDE SIN FCST",IF(ABS(G341)&gt;Parametros!$B$14,IF(G341&gt;0,"SOBRE FCST","BAJO FCST"),"")))</f>
        <v>SOBRE FCST</v>
      </c>
    </row>
    <row r="342" customFormat="false" ht="15" hidden="false" customHeight="false" outlineLevel="0" collapsed="false">
      <c r="A342" s="3" t="n">
        <v>30000400</v>
      </c>
      <c r="B342" s="3" t="s">
        <v>235</v>
      </c>
      <c r="C342" s="3" t="s">
        <v>1375</v>
      </c>
      <c r="D342" s="23" t="n">
        <v>9570</v>
      </c>
      <c r="E342" s="23" t="n">
        <v>6600</v>
      </c>
      <c r="F342" s="23" t="n">
        <f aca="false">D342-E342</f>
        <v>2970</v>
      </c>
      <c r="G342" s="24" t="n">
        <f aca="false">IF(E342&gt;0,D342/E342-1,"")</f>
        <v>0.45</v>
      </c>
      <c r="H342" s="3" t="str">
        <f aca="false">IF(MAX(D342,E342)&lt;Parametros!$B$16,"",IF(E342=0,"PIDE SIN FCST",IF(ABS(G342)&gt;Parametros!$B$14,IF(G342&gt;0,"SOBRE FCST","BAJO FCST"),"")))</f>
        <v>SOBRE FCST</v>
      </c>
    </row>
    <row r="343" customFormat="false" ht="15" hidden="false" customHeight="false" outlineLevel="0" collapsed="false">
      <c r="A343" s="3" t="n">
        <v>30000639</v>
      </c>
      <c r="B343" s="3" t="s">
        <v>244</v>
      </c>
      <c r="C343" s="3" t="s">
        <v>1375</v>
      </c>
      <c r="D343" s="23" t="n">
        <v>27037.76</v>
      </c>
      <c r="E343" s="23" t="n">
        <v>30000</v>
      </c>
      <c r="F343" s="23" t="n">
        <f aca="false">D343-E343</f>
        <v>-2962.24</v>
      </c>
      <c r="G343" s="24" t="n">
        <f aca="false">IF(E343&gt;0,D343/E343-1,"")</f>
        <v>-0.0987413333333334</v>
      </c>
      <c r="H343" s="3" t="str">
        <f aca="false">IF(MAX(D343,E343)&lt;Parametros!$B$16,"",IF(E343=0,"PIDE SIN FCST",IF(ABS(G343)&gt;Parametros!$B$14,IF(G343&gt;0,"SOBRE FCST","BAJO FCST"),"")))</f>
        <v/>
      </c>
    </row>
    <row r="344" customFormat="false" ht="15" hidden="false" customHeight="false" outlineLevel="0" collapsed="false">
      <c r="A344" s="3" t="n">
        <v>30002336</v>
      </c>
      <c r="B344" s="3" t="s">
        <v>286</v>
      </c>
      <c r="C344" s="3" t="s">
        <v>1377</v>
      </c>
      <c r="D344" s="23" t="n">
        <v>5210</v>
      </c>
      <c r="E344" s="23" t="n">
        <v>2250.19582303236</v>
      </c>
      <c r="F344" s="23" t="n">
        <f aca="false">D344-E344</f>
        <v>2959.80417696764</v>
      </c>
      <c r="G344" s="24" t="n">
        <f aca="false">IF(E344&gt;0,D344/E344-1,"")</f>
        <v>1.3153540446</v>
      </c>
      <c r="H344" s="3" t="str">
        <f aca="false">IF(MAX(D344,E344)&lt;Parametros!$B$16,"",IF(E344=0,"PIDE SIN FCST",IF(ABS(G344)&gt;Parametros!$B$14,IF(G344&gt;0,"SOBRE FCST","BAJO FCST"),"")))</f>
        <v>SOBRE FCST</v>
      </c>
    </row>
    <row r="345" customFormat="false" ht="15" hidden="false" customHeight="false" outlineLevel="0" collapsed="false">
      <c r="A345" s="3" t="n">
        <v>30001032</v>
      </c>
      <c r="B345" s="3" t="s">
        <v>316</v>
      </c>
      <c r="C345" s="3" t="s">
        <v>1380</v>
      </c>
      <c r="D345" s="23" t="n">
        <v>5670</v>
      </c>
      <c r="E345" s="23" t="n">
        <v>8626.96647452198</v>
      </c>
      <c r="F345" s="23" t="n">
        <f aca="false">D345-E345</f>
        <v>-2956.96647452198</v>
      </c>
      <c r="G345" s="24" t="n">
        <f aca="false">IF(E345&gt;0,D345/E345-1,"")</f>
        <v>-0.342758544762494</v>
      </c>
      <c r="H345" s="3" t="str">
        <f aca="false">IF(MAX(D345,E345)&lt;Parametros!$B$16,"",IF(E345=0,"PIDE SIN FCST",IF(ABS(G345)&gt;Parametros!$B$14,IF(G345&gt;0,"SOBRE FCST","BAJO FCST"),"")))</f>
        <v>BAJO FCST</v>
      </c>
    </row>
    <row r="346" customFormat="false" ht="15" hidden="false" customHeight="false" outlineLevel="0" collapsed="false">
      <c r="A346" s="3" t="n">
        <v>30000041</v>
      </c>
      <c r="B346" s="3" t="s">
        <v>419</v>
      </c>
      <c r="C346" s="3" t="s">
        <v>1380</v>
      </c>
      <c r="D346" s="23" t="n">
        <v>8040.8</v>
      </c>
      <c r="E346" s="23" t="n">
        <v>5100</v>
      </c>
      <c r="F346" s="23" t="n">
        <f aca="false">D346-E346</f>
        <v>2940.8</v>
      </c>
      <c r="G346" s="24" t="n">
        <f aca="false">IF(E346&gt;0,D346/E346-1,"")</f>
        <v>0.576627450980392</v>
      </c>
      <c r="H346" s="3" t="str">
        <f aca="false">IF(MAX(D346,E346)&lt;Parametros!$B$16,"",IF(E346=0,"PIDE SIN FCST",IF(ABS(G346)&gt;Parametros!$B$14,IF(G346&gt;0,"SOBRE FCST","BAJO FCST"),"")))</f>
        <v>SOBRE FCST</v>
      </c>
    </row>
    <row r="347" customFormat="false" ht="15" hidden="false" customHeight="false" outlineLevel="0" collapsed="false">
      <c r="A347" s="3" t="n">
        <v>30000488</v>
      </c>
      <c r="B347" s="3" t="s">
        <v>448</v>
      </c>
      <c r="C347" s="3" t="s">
        <v>1380</v>
      </c>
      <c r="D347" s="23" t="n">
        <v>1620</v>
      </c>
      <c r="E347" s="23" t="n">
        <v>4521.19964968537</v>
      </c>
      <c r="F347" s="23" t="n">
        <f aca="false">D347-E347</f>
        <v>-2901.19964968537</v>
      </c>
      <c r="G347" s="24" t="n">
        <f aca="false">IF(E347&gt;0,D347/E347-1,"")</f>
        <v>-0.641688019658071</v>
      </c>
      <c r="H347" s="3" t="str">
        <f aca="false">IF(MAX(D347,E347)&lt;Parametros!$B$16,"",IF(E347=0,"PIDE SIN FCST",IF(ABS(G347)&gt;Parametros!$B$14,IF(G347&gt;0,"SOBRE FCST","BAJO FCST"),"")))</f>
        <v>BAJO FCST</v>
      </c>
    </row>
    <row r="348" customFormat="false" ht="15" hidden="false" customHeight="false" outlineLevel="0" collapsed="false">
      <c r="A348" s="3" t="n">
        <v>30001815</v>
      </c>
      <c r="B348" s="3" t="s">
        <v>332</v>
      </c>
      <c r="C348" s="3" t="s">
        <v>1377</v>
      </c>
      <c r="D348" s="23" t="n">
        <v>1850</v>
      </c>
      <c r="E348" s="23" t="n">
        <v>4744.16286022655</v>
      </c>
      <c r="F348" s="23" t="n">
        <f aca="false">D348-E348</f>
        <v>-2894.16286022655</v>
      </c>
      <c r="G348" s="24" t="n">
        <f aca="false">IF(E348&gt;0,D348/E348-1,"")</f>
        <v>-0.610047113789079</v>
      </c>
      <c r="H348" s="3" t="str">
        <f aca="false">IF(MAX(D348,E348)&lt;Parametros!$B$16,"",IF(E348=0,"PIDE SIN FCST",IF(ABS(G348)&gt;Parametros!$B$14,IF(G348&gt;0,"SOBRE FCST","BAJO FCST"),"")))</f>
        <v>BAJO FCST</v>
      </c>
    </row>
    <row r="349" customFormat="false" ht="15" hidden="false" customHeight="false" outlineLevel="0" collapsed="false">
      <c r="A349" s="3" t="n">
        <v>30000309</v>
      </c>
      <c r="B349" s="3" t="s">
        <v>236</v>
      </c>
      <c r="C349" s="3" t="s">
        <v>1375</v>
      </c>
      <c r="D349" s="23" t="n">
        <v>21324</v>
      </c>
      <c r="E349" s="23" t="n">
        <v>24218.02</v>
      </c>
      <c r="F349" s="23" t="n">
        <f aca="false">D349-E349</f>
        <v>-2894.02</v>
      </c>
      <c r="G349" s="24" t="n">
        <f aca="false">IF(E349&gt;0,D349/E349-1,"")</f>
        <v>-0.119498621274572</v>
      </c>
      <c r="H349" s="3" t="str">
        <f aca="false">IF(MAX(D349,E349)&lt;Parametros!$B$16,"",IF(E349=0,"PIDE SIN FCST",IF(ABS(G349)&gt;Parametros!$B$14,IF(G349&gt;0,"SOBRE FCST","BAJO FCST"),"")))</f>
        <v/>
      </c>
    </row>
    <row r="350" customFormat="false" ht="15" hidden="false" customHeight="false" outlineLevel="0" collapsed="false">
      <c r="A350" s="3" t="n">
        <v>30002200</v>
      </c>
      <c r="B350" s="3" t="s">
        <v>357</v>
      </c>
      <c r="C350" s="3" t="s">
        <v>1375</v>
      </c>
      <c r="D350" s="23" t="n">
        <v>12393.6</v>
      </c>
      <c r="E350" s="23" t="n">
        <v>9500</v>
      </c>
      <c r="F350" s="23" t="n">
        <f aca="false">D350-E350</f>
        <v>2893.6</v>
      </c>
      <c r="G350" s="24" t="n">
        <f aca="false">IF(E350&gt;0,D350/E350-1,"")</f>
        <v>0.304589473684211</v>
      </c>
      <c r="H350" s="3" t="str">
        <f aca="false">IF(MAX(D350,E350)&lt;Parametros!$B$16,"",IF(E350=0,"PIDE SIN FCST",IF(ABS(G350)&gt;Parametros!$B$14,IF(G350&gt;0,"SOBRE FCST","BAJO FCST"),"")))</f>
        <v>SOBRE FCST</v>
      </c>
    </row>
    <row r="351" customFormat="false" ht="15" hidden="false" customHeight="false" outlineLevel="0" collapsed="false">
      <c r="A351" s="3" t="n">
        <v>30002291</v>
      </c>
      <c r="B351" s="3" t="s">
        <v>483</v>
      </c>
      <c r="C351" s="3" t="s">
        <v>1375</v>
      </c>
      <c r="D351" s="23" t="n">
        <v>6187.5</v>
      </c>
      <c r="E351" s="23" t="n">
        <v>3312.4</v>
      </c>
      <c r="F351" s="23" t="n">
        <f aca="false">D351-E351</f>
        <v>2875.1</v>
      </c>
      <c r="G351" s="24" t="n">
        <f aca="false">IF(E351&gt;0,D351/E351-1,"")</f>
        <v>0.867980920178722</v>
      </c>
      <c r="H351" s="3" t="str">
        <f aca="false">IF(MAX(D351,E351)&lt;Parametros!$B$16,"",IF(E351=0,"PIDE SIN FCST",IF(ABS(G351)&gt;Parametros!$B$14,IF(G351&gt;0,"SOBRE FCST","BAJO FCST"),"")))</f>
        <v>SOBRE FCST</v>
      </c>
    </row>
    <row r="352" customFormat="false" ht="15" hidden="false" customHeight="false" outlineLevel="0" collapsed="false">
      <c r="A352" s="3" t="n">
        <v>30001052</v>
      </c>
      <c r="B352" s="3" t="s">
        <v>243</v>
      </c>
      <c r="C352" s="3" t="s">
        <v>1380</v>
      </c>
      <c r="D352" s="23" t="n">
        <v>2280</v>
      </c>
      <c r="E352" s="23" t="n">
        <v>5150.84807896554</v>
      </c>
      <c r="F352" s="23" t="n">
        <f aca="false">D352-E352</f>
        <v>-2870.84807896554</v>
      </c>
      <c r="G352" s="24" t="n">
        <f aca="false">IF(E352&gt;0,D352/E352-1,"")</f>
        <v>-0.557354446288018</v>
      </c>
      <c r="H352" s="3" t="str">
        <f aca="false">IF(MAX(D352,E352)&lt;Parametros!$B$16,"",IF(E352=0,"PIDE SIN FCST",IF(ABS(G352)&gt;Parametros!$B$14,IF(G352&gt;0,"SOBRE FCST","BAJO FCST"),"")))</f>
        <v>BAJO FCST</v>
      </c>
    </row>
    <row r="353" customFormat="false" ht="15" hidden="false" customHeight="false" outlineLevel="0" collapsed="false">
      <c r="A353" s="3" t="n">
        <v>30001047</v>
      </c>
      <c r="B353" s="3" t="s">
        <v>374</v>
      </c>
      <c r="C353" s="3" t="s">
        <v>1380</v>
      </c>
      <c r="D353" s="23" t="n">
        <v>3888</v>
      </c>
      <c r="E353" s="23" t="n">
        <v>6755.73571540013</v>
      </c>
      <c r="F353" s="23" t="n">
        <f aca="false">D353-E353</f>
        <v>-2867.73571540013</v>
      </c>
      <c r="G353" s="24" t="n">
        <f aca="false">IF(E353&gt;0,D353/E353-1,"")</f>
        <v>-0.424489032166096</v>
      </c>
      <c r="H353" s="3" t="str">
        <f aca="false">IF(MAX(D353,E353)&lt;Parametros!$B$16,"",IF(E353=0,"PIDE SIN FCST",IF(ABS(G353)&gt;Parametros!$B$14,IF(G353&gt;0,"SOBRE FCST","BAJO FCST"),"")))</f>
        <v>BAJO FCST</v>
      </c>
    </row>
    <row r="354" customFormat="false" ht="15" hidden="false" customHeight="false" outlineLevel="0" collapsed="false">
      <c r="A354" s="3" t="n">
        <v>30001057</v>
      </c>
      <c r="B354" s="3" t="s">
        <v>294</v>
      </c>
      <c r="C354" s="3" t="s">
        <v>1375</v>
      </c>
      <c r="D354" s="23" t="n">
        <v>13843.2</v>
      </c>
      <c r="E354" s="23" t="n">
        <v>10980.0470421623</v>
      </c>
      <c r="F354" s="23" t="n">
        <f aca="false">D354-E354</f>
        <v>2863.15295783772</v>
      </c>
      <c r="G354" s="24" t="n">
        <f aca="false">IF(E354&gt;0,D354/E354-1,"")</f>
        <v>0.260759625786984</v>
      </c>
      <c r="H354" s="3" t="str">
        <f aca="false">IF(MAX(D354,E354)&lt;Parametros!$B$16,"",IF(E354=0,"PIDE SIN FCST",IF(ABS(G354)&gt;Parametros!$B$14,IF(G354&gt;0,"SOBRE FCST","BAJO FCST"),"")))</f>
        <v>SOBRE FCST</v>
      </c>
    </row>
    <row r="355" customFormat="false" ht="15" hidden="false" customHeight="false" outlineLevel="0" collapsed="false">
      <c r="A355" s="3" t="n">
        <v>30001079</v>
      </c>
      <c r="B355" s="3" t="s">
        <v>282</v>
      </c>
      <c r="C355" s="3" t="s">
        <v>1379</v>
      </c>
      <c r="D355" s="23" t="n">
        <v>6330.72</v>
      </c>
      <c r="E355" s="23" t="n">
        <v>3477.34086433481</v>
      </c>
      <c r="F355" s="23" t="n">
        <f aca="false">D355-E355</f>
        <v>2853.37913566519</v>
      </c>
      <c r="G355" s="24" t="n">
        <f aca="false">IF(E355&gt;0,D355/E355-1,"")</f>
        <v>0.820563541794462</v>
      </c>
      <c r="H355" s="3" t="str">
        <f aca="false">IF(MAX(D355,E355)&lt;Parametros!$B$16,"",IF(E355=0,"PIDE SIN FCST",IF(ABS(G355)&gt;Parametros!$B$14,IF(G355&gt;0,"SOBRE FCST","BAJO FCST"),"")))</f>
        <v>SOBRE FCST</v>
      </c>
    </row>
    <row r="356" customFormat="false" ht="15" hidden="false" customHeight="false" outlineLevel="0" collapsed="false">
      <c r="A356" s="3" t="n">
        <v>30000498</v>
      </c>
      <c r="B356" s="3" t="s">
        <v>450</v>
      </c>
      <c r="C356" s="3" t="s">
        <v>1380</v>
      </c>
      <c r="D356" s="23" t="n">
        <v>5670</v>
      </c>
      <c r="E356" s="23" t="n">
        <v>2821.37657169603</v>
      </c>
      <c r="F356" s="23" t="n">
        <f aca="false">D356-E356</f>
        <v>2848.62342830397</v>
      </c>
      <c r="G356" s="24" t="n">
        <f aca="false">IF(E356&gt;0,D356/E356-1,"")</f>
        <v>1.0096572917211</v>
      </c>
      <c r="H356" s="3" t="str">
        <f aca="false">IF(MAX(D356,E356)&lt;Parametros!$B$16,"",IF(E356=0,"PIDE SIN FCST",IF(ABS(G356)&gt;Parametros!$B$14,IF(G356&gt;0,"SOBRE FCST","BAJO FCST"),"")))</f>
        <v>SOBRE FCST</v>
      </c>
    </row>
    <row r="357" customFormat="false" ht="15" hidden="false" customHeight="false" outlineLevel="0" collapsed="false">
      <c r="A357" s="3" t="n">
        <v>30000627</v>
      </c>
      <c r="B357" s="3" t="s">
        <v>308</v>
      </c>
      <c r="C357" s="3" t="s">
        <v>1378</v>
      </c>
      <c r="D357" s="23" t="n">
        <v>16.32</v>
      </c>
      <c r="E357" s="23" t="n">
        <v>2861.6</v>
      </c>
      <c r="F357" s="23" t="n">
        <f aca="false">D357-E357</f>
        <v>-2845.28</v>
      </c>
      <c r="G357" s="24" t="n">
        <f aca="false">IF(E357&gt;0,D357/E357-1,"")</f>
        <v>-0.994296896840928</v>
      </c>
      <c r="H357" s="3" t="str">
        <f aca="false">IF(MAX(D357,E357)&lt;Parametros!$B$16,"",IF(E357=0,"PIDE SIN FCST",IF(ABS(G357)&gt;Parametros!$B$14,IF(G357&gt;0,"SOBRE FCST","BAJO FCST"),"")))</f>
        <v>BAJO FCST</v>
      </c>
    </row>
    <row r="358" customFormat="false" ht="15" hidden="false" customHeight="false" outlineLevel="0" collapsed="false">
      <c r="A358" s="3" t="n">
        <v>30001038</v>
      </c>
      <c r="B358" s="3" t="s">
        <v>230</v>
      </c>
      <c r="C358" s="3" t="s">
        <v>1379</v>
      </c>
      <c r="D358" s="23" t="n">
        <v>8342.4</v>
      </c>
      <c r="E358" s="23" t="n">
        <v>5500</v>
      </c>
      <c r="F358" s="23" t="n">
        <f aca="false">D358-E358</f>
        <v>2842.4</v>
      </c>
      <c r="G358" s="24" t="n">
        <f aca="false">IF(E358&gt;0,D358/E358-1,"")</f>
        <v>0.5168</v>
      </c>
      <c r="H358" s="3" t="str">
        <f aca="false">IF(MAX(D358,E358)&lt;Parametros!$B$16,"",IF(E358=0,"PIDE SIN FCST",IF(ABS(G358)&gt;Parametros!$B$14,IF(G358&gt;0,"SOBRE FCST","BAJO FCST"),"")))</f>
        <v>SOBRE FCST</v>
      </c>
    </row>
    <row r="359" customFormat="false" ht="15" hidden="false" customHeight="false" outlineLevel="0" collapsed="false">
      <c r="A359" s="3" t="n">
        <v>30001056</v>
      </c>
      <c r="B359" s="3" t="s">
        <v>259</v>
      </c>
      <c r="C359" s="3" t="s">
        <v>1378</v>
      </c>
      <c r="D359" s="23" t="n">
        <v>4240.32</v>
      </c>
      <c r="E359" s="23" t="n">
        <v>1410.47308431212</v>
      </c>
      <c r="F359" s="23" t="n">
        <f aca="false">D359-E359</f>
        <v>2829.84691568788</v>
      </c>
      <c r="G359" s="24" t="n">
        <f aca="false">IF(E359&gt;0,D359/E359-1,"")</f>
        <v>2.00631046927632</v>
      </c>
      <c r="H359" s="3" t="str">
        <f aca="false">IF(MAX(D359,E359)&lt;Parametros!$B$16,"",IF(E359=0,"PIDE SIN FCST",IF(ABS(G359)&gt;Parametros!$B$14,IF(G359&gt;0,"SOBRE FCST","BAJO FCST"),"")))</f>
        <v>SOBRE FCST</v>
      </c>
    </row>
    <row r="360" customFormat="false" ht="15" hidden="false" customHeight="false" outlineLevel="0" collapsed="false">
      <c r="A360" s="3" t="n">
        <v>30001684</v>
      </c>
      <c r="B360" s="3" t="s">
        <v>274</v>
      </c>
      <c r="C360" s="3" t="s">
        <v>1373</v>
      </c>
      <c r="D360" s="23" t="n">
        <v>4968</v>
      </c>
      <c r="E360" s="23" t="n">
        <v>7785.80833333333</v>
      </c>
      <c r="F360" s="23" t="n">
        <f aca="false">D360-E360</f>
        <v>-2817.80833333333</v>
      </c>
      <c r="G360" s="24" t="n">
        <f aca="false">IF(E360&gt;0,D360/E360-1,"")</f>
        <v>-0.361915964623669</v>
      </c>
      <c r="H360" s="3" t="str">
        <f aca="false">IF(MAX(D360,E360)&lt;Parametros!$B$16,"",IF(E360=0,"PIDE SIN FCST",IF(ABS(G360)&gt;Parametros!$B$14,IF(G360&gt;0,"SOBRE FCST","BAJO FCST"),"")))</f>
        <v>BAJO FCST</v>
      </c>
    </row>
    <row r="361" customFormat="false" ht="15" hidden="false" customHeight="false" outlineLevel="0" collapsed="false">
      <c r="A361" s="3" t="n">
        <v>30000559</v>
      </c>
      <c r="B361" s="3" t="s">
        <v>399</v>
      </c>
      <c r="C361" s="3" t="s">
        <v>1375</v>
      </c>
      <c r="D361" s="23" t="n">
        <v>7772.8</v>
      </c>
      <c r="E361" s="23" t="n">
        <v>4956.43766373934</v>
      </c>
      <c r="F361" s="23" t="n">
        <f aca="false">D361-E361</f>
        <v>2816.36233626066</v>
      </c>
      <c r="G361" s="24" t="n">
        <f aca="false">IF(E361&gt;0,D361/E361-1,"")</f>
        <v>0.568223092336014</v>
      </c>
      <c r="H361" s="3" t="str">
        <f aca="false">IF(MAX(D361,E361)&lt;Parametros!$B$16,"",IF(E361=0,"PIDE SIN FCST",IF(ABS(G361)&gt;Parametros!$B$14,IF(G361&gt;0,"SOBRE FCST","BAJO FCST"),"")))</f>
        <v>SOBRE FCST</v>
      </c>
    </row>
    <row r="362" customFormat="false" ht="15" hidden="false" customHeight="false" outlineLevel="0" collapsed="false">
      <c r="A362" s="3" t="n">
        <v>30002076</v>
      </c>
      <c r="B362" s="3" t="s">
        <v>489</v>
      </c>
      <c r="C362" s="3" t="s">
        <v>1378</v>
      </c>
      <c r="D362" s="23" t="n">
        <v>3264</v>
      </c>
      <c r="E362" s="23" t="n">
        <v>449.348068006182</v>
      </c>
      <c r="F362" s="23" t="n">
        <f aca="false">D362-E362</f>
        <v>2814.65193199382</v>
      </c>
      <c r="G362" s="24" t="n">
        <f aca="false">IF(E362&gt;0,D362/E362-1,"")</f>
        <v>6.26385675692967</v>
      </c>
      <c r="H362" s="3" t="str">
        <f aca="false">IF(MAX(D362,E362)&lt;Parametros!$B$16,"",IF(E362=0,"PIDE SIN FCST",IF(ABS(G362)&gt;Parametros!$B$14,IF(G362&gt;0,"SOBRE FCST","BAJO FCST"),"")))</f>
        <v>SOBRE FCST</v>
      </c>
    </row>
    <row r="363" customFormat="false" ht="15" hidden="false" customHeight="false" outlineLevel="0" collapsed="false">
      <c r="A363" s="3" t="n">
        <v>30001038</v>
      </c>
      <c r="B363" s="3" t="s">
        <v>230</v>
      </c>
      <c r="C363" s="3" t="s">
        <v>1375</v>
      </c>
      <c r="D363" s="23" t="n">
        <v>15792.48</v>
      </c>
      <c r="E363" s="23" t="n">
        <v>13000</v>
      </c>
      <c r="F363" s="23" t="n">
        <f aca="false">D363-E363</f>
        <v>2792.48</v>
      </c>
      <c r="G363" s="24" t="n">
        <f aca="false">IF(E363&gt;0,D363/E363-1,"")</f>
        <v>0.214806153846154</v>
      </c>
      <c r="H363" s="3" t="str">
        <f aca="false">IF(MAX(D363,E363)&lt;Parametros!$B$16,"",IF(E363=0,"PIDE SIN FCST",IF(ABS(G363)&gt;Parametros!$B$14,IF(G363&gt;0,"SOBRE FCST","BAJO FCST"),"")))</f>
        <v>SOBRE FCST</v>
      </c>
    </row>
    <row r="364" customFormat="false" ht="15" hidden="false" customHeight="false" outlineLevel="0" collapsed="false">
      <c r="A364" s="3" t="n">
        <v>30001043</v>
      </c>
      <c r="B364" s="3" t="s">
        <v>290</v>
      </c>
      <c r="C364" s="3" t="s">
        <v>1372</v>
      </c>
      <c r="D364" s="23" t="n">
        <v>5227.2</v>
      </c>
      <c r="E364" s="23" t="n">
        <v>2438.8056173734</v>
      </c>
      <c r="F364" s="23" t="n">
        <f aca="false">D364-E364</f>
        <v>2788.3943826266</v>
      </c>
      <c r="G364" s="24" t="n">
        <f aca="false">IF(E364&gt;0,D364/E364-1,"")</f>
        <v>1.14334425128547</v>
      </c>
      <c r="H364" s="3" t="str">
        <f aca="false">IF(MAX(D364,E364)&lt;Parametros!$B$16,"",IF(E364=0,"PIDE SIN FCST",IF(ABS(G364)&gt;Parametros!$B$14,IF(G364&gt;0,"SOBRE FCST","BAJO FCST"),"")))</f>
        <v>SOBRE FCST</v>
      </c>
    </row>
    <row r="365" customFormat="false" ht="15" hidden="false" customHeight="false" outlineLevel="0" collapsed="false">
      <c r="A365" s="3" t="n">
        <v>30001409</v>
      </c>
      <c r="B365" s="3" t="s">
        <v>270</v>
      </c>
      <c r="C365" s="3" t="s">
        <v>1375</v>
      </c>
      <c r="D365" s="23" t="n">
        <v>14246</v>
      </c>
      <c r="E365" s="23" t="n">
        <v>11465.61</v>
      </c>
      <c r="F365" s="23" t="n">
        <f aca="false">D365-E365</f>
        <v>2780.39</v>
      </c>
      <c r="G365" s="24" t="n">
        <f aca="false">IF(E365&gt;0,D365/E365-1,"")</f>
        <v>0.242498218585841</v>
      </c>
      <c r="H365" s="3" t="str">
        <f aca="false">IF(MAX(D365,E365)&lt;Parametros!$B$16,"",IF(E365=0,"PIDE SIN FCST",IF(ABS(G365)&gt;Parametros!$B$14,IF(G365&gt;0,"SOBRE FCST","BAJO FCST"),"")))</f>
        <v>SOBRE FCST</v>
      </c>
    </row>
    <row r="366" customFormat="false" ht="15" hidden="false" customHeight="false" outlineLevel="0" collapsed="false">
      <c r="A366" s="3" t="n">
        <v>30001410</v>
      </c>
      <c r="B366" s="3" t="s">
        <v>324</v>
      </c>
      <c r="C366" s="3" t="s">
        <v>1380</v>
      </c>
      <c r="D366" s="23" t="n">
        <v>13685.76</v>
      </c>
      <c r="E366" s="23" t="n">
        <v>10927.844472675</v>
      </c>
      <c r="F366" s="23" t="n">
        <f aca="false">D366-E366</f>
        <v>2757.91552732504</v>
      </c>
      <c r="G366" s="24" t="n">
        <f aca="false">IF(E366&gt;0,D366/E366-1,"")</f>
        <v>0.252375071243117</v>
      </c>
      <c r="H366" s="3" t="str">
        <f aca="false">IF(MAX(D366,E366)&lt;Parametros!$B$16,"",IF(E366=0,"PIDE SIN FCST",IF(ABS(G366)&gt;Parametros!$B$14,IF(G366&gt;0,"SOBRE FCST","BAJO FCST"),"")))</f>
        <v>SOBRE FCST</v>
      </c>
    </row>
    <row r="367" customFormat="false" ht="15" hidden="false" customHeight="false" outlineLevel="0" collapsed="false">
      <c r="A367" s="3" t="n">
        <v>30000400</v>
      </c>
      <c r="B367" s="3" t="s">
        <v>235</v>
      </c>
      <c r="C367" s="3" t="s">
        <v>1372</v>
      </c>
      <c r="D367" s="23" t="n">
        <v>11070</v>
      </c>
      <c r="E367" s="23" t="n">
        <v>8326.87194549732</v>
      </c>
      <c r="F367" s="23" t="n">
        <f aca="false">D367-E367</f>
        <v>2743.12805450268</v>
      </c>
      <c r="G367" s="24" t="n">
        <f aca="false">IF(E367&gt;0,D367/E367-1,"")</f>
        <v>0.329430796157013</v>
      </c>
      <c r="H367" s="3" t="str">
        <f aca="false">IF(MAX(D367,E367)&lt;Parametros!$B$16,"",IF(E367=0,"PIDE SIN FCST",IF(ABS(G367)&gt;Parametros!$B$14,IF(G367&gt;0,"SOBRE FCST","BAJO FCST"),"")))</f>
        <v>SOBRE FCST</v>
      </c>
    </row>
    <row r="368" customFormat="false" ht="15" hidden="false" customHeight="false" outlineLevel="0" collapsed="false">
      <c r="A368" s="3" t="n">
        <v>30000516</v>
      </c>
      <c r="B368" s="3" t="s">
        <v>281</v>
      </c>
      <c r="C368" s="3" t="s">
        <v>1380</v>
      </c>
      <c r="D368" s="23" t="n">
        <v>17340</v>
      </c>
      <c r="E368" s="23" t="n">
        <v>14607.4881687653</v>
      </c>
      <c r="F368" s="23" t="n">
        <f aca="false">D368-E368</f>
        <v>2732.51183123469</v>
      </c>
      <c r="G368" s="24" t="n">
        <f aca="false">IF(E368&gt;0,D368/E368-1,"")</f>
        <v>0.18706240249282</v>
      </c>
      <c r="H368" s="3" t="str">
        <f aca="false">IF(MAX(D368,E368)&lt;Parametros!$B$16,"",IF(E368=0,"PIDE SIN FCST",IF(ABS(G368)&gt;Parametros!$B$14,IF(G368&gt;0,"SOBRE FCST","BAJO FCST"),"")))</f>
        <v/>
      </c>
    </row>
    <row r="369" customFormat="false" ht="15" hidden="false" customHeight="false" outlineLevel="0" collapsed="false">
      <c r="A369" s="3" t="n">
        <v>30000639</v>
      </c>
      <c r="B369" s="3" t="s">
        <v>244</v>
      </c>
      <c r="C369" s="3" t="s">
        <v>1376</v>
      </c>
      <c r="D369" s="23" t="n">
        <v>3307.52</v>
      </c>
      <c r="E369" s="23" t="n">
        <v>600</v>
      </c>
      <c r="F369" s="23" t="n">
        <f aca="false">D369-E369</f>
        <v>2707.52</v>
      </c>
      <c r="G369" s="24" t="n">
        <f aca="false">IF(E369&gt;0,D369/E369-1,"")</f>
        <v>4.51253333333333</v>
      </c>
      <c r="H369" s="3" t="str">
        <f aca="false">IF(MAX(D369,E369)&lt;Parametros!$B$16,"",IF(E369=0,"PIDE SIN FCST",IF(ABS(G369)&gt;Parametros!$B$14,IF(G369&gt;0,"SOBRE FCST","BAJO FCST"),"")))</f>
        <v>SOBRE FCST</v>
      </c>
    </row>
    <row r="370" customFormat="false" ht="15" hidden="false" customHeight="false" outlineLevel="0" collapsed="false">
      <c r="A370" s="3" t="n">
        <v>30000384</v>
      </c>
      <c r="B370" s="3" t="s">
        <v>262</v>
      </c>
      <c r="C370" s="3" t="s">
        <v>1378</v>
      </c>
      <c r="D370" s="23" t="n">
        <v>918</v>
      </c>
      <c r="E370" s="23" t="n">
        <v>3624.81347567482</v>
      </c>
      <c r="F370" s="23" t="n">
        <f aca="false">D370-E370</f>
        <v>-2706.81347567482</v>
      </c>
      <c r="G370" s="24" t="n">
        <f aca="false">IF(E370&gt;0,D370/E370-1,"")</f>
        <v>-0.746745589487443</v>
      </c>
      <c r="H370" s="3" t="str">
        <f aca="false">IF(MAX(D370,E370)&lt;Parametros!$B$16,"",IF(E370=0,"PIDE SIN FCST",IF(ABS(G370)&gt;Parametros!$B$14,IF(G370&gt;0,"SOBRE FCST","BAJO FCST"),"")))</f>
        <v>BAJO FCST</v>
      </c>
    </row>
    <row r="371" customFormat="false" ht="15" hidden="false" customHeight="false" outlineLevel="0" collapsed="false">
      <c r="A371" s="3" t="n">
        <v>30000643</v>
      </c>
      <c r="B371" s="3" t="s">
        <v>240</v>
      </c>
      <c r="C371" s="3" t="s">
        <v>1378</v>
      </c>
      <c r="D371" s="23" t="n">
        <v>3362.24</v>
      </c>
      <c r="E371" s="23" t="n">
        <v>6062.4</v>
      </c>
      <c r="F371" s="23" t="n">
        <f aca="false">D371-E371</f>
        <v>-2700.16</v>
      </c>
      <c r="G371" s="24" t="n">
        <f aca="false">IF(E371&gt;0,D371/E371-1,"")</f>
        <v>-0.44539456320929</v>
      </c>
      <c r="H371" s="3" t="str">
        <f aca="false">IF(MAX(D371,E371)&lt;Parametros!$B$16,"",IF(E371=0,"PIDE SIN FCST",IF(ABS(G371)&gt;Parametros!$B$14,IF(G371&gt;0,"SOBRE FCST","BAJO FCST"),"")))</f>
        <v>BAJO FCST</v>
      </c>
    </row>
    <row r="372" customFormat="false" ht="15" hidden="false" customHeight="false" outlineLevel="0" collapsed="false">
      <c r="A372" s="3" t="n">
        <v>30000195</v>
      </c>
      <c r="B372" s="3" t="s">
        <v>348</v>
      </c>
      <c r="C372" s="3" t="s">
        <v>1379</v>
      </c>
      <c r="D372" s="23" t="n">
        <v>900</v>
      </c>
      <c r="E372" s="23" t="n">
        <v>3600</v>
      </c>
      <c r="F372" s="23" t="n">
        <f aca="false">D372-E372</f>
        <v>-2700</v>
      </c>
      <c r="G372" s="24" t="n">
        <f aca="false">IF(E372&gt;0,D372/E372-1,"")</f>
        <v>-0.75</v>
      </c>
      <c r="H372" s="3" t="str">
        <f aca="false">IF(MAX(D372,E372)&lt;Parametros!$B$16,"",IF(E372=0,"PIDE SIN FCST",IF(ABS(G372)&gt;Parametros!$B$14,IF(G372&gt;0,"SOBRE FCST","BAJO FCST"),"")))</f>
        <v>BAJO FCST</v>
      </c>
    </row>
    <row r="373" customFormat="false" ht="15" hidden="false" customHeight="false" outlineLevel="0" collapsed="false">
      <c r="A373" s="3" t="n">
        <v>30002286</v>
      </c>
      <c r="B373" s="3" t="s">
        <v>320</v>
      </c>
      <c r="C373" s="3" t="s">
        <v>1380</v>
      </c>
      <c r="D373" s="23" t="n">
        <v>7317.864</v>
      </c>
      <c r="E373" s="23" t="n">
        <v>10017.3165065342</v>
      </c>
      <c r="F373" s="23" t="n">
        <f aca="false">D373-E373</f>
        <v>-2699.45250653419</v>
      </c>
      <c r="G373" s="24" t="n">
        <f aca="false">IF(E373&gt;0,D373/E373-1,"")</f>
        <v>-0.26947860784606</v>
      </c>
      <c r="H373" s="3" t="str">
        <f aca="false">IF(MAX(D373,E373)&lt;Parametros!$B$16,"",IF(E373=0,"PIDE SIN FCST",IF(ABS(G373)&gt;Parametros!$B$14,IF(G373&gt;0,"SOBRE FCST","BAJO FCST"),"")))</f>
        <v>BAJO FCST</v>
      </c>
    </row>
    <row r="374" customFormat="false" ht="15" hidden="false" customHeight="false" outlineLevel="0" collapsed="false">
      <c r="A374" s="3" t="n">
        <v>30001684</v>
      </c>
      <c r="B374" s="3" t="s">
        <v>274</v>
      </c>
      <c r="C374" s="3" t="s">
        <v>1378</v>
      </c>
      <c r="D374" s="23" t="n">
        <v>7032</v>
      </c>
      <c r="E374" s="23" t="n">
        <v>9700</v>
      </c>
      <c r="F374" s="23" t="n">
        <f aca="false">D374-E374</f>
        <v>-2668</v>
      </c>
      <c r="G374" s="24" t="n">
        <f aca="false">IF(E374&gt;0,D374/E374-1,"")</f>
        <v>-0.275051546391753</v>
      </c>
      <c r="H374" s="3" t="str">
        <f aca="false">IF(MAX(D374,E374)&lt;Parametros!$B$16,"",IF(E374=0,"PIDE SIN FCST",IF(ABS(G374)&gt;Parametros!$B$14,IF(G374&gt;0,"SOBRE FCST","BAJO FCST"),"")))</f>
        <v>BAJO FCST</v>
      </c>
    </row>
    <row r="375" customFormat="false" ht="15" hidden="false" customHeight="false" outlineLevel="0" collapsed="false">
      <c r="A375" s="3" t="n">
        <v>30000668</v>
      </c>
      <c r="B375" s="3" t="s">
        <v>280</v>
      </c>
      <c r="C375" s="3" t="s">
        <v>1373</v>
      </c>
      <c r="D375" s="23" t="n">
        <v>9697.6</v>
      </c>
      <c r="E375" s="23" t="n">
        <v>7050</v>
      </c>
      <c r="F375" s="23" t="n">
        <f aca="false">D375-E375</f>
        <v>2647.6</v>
      </c>
      <c r="G375" s="24" t="n">
        <f aca="false">IF(E375&gt;0,D375/E375-1,"")</f>
        <v>0.37554609929078</v>
      </c>
      <c r="H375" s="3" t="str">
        <f aca="false">IF(MAX(D375,E375)&lt;Parametros!$B$16,"",IF(E375=0,"PIDE SIN FCST",IF(ABS(G375)&gt;Parametros!$B$14,IF(G375&gt;0,"SOBRE FCST","BAJO FCST"),"")))</f>
        <v>SOBRE FCST</v>
      </c>
    </row>
    <row r="376" customFormat="false" ht="15" hidden="false" customHeight="false" outlineLevel="0" collapsed="false">
      <c r="A376" s="3" t="n">
        <v>30001018</v>
      </c>
      <c r="B376" s="3" t="s">
        <v>385</v>
      </c>
      <c r="C376" s="3" t="s">
        <v>1375</v>
      </c>
      <c r="D376" s="23" t="n">
        <v>8108.88</v>
      </c>
      <c r="E376" s="23" t="n">
        <v>5469.80571706894</v>
      </c>
      <c r="F376" s="23" t="n">
        <f aca="false">D376-E376</f>
        <v>2639.07428293106</v>
      </c>
      <c r="G376" s="24" t="n">
        <f aca="false">IF(E376&gt;0,D376/E376-1,"")</f>
        <v>0.482480442531192</v>
      </c>
      <c r="H376" s="3" t="str">
        <f aca="false">IF(MAX(D376,E376)&lt;Parametros!$B$16,"",IF(E376=0,"PIDE SIN FCST",IF(ABS(G376)&gt;Parametros!$B$14,IF(G376&gt;0,"SOBRE FCST","BAJO FCST"),"")))</f>
        <v>SOBRE FCST</v>
      </c>
    </row>
    <row r="377" customFormat="false" ht="15" hidden="false" customHeight="false" outlineLevel="0" collapsed="false">
      <c r="A377" s="3" t="n">
        <v>30001684</v>
      </c>
      <c r="B377" s="3" t="s">
        <v>274</v>
      </c>
      <c r="C377" s="3" t="s">
        <v>1372</v>
      </c>
      <c r="D377" s="23" t="n">
        <v>3900</v>
      </c>
      <c r="E377" s="23" t="n">
        <v>6525.85824673847</v>
      </c>
      <c r="F377" s="23" t="n">
        <f aca="false">D377-E377</f>
        <v>-2625.85824673847</v>
      </c>
      <c r="G377" s="24" t="n">
        <f aca="false">IF(E377&gt;0,D377/E377-1,"")</f>
        <v>-0.402377457103184</v>
      </c>
      <c r="H377" s="3" t="str">
        <f aca="false">IF(MAX(D377,E377)&lt;Parametros!$B$16,"",IF(E377=0,"PIDE SIN FCST",IF(ABS(G377)&gt;Parametros!$B$14,IF(G377&gt;0,"SOBRE FCST","BAJO FCST"),"")))</f>
        <v>BAJO FCST</v>
      </c>
    </row>
    <row r="378" customFormat="false" ht="15" hidden="false" customHeight="false" outlineLevel="0" collapsed="false">
      <c r="A378" s="3" t="n">
        <v>30000328</v>
      </c>
      <c r="B378" s="3" t="s">
        <v>367</v>
      </c>
      <c r="C378" s="3" t="s">
        <v>1372</v>
      </c>
      <c r="D378" s="23" t="n">
        <v>1020</v>
      </c>
      <c r="E378" s="23" t="n">
        <v>3633.625</v>
      </c>
      <c r="F378" s="23" t="n">
        <f aca="false">D378-E378</f>
        <v>-2613.625</v>
      </c>
      <c r="G378" s="24" t="n">
        <f aca="false">IF(E378&gt;0,D378/E378-1,"")</f>
        <v>-0.719288589218755</v>
      </c>
      <c r="H378" s="3" t="str">
        <f aca="false">IF(MAX(D378,E378)&lt;Parametros!$B$16,"",IF(E378=0,"PIDE SIN FCST",IF(ABS(G378)&gt;Parametros!$B$14,IF(G378&gt;0,"SOBRE FCST","BAJO FCST"),"")))</f>
        <v>BAJO FCST</v>
      </c>
    </row>
    <row r="379" customFormat="false" ht="15" hidden="false" customHeight="false" outlineLevel="0" collapsed="false">
      <c r="A379" s="3" t="n">
        <v>30000481</v>
      </c>
      <c r="B379" s="3" t="s">
        <v>241</v>
      </c>
      <c r="C379" s="3" t="s">
        <v>1380</v>
      </c>
      <c r="D379" s="23" t="n">
        <v>53604</v>
      </c>
      <c r="E379" s="23" t="n">
        <v>51000</v>
      </c>
      <c r="F379" s="23" t="n">
        <f aca="false">D379-E379</f>
        <v>2604</v>
      </c>
      <c r="G379" s="24" t="n">
        <f aca="false">IF(E379&gt;0,D379/E379-1,"")</f>
        <v>0.0510588235294118</v>
      </c>
      <c r="H379" s="3" t="str">
        <f aca="false">IF(MAX(D379,E379)&lt;Parametros!$B$16,"",IF(E379=0,"PIDE SIN FCST",IF(ABS(G379)&gt;Parametros!$B$14,IF(G379&gt;0,"SOBRE FCST","BAJO FCST"),"")))</f>
        <v/>
      </c>
    </row>
    <row r="380" customFormat="false" ht="15" hidden="false" customHeight="false" outlineLevel="0" collapsed="false">
      <c r="A380" s="3" t="n">
        <v>30002169</v>
      </c>
      <c r="B380" s="3" t="s">
        <v>377</v>
      </c>
      <c r="C380" s="3" t="s">
        <v>1380</v>
      </c>
      <c r="D380" s="23" t="n">
        <v>5670</v>
      </c>
      <c r="E380" s="23" t="n">
        <v>3076.40451860089</v>
      </c>
      <c r="F380" s="23" t="n">
        <f aca="false">D380-E380</f>
        <v>2593.59548139911</v>
      </c>
      <c r="G380" s="24" t="n">
        <f aca="false">IF(E380&gt;0,D380/E380-1,"")</f>
        <v>0.843060613686346</v>
      </c>
      <c r="H380" s="3" t="str">
        <f aca="false">IF(MAX(D380,E380)&lt;Parametros!$B$16,"",IF(E380=0,"PIDE SIN FCST",IF(ABS(G380)&gt;Parametros!$B$14,IF(G380&gt;0,"SOBRE FCST","BAJO FCST"),"")))</f>
        <v>SOBRE FCST</v>
      </c>
    </row>
    <row r="381" customFormat="false" ht="15" hidden="false" customHeight="false" outlineLevel="0" collapsed="false">
      <c r="A381" s="3" t="n">
        <v>30000255</v>
      </c>
      <c r="B381" s="3" t="s">
        <v>221</v>
      </c>
      <c r="C381" s="3" t="s">
        <v>1372</v>
      </c>
      <c r="D381" s="23" t="n">
        <v>39270</v>
      </c>
      <c r="E381" s="23" t="n">
        <v>36686.6778907681</v>
      </c>
      <c r="F381" s="23" t="n">
        <f aca="false">D381-E381</f>
        <v>2583.32210923191</v>
      </c>
      <c r="G381" s="24" t="n">
        <f aca="false">IF(E381&gt;0,D381/E381-1,"")</f>
        <v>0.0704158091643936</v>
      </c>
      <c r="H381" s="3" t="str">
        <f aca="false">IF(MAX(D381,E381)&lt;Parametros!$B$16,"",IF(E381=0,"PIDE SIN FCST",IF(ABS(G381)&gt;Parametros!$B$14,IF(G381&gt;0,"SOBRE FCST","BAJO FCST"),"")))</f>
        <v/>
      </c>
    </row>
    <row r="382" customFormat="false" ht="15" hidden="false" customHeight="false" outlineLevel="0" collapsed="false">
      <c r="A382" s="3" t="n">
        <v>30001086</v>
      </c>
      <c r="B382" s="3" t="s">
        <v>223</v>
      </c>
      <c r="C382" s="3" t="s">
        <v>1372</v>
      </c>
      <c r="D382" s="23" t="n">
        <v>6559.2</v>
      </c>
      <c r="E382" s="23" t="n">
        <v>3985.49375973066</v>
      </c>
      <c r="F382" s="23" t="n">
        <f aca="false">D382-E382</f>
        <v>2573.70624026934</v>
      </c>
      <c r="G382" s="24" t="n">
        <f aca="false">IF(E382&gt;0,D382/E382-1,"")</f>
        <v>0.645768478243276</v>
      </c>
      <c r="H382" s="3" t="str">
        <f aca="false">IF(MAX(D382,E382)&lt;Parametros!$B$16,"",IF(E382=0,"PIDE SIN FCST",IF(ABS(G382)&gt;Parametros!$B$14,IF(G382&gt;0,"SOBRE FCST","BAJO FCST"),"")))</f>
        <v>SOBRE FCST</v>
      </c>
    </row>
    <row r="383" customFormat="false" ht="15" hidden="false" customHeight="false" outlineLevel="0" collapsed="false">
      <c r="A383" s="3" t="n">
        <v>30000254</v>
      </c>
      <c r="B383" s="3" t="s">
        <v>272</v>
      </c>
      <c r="C383" s="3" t="s">
        <v>1372</v>
      </c>
      <c r="D383" s="23" t="n">
        <v>1830</v>
      </c>
      <c r="E383" s="23" t="n">
        <v>4396.60222885842</v>
      </c>
      <c r="F383" s="23" t="n">
        <f aca="false">D383-E383</f>
        <v>-2566.60222885842</v>
      </c>
      <c r="G383" s="24" t="n">
        <f aca="false">IF(E383&gt;0,D383/E383-1,"")</f>
        <v>-0.58376948726718</v>
      </c>
      <c r="H383" s="3" t="str">
        <f aca="false">IF(MAX(D383,E383)&lt;Parametros!$B$16,"",IF(E383=0,"PIDE SIN FCST",IF(ABS(G383)&gt;Parametros!$B$14,IF(G383&gt;0,"SOBRE FCST","BAJO FCST"),"")))</f>
        <v>BAJO FCST</v>
      </c>
    </row>
    <row r="384" customFormat="false" ht="15" hidden="false" customHeight="false" outlineLevel="0" collapsed="false">
      <c r="A384" s="3" t="n">
        <v>30001365</v>
      </c>
      <c r="B384" s="3" t="s">
        <v>302</v>
      </c>
      <c r="C384" s="3" t="s">
        <v>1380</v>
      </c>
      <c r="D384" s="23" t="n">
        <v>16136.4</v>
      </c>
      <c r="E384" s="23" t="n">
        <v>13571.4</v>
      </c>
      <c r="F384" s="23" t="n">
        <f aca="false">D384-E384</f>
        <v>2565</v>
      </c>
      <c r="G384" s="24" t="n">
        <f aca="false">IF(E384&gt;0,D384/E384-1,"")</f>
        <v>0.189000397895575</v>
      </c>
      <c r="H384" s="3" t="str">
        <f aca="false">IF(MAX(D384,E384)&lt;Parametros!$B$16,"",IF(E384=0,"PIDE SIN FCST",IF(ABS(G384)&gt;Parametros!$B$14,IF(G384&gt;0,"SOBRE FCST","BAJO FCST"),"")))</f>
        <v/>
      </c>
    </row>
    <row r="385" customFormat="false" ht="15" hidden="false" customHeight="false" outlineLevel="0" collapsed="false">
      <c r="A385" s="3" t="n">
        <v>30000256</v>
      </c>
      <c r="B385" s="3" t="s">
        <v>225</v>
      </c>
      <c r="C385" s="3" t="s">
        <v>1373</v>
      </c>
      <c r="D385" s="23" t="n">
        <v>24624</v>
      </c>
      <c r="E385" s="23" t="n">
        <v>27188.9555466667</v>
      </c>
      <c r="F385" s="23" t="n">
        <f aca="false">D385-E385</f>
        <v>-2564.95554666666</v>
      </c>
      <c r="G385" s="24" t="n">
        <f aca="false">IF(E385&gt;0,D385/E385-1,"")</f>
        <v>-0.0943381419070775</v>
      </c>
      <c r="H385" s="3" t="str">
        <f aca="false">IF(MAX(D385,E385)&lt;Parametros!$B$16,"",IF(E385=0,"PIDE SIN FCST",IF(ABS(G385)&gt;Parametros!$B$14,IF(G385&gt;0,"SOBRE FCST","BAJO FCST"),"")))</f>
        <v/>
      </c>
    </row>
    <row r="386" customFormat="false" ht="15" hidden="false" customHeight="false" outlineLevel="0" collapsed="false">
      <c r="A386" s="3" t="n">
        <v>30000644</v>
      </c>
      <c r="B386" s="3" t="s">
        <v>261</v>
      </c>
      <c r="C386" s="3" t="s">
        <v>1372</v>
      </c>
      <c r="D386" s="23" t="n">
        <v>10920</v>
      </c>
      <c r="E386" s="23" t="n">
        <v>8360</v>
      </c>
      <c r="F386" s="23" t="n">
        <f aca="false">D386-E386</f>
        <v>2560</v>
      </c>
      <c r="G386" s="24" t="n">
        <f aca="false">IF(E386&gt;0,D386/E386-1,"")</f>
        <v>0.30622009569378</v>
      </c>
      <c r="H386" s="3" t="str">
        <f aca="false">IF(MAX(D386,E386)&lt;Parametros!$B$16,"",IF(E386=0,"PIDE SIN FCST",IF(ABS(G386)&gt;Parametros!$B$14,IF(G386&gt;0,"SOBRE FCST","BAJO FCST"),"")))</f>
        <v>SOBRE FCST</v>
      </c>
    </row>
    <row r="387" customFormat="false" ht="15" hidden="false" customHeight="false" outlineLevel="0" collapsed="false">
      <c r="A387" s="3" t="n">
        <v>30002134</v>
      </c>
      <c r="B387" s="3" t="s">
        <v>444</v>
      </c>
      <c r="C387" s="3" t="s">
        <v>1375</v>
      </c>
      <c r="D387" s="23" t="n">
        <v>6864</v>
      </c>
      <c r="E387" s="23" t="n">
        <v>4312.87532747868</v>
      </c>
      <c r="F387" s="23" t="n">
        <f aca="false">D387-E387</f>
        <v>2551.12467252132</v>
      </c>
      <c r="G387" s="24" t="n">
        <f aca="false">IF(E387&gt;0,D387/E387-1,"")</f>
        <v>0.591513660565911</v>
      </c>
      <c r="H387" s="3" t="str">
        <f aca="false">IF(MAX(D387,E387)&lt;Parametros!$B$16,"",IF(E387=0,"PIDE SIN FCST",IF(ABS(G387)&gt;Parametros!$B$14,IF(G387&gt;0,"SOBRE FCST","BAJO FCST"),"")))</f>
        <v>SOBRE FCST</v>
      </c>
    </row>
    <row r="388" customFormat="false" ht="15" hidden="false" customHeight="false" outlineLevel="0" collapsed="false">
      <c r="A388" s="3" t="n">
        <v>30000441</v>
      </c>
      <c r="B388" s="3" t="s">
        <v>229</v>
      </c>
      <c r="C388" s="3" t="s">
        <v>1375</v>
      </c>
      <c r="D388" s="23" t="n">
        <v>31460</v>
      </c>
      <c r="E388" s="23" t="n">
        <v>34000</v>
      </c>
      <c r="F388" s="23" t="n">
        <f aca="false">D388-E388</f>
        <v>-2540</v>
      </c>
      <c r="G388" s="24" t="n">
        <f aca="false">IF(E388&gt;0,D388/E388-1,"")</f>
        <v>-0.0747058823529412</v>
      </c>
      <c r="H388" s="3" t="str">
        <f aca="false">IF(MAX(D388,E388)&lt;Parametros!$B$16,"",IF(E388=0,"PIDE SIN FCST",IF(ABS(G388)&gt;Parametros!$B$14,IF(G388&gt;0,"SOBRE FCST","BAJO FCST"),"")))</f>
        <v/>
      </c>
    </row>
    <row r="389" customFormat="false" ht="15" hidden="false" customHeight="false" outlineLevel="0" collapsed="false">
      <c r="A389" s="3" t="n">
        <v>30001815</v>
      </c>
      <c r="B389" s="3" t="s">
        <v>332</v>
      </c>
      <c r="C389" s="3" t="s">
        <v>1375</v>
      </c>
      <c r="D389" s="23" t="n">
        <v>16040</v>
      </c>
      <c r="E389" s="23" t="n">
        <v>13500</v>
      </c>
      <c r="F389" s="23" t="n">
        <f aca="false">D389-E389</f>
        <v>2540</v>
      </c>
      <c r="G389" s="24" t="n">
        <f aca="false">IF(E389&gt;0,D389/E389-1,"")</f>
        <v>0.188148148148148</v>
      </c>
      <c r="H389" s="3" t="str">
        <f aca="false">IF(MAX(D389,E389)&lt;Parametros!$B$16,"",IF(E389=0,"PIDE SIN FCST",IF(ABS(G389)&gt;Parametros!$B$14,IF(G389&gt;0,"SOBRE FCST","BAJO FCST"),"")))</f>
        <v/>
      </c>
    </row>
    <row r="390" customFormat="false" ht="15" hidden="false" customHeight="false" outlineLevel="0" collapsed="false">
      <c r="A390" s="3" t="n">
        <v>30001889</v>
      </c>
      <c r="B390" s="3" t="s">
        <v>507</v>
      </c>
      <c r="C390" s="3" t="s">
        <v>1375</v>
      </c>
      <c r="D390" s="23" t="n">
        <v>2752.8</v>
      </c>
      <c r="E390" s="23" t="n">
        <v>5280.01328651693</v>
      </c>
      <c r="F390" s="23" t="n">
        <f aca="false">D390-E390</f>
        <v>-2527.21328651693</v>
      </c>
      <c r="G390" s="24" t="n">
        <f aca="false">IF(E390&gt;0,D390/E390-1,"")</f>
        <v>-0.478637675585104</v>
      </c>
      <c r="H390" s="3" t="str">
        <f aca="false">IF(MAX(D390,E390)&lt;Parametros!$B$16,"",IF(E390=0,"PIDE SIN FCST",IF(ABS(G390)&gt;Parametros!$B$14,IF(G390&gt;0,"SOBRE FCST","BAJO FCST"),"")))</f>
        <v>BAJO FCST</v>
      </c>
    </row>
    <row r="391" customFormat="false" ht="15" hidden="false" customHeight="false" outlineLevel="0" collapsed="false">
      <c r="A391" s="3" t="n">
        <v>30002359</v>
      </c>
      <c r="B391" s="3" t="s">
        <v>401</v>
      </c>
      <c r="C391" s="3" t="s">
        <v>1379</v>
      </c>
      <c r="D391" s="23" t="n">
        <v>3924</v>
      </c>
      <c r="E391" s="23" t="n">
        <v>1400</v>
      </c>
      <c r="F391" s="23" t="n">
        <f aca="false">D391-E391</f>
        <v>2524</v>
      </c>
      <c r="G391" s="24" t="n">
        <f aca="false">IF(E391&gt;0,D391/E391-1,"")</f>
        <v>1.80285714285714</v>
      </c>
      <c r="H391" s="3" t="str">
        <f aca="false">IF(MAX(D391,E391)&lt;Parametros!$B$16,"",IF(E391=0,"PIDE SIN FCST",IF(ABS(G391)&gt;Parametros!$B$14,IF(G391&gt;0,"SOBRE FCST","BAJO FCST"),"")))</f>
        <v>SOBRE FCST</v>
      </c>
    </row>
    <row r="392" customFormat="false" ht="15" hidden="false" customHeight="false" outlineLevel="0" collapsed="false">
      <c r="A392" s="3" t="n">
        <v>30000192</v>
      </c>
      <c r="B392" s="3" t="s">
        <v>311</v>
      </c>
      <c r="C392" s="3" t="s">
        <v>1379</v>
      </c>
      <c r="D392" s="23" t="n">
        <v>5880</v>
      </c>
      <c r="E392" s="23" t="n">
        <v>3360</v>
      </c>
      <c r="F392" s="23" t="n">
        <f aca="false">D392-E392</f>
        <v>2520</v>
      </c>
      <c r="G392" s="24" t="n">
        <f aca="false">IF(E392&gt;0,D392/E392-1,"")</f>
        <v>0.75</v>
      </c>
      <c r="H392" s="3" t="str">
        <f aca="false">IF(MAX(D392,E392)&lt;Parametros!$B$16,"",IF(E392=0,"PIDE SIN FCST",IF(ABS(G392)&gt;Parametros!$B$14,IF(G392&gt;0,"SOBRE FCST","BAJO FCST"),"")))</f>
        <v>SOBRE FCST</v>
      </c>
    </row>
    <row r="393" customFormat="false" ht="15" hidden="false" customHeight="false" outlineLevel="0" collapsed="false">
      <c r="A393" s="3" t="n">
        <v>30000305</v>
      </c>
      <c r="B393" s="3" t="s">
        <v>254</v>
      </c>
      <c r="C393" s="3" t="s">
        <v>1372</v>
      </c>
      <c r="D393" s="23" t="n">
        <v>4320</v>
      </c>
      <c r="E393" s="23" t="n">
        <v>6837.71520305516</v>
      </c>
      <c r="F393" s="23" t="n">
        <f aca="false">D393-E393</f>
        <v>-2517.71520305516</v>
      </c>
      <c r="G393" s="24" t="n">
        <f aca="false">IF(E393&gt;0,D393/E393-1,"")</f>
        <v>-0.36821001289001</v>
      </c>
      <c r="H393" s="3" t="str">
        <f aca="false">IF(MAX(D393,E393)&lt;Parametros!$B$16,"",IF(E393=0,"PIDE SIN FCST",IF(ABS(G393)&gt;Parametros!$B$14,IF(G393&gt;0,"SOBRE FCST","BAJO FCST"),"")))</f>
        <v>BAJO FCST</v>
      </c>
    </row>
    <row r="394" customFormat="false" ht="15" hidden="false" customHeight="false" outlineLevel="0" collapsed="false">
      <c r="A394" s="3" t="n">
        <v>30001031</v>
      </c>
      <c r="B394" s="3" t="s">
        <v>334</v>
      </c>
      <c r="C394" s="3" t="s">
        <v>1375</v>
      </c>
      <c r="D394" s="23" t="n">
        <v>13500</v>
      </c>
      <c r="E394" s="23" t="n">
        <v>10985.7684063492</v>
      </c>
      <c r="F394" s="23" t="n">
        <f aca="false">D394-E394</f>
        <v>2514.23159365082</v>
      </c>
      <c r="G394" s="24" t="n">
        <f aca="false">IF(E394&gt;0,D394/E394-1,"")</f>
        <v>0.228862606660972</v>
      </c>
      <c r="H394" s="3" t="str">
        <f aca="false">IF(MAX(D394,E394)&lt;Parametros!$B$16,"",IF(E394=0,"PIDE SIN FCST",IF(ABS(G394)&gt;Parametros!$B$14,IF(G394&gt;0,"SOBRE FCST","BAJO FCST"),"")))</f>
        <v>SOBRE FCST</v>
      </c>
    </row>
    <row r="395" customFormat="false" ht="15" hidden="false" customHeight="false" outlineLevel="0" collapsed="false">
      <c r="A395" s="3" t="n">
        <v>30000194</v>
      </c>
      <c r="B395" s="3" t="s">
        <v>268</v>
      </c>
      <c r="C395" s="3" t="s">
        <v>1379</v>
      </c>
      <c r="D395" s="23" t="n">
        <v>6120</v>
      </c>
      <c r="E395" s="23" t="n">
        <v>3612</v>
      </c>
      <c r="F395" s="23" t="n">
        <f aca="false">D395-E395</f>
        <v>2508</v>
      </c>
      <c r="G395" s="24" t="n">
        <f aca="false">IF(E395&gt;0,D395/E395-1,"")</f>
        <v>0.694352159468439</v>
      </c>
      <c r="H395" s="3" t="str">
        <f aca="false">IF(MAX(D395,E395)&lt;Parametros!$B$16,"",IF(E395=0,"PIDE SIN FCST",IF(ABS(G395)&gt;Parametros!$B$14,IF(G395&gt;0,"SOBRE FCST","BAJO FCST"),"")))</f>
        <v>SOBRE FCST</v>
      </c>
    </row>
    <row r="396" customFormat="false" ht="15" hidden="false" customHeight="false" outlineLevel="0" collapsed="false">
      <c r="A396" s="3" t="n">
        <v>30001474</v>
      </c>
      <c r="B396" s="3" t="s">
        <v>514</v>
      </c>
      <c r="C396" s="3" t="s">
        <v>1380</v>
      </c>
      <c r="D396" s="23" t="n">
        <v>810</v>
      </c>
      <c r="E396" s="23" t="n">
        <v>3312.87532747868</v>
      </c>
      <c r="F396" s="23" t="n">
        <f aca="false">D396-E396</f>
        <v>-2502.87532747868</v>
      </c>
      <c r="G396" s="24" t="n">
        <f aca="false">IF(E396&gt;0,D396/E396-1,"")</f>
        <v>-0.755499401597928</v>
      </c>
      <c r="H396" s="3" t="str">
        <f aca="false">IF(MAX(D396,E396)&lt;Parametros!$B$16,"",IF(E396=0,"PIDE SIN FCST",IF(ABS(G396)&gt;Parametros!$B$14,IF(G396&gt;0,"SOBRE FCST","BAJO FCST"),"")))</f>
        <v>BAJO FCST</v>
      </c>
    </row>
    <row r="397" customFormat="false" ht="15" hidden="false" customHeight="false" outlineLevel="0" collapsed="false">
      <c r="A397" s="3" t="n">
        <v>30002172</v>
      </c>
      <c r="B397" s="3" t="s">
        <v>491</v>
      </c>
      <c r="C397" s="3" t="s">
        <v>1380</v>
      </c>
      <c r="D397" s="23" t="n">
        <v>6528</v>
      </c>
      <c r="E397" s="23" t="n">
        <v>4038.08673457172</v>
      </c>
      <c r="F397" s="23" t="n">
        <f aca="false">D397-E397</f>
        <v>2489.91326542828</v>
      </c>
      <c r="G397" s="24" t="n">
        <f aca="false">IF(E397&gt;0,D397/E397-1,"")</f>
        <v>0.616607177877361</v>
      </c>
      <c r="H397" s="3" t="str">
        <f aca="false">IF(MAX(D397,E397)&lt;Parametros!$B$16,"",IF(E397=0,"PIDE SIN FCST",IF(ABS(G397)&gt;Parametros!$B$14,IF(G397&gt;0,"SOBRE FCST","BAJO FCST"),"")))</f>
        <v>SOBRE FCST</v>
      </c>
    </row>
    <row r="398" customFormat="false" ht="15" hidden="false" customHeight="false" outlineLevel="0" collapsed="false">
      <c r="A398" s="3" t="n">
        <v>30000302</v>
      </c>
      <c r="B398" s="3" t="s">
        <v>251</v>
      </c>
      <c r="C398" s="3" t="s">
        <v>1378</v>
      </c>
      <c r="D398" s="23" t="n">
        <v>3610</v>
      </c>
      <c r="E398" s="23" t="n">
        <v>6094.00753100148</v>
      </c>
      <c r="F398" s="23" t="n">
        <f aca="false">D398-E398</f>
        <v>-2484.00753100148</v>
      </c>
      <c r="G398" s="24" t="n">
        <f aca="false">IF(E398&gt;0,D398/E398-1,"")</f>
        <v>-0.407614778676399</v>
      </c>
      <c r="H398" s="3" t="str">
        <f aca="false">IF(MAX(D398,E398)&lt;Parametros!$B$16,"",IF(E398=0,"PIDE SIN FCST",IF(ABS(G398)&gt;Parametros!$B$14,IF(G398&gt;0,"SOBRE FCST","BAJO FCST"),"")))</f>
        <v>BAJO FCST</v>
      </c>
    </row>
    <row r="399" customFormat="false" ht="15" hidden="false" customHeight="false" outlineLevel="0" collapsed="false">
      <c r="A399" s="3" t="n">
        <v>30001760</v>
      </c>
      <c r="B399" s="3" t="s">
        <v>301</v>
      </c>
      <c r="C399" s="3" t="s">
        <v>1380</v>
      </c>
      <c r="D399" s="23" t="n">
        <v>16480.8</v>
      </c>
      <c r="E399" s="23" t="n">
        <v>14000</v>
      </c>
      <c r="F399" s="23" t="n">
        <f aca="false">D399-E399</f>
        <v>2480.8</v>
      </c>
      <c r="G399" s="24" t="n">
        <f aca="false">IF(E399&gt;0,D399/E399-1,"")</f>
        <v>0.1772</v>
      </c>
      <c r="H399" s="3" t="str">
        <f aca="false">IF(MAX(D399,E399)&lt;Parametros!$B$16,"",IF(E399=0,"PIDE SIN FCST",IF(ABS(G399)&gt;Parametros!$B$14,IF(G399&gt;0,"SOBRE FCST","BAJO FCST"),"")))</f>
        <v/>
      </c>
    </row>
    <row r="400" customFormat="false" ht="15" hidden="false" customHeight="false" outlineLevel="0" collapsed="false">
      <c r="A400" s="3" t="n">
        <v>30000478</v>
      </c>
      <c r="B400" s="3" t="s">
        <v>392</v>
      </c>
      <c r="C400" s="3" t="s">
        <v>1380</v>
      </c>
      <c r="D400" s="23" t="n">
        <v>1092</v>
      </c>
      <c r="E400" s="23" t="n">
        <v>3564</v>
      </c>
      <c r="F400" s="23" t="n">
        <f aca="false">D400-E400</f>
        <v>-2472</v>
      </c>
      <c r="G400" s="24" t="n">
        <f aca="false">IF(E400&gt;0,D400/E400-1,"")</f>
        <v>-0.693602693602694</v>
      </c>
      <c r="H400" s="3" t="str">
        <f aca="false">IF(MAX(D400,E400)&lt;Parametros!$B$16,"",IF(E400=0,"PIDE SIN FCST",IF(ABS(G400)&gt;Parametros!$B$14,IF(G400&gt;0,"SOBRE FCST","BAJO FCST"),"")))</f>
        <v>BAJO FCST</v>
      </c>
    </row>
    <row r="401" customFormat="false" ht="15" hidden="false" customHeight="false" outlineLevel="0" collapsed="false">
      <c r="A401" s="3" t="n">
        <v>30000244</v>
      </c>
      <c r="B401" s="3" t="s">
        <v>403</v>
      </c>
      <c r="C401" s="3" t="s">
        <v>1376</v>
      </c>
      <c r="D401" s="23" t="n">
        <v>2520</v>
      </c>
      <c r="E401" s="23" t="n">
        <v>4992</v>
      </c>
      <c r="F401" s="23" t="n">
        <f aca="false">D401-E401</f>
        <v>-2472</v>
      </c>
      <c r="G401" s="24" t="n">
        <f aca="false">IF(E401&gt;0,D401/E401-1,"")</f>
        <v>-0.495192307692308</v>
      </c>
      <c r="H401" s="3" t="str">
        <f aca="false">IF(MAX(D401,E401)&lt;Parametros!$B$16,"",IF(E401=0,"PIDE SIN FCST",IF(ABS(G401)&gt;Parametros!$B$14,IF(G401&gt;0,"SOBRE FCST","BAJO FCST"),"")))</f>
        <v>BAJO FCST</v>
      </c>
    </row>
    <row r="402" customFormat="false" ht="15" hidden="false" customHeight="false" outlineLevel="0" collapsed="false">
      <c r="A402" s="3" t="n">
        <v>30001086</v>
      </c>
      <c r="B402" s="3" t="s">
        <v>223</v>
      </c>
      <c r="C402" s="3" t="s">
        <v>1379</v>
      </c>
      <c r="D402" s="23" t="n">
        <v>32378.4</v>
      </c>
      <c r="E402" s="23" t="n">
        <v>29907.4736219308</v>
      </c>
      <c r="F402" s="23" t="n">
        <f aca="false">D402-E402</f>
        <v>2470.92637806923</v>
      </c>
      <c r="G402" s="24" t="n">
        <f aca="false">IF(E402&gt;0,D402/E402-1,"")</f>
        <v>0.0826190272473344</v>
      </c>
      <c r="H402" s="3" t="str">
        <f aca="false">IF(MAX(D402,E402)&lt;Parametros!$B$16,"",IF(E402=0,"PIDE SIN FCST",IF(ABS(G402)&gt;Parametros!$B$14,IF(G402&gt;0,"SOBRE FCST","BAJO FCST"),"")))</f>
        <v/>
      </c>
    </row>
    <row r="403" customFormat="false" ht="15" hidden="false" customHeight="false" outlineLevel="0" collapsed="false">
      <c r="A403" s="3" t="n">
        <v>30001075</v>
      </c>
      <c r="B403" s="3" t="s">
        <v>297</v>
      </c>
      <c r="C403" s="3" t="s">
        <v>1379</v>
      </c>
      <c r="D403" s="23" t="n">
        <v>7323.36</v>
      </c>
      <c r="E403" s="23" t="n">
        <v>4858.66899362285</v>
      </c>
      <c r="F403" s="23" t="n">
        <f aca="false">D403-E403</f>
        <v>2464.69100637716</v>
      </c>
      <c r="G403" s="24" t="n">
        <f aca="false">IF(E403&gt;0,D403/E403-1,"")</f>
        <v>0.507276994916126</v>
      </c>
      <c r="H403" s="3" t="str">
        <f aca="false">IF(MAX(D403,E403)&lt;Parametros!$B$16,"",IF(E403=0,"PIDE SIN FCST",IF(ABS(G403)&gt;Parametros!$B$14,IF(G403&gt;0,"SOBRE FCST","BAJO FCST"),"")))</f>
        <v>SOBRE FCST</v>
      </c>
    </row>
    <row r="404" customFormat="false" ht="15" hidden="false" customHeight="false" outlineLevel="0" collapsed="false">
      <c r="A404" s="3" t="n">
        <v>30000097</v>
      </c>
      <c r="B404" s="3" t="s">
        <v>354</v>
      </c>
      <c r="C404" s="3" t="s">
        <v>1380</v>
      </c>
      <c r="D404" s="23" t="n">
        <v>4838.4</v>
      </c>
      <c r="E404" s="23" t="n">
        <v>7296.19457263215</v>
      </c>
      <c r="F404" s="23" t="n">
        <f aca="false">D404-E404</f>
        <v>-2457.79457263215</v>
      </c>
      <c r="G404" s="24" t="n">
        <f aca="false">IF(E404&gt;0,D404/E404-1,"")</f>
        <v>-0.336859790150235</v>
      </c>
      <c r="H404" s="3" t="str">
        <f aca="false">IF(MAX(D404,E404)&lt;Parametros!$B$16,"",IF(E404=0,"PIDE SIN FCST",IF(ABS(G404)&gt;Parametros!$B$14,IF(G404&gt;0,"SOBRE FCST","BAJO FCST"),"")))</f>
        <v>BAJO FCST</v>
      </c>
    </row>
    <row r="405" customFormat="false" ht="15" hidden="false" customHeight="false" outlineLevel="0" collapsed="false">
      <c r="A405" s="3" t="n">
        <v>30000256</v>
      </c>
      <c r="B405" s="3" t="s">
        <v>225</v>
      </c>
      <c r="C405" s="3" t="s">
        <v>1379</v>
      </c>
      <c r="D405" s="23" t="n">
        <v>8640</v>
      </c>
      <c r="E405" s="23" t="n">
        <v>11091.6</v>
      </c>
      <c r="F405" s="23" t="n">
        <f aca="false">D405-E405</f>
        <v>-2451.6</v>
      </c>
      <c r="G405" s="24" t="n">
        <f aca="false">IF(E405&gt;0,D405/E405-1,"")</f>
        <v>-0.221032132424538</v>
      </c>
      <c r="H405" s="3" t="str">
        <f aca="false">IF(MAX(D405,E405)&lt;Parametros!$B$16,"",IF(E405=0,"PIDE SIN FCST",IF(ABS(G405)&gt;Parametros!$B$14,IF(G405&gt;0,"SOBRE FCST","BAJO FCST"),"")))</f>
        <v>BAJO FCST</v>
      </c>
    </row>
    <row r="406" customFormat="false" ht="15" hidden="false" customHeight="false" outlineLevel="0" collapsed="false">
      <c r="A406" s="3" t="n">
        <v>30000469</v>
      </c>
      <c r="B406" s="3" t="s">
        <v>428</v>
      </c>
      <c r="C406" s="3" t="s">
        <v>1380</v>
      </c>
      <c r="D406" s="23" t="n">
        <v>3628.8</v>
      </c>
      <c r="E406" s="23" t="n">
        <v>6080.16214386012</v>
      </c>
      <c r="F406" s="23" t="n">
        <f aca="false">D406-E406</f>
        <v>-2451.36214386012</v>
      </c>
      <c r="G406" s="24" t="n">
        <f aca="false">IF(E406&gt;0,D406/E406-1,"")</f>
        <v>-0.403173811135211</v>
      </c>
      <c r="H406" s="3" t="str">
        <f aca="false">IF(MAX(D406,E406)&lt;Parametros!$B$16,"",IF(E406=0,"PIDE SIN FCST",IF(ABS(G406)&gt;Parametros!$B$14,IF(G406&gt;0,"SOBRE FCST","BAJO FCST"),"")))</f>
        <v>BAJO FCST</v>
      </c>
    </row>
    <row r="407" customFormat="false" ht="15" hidden="false" customHeight="false" outlineLevel="0" collapsed="false">
      <c r="A407" s="3" t="n">
        <v>30002099</v>
      </c>
      <c r="B407" s="3" t="s">
        <v>237</v>
      </c>
      <c r="C407" s="3" t="s">
        <v>1379</v>
      </c>
      <c r="D407" s="23" t="n">
        <v>6720</v>
      </c>
      <c r="E407" s="23" t="n">
        <v>9170.7</v>
      </c>
      <c r="F407" s="23" t="n">
        <f aca="false">D407-E407</f>
        <v>-2450.7</v>
      </c>
      <c r="G407" s="24" t="n">
        <f aca="false">IF(E407&gt;0,D407/E407-1,"")</f>
        <v>-0.267231509045111</v>
      </c>
      <c r="H407" s="3" t="str">
        <f aca="false">IF(MAX(D407,E407)&lt;Parametros!$B$16,"",IF(E407=0,"PIDE SIN FCST",IF(ABS(G407)&gt;Parametros!$B$14,IF(G407&gt;0,"SOBRE FCST","BAJO FCST"),"")))</f>
        <v>BAJO FCST</v>
      </c>
    </row>
    <row r="408" customFormat="false" ht="15" hidden="false" customHeight="false" outlineLevel="0" collapsed="false">
      <c r="A408" s="3" t="n">
        <v>30001041</v>
      </c>
      <c r="B408" s="3" t="s">
        <v>258</v>
      </c>
      <c r="C408" s="3" t="s">
        <v>1378</v>
      </c>
      <c r="D408" s="23" t="n">
        <v>5232.48</v>
      </c>
      <c r="E408" s="23" t="n">
        <v>2785.10846401427</v>
      </c>
      <c r="F408" s="23" t="n">
        <f aca="false">D408-E408</f>
        <v>2447.37153598573</v>
      </c>
      <c r="G408" s="24" t="n">
        <f aca="false">IF(E408&gt;0,D408/E408-1,"")</f>
        <v>0.878734730660451</v>
      </c>
      <c r="H408" s="3" t="str">
        <f aca="false">IF(MAX(D408,E408)&lt;Parametros!$B$16,"",IF(E408=0,"PIDE SIN FCST",IF(ABS(G408)&gt;Parametros!$B$14,IF(G408&gt;0,"SOBRE FCST","BAJO FCST"),"")))</f>
        <v>SOBRE FCST</v>
      </c>
    </row>
    <row r="409" customFormat="false" ht="15" hidden="false" customHeight="false" outlineLevel="0" collapsed="false">
      <c r="A409" s="3" t="n">
        <v>30001490</v>
      </c>
      <c r="B409" s="3" t="s">
        <v>337</v>
      </c>
      <c r="C409" s="3" t="s">
        <v>1373</v>
      </c>
      <c r="D409" s="23" t="n">
        <v>6757.5</v>
      </c>
      <c r="E409" s="23" t="n">
        <v>4312.87532747868</v>
      </c>
      <c r="F409" s="23" t="n">
        <f aca="false">D409-E409</f>
        <v>2444.62467252132</v>
      </c>
      <c r="G409" s="24" t="n">
        <f aca="false">IF(E409&gt;0,D409/E409-1,"")</f>
        <v>0.566820157528284</v>
      </c>
      <c r="H409" s="3" t="str">
        <f aca="false">IF(MAX(D409,E409)&lt;Parametros!$B$16,"",IF(E409=0,"PIDE SIN FCST",IF(ABS(G409)&gt;Parametros!$B$14,IF(G409&gt;0,"SOBRE FCST","BAJO FCST"),"")))</f>
        <v>SOBRE FCST</v>
      </c>
    </row>
    <row r="410" customFormat="false" ht="15" hidden="false" customHeight="false" outlineLevel="0" collapsed="false">
      <c r="A410" s="3" t="n">
        <v>30000302</v>
      </c>
      <c r="B410" s="3" t="s">
        <v>251</v>
      </c>
      <c r="C410" s="3" t="s">
        <v>1380</v>
      </c>
      <c r="D410" s="23" t="n">
        <v>55440</v>
      </c>
      <c r="E410" s="23" t="n">
        <v>53000</v>
      </c>
      <c r="F410" s="23" t="n">
        <f aca="false">D410-E410</f>
        <v>2440</v>
      </c>
      <c r="G410" s="24" t="n">
        <f aca="false">IF(E410&gt;0,D410/E410-1,"")</f>
        <v>0.0460377358490567</v>
      </c>
      <c r="H410" s="3" t="str">
        <f aca="false">IF(MAX(D410,E410)&lt;Parametros!$B$16,"",IF(E410=0,"PIDE SIN FCST",IF(ABS(G410)&gt;Parametros!$B$14,IF(G410&gt;0,"SOBRE FCST","BAJO FCST"),"")))</f>
        <v/>
      </c>
    </row>
    <row r="411" customFormat="false" ht="15" hidden="false" customHeight="false" outlineLevel="0" collapsed="false">
      <c r="A411" s="3" t="n">
        <v>30001744</v>
      </c>
      <c r="B411" s="3" t="s">
        <v>437</v>
      </c>
      <c r="C411" s="3" t="s">
        <v>1373</v>
      </c>
      <c r="D411" s="23" t="n">
        <v>4821.12</v>
      </c>
      <c r="E411" s="23" t="n">
        <v>2400</v>
      </c>
      <c r="F411" s="23" t="n">
        <f aca="false">D411-E411</f>
        <v>2421.12</v>
      </c>
      <c r="G411" s="24" t="n">
        <f aca="false">IF(E411&gt;0,D411/E411-1,"")</f>
        <v>1.0088</v>
      </c>
      <c r="H411" s="3" t="str">
        <f aca="false">IF(MAX(D411,E411)&lt;Parametros!$B$16,"",IF(E411=0,"PIDE SIN FCST",IF(ABS(G411)&gt;Parametros!$B$14,IF(G411&gt;0,"SOBRE FCST","BAJO FCST"),"")))</f>
        <v>SOBRE FCST</v>
      </c>
    </row>
    <row r="412" customFormat="false" ht="15" hidden="false" customHeight="false" outlineLevel="0" collapsed="false">
      <c r="A412" s="3" t="n">
        <v>30000246</v>
      </c>
      <c r="B412" s="3" t="s">
        <v>413</v>
      </c>
      <c r="C412" s="3" t="s">
        <v>1376</v>
      </c>
      <c r="D412" s="23" t="n">
        <v>0</v>
      </c>
      <c r="E412" s="23" t="n">
        <v>2414.9664</v>
      </c>
      <c r="F412" s="23" t="n">
        <f aca="false">D412-E412</f>
        <v>-2414.9664</v>
      </c>
      <c r="G412" s="24" t="n">
        <f aca="false">IF(E412&gt;0,D412/E412-1,"")</f>
        <v>-1</v>
      </c>
      <c r="H412" s="3" t="str">
        <f aca="false">IF(MAX(D412,E412)&lt;Parametros!$B$16,"",IF(E412=0,"PIDE SIN FCST",IF(ABS(G412)&gt;Parametros!$B$14,IF(G412&gt;0,"SOBRE FCST","BAJO FCST"),"")))</f>
        <v>BAJO FCST</v>
      </c>
    </row>
    <row r="413" customFormat="false" ht="15" hidden="false" customHeight="false" outlineLevel="0" collapsed="false">
      <c r="A413" s="3" t="n">
        <v>30000644</v>
      </c>
      <c r="B413" s="3" t="s">
        <v>261</v>
      </c>
      <c r="C413" s="3" t="s">
        <v>1378</v>
      </c>
      <c r="D413" s="23" t="n">
        <v>0</v>
      </c>
      <c r="E413" s="23" t="n">
        <v>2404.8</v>
      </c>
      <c r="F413" s="23" t="n">
        <f aca="false">D413-E413</f>
        <v>-2404.8</v>
      </c>
      <c r="G413" s="24" t="n">
        <f aca="false">IF(E413&gt;0,D413/E413-1,"")</f>
        <v>-1</v>
      </c>
      <c r="H413" s="3" t="str">
        <f aca="false">IF(MAX(D413,E413)&lt;Parametros!$B$16,"",IF(E413=0,"PIDE SIN FCST",IF(ABS(G413)&gt;Parametros!$B$14,IF(G413&gt;0,"SOBRE FCST","BAJO FCST"),"")))</f>
        <v>BAJO FCST</v>
      </c>
    </row>
    <row r="414" customFormat="false" ht="15" hidden="false" customHeight="false" outlineLevel="0" collapsed="false">
      <c r="A414" s="3" t="n">
        <v>30002098</v>
      </c>
      <c r="B414" s="3" t="s">
        <v>427</v>
      </c>
      <c r="C414" s="3" t="s">
        <v>1380</v>
      </c>
      <c r="D414" s="23" t="n">
        <v>1296</v>
      </c>
      <c r="E414" s="23" t="n">
        <v>3700</v>
      </c>
      <c r="F414" s="23" t="n">
        <f aca="false">D414-E414</f>
        <v>-2404</v>
      </c>
      <c r="G414" s="24" t="n">
        <f aca="false">IF(E414&gt;0,D414/E414-1,"")</f>
        <v>-0.64972972972973</v>
      </c>
      <c r="H414" s="3" t="str">
        <f aca="false">IF(MAX(D414,E414)&lt;Parametros!$B$16,"",IF(E414=0,"PIDE SIN FCST",IF(ABS(G414)&gt;Parametros!$B$14,IF(G414&gt;0,"SOBRE FCST","BAJO FCST"),"")))</f>
        <v>BAJO FCST</v>
      </c>
    </row>
    <row r="415" customFormat="false" ht="15" hidden="false" customHeight="false" outlineLevel="0" collapsed="false">
      <c r="A415" s="3" t="n">
        <v>30002302</v>
      </c>
      <c r="B415" s="3" t="s">
        <v>634</v>
      </c>
      <c r="C415" s="3" t="s">
        <v>1375</v>
      </c>
      <c r="D415" s="23" t="n">
        <v>0</v>
      </c>
      <c r="E415" s="23" t="n">
        <v>2400</v>
      </c>
      <c r="F415" s="23" t="n">
        <f aca="false">D415-E415</f>
        <v>-2400</v>
      </c>
      <c r="G415" s="24" t="n">
        <f aca="false">IF(E415&gt;0,D415/E415-1,"")</f>
        <v>-1</v>
      </c>
      <c r="H415" s="3" t="str">
        <f aca="false">IF(MAX(D415,E415)&lt;Parametros!$B$16,"",IF(E415=0,"PIDE SIN FCST",IF(ABS(G415)&gt;Parametros!$B$14,IF(G415&gt;0,"SOBRE FCST","BAJO FCST"),"")))</f>
        <v>BAJO FCST</v>
      </c>
    </row>
    <row r="416" customFormat="false" ht="15" hidden="false" customHeight="false" outlineLevel="0" collapsed="false">
      <c r="A416" s="3" t="n">
        <v>30001871</v>
      </c>
      <c r="B416" s="3" t="s">
        <v>242</v>
      </c>
      <c r="C416" s="3" t="s">
        <v>1377</v>
      </c>
      <c r="D416" s="23" t="n">
        <v>14860.8</v>
      </c>
      <c r="E416" s="23" t="n">
        <v>17251.5013099147</v>
      </c>
      <c r="F416" s="23" t="n">
        <f aca="false">D416-E416</f>
        <v>-2390.70130991473</v>
      </c>
      <c r="G416" s="24" t="n">
        <f aca="false">IF(E416&gt;0,D416/E416-1,"")</f>
        <v>-0.138579319386003</v>
      </c>
      <c r="H416" s="3" t="str">
        <f aca="false">IF(MAX(D416,E416)&lt;Parametros!$B$16,"",IF(E416=0,"PIDE SIN FCST",IF(ABS(G416)&gt;Parametros!$B$14,IF(G416&gt;0,"SOBRE FCST","BAJO FCST"),"")))</f>
        <v/>
      </c>
    </row>
    <row r="417" customFormat="false" ht="15" hidden="false" customHeight="false" outlineLevel="0" collapsed="false">
      <c r="A417" s="3" t="n">
        <v>30000481</v>
      </c>
      <c r="B417" s="3" t="s">
        <v>241</v>
      </c>
      <c r="C417" s="3" t="s">
        <v>1372</v>
      </c>
      <c r="D417" s="23" t="n">
        <v>11364</v>
      </c>
      <c r="E417" s="23" t="n">
        <v>8975.86106578395</v>
      </c>
      <c r="F417" s="23" t="n">
        <f aca="false">D417-E417</f>
        <v>2388.13893421605</v>
      </c>
      <c r="G417" s="24" t="n">
        <f aca="false">IF(E417&gt;0,D417/E417-1,"")</f>
        <v>0.266062377382338</v>
      </c>
      <c r="H417" s="3" t="str">
        <f aca="false">IF(MAX(D417,E417)&lt;Parametros!$B$16,"",IF(E417=0,"PIDE SIN FCST",IF(ABS(G417)&gt;Parametros!$B$14,IF(G417&gt;0,"SOBRE FCST","BAJO FCST"),"")))</f>
        <v>SOBRE FCST</v>
      </c>
    </row>
    <row r="418" customFormat="false" ht="15" hidden="false" customHeight="false" outlineLevel="0" collapsed="false">
      <c r="A418" s="3" t="n">
        <v>30001033</v>
      </c>
      <c r="B418" s="3" t="s">
        <v>477</v>
      </c>
      <c r="C418" s="3" t="s">
        <v>1375</v>
      </c>
      <c r="D418" s="23" t="n">
        <v>5140.8</v>
      </c>
      <c r="E418" s="23" t="n">
        <v>2760.89609546171</v>
      </c>
      <c r="F418" s="23" t="n">
        <f aca="false">D418-E418</f>
        <v>2379.90390453829</v>
      </c>
      <c r="G418" s="24" t="n">
        <f aca="false">IF(E418&gt;0,D418/E418-1,"")</f>
        <v>0.862004154538922</v>
      </c>
      <c r="H418" s="3" t="str">
        <f aca="false">IF(MAX(D418,E418)&lt;Parametros!$B$16,"",IF(E418=0,"PIDE SIN FCST",IF(ABS(G418)&gt;Parametros!$B$14,IF(G418&gt;0,"SOBRE FCST","BAJO FCST"),"")))</f>
        <v>SOBRE FCST</v>
      </c>
    </row>
    <row r="419" customFormat="false" ht="15" hidden="false" customHeight="false" outlineLevel="0" collapsed="false">
      <c r="A419" s="3" t="n">
        <v>30001852</v>
      </c>
      <c r="B419" s="3" t="s">
        <v>482</v>
      </c>
      <c r="C419" s="3" t="s">
        <v>1380</v>
      </c>
      <c r="D419" s="23" t="n">
        <v>4233.6</v>
      </c>
      <c r="E419" s="23" t="n">
        <v>6609.35436644466</v>
      </c>
      <c r="F419" s="23" t="n">
        <f aca="false">D419-E419</f>
        <v>-2375.75436644466</v>
      </c>
      <c r="G419" s="24" t="n">
        <f aca="false">IF(E419&gt;0,D419/E419-1,"")</f>
        <v>-0.359453319450722</v>
      </c>
      <c r="H419" s="3" t="str">
        <f aca="false">IF(MAX(D419,E419)&lt;Parametros!$B$16,"",IF(E419=0,"PIDE SIN FCST",IF(ABS(G419)&gt;Parametros!$B$14,IF(G419&gt;0,"SOBRE FCST","BAJO FCST"),"")))</f>
        <v>BAJO FCST</v>
      </c>
    </row>
    <row r="420" customFormat="false" ht="15" hidden="false" customHeight="false" outlineLevel="0" collapsed="false">
      <c r="A420" s="3" t="n">
        <v>30001052</v>
      </c>
      <c r="B420" s="3" t="s">
        <v>243</v>
      </c>
      <c r="C420" s="3" t="s">
        <v>1379</v>
      </c>
      <c r="D420" s="23" t="n">
        <v>900</v>
      </c>
      <c r="E420" s="23" t="n">
        <v>3274.69038263635</v>
      </c>
      <c r="F420" s="23" t="n">
        <f aca="false">D420-E420</f>
        <v>-2374.69038263635</v>
      </c>
      <c r="G420" s="24" t="n">
        <f aca="false">IF(E420&gt;0,D420/E420-1,"")</f>
        <v>-0.725164856875587</v>
      </c>
      <c r="H420" s="3" t="str">
        <f aca="false">IF(MAX(D420,E420)&lt;Parametros!$B$16,"",IF(E420=0,"PIDE SIN FCST",IF(ABS(G420)&gt;Parametros!$B$14,IF(G420&gt;0,"SOBRE FCST","BAJO FCST"),"")))</f>
        <v>BAJO FCST</v>
      </c>
    </row>
    <row r="421" customFormat="false" ht="15" hidden="false" customHeight="false" outlineLevel="0" collapsed="false">
      <c r="A421" s="3" t="n">
        <v>30000252</v>
      </c>
      <c r="B421" s="3" t="s">
        <v>405</v>
      </c>
      <c r="C421" s="3" t="s">
        <v>1380</v>
      </c>
      <c r="D421" s="23" t="n">
        <v>6462</v>
      </c>
      <c r="E421" s="23" t="n">
        <v>4100</v>
      </c>
      <c r="F421" s="23" t="n">
        <f aca="false">D421-E421</f>
        <v>2362</v>
      </c>
      <c r="G421" s="24" t="n">
        <f aca="false">IF(E421&gt;0,D421/E421-1,"")</f>
        <v>0.57609756097561</v>
      </c>
      <c r="H421" s="3" t="str">
        <f aca="false">IF(MAX(D421,E421)&lt;Parametros!$B$16,"",IF(E421=0,"PIDE SIN FCST",IF(ABS(G421)&gt;Parametros!$B$14,IF(G421&gt;0,"SOBRE FCST","BAJO FCST"),"")))</f>
        <v>SOBRE FCST</v>
      </c>
    </row>
    <row r="422" customFormat="false" ht="15" hidden="false" customHeight="false" outlineLevel="0" collapsed="false">
      <c r="A422" s="3" t="n">
        <v>30001045</v>
      </c>
      <c r="B422" s="3" t="s">
        <v>361</v>
      </c>
      <c r="C422" s="3" t="s">
        <v>1372</v>
      </c>
      <c r="D422" s="23" t="n">
        <v>2345.76</v>
      </c>
      <c r="E422" s="23" t="n">
        <v>0</v>
      </c>
      <c r="F422" s="23" t="n">
        <f aca="false">D422-E422</f>
        <v>2345.76</v>
      </c>
      <c r="G422" s="24" t="str">
        <f aca="false">IF(E422&gt;0,D422/E422-1,"")</f>
        <v/>
      </c>
      <c r="H422" s="3" t="str">
        <f aca="false">IF(MAX(D422,E422)&lt;Parametros!$B$16,"",IF(E422=0,"PIDE SIN FCST",IF(ABS(G422)&gt;Parametros!$B$14,IF(G422&gt;0,"SOBRE FCST","BAJO FCST"),"")))</f>
        <v>PIDE SIN FCST</v>
      </c>
    </row>
    <row r="423" customFormat="false" ht="15" hidden="false" customHeight="false" outlineLevel="0" collapsed="false">
      <c r="A423" s="3" t="n">
        <v>30002105</v>
      </c>
      <c r="B423" s="3" t="s">
        <v>517</v>
      </c>
      <c r="C423" s="3" t="s">
        <v>1375</v>
      </c>
      <c r="D423" s="23" t="n">
        <v>2573.856</v>
      </c>
      <c r="E423" s="23" t="n">
        <v>229.411764705882</v>
      </c>
      <c r="F423" s="23" t="n">
        <f aca="false">D423-E423</f>
        <v>2344.44423529412</v>
      </c>
      <c r="G423" s="24" t="n">
        <f aca="false">IF(E423&gt;0,D423/E423-1,"")</f>
        <v>10.2193723076923</v>
      </c>
      <c r="H423" s="3" t="str">
        <f aca="false">IF(MAX(D423,E423)&lt;Parametros!$B$16,"",IF(E423=0,"PIDE SIN FCST",IF(ABS(G423)&gt;Parametros!$B$14,IF(G423&gt;0,"SOBRE FCST","BAJO FCST"),"")))</f>
        <v>SOBRE FCST</v>
      </c>
    </row>
    <row r="424" customFormat="false" ht="15" hidden="false" customHeight="false" outlineLevel="0" collapsed="false">
      <c r="A424" s="3" t="n">
        <v>30002199</v>
      </c>
      <c r="B424" s="3" t="s">
        <v>276</v>
      </c>
      <c r="C424" s="3" t="s">
        <v>1380</v>
      </c>
      <c r="D424" s="23" t="n">
        <v>22161.6</v>
      </c>
      <c r="E424" s="23" t="n">
        <v>24500</v>
      </c>
      <c r="F424" s="23" t="n">
        <f aca="false">D424-E424</f>
        <v>-2338.4</v>
      </c>
      <c r="G424" s="24" t="n">
        <f aca="false">IF(E424&gt;0,D424/E424-1,"")</f>
        <v>-0.0954448979591838</v>
      </c>
      <c r="H424" s="3" t="str">
        <f aca="false">IF(MAX(D424,E424)&lt;Parametros!$B$16,"",IF(E424=0,"PIDE SIN FCST",IF(ABS(G424)&gt;Parametros!$B$14,IF(G424&gt;0,"SOBRE FCST","BAJO FCST"),"")))</f>
        <v/>
      </c>
    </row>
    <row r="425" customFormat="false" ht="15" hidden="false" customHeight="false" outlineLevel="0" collapsed="false">
      <c r="A425" s="3" t="n">
        <v>30001760</v>
      </c>
      <c r="B425" s="3" t="s">
        <v>301</v>
      </c>
      <c r="C425" s="3" t="s">
        <v>1379</v>
      </c>
      <c r="D425" s="23" t="n">
        <v>4033.8</v>
      </c>
      <c r="E425" s="23" t="n">
        <v>1700</v>
      </c>
      <c r="F425" s="23" t="n">
        <f aca="false">D425-E425</f>
        <v>2333.8</v>
      </c>
      <c r="G425" s="24" t="n">
        <f aca="false">IF(E425&gt;0,D425/E425-1,"")</f>
        <v>1.37282352941177</v>
      </c>
      <c r="H425" s="3" t="str">
        <f aca="false">IF(MAX(D425,E425)&lt;Parametros!$B$16,"",IF(E425=0,"PIDE SIN FCST",IF(ABS(G425)&gt;Parametros!$B$14,IF(G425&gt;0,"SOBRE FCST","BAJO FCST"),"")))</f>
        <v>SOBRE FCST</v>
      </c>
    </row>
    <row r="426" customFormat="false" ht="15" hidden="false" customHeight="false" outlineLevel="0" collapsed="false">
      <c r="A426" s="3" t="n">
        <v>30000638</v>
      </c>
      <c r="B426" s="3" t="s">
        <v>277</v>
      </c>
      <c r="C426" s="3" t="s">
        <v>1376</v>
      </c>
      <c r="D426" s="23" t="n">
        <v>4924.8</v>
      </c>
      <c r="E426" s="23" t="n">
        <v>2600</v>
      </c>
      <c r="F426" s="23" t="n">
        <f aca="false">D426-E426</f>
        <v>2324.8</v>
      </c>
      <c r="G426" s="24" t="n">
        <f aca="false">IF(E426&gt;0,D426/E426-1,"")</f>
        <v>0.894153846153846</v>
      </c>
      <c r="H426" s="3" t="str">
        <f aca="false">IF(MAX(D426,E426)&lt;Parametros!$B$16,"",IF(E426=0,"PIDE SIN FCST",IF(ABS(G426)&gt;Parametros!$B$14,IF(G426&gt;0,"SOBRE FCST","BAJO FCST"),"")))</f>
        <v>SOBRE FCST</v>
      </c>
    </row>
    <row r="427" customFormat="false" ht="15" hidden="false" customHeight="false" outlineLevel="0" collapsed="false">
      <c r="A427" s="3" t="n">
        <v>30000116</v>
      </c>
      <c r="B427" s="3" t="s">
        <v>424</v>
      </c>
      <c r="C427" s="3" t="s">
        <v>1373</v>
      </c>
      <c r="D427" s="23" t="n">
        <v>12513.6</v>
      </c>
      <c r="E427" s="23" t="n">
        <v>14838.2386025405</v>
      </c>
      <c r="F427" s="23" t="n">
        <f aca="false">D427-E427</f>
        <v>-2324.63860254053</v>
      </c>
      <c r="G427" s="24" t="n">
        <f aca="false">IF(E427&gt;0,D427/E427-1,"")</f>
        <v>-0.156665401117254</v>
      </c>
      <c r="H427" s="3" t="str">
        <f aca="false">IF(MAX(D427,E427)&lt;Parametros!$B$16,"",IF(E427=0,"PIDE SIN FCST",IF(ABS(G427)&gt;Parametros!$B$14,IF(G427&gt;0,"SOBRE FCST","BAJO FCST"),"")))</f>
        <v/>
      </c>
    </row>
    <row r="428" customFormat="false" ht="15" hidden="false" customHeight="false" outlineLevel="0" collapsed="false">
      <c r="A428" s="3" t="n">
        <v>30002065</v>
      </c>
      <c r="B428" s="3" t="s">
        <v>313</v>
      </c>
      <c r="C428" s="3" t="s">
        <v>1375</v>
      </c>
      <c r="D428" s="23" t="n">
        <v>5520</v>
      </c>
      <c r="E428" s="23" t="n">
        <v>3200</v>
      </c>
      <c r="F428" s="23" t="n">
        <f aca="false">D428-E428</f>
        <v>2320</v>
      </c>
      <c r="G428" s="24" t="n">
        <f aca="false">IF(E428&gt;0,D428/E428-1,"")</f>
        <v>0.725</v>
      </c>
      <c r="H428" s="3" t="str">
        <f aca="false">IF(MAX(D428,E428)&lt;Parametros!$B$16,"",IF(E428=0,"PIDE SIN FCST",IF(ABS(G428)&gt;Parametros!$B$14,IF(G428&gt;0,"SOBRE FCST","BAJO FCST"),"")))</f>
        <v>SOBRE FCST</v>
      </c>
    </row>
    <row r="429" customFormat="false" ht="15" hidden="false" customHeight="false" outlineLevel="0" collapsed="false">
      <c r="A429" s="3" t="n">
        <v>30000644</v>
      </c>
      <c r="B429" s="3" t="s">
        <v>261</v>
      </c>
      <c r="C429" s="3" t="s">
        <v>1380</v>
      </c>
      <c r="D429" s="23" t="n">
        <v>19320</v>
      </c>
      <c r="E429" s="23" t="n">
        <v>17000</v>
      </c>
      <c r="F429" s="23" t="n">
        <f aca="false">D429-E429</f>
        <v>2320</v>
      </c>
      <c r="G429" s="24" t="n">
        <f aca="false">IF(E429&gt;0,D429/E429-1,"")</f>
        <v>0.136470588235294</v>
      </c>
      <c r="H429" s="3" t="str">
        <f aca="false">IF(MAX(D429,E429)&lt;Parametros!$B$16,"",IF(E429=0,"PIDE SIN FCST",IF(ABS(G429)&gt;Parametros!$B$14,IF(G429&gt;0,"SOBRE FCST","BAJO FCST"),"")))</f>
        <v/>
      </c>
    </row>
    <row r="430" customFormat="false" ht="15" hidden="false" customHeight="false" outlineLevel="0" collapsed="false">
      <c r="A430" s="3" t="n">
        <v>30001043</v>
      </c>
      <c r="B430" s="3" t="s">
        <v>290</v>
      </c>
      <c r="C430" s="3" t="s">
        <v>1378</v>
      </c>
      <c r="D430" s="23" t="n">
        <v>4065.6</v>
      </c>
      <c r="E430" s="23" t="n">
        <v>1749.57592480999</v>
      </c>
      <c r="F430" s="23" t="n">
        <f aca="false">D430-E430</f>
        <v>2316.02407519001</v>
      </c>
      <c r="G430" s="24" t="n">
        <f aca="false">IF(E430&gt;0,D430/E430-1,"")</f>
        <v>1.32376311444817</v>
      </c>
      <c r="H430" s="3" t="str">
        <f aca="false">IF(MAX(D430,E430)&lt;Parametros!$B$16,"",IF(E430=0,"PIDE SIN FCST",IF(ABS(G430)&gt;Parametros!$B$14,IF(G430&gt;0,"SOBRE FCST","BAJO FCST"),"")))</f>
        <v>SOBRE FCST</v>
      </c>
    </row>
    <row r="431" customFormat="false" ht="15" hidden="false" customHeight="false" outlineLevel="0" collapsed="false">
      <c r="A431" s="3" t="n">
        <v>30001749</v>
      </c>
      <c r="B431" s="3" t="s">
        <v>307</v>
      </c>
      <c r="C431" s="3" t="s">
        <v>1373</v>
      </c>
      <c r="D431" s="23" t="n">
        <v>5000.4</v>
      </c>
      <c r="E431" s="23" t="n">
        <v>2700</v>
      </c>
      <c r="F431" s="23" t="n">
        <f aca="false">D431-E431</f>
        <v>2300.4</v>
      </c>
      <c r="G431" s="24" t="n">
        <f aca="false">IF(E431&gt;0,D431/E431-1,"")</f>
        <v>0.852</v>
      </c>
      <c r="H431" s="3" t="str">
        <f aca="false">IF(MAX(D431,E431)&lt;Parametros!$B$16,"",IF(E431=0,"PIDE SIN FCST",IF(ABS(G431)&gt;Parametros!$B$14,IF(G431&gt;0,"SOBRE FCST","BAJO FCST"),"")))</f>
        <v>SOBRE FCST</v>
      </c>
    </row>
    <row r="432" customFormat="false" ht="15" hidden="false" customHeight="false" outlineLevel="0" collapsed="false">
      <c r="A432" s="3" t="n">
        <v>30000173</v>
      </c>
      <c r="B432" s="3" t="s">
        <v>484</v>
      </c>
      <c r="C432" s="3" t="s">
        <v>1373</v>
      </c>
      <c r="D432" s="23" t="n">
        <v>3049.2</v>
      </c>
      <c r="E432" s="23" t="n">
        <v>750</v>
      </c>
      <c r="F432" s="23" t="n">
        <f aca="false">D432-E432</f>
        <v>2299.2</v>
      </c>
      <c r="G432" s="24" t="n">
        <f aca="false">IF(E432&gt;0,D432/E432-1,"")</f>
        <v>3.0656</v>
      </c>
      <c r="H432" s="3" t="str">
        <f aca="false">IF(MAX(D432,E432)&lt;Parametros!$B$16,"",IF(E432=0,"PIDE SIN FCST",IF(ABS(G432)&gt;Parametros!$B$14,IF(G432&gt;0,"SOBRE FCST","BAJO FCST"),"")))</f>
        <v>SOBRE FCST</v>
      </c>
    </row>
    <row r="433" customFormat="false" ht="15" hidden="false" customHeight="false" outlineLevel="0" collapsed="false">
      <c r="A433" s="3" t="n">
        <v>30000194</v>
      </c>
      <c r="B433" s="3" t="s">
        <v>268</v>
      </c>
      <c r="C433" s="3" t="s">
        <v>1375</v>
      </c>
      <c r="D433" s="23" t="n">
        <v>2601</v>
      </c>
      <c r="E433" s="23" t="n">
        <v>4900</v>
      </c>
      <c r="F433" s="23" t="n">
        <f aca="false">D433-E433</f>
        <v>-2299</v>
      </c>
      <c r="G433" s="24" t="n">
        <f aca="false">IF(E433&gt;0,D433/E433-1,"")</f>
        <v>-0.469183673469388</v>
      </c>
      <c r="H433" s="3" t="str">
        <f aca="false">IF(MAX(D433,E433)&lt;Parametros!$B$16,"",IF(E433=0,"PIDE SIN FCST",IF(ABS(G433)&gt;Parametros!$B$14,IF(G433&gt;0,"SOBRE FCST","BAJO FCST"),"")))</f>
        <v>BAJO FCST</v>
      </c>
    </row>
    <row r="434" customFormat="false" ht="15" hidden="false" customHeight="false" outlineLevel="0" collapsed="false">
      <c r="A434" s="3" t="n">
        <v>30002329</v>
      </c>
      <c r="B434" s="3" t="s">
        <v>253</v>
      </c>
      <c r="C434" s="3" t="s">
        <v>1375</v>
      </c>
      <c r="D434" s="23" t="n">
        <v>18894</v>
      </c>
      <c r="E434" s="23" t="n">
        <v>16600</v>
      </c>
      <c r="F434" s="23" t="n">
        <f aca="false">D434-E434</f>
        <v>2294</v>
      </c>
      <c r="G434" s="24" t="n">
        <f aca="false">IF(E434&gt;0,D434/E434-1,"")</f>
        <v>0.138192771084337</v>
      </c>
      <c r="H434" s="3" t="str">
        <f aca="false">IF(MAX(D434,E434)&lt;Parametros!$B$16,"",IF(E434=0,"PIDE SIN FCST",IF(ABS(G434)&gt;Parametros!$B$14,IF(G434&gt;0,"SOBRE FCST","BAJO FCST"),"")))</f>
        <v/>
      </c>
    </row>
    <row r="435" customFormat="false" ht="15" hidden="false" customHeight="false" outlineLevel="0" collapsed="false">
      <c r="A435" s="3" t="n">
        <v>30000206</v>
      </c>
      <c r="B435" s="3" t="s">
        <v>287</v>
      </c>
      <c r="C435" s="3" t="s">
        <v>1375</v>
      </c>
      <c r="D435" s="23" t="n">
        <v>8562</v>
      </c>
      <c r="E435" s="23" t="n">
        <v>10855.2656756593</v>
      </c>
      <c r="F435" s="23" t="n">
        <f aca="false">D435-E435</f>
        <v>-2293.26567565934</v>
      </c>
      <c r="G435" s="24" t="n">
        <f aca="false">IF(E435&gt;0,D435/E435-1,"")</f>
        <v>-0.211258364758544</v>
      </c>
      <c r="H435" s="3" t="str">
        <f aca="false">IF(MAX(D435,E435)&lt;Parametros!$B$16,"",IF(E435=0,"PIDE SIN FCST",IF(ABS(G435)&gt;Parametros!$B$14,IF(G435&gt;0,"SOBRE FCST","BAJO FCST"),"")))</f>
        <v>BAJO FCST</v>
      </c>
    </row>
    <row r="436" customFormat="false" ht="15" hidden="false" customHeight="false" outlineLevel="0" collapsed="false">
      <c r="A436" s="3" t="n">
        <v>30002358</v>
      </c>
      <c r="B436" s="3" t="s">
        <v>493</v>
      </c>
      <c r="C436" s="3" t="s">
        <v>1373</v>
      </c>
      <c r="D436" s="23" t="n">
        <v>1434</v>
      </c>
      <c r="E436" s="23" t="n">
        <v>3711.85833333333</v>
      </c>
      <c r="F436" s="23" t="n">
        <f aca="false">D436-E436</f>
        <v>-2277.85833333333</v>
      </c>
      <c r="G436" s="24" t="n">
        <f aca="false">IF(E436&gt;0,D436/E436-1,"")</f>
        <v>-0.613670600754788</v>
      </c>
      <c r="H436" s="3" t="str">
        <f aca="false">IF(MAX(D436,E436)&lt;Parametros!$B$16,"",IF(E436=0,"PIDE SIN FCST",IF(ABS(G436)&gt;Parametros!$B$14,IF(G436&gt;0,"SOBRE FCST","BAJO FCST"),"")))</f>
        <v>BAJO FCST</v>
      </c>
    </row>
    <row r="437" customFormat="false" ht="15" hidden="false" customHeight="false" outlineLevel="0" collapsed="false">
      <c r="A437" s="3" t="n">
        <v>30001043</v>
      </c>
      <c r="B437" s="3" t="s">
        <v>290</v>
      </c>
      <c r="C437" s="3" t="s">
        <v>1375</v>
      </c>
      <c r="D437" s="23" t="n">
        <v>6605.28</v>
      </c>
      <c r="E437" s="23" t="n">
        <v>4335.69303666134</v>
      </c>
      <c r="F437" s="23" t="n">
        <f aca="false">D437-E437</f>
        <v>2269.58696333866</v>
      </c>
      <c r="G437" s="24" t="n">
        <f aca="false">IF(E437&gt;0,D437/E437-1,"")</f>
        <v>0.523465786011072</v>
      </c>
      <c r="H437" s="3" t="str">
        <f aca="false">IF(MAX(D437,E437)&lt;Parametros!$B$16,"",IF(E437=0,"PIDE SIN FCST",IF(ABS(G437)&gt;Parametros!$B$14,IF(G437&gt;0,"SOBRE FCST","BAJO FCST"),"")))</f>
        <v>SOBRE FCST</v>
      </c>
    </row>
    <row r="438" customFormat="false" ht="15" hidden="false" customHeight="false" outlineLevel="0" collapsed="false">
      <c r="A438" s="3" t="n">
        <v>30000172</v>
      </c>
      <c r="B438" s="3" t="s">
        <v>495</v>
      </c>
      <c r="C438" s="3" t="s">
        <v>1380</v>
      </c>
      <c r="D438" s="23" t="n">
        <v>4158</v>
      </c>
      <c r="E438" s="23" t="n">
        <v>1900</v>
      </c>
      <c r="F438" s="23" t="n">
        <f aca="false">D438-E438</f>
        <v>2258</v>
      </c>
      <c r="G438" s="24" t="n">
        <f aca="false">IF(E438&gt;0,D438/E438-1,"")</f>
        <v>1.18842105263158</v>
      </c>
      <c r="H438" s="3" t="str">
        <f aca="false">IF(MAX(D438,E438)&lt;Parametros!$B$16,"",IF(E438=0,"PIDE SIN FCST",IF(ABS(G438)&gt;Parametros!$B$14,IF(G438&gt;0,"SOBRE FCST","BAJO FCST"),"")))</f>
        <v>SOBRE FCST</v>
      </c>
    </row>
    <row r="439" customFormat="false" ht="15" hidden="false" customHeight="false" outlineLevel="0" collapsed="false">
      <c r="A439" s="3" t="n">
        <v>30000173</v>
      </c>
      <c r="B439" s="3" t="s">
        <v>484</v>
      </c>
      <c r="C439" s="3" t="s">
        <v>1380</v>
      </c>
      <c r="D439" s="23" t="n">
        <v>4158</v>
      </c>
      <c r="E439" s="23" t="n">
        <v>1900</v>
      </c>
      <c r="F439" s="23" t="n">
        <f aca="false">D439-E439</f>
        <v>2258</v>
      </c>
      <c r="G439" s="24" t="n">
        <f aca="false">IF(E439&gt;0,D439/E439-1,"")</f>
        <v>1.18842105263158</v>
      </c>
      <c r="H439" s="3" t="str">
        <f aca="false">IF(MAX(D439,E439)&lt;Parametros!$B$16,"",IF(E439=0,"PIDE SIN FCST",IF(ABS(G439)&gt;Parametros!$B$14,IF(G439&gt;0,"SOBRE FCST","BAJO FCST"),"")))</f>
        <v>SOBRE FCST</v>
      </c>
    </row>
    <row r="440" customFormat="false" ht="15" hidden="false" customHeight="false" outlineLevel="0" collapsed="false">
      <c r="A440" s="3" t="n">
        <v>30001047</v>
      </c>
      <c r="B440" s="3" t="s">
        <v>374</v>
      </c>
      <c r="C440" s="3" t="s">
        <v>1372</v>
      </c>
      <c r="D440" s="23" t="n">
        <v>2250.72</v>
      </c>
      <c r="E440" s="23" t="n">
        <v>0</v>
      </c>
      <c r="F440" s="23" t="n">
        <f aca="false">D440-E440</f>
        <v>2250.72</v>
      </c>
      <c r="G440" s="24" t="str">
        <f aca="false">IF(E440&gt;0,D440/E440-1,"")</f>
        <v/>
      </c>
      <c r="H440" s="3" t="str">
        <f aca="false">IF(MAX(D440,E440)&lt;Parametros!$B$16,"",IF(E440=0,"PIDE SIN FCST",IF(ABS(G440)&gt;Parametros!$B$14,IF(G440&gt;0,"SOBRE FCST","BAJO FCST"),"")))</f>
        <v>PIDE SIN FCST</v>
      </c>
    </row>
    <row r="441" customFormat="false" ht="15" hidden="false" customHeight="false" outlineLevel="0" collapsed="false">
      <c r="A441" s="3" t="n">
        <v>30001745</v>
      </c>
      <c r="B441" s="3" t="s">
        <v>445</v>
      </c>
      <c r="C441" s="3" t="s">
        <v>1373</v>
      </c>
      <c r="D441" s="23" t="n">
        <v>4649.4</v>
      </c>
      <c r="E441" s="23" t="n">
        <v>2400</v>
      </c>
      <c r="F441" s="23" t="n">
        <f aca="false">D441-E441</f>
        <v>2249.4</v>
      </c>
      <c r="G441" s="24" t="n">
        <f aca="false">IF(E441&gt;0,D441/E441-1,"")</f>
        <v>0.93725</v>
      </c>
      <c r="H441" s="3" t="str">
        <f aca="false">IF(MAX(D441,E441)&lt;Parametros!$B$16,"",IF(E441=0,"PIDE SIN FCST",IF(ABS(G441)&gt;Parametros!$B$14,IF(G441&gt;0,"SOBRE FCST","BAJO FCST"),"")))</f>
        <v>SOBRE FCST</v>
      </c>
    </row>
    <row r="442" customFormat="false" ht="15" hidden="false" customHeight="false" outlineLevel="0" collapsed="false">
      <c r="A442" s="3" t="n">
        <v>30000353</v>
      </c>
      <c r="B442" s="3" t="s">
        <v>219</v>
      </c>
      <c r="C442" s="3" t="s">
        <v>1372</v>
      </c>
      <c r="D442" s="23" t="n">
        <v>3060</v>
      </c>
      <c r="E442" s="23" t="n">
        <v>5308.0413886998</v>
      </c>
      <c r="F442" s="23" t="n">
        <f aca="false">D442-E442</f>
        <v>-2248.0413886998</v>
      </c>
      <c r="G442" s="24" t="n">
        <f aca="false">IF(E442&gt;0,D442/E442-1,"")</f>
        <v>-0.423516175568189</v>
      </c>
      <c r="H442" s="3" t="str">
        <f aca="false">IF(MAX(D442,E442)&lt;Parametros!$B$16,"",IF(E442=0,"PIDE SIN FCST",IF(ABS(G442)&gt;Parametros!$B$14,IF(G442&gt;0,"SOBRE FCST","BAJO FCST"),"")))</f>
        <v>BAJO FCST</v>
      </c>
    </row>
    <row r="443" customFormat="false" ht="15" hidden="false" customHeight="false" outlineLevel="0" collapsed="false">
      <c r="A443" s="3" t="n">
        <v>30000599</v>
      </c>
      <c r="B443" s="3" t="s">
        <v>333</v>
      </c>
      <c r="C443" s="3" t="s">
        <v>1373</v>
      </c>
      <c r="D443" s="23" t="n">
        <v>15052.08</v>
      </c>
      <c r="E443" s="23" t="n">
        <v>17300</v>
      </c>
      <c r="F443" s="23" t="n">
        <f aca="false">D443-E443</f>
        <v>-2247.92</v>
      </c>
      <c r="G443" s="24" t="n">
        <f aca="false">IF(E443&gt;0,D443/E443-1,"")</f>
        <v>-0.129937572254335</v>
      </c>
      <c r="H443" s="3" t="str">
        <f aca="false">IF(MAX(D443,E443)&lt;Parametros!$B$16,"",IF(E443=0,"PIDE SIN FCST",IF(ABS(G443)&gt;Parametros!$B$14,IF(G443&gt;0,"SOBRE FCST","BAJO FCST"),"")))</f>
        <v/>
      </c>
    </row>
    <row r="444" customFormat="false" ht="15" hidden="false" customHeight="false" outlineLevel="0" collapsed="false">
      <c r="A444" s="3" t="n">
        <v>30000630</v>
      </c>
      <c r="B444" s="3" t="s">
        <v>356</v>
      </c>
      <c r="C444" s="3" t="s">
        <v>1380</v>
      </c>
      <c r="D444" s="23" t="n">
        <v>9547.2</v>
      </c>
      <c r="E444" s="23" t="n">
        <v>7300</v>
      </c>
      <c r="F444" s="23" t="n">
        <f aca="false">D444-E444</f>
        <v>2247.2</v>
      </c>
      <c r="G444" s="24" t="n">
        <f aca="false">IF(E444&gt;0,D444/E444-1,"")</f>
        <v>0.307835616438356</v>
      </c>
      <c r="H444" s="3" t="str">
        <f aca="false">IF(MAX(D444,E444)&lt;Parametros!$B$16,"",IF(E444=0,"PIDE SIN FCST",IF(ABS(G444)&gt;Parametros!$B$14,IF(G444&gt;0,"SOBRE FCST","BAJO FCST"),"")))</f>
        <v>SOBRE FCST</v>
      </c>
    </row>
    <row r="445" customFormat="false" ht="15" hidden="false" customHeight="false" outlineLevel="0" collapsed="false">
      <c r="A445" s="3" t="n">
        <v>30002171</v>
      </c>
      <c r="B445" s="3" t="s">
        <v>564</v>
      </c>
      <c r="C445" s="3" t="s">
        <v>1380</v>
      </c>
      <c r="D445" s="23" t="n">
        <v>5222.4</v>
      </c>
      <c r="E445" s="23" t="n">
        <v>2977.24832458451</v>
      </c>
      <c r="F445" s="23" t="n">
        <f aca="false">D445-E445</f>
        <v>2245.15167541549</v>
      </c>
      <c r="G445" s="24" t="n">
        <f aca="false">IF(E445&gt;0,D445/E445-1,"")</f>
        <v>0.754102926812063</v>
      </c>
      <c r="H445" s="3" t="str">
        <f aca="false">IF(MAX(D445,E445)&lt;Parametros!$B$16,"",IF(E445=0,"PIDE SIN FCST",IF(ABS(G445)&gt;Parametros!$B$14,IF(G445&gt;0,"SOBRE FCST","BAJO FCST"),"")))</f>
        <v>SOBRE FCST</v>
      </c>
    </row>
    <row r="446" customFormat="false" ht="15" hidden="false" customHeight="false" outlineLevel="0" collapsed="false">
      <c r="A446" s="3" t="n">
        <v>30000639</v>
      </c>
      <c r="B446" s="3" t="s">
        <v>244</v>
      </c>
      <c r="C446" s="3" t="s">
        <v>1379</v>
      </c>
      <c r="D446" s="23" t="n">
        <v>3830.4</v>
      </c>
      <c r="E446" s="23" t="n">
        <v>6068</v>
      </c>
      <c r="F446" s="23" t="n">
        <f aca="false">D446-E446</f>
        <v>-2237.6</v>
      </c>
      <c r="G446" s="24" t="n">
        <f aca="false">IF(E446&gt;0,D446/E446-1,"")</f>
        <v>-0.368754119973632</v>
      </c>
      <c r="H446" s="3" t="str">
        <f aca="false">IF(MAX(D446,E446)&lt;Parametros!$B$16,"",IF(E446=0,"PIDE SIN FCST",IF(ABS(G446)&gt;Parametros!$B$14,IF(G446&gt;0,"SOBRE FCST","BAJO FCST"),"")))</f>
        <v>BAJO FCST</v>
      </c>
    </row>
    <row r="447" customFormat="false" ht="15" hidden="false" customHeight="false" outlineLevel="0" collapsed="false">
      <c r="A447" s="3" t="n">
        <v>30002094</v>
      </c>
      <c r="B447" s="3" t="s">
        <v>452</v>
      </c>
      <c r="C447" s="3" t="s">
        <v>1373</v>
      </c>
      <c r="D447" s="23" t="n">
        <v>3638.448</v>
      </c>
      <c r="E447" s="23" t="n">
        <v>1405.67788451157</v>
      </c>
      <c r="F447" s="23" t="n">
        <f aca="false">D447-E447</f>
        <v>2232.77011548843</v>
      </c>
      <c r="G447" s="24" t="n">
        <f aca="false">IF(E447&gt;0,D447/E447-1,"")</f>
        <v>1.58839385615307</v>
      </c>
      <c r="H447" s="3" t="str">
        <f aca="false">IF(MAX(D447,E447)&lt;Parametros!$B$16,"",IF(E447=0,"PIDE SIN FCST",IF(ABS(G447)&gt;Parametros!$B$14,IF(G447&gt;0,"SOBRE FCST","BAJO FCST"),"")))</f>
        <v>SOBRE FCST</v>
      </c>
    </row>
    <row r="448" customFormat="false" ht="15" hidden="false" customHeight="false" outlineLevel="0" collapsed="false">
      <c r="A448" s="3" t="n">
        <v>30001081</v>
      </c>
      <c r="B448" s="3" t="s">
        <v>267</v>
      </c>
      <c r="C448" s="3" t="s">
        <v>1378</v>
      </c>
      <c r="D448" s="23" t="n">
        <v>3801.6</v>
      </c>
      <c r="E448" s="23" t="n">
        <v>1577.50326845027</v>
      </c>
      <c r="F448" s="23" t="n">
        <f aca="false">D448-E448</f>
        <v>2224.09673154973</v>
      </c>
      <c r="G448" s="24" t="n">
        <f aca="false">IF(E448&gt;0,D448/E448-1,"")</f>
        <v>1.40988407189462</v>
      </c>
      <c r="H448" s="3" t="str">
        <f aca="false">IF(MAX(D448,E448)&lt;Parametros!$B$16,"",IF(E448=0,"PIDE SIN FCST",IF(ABS(G448)&gt;Parametros!$B$14,IF(G448&gt;0,"SOBRE FCST","BAJO FCST"),"")))</f>
        <v>SOBRE FCST</v>
      </c>
    </row>
    <row r="449" customFormat="false" ht="15" hidden="false" customHeight="false" outlineLevel="0" collapsed="false">
      <c r="A449" s="3" t="n">
        <v>30002099</v>
      </c>
      <c r="B449" s="3" t="s">
        <v>237</v>
      </c>
      <c r="C449" s="3" t="s">
        <v>1373</v>
      </c>
      <c r="D449" s="23" t="n">
        <v>10602</v>
      </c>
      <c r="E449" s="23" t="n">
        <v>12811.4190133333</v>
      </c>
      <c r="F449" s="23" t="n">
        <f aca="false">D449-E449</f>
        <v>-2209.41901333333</v>
      </c>
      <c r="G449" s="24" t="n">
        <f aca="false">IF(E449&gt;0,D449/E449-1,"")</f>
        <v>-0.172457009721866</v>
      </c>
      <c r="H449" s="3" t="str">
        <f aca="false">IF(MAX(D449,E449)&lt;Parametros!$B$16,"",IF(E449=0,"PIDE SIN FCST",IF(ABS(G449)&gt;Parametros!$B$14,IF(G449&gt;0,"SOBRE FCST","BAJO FCST"),"")))</f>
        <v/>
      </c>
    </row>
    <row r="450" customFormat="false" ht="15" hidden="false" customHeight="false" outlineLevel="0" collapsed="false">
      <c r="A450" s="3" t="n">
        <v>30001977</v>
      </c>
      <c r="B450" s="3" t="s">
        <v>292</v>
      </c>
      <c r="C450" s="3" t="s">
        <v>1373</v>
      </c>
      <c r="D450" s="23" t="n">
        <v>3240</v>
      </c>
      <c r="E450" s="23" t="n">
        <v>5447.37</v>
      </c>
      <c r="F450" s="23" t="n">
        <f aca="false">D450-E450</f>
        <v>-2207.37</v>
      </c>
      <c r="G450" s="24" t="n">
        <f aca="false">IF(E450&gt;0,D450/E450-1,"")</f>
        <v>-0.405217563705054</v>
      </c>
      <c r="H450" s="3" t="str">
        <f aca="false">IF(MAX(D450,E450)&lt;Parametros!$B$16,"",IF(E450=0,"PIDE SIN FCST",IF(ABS(G450)&gt;Parametros!$B$14,IF(G450&gt;0,"SOBRE FCST","BAJO FCST"),"")))</f>
        <v>BAJO FCST</v>
      </c>
    </row>
    <row r="451" customFormat="false" ht="15" hidden="false" customHeight="false" outlineLevel="0" collapsed="false">
      <c r="A451" s="3" t="n">
        <v>30001506</v>
      </c>
      <c r="B451" s="3" t="s">
        <v>352</v>
      </c>
      <c r="C451" s="3" t="s">
        <v>1373</v>
      </c>
      <c r="D451" s="23" t="n">
        <v>3422.4</v>
      </c>
      <c r="E451" s="23" t="n">
        <v>1221.63744675576</v>
      </c>
      <c r="F451" s="23" t="n">
        <f aca="false">D451-E451</f>
        <v>2200.76255324424</v>
      </c>
      <c r="G451" s="24" t="n">
        <f aca="false">IF(E451&gt;0,D451/E451-1,"")</f>
        <v>1.8014858328784</v>
      </c>
      <c r="H451" s="3" t="str">
        <f aca="false">IF(MAX(D451,E451)&lt;Parametros!$B$16,"",IF(E451=0,"PIDE SIN FCST",IF(ABS(G451)&gt;Parametros!$B$14,IF(G451&gt;0,"SOBRE FCST","BAJO FCST"),"")))</f>
        <v>SOBRE FCST</v>
      </c>
    </row>
    <row r="452" customFormat="false" ht="15" hidden="false" customHeight="false" outlineLevel="0" collapsed="false">
      <c r="A452" s="3" t="n">
        <v>30001055</v>
      </c>
      <c r="B452" s="3" t="s">
        <v>246</v>
      </c>
      <c r="C452" s="3" t="s">
        <v>1375</v>
      </c>
      <c r="D452" s="23" t="n">
        <v>31479.84</v>
      </c>
      <c r="E452" s="23" t="n">
        <v>29280.1254457661</v>
      </c>
      <c r="F452" s="23" t="n">
        <f aca="false">D452-E452</f>
        <v>2199.71455423389</v>
      </c>
      <c r="G452" s="24" t="n">
        <f aca="false">IF(E452&gt;0,D452/E452-1,"")</f>
        <v>0.0751265413226558</v>
      </c>
      <c r="H452" s="3" t="str">
        <f aca="false">IF(MAX(D452,E452)&lt;Parametros!$B$16,"",IF(E452=0,"PIDE SIN FCST",IF(ABS(G452)&gt;Parametros!$B$14,IF(G452&gt;0,"SOBRE FCST","BAJO FCST"),"")))</f>
        <v/>
      </c>
    </row>
    <row r="453" customFormat="false" ht="15" hidden="false" customHeight="false" outlineLevel="0" collapsed="false">
      <c r="A453" s="3" t="n">
        <v>30000353</v>
      </c>
      <c r="B453" s="3" t="s">
        <v>219</v>
      </c>
      <c r="C453" s="3" t="s">
        <v>1379</v>
      </c>
      <c r="D453" s="23" t="n">
        <v>26520</v>
      </c>
      <c r="E453" s="23" t="n">
        <v>28719.5</v>
      </c>
      <c r="F453" s="23" t="n">
        <f aca="false">D453-E453</f>
        <v>-2199.5</v>
      </c>
      <c r="G453" s="24" t="n">
        <f aca="false">IF(E453&gt;0,D453/E453-1,"")</f>
        <v>-0.0765855951531189</v>
      </c>
      <c r="H453" s="3" t="str">
        <f aca="false">IF(MAX(D453,E453)&lt;Parametros!$B$16,"",IF(E453=0,"PIDE SIN FCST",IF(ABS(G453)&gt;Parametros!$B$14,IF(G453&gt;0,"SOBRE FCST","BAJO FCST"),"")))</f>
        <v/>
      </c>
    </row>
    <row r="454" customFormat="false" ht="15" hidden="false" customHeight="false" outlineLevel="0" collapsed="false">
      <c r="A454" s="3" t="n">
        <v>30000115</v>
      </c>
      <c r="B454" s="3" t="s">
        <v>283</v>
      </c>
      <c r="C454" s="3" t="s">
        <v>1379</v>
      </c>
      <c r="D454" s="23" t="n">
        <v>5144</v>
      </c>
      <c r="E454" s="23" t="n">
        <v>2976.49116883096</v>
      </c>
      <c r="F454" s="23" t="n">
        <f aca="false">D454-E454</f>
        <v>2167.50883116905</v>
      </c>
      <c r="G454" s="24" t="n">
        <f aca="false">IF(E454&gt;0,D454/E454-1,"")</f>
        <v>0.728209394291721</v>
      </c>
      <c r="H454" s="3" t="str">
        <f aca="false">IF(MAX(D454,E454)&lt;Parametros!$B$16,"",IF(E454=0,"PIDE SIN FCST",IF(ABS(G454)&gt;Parametros!$B$14,IF(G454&gt;0,"SOBRE FCST","BAJO FCST"),"")))</f>
        <v>SOBRE FCST</v>
      </c>
    </row>
    <row r="455" customFormat="false" ht="15" hidden="false" customHeight="false" outlineLevel="0" collapsed="false">
      <c r="A455" s="3" t="n">
        <v>30001656</v>
      </c>
      <c r="B455" s="3" t="s">
        <v>350</v>
      </c>
      <c r="C455" s="3" t="s">
        <v>1380</v>
      </c>
      <c r="D455" s="23" t="n">
        <v>15163.2</v>
      </c>
      <c r="E455" s="23" t="n">
        <v>13000</v>
      </c>
      <c r="F455" s="23" t="n">
        <f aca="false">D455-E455</f>
        <v>2163.2</v>
      </c>
      <c r="G455" s="24" t="n">
        <f aca="false">IF(E455&gt;0,D455/E455-1,"")</f>
        <v>0.1664</v>
      </c>
      <c r="H455" s="3" t="str">
        <f aca="false">IF(MAX(D455,E455)&lt;Parametros!$B$16,"",IF(E455=0,"PIDE SIN FCST",IF(ABS(G455)&gt;Parametros!$B$14,IF(G455&gt;0,"SOBRE FCST","BAJO FCST"),"")))</f>
        <v/>
      </c>
    </row>
    <row r="456" customFormat="false" ht="15" hidden="false" customHeight="false" outlineLevel="0" collapsed="false">
      <c r="A456" s="3" t="n">
        <v>30001092</v>
      </c>
      <c r="B456" s="3" t="s">
        <v>473</v>
      </c>
      <c r="C456" s="3" t="s">
        <v>1372</v>
      </c>
      <c r="D456" s="23" t="n">
        <v>2152.8</v>
      </c>
      <c r="E456" s="23" t="n">
        <v>4312.87532747868</v>
      </c>
      <c r="F456" s="23" t="n">
        <f aca="false">D456-E456</f>
        <v>-2160.07532747868</v>
      </c>
      <c r="G456" s="24" t="n">
        <f aca="false">IF(E456&gt;0,D456/E456-1,"")</f>
        <v>-0.50084344282251</v>
      </c>
      <c r="H456" s="3" t="str">
        <f aca="false">IF(MAX(D456,E456)&lt;Parametros!$B$16,"",IF(E456=0,"PIDE SIN FCST",IF(ABS(G456)&gt;Parametros!$B$14,IF(G456&gt;0,"SOBRE FCST","BAJO FCST"),"")))</f>
        <v>BAJO FCST</v>
      </c>
    </row>
    <row r="457" customFormat="false" ht="15" hidden="false" customHeight="false" outlineLevel="0" collapsed="false">
      <c r="A457" s="3" t="n">
        <v>30000384</v>
      </c>
      <c r="B457" s="3" t="s">
        <v>262</v>
      </c>
      <c r="C457" s="3" t="s">
        <v>1373</v>
      </c>
      <c r="D457" s="23" t="n">
        <v>3558</v>
      </c>
      <c r="E457" s="23" t="n">
        <v>5703.90416666667</v>
      </c>
      <c r="F457" s="23" t="n">
        <f aca="false">D457-E457</f>
        <v>-2145.90416666667</v>
      </c>
      <c r="G457" s="24" t="n">
        <f aca="false">IF(E457&gt;0,D457/E457-1,"")</f>
        <v>-0.376216728746465</v>
      </c>
      <c r="H457" s="3" t="str">
        <f aca="false">IF(MAX(D457,E457)&lt;Parametros!$B$16,"",IF(E457=0,"PIDE SIN FCST",IF(ABS(G457)&gt;Parametros!$B$14,IF(G457&gt;0,"SOBRE FCST","BAJO FCST"),"")))</f>
        <v>BAJO FCST</v>
      </c>
    </row>
    <row r="458" customFormat="false" ht="15" hidden="false" customHeight="false" outlineLevel="0" collapsed="false">
      <c r="A458" s="3" t="n">
        <v>30001751</v>
      </c>
      <c r="B458" s="3" t="s">
        <v>264</v>
      </c>
      <c r="C458" s="3" t="s">
        <v>1373</v>
      </c>
      <c r="D458" s="23" t="n">
        <v>10141.2</v>
      </c>
      <c r="E458" s="23" t="n">
        <v>8000</v>
      </c>
      <c r="F458" s="23" t="n">
        <f aca="false">D458-E458</f>
        <v>2141.2</v>
      </c>
      <c r="G458" s="24" t="n">
        <f aca="false">IF(E458&gt;0,D458/E458-1,"")</f>
        <v>0.26765</v>
      </c>
      <c r="H458" s="3" t="str">
        <f aca="false">IF(MAX(D458,E458)&lt;Parametros!$B$16,"",IF(E458=0,"PIDE SIN FCST",IF(ABS(G458)&gt;Parametros!$B$14,IF(G458&gt;0,"SOBRE FCST","BAJO FCST"),"")))</f>
        <v>SOBRE FCST</v>
      </c>
    </row>
    <row r="459" customFormat="false" ht="15" hidden="false" customHeight="false" outlineLevel="0" collapsed="false">
      <c r="A459" s="3" t="n">
        <v>30000171</v>
      </c>
      <c r="B459" s="3" t="s">
        <v>502</v>
      </c>
      <c r="C459" s="3" t="s">
        <v>1380</v>
      </c>
      <c r="D459" s="23" t="n">
        <v>4536</v>
      </c>
      <c r="E459" s="23" t="n">
        <v>2400</v>
      </c>
      <c r="F459" s="23" t="n">
        <f aca="false">D459-E459</f>
        <v>2136</v>
      </c>
      <c r="G459" s="24" t="n">
        <f aca="false">IF(E459&gt;0,D459/E459-1,"")</f>
        <v>0.89</v>
      </c>
      <c r="H459" s="3" t="str">
        <f aca="false">IF(MAX(D459,E459)&lt;Parametros!$B$16,"",IF(E459=0,"PIDE SIN FCST",IF(ABS(G459)&gt;Parametros!$B$14,IF(G459&gt;0,"SOBRE FCST","BAJO FCST"),"")))</f>
        <v>SOBRE FCST</v>
      </c>
    </row>
    <row r="460" customFormat="false" ht="15" hidden="false" customHeight="false" outlineLevel="0" collapsed="false">
      <c r="A460" s="3" t="n">
        <v>30001057</v>
      </c>
      <c r="B460" s="3" t="s">
        <v>294</v>
      </c>
      <c r="C460" s="3" t="s">
        <v>1379</v>
      </c>
      <c r="D460" s="23" t="n">
        <v>3827.04</v>
      </c>
      <c r="E460" s="23" t="n">
        <v>5954.23604435341</v>
      </c>
      <c r="F460" s="23" t="n">
        <f aca="false">D460-E460</f>
        <v>-2127.19604435341</v>
      </c>
      <c r="G460" s="24" t="n">
        <f aca="false">IF(E460&gt;0,D460/E460-1,"")</f>
        <v>-0.357257594174604</v>
      </c>
      <c r="H460" s="3" t="str">
        <f aca="false">IF(MAX(D460,E460)&lt;Parametros!$B$16,"",IF(E460=0,"PIDE SIN FCST",IF(ABS(G460)&gt;Parametros!$B$14,IF(G460&gt;0,"SOBRE FCST","BAJO FCST"),"")))</f>
        <v>BAJO FCST</v>
      </c>
    </row>
    <row r="461" customFormat="false" ht="15" hidden="false" customHeight="false" outlineLevel="0" collapsed="false">
      <c r="A461" s="3" t="n">
        <v>30002098</v>
      </c>
      <c r="B461" s="3" t="s">
        <v>427</v>
      </c>
      <c r="C461" s="3" t="s">
        <v>1373</v>
      </c>
      <c r="D461" s="23" t="n">
        <v>2295</v>
      </c>
      <c r="E461" s="23" t="n">
        <v>4417.6875</v>
      </c>
      <c r="F461" s="23" t="n">
        <f aca="false">D461-E461</f>
        <v>-2122.6875</v>
      </c>
      <c r="G461" s="24" t="n">
        <f aca="false">IF(E461&gt;0,D461/E461-1,"")</f>
        <v>-0.480497432197275</v>
      </c>
      <c r="H461" s="3" t="str">
        <f aca="false">IF(MAX(D461,E461)&lt;Parametros!$B$16,"",IF(E461=0,"PIDE SIN FCST",IF(ABS(G461)&gt;Parametros!$B$14,IF(G461&gt;0,"SOBRE FCST","BAJO FCST"),"")))</f>
        <v>BAJO FCST</v>
      </c>
    </row>
    <row r="462" customFormat="false" ht="15" hidden="false" customHeight="false" outlineLevel="0" collapsed="false">
      <c r="A462" s="3" t="n">
        <v>30002200</v>
      </c>
      <c r="B462" s="3" t="s">
        <v>357</v>
      </c>
      <c r="C462" s="3" t="s">
        <v>1380</v>
      </c>
      <c r="D462" s="23" t="n">
        <v>7420.8</v>
      </c>
      <c r="E462" s="23" t="n">
        <v>5300</v>
      </c>
      <c r="F462" s="23" t="n">
        <f aca="false">D462-E462</f>
        <v>2120.8</v>
      </c>
      <c r="G462" s="24" t="n">
        <f aca="false">IF(E462&gt;0,D462/E462-1,"")</f>
        <v>0.400150943396227</v>
      </c>
      <c r="H462" s="3" t="str">
        <f aca="false">IF(MAX(D462,E462)&lt;Parametros!$B$16,"",IF(E462=0,"PIDE SIN FCST",IF(ABS(G462)&gt;Parametros!$B$14,IF(G462&gt;0,"SOBRE FCST","BAJO FCST"),"")))</f>
        <v>SOBRE FCST</v>
      </c>
    </row>
    <row r="463" customFormat="false" ht="15" hidden="false" customHeight="false" outlineLevel="0" collapsed="false">
      <c r="A463" s="3" t="n">
        <v>30000543</v>
      </c>
      <c r="B463" s="3" t="s">
        <v>422</v>
      </c>
      <c r="C463" s="3" t="s">
        <v>1375</v>
      </c>
      <c r="D463" s="23" t="n">
        <v>3090</v>
      </c>
      <c r="E463" s="23" t="n">
        <v>5198.44</v>
      </c>
      <c r="F463" s="23" t="n">
        <f aca="false">D463-E463</f>
        <v>-2108.44</v>
      </c>
      <c r="G463" s="24" t="n">
        <f aca="false">IF(E463&gt;0,D463/E463-1,"")</f>
        <v>-0.405590908041643</v>
      </c>
      <c r="H463" s="3" t="str">
        <f aca="false">IF(MAX(D463,E463)&lt;Parametros!$B$16,"",IF(E463=0,"PIDE SIN FCST",IF(ABS(G463)&gt;Parametros!$B$14,IF(G463&gt;0,"SOBRE FCST","BAJO FCST"),"")))</f>
        <v>BAJO FCST</v>
      </c>
    </row>
    <row r="464" customFormat="false" ht="15" hidden="false" customHeight="false" outlineLevel="0" collapsed="false">
      <c r="A464" s="3" t="n">
        <v>30001767</v>
      </c>
      <c r="B464" s="3" t="s">
        <v>469</v>
      </c>
      <c r="C464" s="3" t="s">
        <v>1372</v>
      </c>
      <c r="D464" s="23" t="n">
        <v>3407.4</v>
      </c>
      <c r="E464" s="23" t="n">
        <v>1300</v>
      </c>
      <c r="F464" s="23" t="n">
        <f aca="false">D464-E464</f>
        <v>2107.4</v>
      </c>
      <c r="G464" s="24" t="n">
        <f aca="false">IF(E464&gt;0,D464/E464-1,"")</f>
        <v>1.62107692307692</v>
      </c>
      <c r="H464" s="3" t="str">
        <f aca="false">IF(MAX(D464,E464)&lt;Parametros!$B$16,"",IF(E464=0,"PIDE SIN FCST",IF(ABS(G464)&gt;Parametros!$B$14,IF(G464&gt;0,"SOBRE FCST","BAJO FCST"),"")))</f>
        <v>SOBRE FCST</v>
      </c>
    </row>
    <row r="465" customFormat="false" ht="15" hidden="false" customHeight="false" outlineLevel="0" collapsed="false">
      <c r="A465" s="3" t="n">
        <v>30000643</v>
      </c>
      <c r="B465" s="3" t="s">
        <v>240</v>
      </c>
      <c r="C465" s="3" t="s">
        <v>1376</v>
      </c>
      <c r="D465" s="23" t="n">
        <v>4104</v>
      </c>
      <c r="E465" s="23" t="n">
        <v>2000</v>
      </c>
      <c r="F465" s="23" t="n">
        <f aca="false">D465-E465</f>
        <v>2104</v>
      </c>
      <c r="G465" s="24" t="n">
        <f aca="false">IF(E465&gt;0,D465/E465-1,"")</f>
        <v>1.052</v>
      </c>
      <c r="H465" s="3" t="str">
        <f aca="false">IF(MAX(D465,E465)&lt;Parametros!$B$16,"",IF(E465=0,"PIDE SIN FCST",IF(ABS(G465)&gt;Parametros!$B$14,IF(G465&gt;0,"SOBRE FCST","BAJO FCST"),"")))</f>
        <v>SOBRE FCST</v>
      </c>
    </row>
    <row r="466" customFormat="false" ht="15" hidden="false" customHeight="false" outlineLevel="0" collapsed="false">
      <c r="A466" s="3" t="n">
        <v>30000306</v>
      </c>
      <c r="B466" s="3" t="s">
        <v>329</v>
      </c>
      <c r="C466" s="3" t="s">
        <v>1380</v>
      </c>
      <c r="D466" s="23" t="n">
        <v>8640</v>
      </c>
      <c r="E466" s="23" t="n">
        <v>6540.1</v>
      </c>
      <c r="F466" s="23" t="n">
        <f aca="false">D466-E466</f>
        <v>2099.9</v>
      </c>
      <c r="G466" s="24" t="n">
        <f aca="false">IF(E466&gt;0,D466/E466-1,"")</f>
        <v>0.321080717420223</v>
      </c>
      <c r="H466" s="3" t="str">
        <f aca="false">IF(MAX(D466,E466)&lt;Parametros!$B$16,"",IF(E466=0,"PIDE SIN FCST",IF(ABS(G466)&gt;Parametros!$B$14,IF(G466&gt;0,"SOBRE FCST","BAJO FCST"),"")))</f>
        <v>SOBRE FCST</v>
      </c>
    </row>
    <row r="467" customFormat="false" ht="15" hidden="false" customHeight="false" outlineLevel="0" collapsed="false">
      <c r="A467" s="3" t="n">
        <v>30000479</v>
      </c>
      <c r="B467" s="3" t="s">
        <v>581</v>
      </c>
      <c r="C467" s="3" t="s">
        <v>1373</v>
      </c>
      <c r="D467" s="23" t="n">
        <v>2808</v>
      </c>
      <c r="E467" s="23" t="n">
        <v>708.166666666667</v>
      </c>
      <c r="F467" s="23" t="n">
        <f aca="false">D467-E467</f>
        <v>2099.83333333333</v>
      </c>
      <c r="G467" s="24" t="n">
        <f aca="false">IF(E467&gt;0,D467/E467-1,"")</f>
        <v>2.96516827488821</v>
      </c>
      <c r="H467" s="3" t="str">
        <f aca="false">IF(MAX(D467,E467)&lt;Parametros!$B$16,"",IF(E467=0,"PIDE SIN FCST",IF(ABS(G467)&gt;Parametros!$B$14,IF(G467&gt;0,"SOBRE FCST","BAJO FCST"),"")))</f>
        <v>SOBRE FCST</v>
      </c>
    </row>
    <row r="468" customFormat="false" ht="15" hidden="false" customHeight="false" outlineLevel="0" collapsed="false">
      <c r="A468" s="3" t="n">
        <v>30002099</v>
      </c>
      <c r="B468" s="3" t="s">
        <v>237</v>
      </c>
      <c r="C468" s="3" t="s">
        <v>1375</v>
      </c>
      <c r="D468" s="23" t="n">
        <v>9042</v>
      </c>
      <c r="E468" s="23" t="n">
        <v>11134.1346985486</v>
      </c>
      <c r="F468" s="23" t="n">
        <f aca="false">D468-E468</f>
        <v>-2092.13469854858</v>
      </c>
      <c r="G468" s="24" t="n">
        <f aca="false">IF(E468&gt;0,D468/E468-1,"")</f>
        <v>-0.187902765252275</v>
      </c>
      <c r="H468" s="3" t="str">
        <f aca="false">IF(MAX(D468,E468)&lt;Parametros!$B$16,"",IF(E468=0,"PIDE SIN FCST",IF(ABS(G468)&gt;Parametros!$B$14,IF(G468&gt;0,"SOBRE FCST","BAJO FCST"),"")))</f>
        <v/>
      </c>
    </row>
    <row r="469" customFormat="false" ht="15" hidden="false" customHeight="false" outlineLevel="0" collapsed="false">
      <c r="A469" s="3" t="n">
        <v>30001747</v>
      </c>
      <c r="B469" s="3" t="s">
        <v>381</v>
      </c>
      <c r="C469" s="3" t="s">
        <v>1373</v>
      </c>
      <c r="D469" s="23" t="n">
        <v>4578.12</v>
      </c>
      <c r="E469" s="23" t="n">
        <v>2500</v>
      </c>
      <c r="F469" s="23" t="n">
        <f aca="false">D469-E469</f>
        <v>2078.12</v>
      </c>
      <c r="G469" s="24" t="n">
        <f aca="false">IF(E469&gt;0,D469/E469-1,"")</f>
        <v>0.831248</v>
      </c>
      <c r="H469" s="3" t="str">
        <f aca="false">IF(MAX(D469,E469)&lt;Parametros!$B$16,"",IF(E469=0,"PIDE SIN FCST",IF(ABS(G469)&gt;Parametros!$B$14,IF(G469&gt;0,"SOBRE FCST","BAJO FCST"),"")))</f>
        <v>SOBRE FCST</v>
      </c>
    </row>
    <row r="470" customFormat="false" ht="15" hidden="false" customHeight="false" outlineLevel="0" collapsed="false">
      <c r="A470" s="3" t="n">
        <v>30001490</v>
      </c>
      <c r="B470" s="3" t="s">
        <v>337</v>
      </c>
      <c r="C470" s="3" t="s">
        <v>1372</v>
      </c>
      <c r="D470" s="23" t="n">
        <v>2072.3</v>
      </c>
      <c r="E470" s="23" t="n">
        <v>0</v>
      </c>
      <c r="F470" s="23" t="n">
        <f aca="false">D470-E470</f>
        <v>2072.3</v>
      </c>
      <c r="G470" s="24" t="str">
        <f aca="false">IF(E470&gt;0,D470/E470-1,"")</f>
        <v/>
      </c>
      <c r="H470" s="3" t="str">
        <f aca="false">IF(MAX(D470,E470)&lt;Parametros!$B$16,"",IF(E470=0,"PIDE SIN FCST",IF(ABS(G470)&gt;Parametros!$B$14,IF(G470&gt;0,"SOBRE FCST","BAJO FCST"),"")))</f>
        <v>PIDE SIN FCST</v>
      </c>
    </row>
    <row r="471" customFormat="false" ht="15" hidden="false" customHeight="false" outlineLevel="0" collapsed="false">
      <c r="A471" s="3" t="n">
        <v>30001598</v>
      </c>
      <c r="B471" s="3" t="s">
        <v>383</v>
      </c>
      <c r="C471" s="3" t="s">
        <v>1378</v>
      </c>
      <c r="D471" s="23" t="n">
        <v>0</v>
      </c>
      <c r="E471" s="23" t="n">
        <v>2060.8</v>
      </c>
      <c r="F471" s="23" t="n">
        <f aca="false">D471-E471</f>
        <v>-2060.8</v>
      </c>
      <c r="G471" s="24" t="n">
        <f aca="false">IF(E471&gt;0,D471/E471-1,"")</f>
        <v>-1</v>
      </c>
      <c r="H471" s="3" t="str">
        <f aca="false">IF(MAX(D471,E471)&lt;Parametros!$B$16,"",IF(E471=0,"PIDE SIN FCST",IF(ABS(G471)&gt;Parametros!$B$14,IF(G471&gt;0,"SOBRE FCST","BAJO FCST"),"")))</f>
        <v>BAJO FCST</v>
      </c>
    </row>
    <row r="472" customFormat="false" ht="15" hidden="false" customHeight="false" outlineLevel="0" collapsed="false">
      <c r="A472" s="3" t="n">
        <v>30000638</v>
      </c>
      <c r="B472" s="3" t="s">
        <v>277</v>
      </c>
      <c r="C472" s="3" t="s">
        <v>1373</v>
      </c>
      <c r="D472" s="23" t="n">
        <v>10025.92</v>
      </c>
      <c r="E472" s="23" t="n">
        <v>12077.92</v>
      </c>
      <c r="F472" s="23" t="n">
        <f aca="false">D472-E472</f>
        <v>-2052</v>
      </c>
      <c r="G472" s="24" t="n">
        <f aca="false">IF(E472&gt;0,D472/E472-1,"")</f>
        <v>-0.169896803423106</v>
      </c>
      <c r="H472" s="3" t="str">
        <f aca="false">IF(MAX(D472,E472)&lt;Parametros!$B$16,"",IF(E472=0,"PIDE SIN FCST",IF(ABS(G472)&gt;Parametros!$B$14,IF(G472&gt;0,"SOBRE FCST","BAJO FCST"),"")))</f>
        <v/>
      </c>
    </row>
    <row r="473" customFormat="false" ht="15" hidden="false" customHeight="false" outlineLevel="0" collapsed="false">
      <c r="A473" s="3" t="n">
        <v>30000629</v>
      </c>
      <c r="B473" s="3" t="s">
        <v>347</v>
      </c>
      <c r="C473" s="3" t="s">
        <v>1378</v>
      </c>
      <c r="D473" s="23" t="n">
        <v>18.24</v>
      </c>
      <c r="E473" s="23" t="n">
        <v>2059.84</v>
      </c>
      <c r="F473" s="23" t="n">
        <f aca="false">D473-E473</f>
        <v>-2041.6</v>
      </c>
      <c r="G473" s="24" t="n">
        <f aca="false">IF(E473&gt;0,D473/E473-1,"")</f>
        <v>-0.991144943296567</v>
      </c>
      <c r="H473" s="3" t="str">
        <f aca="false">IF(MAX(D473,E473)&lt;Parametros!$B$16,"",IF(E473=0,"PIDE SIN FCST",IF(ABS(G473)&gt;Parametros!$B$14,IF(G473&gt;0,"SOBRE FCST","BAJO FCST"),"")))</f>
        <v>BAJO FCST</v>
      </c>
    </row>
    <row r="474" customFormat="false" ht="15" hidden="false" customHeight="false" outlineLevel="0" collapsed="false">
      <c r="A474" s="3" t="n">
        <v>30000481</v>
      </c>
      <c r="B474" s="3" t="s">
        <v>241</v>
      </c>
      <c r="C474" s="3" t="s">
        <v>1378</v>
      </c>
      <c r="D474" s="23" t="n">
        <v>4260</v>
      </c>
      <c r="E474" s="23" t="n">
        <v>6300</v>
      </c>
      <c r="F474" s="23" t="n">
        <f aca="false">D474-E474</f>
        <v>-2040</v>
      </c>
      <c r="G474" s="24" t="n">
        <f aca="false">IF(E474&gt;0,D474/E474-1,"")</f>
        <v>-0.323809523809524</v>
      </c>
      <c r="H474" s="3" t="str">
        <f aca="false">IF(MAX(D474,E474)&lt;Parametros!$B$16,"",IF(E474=0,"PIDE SIN FCST",IF(ABS(G474)&gt;Parametros!$B$14,IF(G474&gt;0,"SOBRE FCST","BAJO FCST"),"")))</f>
        <v>BAJO FCST</v>
      </c>
    </row>
    <row r="475" customFormat="false" ht="15" hidden="false" customHeight="false" outlineLevel="0" collapsed="false">
      <c r="A475" s="3" t="n">
        <v>30002329</v>
      </c>
      <c r="B475" s="3" t="s">
        <v>253</v>
      </c>
      <c r="C475" s="3" t="s">
        <v>1373</v>
      </c>
      <c r="D475" s="23" t="n">
        <v>12630</v>
      </c>
      <c r="E475" s="23" t="n">
        <v>10595.1666666667</v>
      </c>
      <c r="F475" s="23" t="n">
        <f aca="false">D475-E475</f>
        <v>2034.83333333333</v>
      </c>
      <c r="G475" s="24" t="n">
        <f aca="false">IF(E475&gt;0,D475/E475-1,"")</f>
        <v>0.19205298013245</v>
      </c>
      <c r="H475" s="3" t="str">
        <f aca="false">IF(MAX(D475,E475)&lt;Parametros!$B$16,"",IF(E475=0,"PIDE SIN FCST",IF(ABS(G475)&gt;Parametros!$B$14,IF(G475&gt;0,"SOBRE FCST","BAJO FCST"),"")))</f>
        <v/>
      </c>
    </row>
    <row r="476" customFormat="false" ht="15" hidden="false" customHeight="false" outlineLevel="0" collapsed="false">
      <c r="A476" s="3" t="n">
        <v>30002169</v>
      </c>
      <c r="B476" s="3" t="s">
        <v>377</v>
      </c>
      <c r="C476" s="3" t="s">
        <v>1377</v>
      </c>
      <c r="D476" s="23" t="n">
        <v>3758.4</v>
      </c>
      <c r="E476" s="23" t="n">
        <v>1725.15013099147</v>
      </c>
      <c r="F476" s="23" t="n">
        <f aca="false">D476-E476</f>
        <v>2033.24986900853</v>
      </c>
      <c r="G476" s="24" t="n">
        <f aca="false">IF(E476&gt;0,D476/E476-1,"")</f>
        <v>1.17859300039005</v>
      </c>
      <c r="H476" s="3" t="str">
        <f aca="false">IF(MAX(D476,E476)&lt;Parametros!$B$16,"",IF(E476=0,"PIDE SIN FCST",IF(ABS(G476)&gt;Parametros!$B$14,IF(G476&gt;0,"SOBRE FCST","BAJO FCST"),"")))</f>
        <v>SOBRE FCST</v>
      </c>
    </row>
    <row r="477" customFormat="false" ht="15" hidden="false" customHeight="false" outlineLevel="0" collapsed="false">
      <c r="A477" s="3" t="n">
        <v>30001887</v>
      </c>
      <c r="B477" s="3" t="s">
        <v>310</v>
      </c>
      <c r="C477" s="3" t="s">
        <v>1379</v>
      </c>
      <c r="D477" s="23" t="n">
        <v>13032</v>
      </c>
      <c r="E477" s="23" t="n">
        <v>11000</v>
      </c>
      <c r="F477" s="23" t="n">
        <f aca="false">D477-E477</f>
        <v>2032</v>
      </c>
      <c r="G477" s="24" t="n">
        <f aca="false">IF(E477&gt;0,D477/E477-1,"")</f>
        <v>0.184727272727273</v>
      </c>
      <c r="H477" s="3" t="str">
        <f aca="false">IF(MAX(D477,E477)&lt;Parametros!$B$16,"",IF(E477=0,"PIDE SIN FCST",IF(ABS(G477)&gt;Parametros!$B$14,IF(G477&gt;0,"SOBRE FCST","BAJO FCST"),"")))</f>
        <v/>
      </c>
    </row>
    <row r="478" customFormat="false" ht="15" hidden="false" customHeight="false" outlineLevel="0" collapsed="false">
      <c r="A478" s="3" t="n">
        <v>30001598</v>
      </c>
      <c r="B478" s="3" t="s">
        <v>383</v>
      </c>
      <c r="C478" s="3" t="s">
        <v>1380</v>
      </c>
      <c r="D478" s="23" t="n">
        <v>1680</v>
      </c>
      <c r="E478" s="23" t="n">
        <v>3710</v>
      </c>
      <c r="F478" s="23" t="n">
        <f aca="false">D478-E478</f>
        <v>-2030</v>
      </c>
      <c r="G478" s="24" t="n">
        <f aca="false">IF(E478&gt;0,D478/E478-1,"")</f>
        <v>-0.547169811320755</v>
      </c>
      <c r="H478" s="3" t="str">
        <f aca="false">IF(MAX(D478,E478)&lt;Parametros!$B$16,"",IF(E478=0,"PIDE SIN FCST",IF(ABS(G478)&gt;Parametros!$B$14,IF(G478&gt;0,"SOBRE FCST","BAJO FCST"),"")))</f>
        <v>BAJO FCST</v>
      </c>
    </row>
    <row r="479" customFormat="false" ht="15" hidden="false" customHeight="false" outlineLevel="0" collapsed="false">
      <c r="A479" s="3" t="n">
        <v>30000543</v>
      </c>
      <c r="B479" s="3" t="s">
        <v>422</v>
      </c>
      <c r="C479" s="3" t="s">
        <v>1373</v>
      </c>
      <c r="D479" s="23" t="n">
        <v>852</v>
      </c>
      <c r="E479" s="23" t="n">
        <v>2881.63</v>
      </c>
      <c r="F479" s="23" t="n">
        <f aca="false">D479-E479</f>
        <v>-2029.63</v>
      </c>
      <c r="G479" s="24" t="n">
        <f aca="false">IF(E479&gt;0,D479/E479-1,"")</f>
        <v>-0.704334005406662</v>
      </c>
      <c r="H479" s="3" t="str">
        <f aca="false">IF(MAX(D479,E479)&lt;Parametros!$B$16,"",IF(E479=0,"PIDE SIN FCST",IF(ABS(G479)&gt;Parametros!$B$14,IF(G479&gt;0,"SOBRE FCST","BAJO FCST"),"")))</f>
        <v>BAJO FCST</v>
      </c>
    </row>
    <row r="480" customFormat="false" ht="15" hidden="false" customHeight="false" outlineLevel="0" collapsed="false">
      <c r="A480" s="3" t="n">
        <v>30001862</v>
      </c>
      <c r="B480" s="3" t="s">
        <v>239</v>
      </c>
      <c r="C480" s="3" t="s">
        <v>1375</v>
      </c>
      <c r="D480" s="23" t="n">
        <v>4590</v>
      </c>
      <c r="E480" s="23" t="n">
        <v>6618.8677964772</v>
      </c>
      <c r="F480" s="23" t="n">
        <f aca="false">D480-E480</f>
        <v>-2028.8677964772</v>
      </c>
      <c r="G480" s="24" t="n">
        <f aca="false">IF(E480&gt;0,D480/E480-1,"")</f>
        <v>-0.306527922729781</v>
      </c>
      <c r="H480" s="3" t="str">
        <f aca="false">IF(MAX(D480,E480)&lt;Parametros!$B$16,"",IF(E480=0,"PIDE SIN FCST",IF(ABS(G480)&gt;Parametros!$B$14,IF(G480&gt;0,"SOBRE FCST","BAJO FCST"),"")))</f>
        <v>BAJO FCST</v>
      </c>
    </row>
    <row r="481" customFormat="false" ht="15" hidden="false" customHeight="false" outlineLevel="0" collapsed="false">
      <c r="A481" s="3" t="n">
        <v>30001751</v>
      </c>
      <c r="B481" s="3" t="s">
        <v>264</v>
      </c>
      <c r="C481" s="3" t="s">
        <v>1379</v>
      </c>
      <c r="D481" s="23" t="n">
        <v>5022</v>
      </c>
      <c r="E481" s="23" t="n">
        <v>3000</v>
      </c>
      <c r="F481" s="23" t="n">
        <f aca="false">D481-E481</f>
        <v>2022</v>
      </c>
      <c r="G481" s="24" t="n">
        <f aca="false">IF(E481&gt;0,D481/E481-1,"")</f>
        <v>0.674</v>
      </c>
      <c r="H481" s="3" t="str">
        <f aca="false">IF(MAX(D481,E481)&lt;Parametros!$B$16,"",IF(E481=0,"PIDE SIN FCST",IF(ABS(G481)&gt;Parametros!$B$14,IF(G481&gt;0,"SOBRE FCST","BAJO FCST"),"")))</f>
        <v>SOBRE FCST</v>
      </c>
    </row>
    <row r="482" customFormat="false" ht="15" hidden="false" customHeight="false" outlineLevel="0" collapsed="false">
      <c r="A482" s="3" t="n">
        <v>30000334</v>
      </c>
      <c r="B482" s="3" t="s">
        <v>447</v>
      </c>
      <c r="C482" s="3" t="s">
        <v>1373</v>
      </c>
      <c r="D482" s="23" t="n">
        <v>11412</v>
      </c>
      <c r="E482" s="23" t="n">
        <v>9391.31666666667</v>
      </c>
      <c r="F482" s="23" t="n">
        <f aca="false">D482-E482</f>
        <v>2020.68333333333</v>
      </c>
      <c r="G482" s="24" t="n">
        <f aca="false">IF(E482&gt;0,D482/E482-1,"")</f>
        <v>0.215165072700136</v>
      </c>
      <c r="H482" s="3" t="str">
        <f aca="false">IF(MAX(D482,E482)&lt;Parametros!$B$16,"",IF(E482=0,"PIDE SIN FCST",IF(ABS(G482)&gt;Parametros!$B$14,IF(G482&gt;0,"SOBRE FCST","BAJO FCST"),"")))</f>
        <v>SOBRE FCST</v>
      </c>
    </row>
    <row r="483" customFormat="false" ht="15" hidden="false" customHeight="false" outlineLevel="0" collapsed="false">
      <c r="A483" s="3" t="n">
        <v>30001047</v>
      </c>
      <c r="B483" s="3" t="s">
        <v>374</v>
      </c>
      <c r="C483" s="3" t="s">
        <v>1378</v>
      </c>
      <c r="D483" s="23" t="n">
        <v>2445.12</v>
      </c>
      <c r="E483" s="23" t="n">
        <v>431.287532747868</v>
      </c>
      <c r="F483" s="23" t="n">
        <f aca="false">D483-E483</f>
        <v>2013.83246725213</v>
      </c>
      <c r="G483" s="24" t="n">
        <f aca="false">IF(E483&gt;0,D483/E483-1,"")</f>
        <v>4.66935006078514</v>
      </c>
      <c r="H483" s="3" t="str">
        <f aca="false">IF(MAX(D483,E483)&lt;Parametros!$B$16,"",IF(E483=0,"PIDE SIN FCST",IF(ABS(G483)&gt;Parametros!$B$14,IF(G483&gt;0,"SOBRE FCST","BAJO FCST"),"")))</f>
        <v>SOBRE FCST</v>
      </c>
    </row>
    <row r="484" customFormat="false" ht="15" hidden="false" customHeight="false" outlineLevel="0" collapsed="false">
      <c r="A484" s="3" t="n">
        <v>30001041</v>
      </c>
      <c r="B484" s="3" t="s">
        <v>258</v>
      </c>
      <c r="C484" s="3" t="s">
        <v>1376</v>
      </c>
      <c r="D484" s="23" t="n">
        <v>8791.2</v>
      </c>
      <c r="E484" s="23" t="n">
        <v>6778.30169471581</v>
      </c>
      <c r="F484" s="23" t="n">
        <f aca="false">D484-E484</f>
        <v>2012.89830528419</v>
      </c>
      <c r="G484" s="24" t="n">
        <f aca="false">IF(E484&gt;0,D484/E484-1,"")</f>
        <v>0.296962040927361</v>
      </c>
      <c r="H484" s="3" t="str">
        <f aca="false">IF(MAX(D484,E484)&lt;Parametros!$B$16,"",IF(E484=0,"PIDE SIN FCST",IF(ABS(G484)&gt;Parametros!$B$14,IF(G484&gt;0,"SOBRE FCST","BAJO FCST"),"")))</f>
        <v>SOBRE FCST</v>
      </c>
    </row>
    <row r="485" customFormat="false" ht="15" hidden="false" customHeight="false" outlineLevel="0" collapsed="false">
      <c r="A485" s="3" t="n">
        <v>30000660</v>
      </c>
      <c r="B485" s="3" t="s">
        <v>388</v>
      </c>
      <c r="C485" s="3" t="s">
        <v>1375</v>
      </c>
      <c r="D485" s="23" t="n">
        <v>5913.6</v>
      </c>
      <c r="E485" s="23" t="n">
        <v>7920.0199297754</v>
      </c>
      <c r="F485" s="23" t="n">
        <f aca="false">D485-E485</f>
        <v>-2006.4199297754</v>
      </c>
      <c r="G485" s="24" t="n">
        <f aca="false">IF(E485&gt;0,D485/E485-1,"")</f>
        <v>-0.25333521222999</v>
      </c>
      <c r="H485" s="3" t="str">
        <f aca="false">IF(MAX(D485,E485)&lt;Parametros!$B$16,"",IF(E485=0,"PIDE SIN FCST",IF(ABS(G485)&gt;Parametros!$B$14,IF(G485&gt;0,"SOBRE FCST","BAJO FCST"),"")))</f>
        <v>BAJO FCST</v>
      </c>
    </row>
    <row r="486" customFormat="false" ht="15" hidden="false" customHeight="false" outlineLevel="0" collapsed="false">
      <c r="A486" s="3" t="n">
        <v>30001086</v>
      </c>
      <c r="B486" s="3" t="s">
        <v>223</v>
      </c>
      <c r="C486" s="3" t="s">
        <v>1376</v>
      </c>
      <c r="D486" s="23" t="n">
        <v>3758.4</v>
      </c>
      <c r="E486" s="23" t="n">
        <v>1753.61725428149</v>
      </c>
      <c r="F486" s="23" t="n">
        <f aca="false">D486-E486</f>
        <v>2004.78274571851</v>
      </c>
      <c r="G486" s="24" t="n">
        <f aca="false">IF(E486&gt;0,D486/E486-1,"")</f>
        <v>1.1432270872243</v>
      </c>
      <c r="H486" s="3" t="str">
        <f aca="false">IF(MAX(D486,E486)&lt;Parametros!$B$16,"",IF(E486=0,"PIDE SIN FCST",IF(ABS(G486)&gt;Parametros!$B$14,IF(G486&gt;0,"SOBRE FCST","BAJO FCST"),"")))</f>
        <v>SOBRE FCST</v>
      </c>
    </row>
    <row r="487" customFormat="false" ht="15" hidden="false" customHeight="false" outlineLevel="0" collapsed="false">
      <c r="A487" s="3" t="n">
        <v>30002288</v>
      </c>
      <c r="B487" s="3" t="s">
        <v>455</v>
      </c>
      <c r="C487" s="3" t="s">
        <v>1380</v>
      </c>
      <c r="D487" s="23" t="n">
        <v>4895.52</v>
      </c>
      <c r="E487" s="23" t="n">
        <v>6897.00376550074</v>
      </c>
      <c r="F487" s="23" t="n">
        <f aca="false">D487-E487</f>
        <v>-2001.48376550074</v>
      </c>
      <c r="G487" s="24" t="n">
        <f aca="false">IF(E487&gt;0,D487/E487-1,"")</f>
        <v>-0.290196124803105</v>
      </c>
      <c r="H487" s="3" t="str">
        <f aca="false">IF(MAX(D487,E487)&lt;Parametros!$B$16,"",IF(E487=0,"PIDE SIN FCST",IF(ABS(G487)&gt;Parametros!$B$14,IF(G487&gt;0,"SOBRE FCST","BAJO FCST"),"")))</f>
        <v>BAJO FCST</v>
      </c>
    </row>
    <row r="488" customFormat="false" ht="15" hidden="false" customHeight="false" outlineLevel="0" collapsed="false">
      <c r="A488" s="3" t="n">
        <v>30001923</v>
      </c>
      <c r="B488" s="3" t="s">
        <v>346</v>
      </c>
      <c r="C488" s="3" t="s">
        <v>1378</v>
      </c>
      <c r="D488" s="23" t="n">
        <v>5676</v>
      </c>
      <c r="E488" s="23" t="n">
        <v>7664</v>
      </c>
      <c r="F488" s="23" t="n">
        <f aca="false">D488-E488</f>
        <v>-1988</v>
      </c>
      <c r="G488" s="24" t="n">
        <f aca="false">IF(E488&gt;0,D488/E488-1,"")</f>
        <v>-0.259394572025052</v>
      </c>
      <c r="H488" s="3" t="str">
        <f aca="false">IF(MAX(D488,E488)&lt;Parametros!$B$16,"",IF(E488=0,"PIDE SIN FCST",IF(ABS(G488)&gt;Parametros!$B$14,IF(G488&gt;0,"SOBRE FCST","BAJO FCST"),"")))</f>
        <v>BAJO FCST</v>
      </c>
    </row>
    <row r="489" customFormat="false" ht="15" hidden="false" customHeight="false" outlineLevel="0" collapsed="false">
      <c r="A489" s="3" t="n">
        <v>30002177</v>
      </c>
      <c r="B489" s="3" t="s">
        <v>285</v>
      </c>
      <c r="C489" s="3" t="s">
        <v>1375</v>
      </c>
      <c r="D489" s="23" t="n">
        <v>2806</v>
      </c>
      <c r="E489" s="23" t="n">
        <v>820</v>
      </c>
      <c r="F489" s="23" t="n">
        <f aca="false">D489-E489</f>
        <v>1986</v>
      </c>
      <c r="G489" s="24" t="n">
        <f aca="false">IF(E489&gt;0,D489/E489-1,"")</f>
        <v>2.4219512195122</v>
      </c>
      <c r="H489" s="3" t="str">
        <f aca="false">IF(MAX(D489,E489)&lt;Parametros!$B$16,"",IF(E489=0,"PIDE SIN FCST",IF(ABS(G489)&gt;Parametros!$B$14,IF(G489&gt;0,"SOBRE FCST","BAJO FCST"),"")))</f>
        <v>SOBRE FCST</v>
      </c>
    </row>
    <row r="490" customFormat="false" ht="15" hidden="false" customHeight="false" outlineLevel="0" collapsed="false">
      <c r="A490" s="3" t="n">
        <v>30002255</v>
      </c>
      <c r="B490" s="3" t="s">
        <v>538</v>
      </c>
      <c r="C490" s="3" t="s">
        <v>1375</v>
      </c>
      <c r="D490" s="23" t="n">
        <v>3163.65</v>
      </c>
      <c r="E490" s="23" t="n">
        <v>1179.28644806754</v>
      </c>
      <c r="F490" s="23" t="n">
        <f aca="false">D490-E490</f>
        <v>1984.36355193246</v>
      </c>
      <c r="G490" s="24" t="n">
        <f aca="false">IF(E490&gt;0,D490/E490-1,"")</f>
        <v>1.68268155305624</v>
      </c>
      <c r="H490" s="3" t="str">
        <f aca="false">IF(MAX(D490,E490)&lt;Parametros!$B$16,"",IF(E490=0,"PIDE SIN FCST",IF(ABS(G490)&gt;Parametros!$B$14,IF(G490&gt;0,"SOBRE FCST","BAJO FCST"),"")))</f>
        <v>SOBRE FCST</v>
      </c>
    </row>
    <row r="491" customFormat="false" ht="15" hidden="false" customHeight="false" outlineLevel="0" collapsed="false">
      <c r="A491" s="3" t="n">
        <v>30002093</v>
      </c>
      <c r="B491" s="3" t="s">
        <v>488</v>
      </c>
      <c r="C491" s="3" t="s">
        <v>1373</v>
      </c>
      <c r="D491" s="23" t="n">
        <v>3133.152</v>
      </c>
      <c r="E491" s="23" t="n">
        <v>1150.10008732765</v>
      </c>
      <c r="F491" s="23" t="n">
        <f aca="false">D491-E491</f>
        <v>1983.05191267235</v>
      </c>
      <c r="G491" s="24" t="n">
        <f aca="false">IF(E491&gt;0,D491/E491-1,"")</f>
        <v>1.72424290244176</v>
      </c>
      <c r="H491" s="3" t="str">
        <f aca="false">IF(MAX(D491,E491)&lt;Parametros!$B$16,"",IF(E491=0,"PIDE SIN FCST",IF(ABS(G491)&gt;Parametros!$B$14,IF(G491&gt;0,"SOBRE FCST","BAJO FCST"),"")))</f>
        <v>SOBRE FCST</v>
      </c>
    </row>
    <row r="492" customFormat="false" ht="15" hidden="false" customHeight="false" outlineLevel="0" collapsed="false">
      <c r="A492" s="3" t="n">
        <v>30000086</v>
      </c>
      <c r="B492" s="3" t="s">
        <v>508</v>
      </c>
      <c r="C492" s="3" t="s">
        <v>1375</v>
      </c>
      <c r="D492" s="23" t="n">
        <v>4566</v>
      </c>
      <c r="E492" s="23" t="n">
        <v>2587.72519648721</v>
      </c>
      <c r="F492" s="23" t="n">
        <f aca="false">D492-E492</f>
        <v>1978.27480351279</v>
      </c>
      <c r="G492" s="24" t="n">
        <f aca="false">IF(E492&gt;0,D492/E492-1,"")</f>
        <v>0.764484113768442</v>
      </c>
      <c r="H492" s="3" t="str">
        <f aca="false">IF(MAX(D492,E492)&lt;Parametros!$B$16,"",IF(E492=0,"PIDE SIN FCST",IF(ABS(G492)&gt;Parametros!$B$14,IF(G492&gt;0,"SOBRE FCST","BAJO FCST"),"")))</f>
        <v>SOBRE FCST</v>
      </c>
    </row>
    <row r="493" customFormat="false" ht="15" hidden="false" customHeight="false" outlineLevel="0" collapsed="false">
      <c r="A493" s="3" t="n">
        <v>30001401</v>
      </c>
      <c r="B493" s="3" t="s">
        <v>304</v>
      </c>
      <c r="C493" s="3" t="s">
        <v>1380</v>
      </c>
      <c r="D493" s="23" t="n">
        <v>9525.6</v>
      </c>
      <c r="E493" s="23" t="n">
        <v>11485.0188275037</v>
      </c>
      <c r="F493" s="23" t="n">
        <f aca="false">D493-E493</f>
        <v>-1959.4188275037</v>
      </c>
      <c r="G493" s="24" t="n">
        <f aca="false">IF(E493&gt;0,D493/E493-1,"")</f>
        <v>-0.170606496770505</v>
      </c>
      <c r="H493" s="3" t="str">
        <f aca="false">IF(MAX(D493,E493)&lt;Parametros!$B$16,"",IF(E493=0,"PIDE SIN FCST",IF(ABS(G493)&gt;Parametros!$B$14,IF(G493&gt;0,"SOBRE FCST","BAJO FCST"),"")))</f>
        <v/>
      </c>
    </row>
    <row r="494" customFormat="false" ht="15" hidden="false" customHeight="false" outlineLevel="0" collapsed="false">
      <c r="A494" s="3" t="n">
        <v>30000306</v>
      </c>
      <c r="B494" s="3" t="s">
        <v>329</v>
      </c>
      <c r="C494" s="3" t="s">
        <v>1376</v>
      </c>
      <c r="D494" s="23" t="n">
        <v>1500</v>
      </c>
      <c r="E494" s="23" t="n">
        <v>3456</v>
      </c>
      <c r="F494" s="23" t="n">
        <f aca="false">D494-E494</f>
        <v>-1956</v>
      </c>
      <c r="G494" s="24" t="n">
        <f aca="false">IF(E494&gt;0,D494/E494-1,"")</f>
        <v>-0.565972222222222</v>
      </c>
      <c r="H494" s="3" t="str">
        <f aca="false">IF(MAX(D494,E494)&lt;Parametros!$B$16,"",IF(E494=0,"PIDE SIN FCST",IF(ABS(G494)&gt;Parametros!$B$14,IF(G494&gt;0,"SOBRE FCST","BAJO FCST"),"")))</f>
        <v>BAJO FCST</v>
      </c>
    </row>
    <row r="495" customFormat="false" ht="15" hidden="false" customHeight="false" outlineLevel="0" collapsed="false">
      <c r="A495" s="3" t="n">
        <v>30002078</v>
      </c>
      <c r="B495" s="3" t="s">
        <v>339</v>
      </c>
      <c r="C495" s="3" t="s">
        <v>1375</v>
      </c>
      <c r="D495" s="23" t="n">
        <v>4044</v>
      </c>
      <c r="E495" s="23" t="n">
        <v>6000</v>
      </c>
      <c r="F495" s="23" t="n">
        <f aca="false">D495-E495</f>
        <v>-1956</v>
      </c>
      <c r="G495" s="24" t="n">
        <f aca="false">IF(E495&gt;0,D495/E495-1,"")</f>
        <v>-0.326</v>
      </c>
      <c r="H495" s="3" t="str">
        <f aca="false">IF(MAX(D495,E495)&lt;Parametros!$B$16,"",IF(E495=0,"PIDE SIN FCST",IF(ABS(G495)&gt;Parametros!$B$14,IF(G495&gt;0,"SOBRE FCST","BAJO FCST"),"")))</f>
        <v>BAJO FCST</v>
      </c>
    </row>
    <row r="496" customFormat="false" ht="15" hidden="false" customHeight="false" outlineLevel="0" collapsed="false">
      <c r="A496" s="3" t="n">
        <v>30001056</v>
      </c>
      <c r="B496" s="3" t="s">
        <v>259</v>
      </c>
      <c r="C496" s="3" t="s">
        <v>1379</v>
      </c>
      <c r="D496" s="23" t="n">
        <v>10053.12</v>
      </c>
      <c r="E496" s="23" t="n">
        <v>8098.87935754137</v>
      </c>
      <c r="F496" s="23" t="n">
        <f aca="false">D496-E496</f>
        <v>1954.24064245863</v>
      </c>
      <c r="G496" s="24" t="n">
        <f aca="false">IF(E496&gt;0,D496/E496-1,"")</f>
        <v>0.24129766060028</v>
      </c>
      <c r="H496" s="3" t="str">
        <f aca="false">IF(MAX(D496,E496)&lt;Parametros!$B$16,"",IF(E496=0,"PIDE SIN FCST",IF(ABS(G496)&gt;Parametros!$B$14,IF(G496&gt;0,"SOBRE FCST","BAJO FCST"),"")))</f>
        <v>SOBRE FCST</v>
      </c>
    </row>
    <row r="497" customFormat="false" ht="15" hidden="false" customHeight="false" outlineLevel="0" collapsed="false">
      <c r="A497" s="3" t="n">
        <v>30001404</v>
      </c>
      <c r="B497" s="3" t="s">
        <v>305</v>
      </c>
      <c r="C497" s="3" t="s">
        <v>1380</v>
      </c>
      <c r="D497" s="23" t="n">
        <v>12051</v>
      </c>
      <c r="E497" s="23" t="n">
        <v>10100</v>
      </c>
      <c r="F497" s="23" t="n">
        <f aca="false">D497-E497</f>
        <v>1951</v>
      </c>
      <c r="G497" s="24" t="n">
        <f aca="false">IF(E497&gt;0,D497/E497-1,"")</f>
        <v>0.193168316831683</v>
      </c>
      <c r="H497" s="3" t="str">
        <f aca="false">IF(MAX(D497,E497)&lt;Parametros!$B$16,"",IF(E497=0,"PIDE SIN FCST",IF(ABS(G497)&gt;Parametros!$B$14,IF(G497&gt;0,"SOBRE FCST","BAJO FCST"),"")))</f>
        <v/>
      </c>
    </row>
    <row r="498" customFormat="false" ht="15" hidden="false" customHeight="false" outlineLevel="0" collapsed="false">
      <c r="A498" s="3" t="n">
        <v>30000658</v>
      </c>
      <c r="B498" s="3" t="s">
        <v>322</v>
      </c>
      <c r="C498" s="3" t="s">
        <v>1380</v>
      </c>
      <c r="D498" s="23" t="n">
        <v>10113.6</v>
      </c>
      <c r="E498" s="23" t="n">
        <v>12059.8292482405</v>
      </c>
      <c r="F498" s="23" t="n">
        <f aca="false">D498-E498</f>
        <v>-1946.22924824047</v>
      </c>
      <c r="G498" s="24" t="n">
        <f aca="false">IF(E498&gt;0,D498/E498-1,"")</f>
        <v>-0.16138116122369</v>
      </c>
      <c r="H498" s="3" t="str">
        <f aca="false">IF(MAX(D498,E498)&lt;Parametros!$B$16,"",IF(E498=0,"PIDE SIN FCST",IF(ABS(G498)&gt;Parametros!$B$14,IF(G498&gt;0,"SOBRE FCST","BAJO FCST"),"")))</f>
        <v/>
      </c>
    </row>
    <row r="499" customFormat="false" ht="15" hidden="false" customHeight="false" outlineLevel="0" collapsed="false">
      <c r="A499" s="3" t="n">
        <v>30001080</v>
      </c>
      <c r="B499" s="3" t="s">
        <v>278</v>
      </c>
      <c r="C499" s="3" t="s">
        <v>1378</v>
      </c>
      <c r="D499" s="23" t="n">
        <v>3521.76</v>
      </c>
      <c r="E499" s="23" t="n">
        <v>1577.50326845027</v>
      </c>
      <c r="F499" s="23" t="n">
        <f aca="false">D499-E499</f>
        <v>1944.25673154973</v>
      </c>
      <c r="G499" s="24" t="n">
        <f aca="false">IF(E499&gt;0,D499/E499-1,"")</f>
        <v>1.23248982771349</v>
      </c>
      <c r="H499" s="3" t="str">
        <f aca="false">IF(MAX(D499,E499)&lt;Parametros!$B$16,"",IF(E499=0,"PIDE SIN FCST",IF(ABS(G499)&gt;Parametros!$B$14,IF(G499&gt;0,"SOBRE FCST","BAJO FCST"),"")))</f>
        <v>SOBRE FCST</v>
      </c>
    </row>
    <row r="500" customFormat="false" ht="15" hidden="false" customHeight="false" outlineLevel="0" collapsed="false">
      <c r="A500" s="3" t="n">
        <v>30001598</v>
      </c>
      <c r="B500" s="3" t="s">
        <v>383</v>
      </c>
      <c r="C500" s="3" t="s">
        <v>1375</v>
      </c>
      <c r="D500" s="23" t="n">
        <v>1360</v>
      </c>
      <c r="E500" s="23" t="n">
        <v>3300</v>
      </c>
      <c r="F500" s="23" t="n">
        <f aca="false">D500-E500</f>
        <v>-1940</v>
      </c>
      <c r="G500" s="24" t="n">
        <f aca="false">IF(E500&gt;0,D500/E500-1,"")</f>
        <v>-0.587878787878788</v>
      </c>
      <c r="H500" s="3" t="str">
        <f aca="false">IF(MAX(D500,E500)&lt;Parametros!$B$16,"",IF(E500=0,"PIDE SIN FCST",IF(ABS(G500)&gt;Parametros!$B$14,IF(G500&gt;0,"SOBRE FCST","BAJO FCST"),"")))</f>
        <v>BAJO FCST</v>
      </c>
    </row>
    <row r="501" customFormat="false" ht="15" hidden="false" customHeight="false" outlineLevel="0" collapsed="false">
      <c r="A501" s="3" t="n">
        <v>30001750</v>
      </c>
      <c r="B501" s="3" t="s">
        <v>298</v>
      </c>
      <c r="C501" s="3" t="s">
        <v>1380</v>
      </c>
      <c r="D501" s="23" t="n">
        <v>17960.4</v>
      </c>
      <c r="E501" s="23" t="n">
        <v>19900</v>
      </c>
      <c r="F501" s="23" t="n">
        <f aca="false">D501-E501</f>
        <v>-1939.6</v>
      </c>
      <c r="G501" s="24" t="n">
        <f aca="false">IF(E501&gt;0,D501/E501-1,"")</f>
        <v>-0.097467336683417</v>
      </c>
      <c r="H501" s="3" t="str">
        <f aca="false">IF(MAX(D501,E501)&lt;Parametros!$B$16,"",IF(E501=0,"PIDE SIN FCST",IF(ABS(G501)&gt;Parametros!$B$14,IF(G501&gt;0,"SOBRE FCST","BAJO FCST"),"")))</f>
        <v/>
      </c>
    </row>
    <row r="502" customFormat="false" ht="15" hidden="false" customHeight="false" outlineLevel="0" collapsed="false">
      <c r="A502" s="3" t="n">
        <v>30000192</v>
      </c>
      <c r="B502" s="3" t="s">
        <v>311</v>
      </c>
      <c r="C502" s="3" t="s">
        <v>1373</v>
      </c>
      <c r="D502" s="23" t="n">
        <v>9486</v>
      </c>
      <c r="E502" s="23" t="n">
        <v>11412</v>
      </c>
      <c r="F502" s="23" t="n">
        <f aca="false">D502-E502</f>
        <v>-1926</v>
      </c>
      <c r="G502" s="24" t="n">
        <f aca="false">IF(E502&gt;0,D502/E502-1,"")</f>
        <v>-0.168769716088328</v>
      </c>
      <c r="H502" s="3" t="str">
        <f aca="false">IF(MAX(D502,E502)&lt;Parametros!$B$16,"",IF(E502=0,"PIDE SIN FCST",IF(ABS(G502)&gt;Parametros!$B$14,IF(G502&gt;0,"SOBRE FCST","BAJO FCST"),"")))</f>
        <v/>
      </c>
    </row>
    <row r="503" customFormat="false" ht="15" hidden="false" customHeight="false" outlineLevel="0" collapsed="false">
      <c r="A503" s="3" t="n">
        <v>30000254</v>
      </c>
      <c r="B503" s="3" t="s">
        <v>272</v>
      </c>
      <c r="C503" s="3" t="s">
        <v>1379</v>
      </c>
      <c r="D503" s="23" t="n">
        <v>2880</v>
      </c>
      <c r="E503" s="23" t="n">
        <v>4805.9456</v>
      </c>
      <c r="F503" s="23" t="n">
        <f aca="false">D503-E503</f>
        <v>-1925.9456</v>
      </c>
      <c r="G503" s="24" t="n">
        <f aca="false">IF(E503&gt;0,D503/E503-1,"")</f>
        <v>-0.400742280561811</v>
      </c>
      <c r="H503" s="3" t="str">
        <f aca="false">IF(MAX(D503,E503)&lt;Parametros!$B$16,"",IF(E503=0,"PIDE SIN FCST",IF(ABS(G503)&gt;Parametros!$B$14,IF(G503&gt;0,"SOBRE FCST","BAJO FCST"),"")))</f>
        <v>BAJO FCST</v>
      </c>
    </row>
    <row r="504" customFormat="false" ht="15" hidden="false" customHeight="false" outlineLevel="0" collapsed="false">
      <c r="A504" s="3" t="n">
        <v>30001756</v>
      </c>
      <c r="B504" s="3" t="s">
        <v>371</v>
      </c>
      <c r="C504" s="3" t="s">
        <v>1373</v>
      </c>
      <c r="D504" s="23" t="n">
        <v>19423.8</v>
      </c>
      <c r="E504" s="23" t="n">
        <v>17500</v>
      </c>
      <c r="F504" s="23" t="n">
        <f aca="false">D504-E504</f>
        <v>1923.8</v>
      </c>
      <c r="G504" s="24" t="n">
        <f aca="false">IF(E504&gt;0,D504/E504-1,"")</f>
        <v>0.109931428571429</v>
      </c>
      <c r="H504" s="3" t="str">
        <f aca="false">IF(MAX(D504,E504)&lt;Parametros!$B$16,"",IF(E504=0,"PIDE SIN FCST",IF(ABS(G504)&gt;Parametros!$B$14,IF(G504&gt;0,"SOBRE FCST","BAJO FCST"),"")))</f>
        <v/>
      </c>
    </row>
    <row r="505" customFormat="false" ht="15" hidden="false" customHeight="false" outlineLevel="0" collapsed="false">
      <c r="A505" s="3" t="n">
        <v>30001976</v>
      </c>
      <c r="B505" s="3" t="s">
        <v>432</v>
      </c>
      <c r="C505" s="3" t="s">
        <v>1380</v>
      </c>
      <c r="D505" s="23" t="n">
        <v>5580</v>
      </c>
      <c r="E505" s="23" t="n">
        <v>3660</v>
      </c>
      <c r="F505" s="23" t="n">
        <f aca="false">D505-E505</f>
        <v>1920</v>
      </c>
      <c r="G505" s="24" t="n">
        <f aca="false">IF(E505&gt;0,D505/E505-1,"")</f>
        <v>0.524590163934426</v>
      </c>
      <c r="H505" s="3" t="str">
        <f aca="false">IF(MAX(D505,E505)&lt;Parametros!$B$16,"",IF(E505=0,"PIDE SIN FCST",IF(ABS(G505)&gt;Parametros!$B$14,IF(G505&gt;0,"SOBRE FCST","BAJO FCST"),"")))</f>
        <v>SOBRE FCST</v>
      </c>
    </row>
    <row r="506" customFormat="false" ht="15" hidden="false" customHeight="false" outlineLevel="0" collapsed="false">
      <c r="A506" s="3" t="n">
        <v>30001506</v>
      </c>
      <c r="B506" s="3" t="s">
        <v>352</v>
      </c>
      <c r="C506" s="3" t="s">
        <v>1380</v>
      </c>
      <c r="D506" s="23" t="n">
        <v>4416</v>
      </c>
      <c r="E506" s="23" t="n">
        <v>2505.27728912593</v>
      </c>
      <c r="F506" s="23" t="n">
        <f aca="false">D506-E506</f>
        <v>1910.72271087407</v>
      </c>
      <c r="G506" s="24" t="n">
        <f aca="false">IF(E506&gt;0,D506/E506-1,"")</f>
        <v>0.762679133031497</v>
      </c>
      <c r="H506" s="3" t="str">
        <f aca="false">IF(MAX(D506,E506)&lt;Parametros!$B$16,"",IF(E506=0,"PIDE SIN FCST",IF(ABS(G506)&gt;Parametros!$B$14,IF(G506&gt;0,"SOBRE FCST","BAJO FCST"),"")))</f>
        <v>SOBRE FCST</v>
      </c>
    </row>
    <row r="507" customFormat="false" ht="15" hidden="false" customHeight="false" outlineLevel="0" collapsed="false">
      <c r="A507" s="3" t="n">
        <v>30000658</v>
      </c>
      <c r="B507" s="3" t="s">
        <v>322</v>
      </c>
      <c r="C507" s="3" t="s">
        <v>1378</v>
      </c>
      <c r="D507" s="23" t="n">
        <v>576</v>
      </c>
      <c r="E507" s="23" t="n">
        <v>2484.56571464474</v>
      </c>
      <c r="F507" s="23" t="n">
        <f aca="false">D507-E507</f>
        <v>-1908.56571464474</v>
      </c>
      <c r="G507" s="24" t="n">
        <f aca="false">IF(E507&gt;0,D507/E507-1,"")</f>
        <v>-0.768168740072001</v>
      </c>
      <c r="H507" s="3" t="str">
        <f aca="false">IF(MAX(D507,E507)&lt;Parametros!$B$16,"",IF(E507=0,"PIDE SIN FCST",IF(ABS(G507)&gt;Parametros!$B$14,IF(G507&gt;0,"SOBRE FCST","BAJO FCST"),"")))</f>
        <v>BAJO FCST</v>
      </c>
    </row>
    <row r="508" customFormat="false" ht="15" hidden="false" customHeight="false" outlineLevel="0" collapsed="false">
      <c r="A508" s="3" t="n">
        <v>30001074</v>
      </c>
      <c r="B508" s="3" t="s">
        <v>256</v>
      </c>
      <c r="C508" s="3" t="s">
        <v>1375</v>
      </c>
      <c r="D508" s="23" t="n">
        <v>21357.6</v>
      </c>
      <c r="E508" s="23" t="n">
        <v>19451.3168733837</v>
      </c>
      <c r="F508" s="23" t="n">
        <f aca="false">D508-E508</f>
        <v>1906.28312661632</v>
      </c>
      <c r="G508" s="24" t="n">
        <f aca="false">IF(E508&gt;0,D508/E508-1,"")</f>
        <v>0.0980027799158829</v>
      </c>
      <c r="H508" s="3" t="str">
        <f aca="false">IF(MAX(D508,E508)&lt;Parametros!$B$16,"",IF(E508=0,"PIDE SIN FCST",IF(ABS(G508)&gt;Parametros!$B$14,IF(G508&gt;0,"SOBRE FCST","BAJO FCST"),"")))</f>
        <v/>
      </c>
    </row>
    <row r="509" customFormat="false" ht="15" hidden="false" customHeight="false" outlineLevel="0" collapsed="false">
      <c r="A509" s="3" t="n">
        <v>30001405</v>
      </c>
      <c r="B509" s="3" t="s">
        <v>386</v>
      </c>
      <c r="C509" s="3" t="s">
        <v>1380</v>
      </c>
      <c r="D509" s="23" t="n">
        <v>9072</v>
      </c>
      <c r="E509" s="23" t="n">
        <v>7181.54829379592</v>
      </c>
      <c r="F509" s="23" t="n">
        <f aca="false">D509-E509</f>
        <v>1890.45170620408</v>
      </c>
      <c r="G509" s="24" t="n">
        <f aca="false">IF(E509&gt;0,D509/E509-1,"")</f>
        <v>0.263237345049566</v>
      </c>
      <c r="H509" s="3" t="str">
        <f aca="false">IF(MAX(D509,E509)&lt;Parametros!$B$16,"",IF(E509=0,"PIDE SIN FCST",IF(ABS(G509)&gt;Parametros!$B$14,IF(G509&gt;0,"SOBRE FCST","BAJO FCST"),"")))</f>
        <v>SOBRE FCST</v>
      </c>
    </row>
    <row r="510" customFormat="false" ht="15" hidden="false" customHeight="false" outlineLevel="0" collapsed="false">
      <c r="A510" s="3" t="n">
        <v>30001597</v>
      </c>
      <c r="B510" s="3" t="s">
        <v>265</v>
      </c>
      <c r="C510" s="3" t="s">
        <v>1372</v>
      </c>
      <c r="D510" s="23" t="n">
        <v>3584</v>
      </c>
      <c r="E510" s="23" t="n">
        <v>1700</v>
      </c>
      <c r="F510" s="23" t="n">
        <f aca="false">D510-E510</f>
        <v>1884</v>
      </c>
      <c r="G510" s="24" t="n">
        <f aca="false">IF(E510&gt;0,D510/E510-1,"")</f>
        <v>1.10823529411765</v>
      </c>
      <c r="H510" s="3" t="str">
        <f aca="false">IF(MAX(D510,E510)&lt;Parametros!$B$16,"",IF(E510=0,"PIDE SIN FCST",IF(ABS(G510)&gt;Parametros!$B$14,IF(G510&gt;0,"SOBRE FCST","BAJO FCST"),"")))</f>
        <v>SOBRE FCST</v>
      </c>
    </row>
    <row r="511" customFormat="false" ht="15" hidden="false" customHeight="false" outlineLevel="0" collapsed="false">
      <c r="A511" s="3" t="n">
        <v>30000398</v>
      </c>
      <c r="B511" s="3" t="s">
        <v>295</v>
      </c>
      <c r="C511" s="3" t="s">
        <v>1378</v>
      </c>
      <c r="D511" s="23" t="n">
        <v>3174</v>
      </c>
      <c r="E511" s="23" t="n">
        <v>1291.4247298301</v>
      </c>
      <c r="F511" s="23" t="n">
        <f aca="false">D511-E511</f>
        <v>1882.5752701699</v>
      </c>
      <c r="G511" s="24" t="n">
        <f aca="false">IF(E511&gt;0,D511/E511-1,"")</f>
        <v>1.45775067387596</v>
      </c>
      <c r="H511" s="3" t="str">
        <f aca="false">IF(MAX(D511,E511)&lt;Parametros!$B$16,"",IF(E511=0,"PIDE SIN FCST",IF(ABS(G511)&gt;Parametros!$B$14,IF(G511&gt;0,"SOBRE FCST","BAJO FCST"),"")))</f>
        <v>SOBRE FCST</v>
      </c>
    </row>
    <row r="512" customFormat="false" ht="15" hidden="false" customHeight="false" outlineLevel="0" collapsed="false">
      <c r="A512" s="3" t="n">
        <v>30001058</v>
      </c>
      <c r="B512" s="3" t="s">
        <v>288</v>
      </c>
      <c r="C512" s="3" t="s">
        <v>1380</v>
      </c>
      <c r="D512" s="23" t="n">
        <v>21168</v>
      </c>
      <c r="E512" s="23" t="n">
        <v>23049.0361003754</v>
      </c>
      <c r="F512" s="23" t="n">
        <f aca="false">D512-E512</f>
        <v>-1881.0361003754</v>
      </c>
      <c r="G512" s="24" t="n">
        <f aca="false">IF(E512&gt;0,D512/E512-1,"")</f>
        <v>-0.0816101850065983</v>
      </c>
      <c r="H512" s="3" t="str">
        <f aca="false">IF(MAX(D512,E512)&lt;Parametros!$B$16,"",IF(E512=0,"PIDE SIN FCST",IF(ABS(G512)&gt;Parametros!$B$14,IF(G512&gt;0,"SOBRE FCST","BAJO FCST"),"")))</f>
        <v/>
      </c>
    </row>
    <row r="513" customFormat="false" ht="15" hidden="false" customHeight="false" outlineLevel="0" collapsed="false">
      <c r="A513" s="3" t="n">
        <v>30000668</v>
      </c>
      <c r="B513" s="3" t="s">
        <v>280</v>
      </c>
      <c r="C513" s="3" t="s">
        <v>1375</v>
      </c>
      <c r="D513" s="23" t="n">
        <v>6019.2</v>
      </c>
      <c r="E513" s="23" t="n">
        <v>7900</v>
      </c>
      <c r="F513" s="23" t="n">
        <f aca="false">D513-E513</f>
        <v>-1880.8</v>
      </c>
      <c r="G513" s="24" t="n">
        <f aca="false">IF(E513&gt;0,D513/E513-1,"")</f>
        <v>-0.238075949367089</v>
      </c>
      <c r="H513" s="3" t="str">
        <f aca="false">IF(MAX(D513,E513)&lt;Parametros!$B$16,"",IF(E513=0,"PIDE SIN FCST",IF(ABS(G513)&gt;Parametros!$B$14,IF(G513&gt;0,"SOBRE FCST","BAJO FCST"),"")))</f>
        <v>BAJO FCST</v>
      </c>
    </row>
    <row r="514" customFormat="false" ht="15" hidden="false" customHeight="false" outlineLevel="0" collapsed="false">
      <c r="A514" s="3" t="n">
        <v>30002292</v>
      </c>
      <c r="B514" s="3" t="s">
        <v>443</v>
      </c>
      <c r="C514" s="3" t="s">
        <v>1380</v>
      </c>
      <c r="D514" s="23" t="n">
        <v>4374</v>
      </c>
      <c r="E514" s="23" t="n">
        <v>2500</v>
      </c>
      <c r="F514" s="23" t="n">
        <f aca="false">D514-E514</f>
        <v>1874</v>
      </c>
      <c r="G514" s="24" t="n">
        <f aca="false">IF(E514&gt;0,D514/E514-1,"")</f>
        <v>0.7496</v>
      </c>
      <c r="H514" s="3" t="str">
        <f aca="false">IF(MAX(D514,E514)&lt;Parametros!$B$16,"",IF(E514=0,"PIDE SIN FCST",IF(ABS(G514)&gt;Parametros!$B$14,IF(G514&gt;0,"SOBRE FCST","BAJO FCST"),"")))</f>
        <v>SOBRE FCST</v>
      </c>
    </row>
    <row r="515" customFormat="false" ht="15" hidden="false" customHeight="false" outlineLevel="0" collapsed="false">
      <c r="A515" s="3" t="n">
        <v>30001490</v>
      </c>
      <c r="B515" s="3" t="s">
        <v>337</v>
      </c>
      <c r="C515" s="3" t="s">
        <v>1380</v>
      </c>
      <c r="D515" s="23" t="n">
        <v>8262</v>
      </c>
      <c r="E515" s="23" t="n">
        <v>10133.6035731002</v>
      </c>
      <c r="F515" s="23" t="n">
        <f aca="false">D515-E515</f>
        <v>-1871.6035731002</v>
      </c>
      <c r="G515" s="24" t="n">
        <f aca="false">IF(E515&gt;0,D515/E515-1,"")</f>
        <v>-0.184692795568637</v>
      </c>
      <c r="H515" s="3" t="str">
        <f aca="false">IF(MAX(D515,E515)&lt;Parametros!$B$16,"",IF(E515=0,"PIDE SIN FCST",IF(ABS(G515)&gt;Parametros!$B$14,IF(G515&gt;0,"SOBRE FCST","BAJO FCST"),"")))</f>
        <v/>
      </c>
    </row>
    <row r="516" customFormat="false" ht="15" hidden="false" customHeight="false" outlineLevel="0" collapsed="false">
      <c r="A516" s="3" t="n">
        <v>30001489</v>
      </c>
      <c r="B516" s="3" t="s">
        <v>289</v>
      </c>
      <c r="C516" s="3" t="s">
        <v>1372</v>
      </c>
      <c r="D516" s="23" t="n">
        <v>1865.88</v>
      </c>
      <c r="E516" s="23" t="n">
        <v>0</v>
      </c>
      <c r="F516" s="23" t="n">
        <f aca="false">D516-E516</f>
        <v>1865.88</v>
      </c>
      <c r="G516" s="24" t="str">
        <f aca="false">IF(E516&gt;0,D516/E516-1,"")</f>
        <v/>
      </c>
      <c r="H516" s="3" t="str">
        <f aca="false">IF(MAX(D516,E516)&lt;Parametros!$B$16,"",IF(E516=0,"PIDE SIN FCST",IF(ABS(G516)&gt;Parametros!$B$14,IF(G516&gt;0,"SOBRE FCST","BAJO FCST"),"")))</f>
        <v>PIDE SIN FCST</v>
      </c>
    </row>
    <row r="517" customFormat="false" ht="15" hidden="false" customHeight="false" outlineLevel="0" collapsed="false">
      <c r="A517" s="3" t="n">
        <v>30001851</v>
      </c>
      <c r="B517" s="3" t="s">
        <v>499</v>
      </c>
      <c r="C517" s="3" t="s">
        <v>1380</v>
      </c>
      <c r="D517" s="23" t="n">
        <v>4050</v>
      </c>
      <c r="E517" s="23" t="n">
        <v>2197.64347897003</v>
      </c>
      <c r="F517" s="23" t="n">
        <f aca="false">D517-E517</f>
        <v>1852.35652102997</v>
      </c>
      <c r="G517" s="24" t="n">
        <f aca="false">IF(E517&gt;0,D517/E517-1,"")</f>
        <v>0.842883087614428</v>
      </c>
      <c r="H517" s="3" t="str">
        <f aca="false">IF(MAX(D517,E517)&lt;Parametros!$B$16,"",IF(E517=0,"PIDE SIN FCST",IF(ABS(G517)&gt;Parametros!$B$14,IF(G517&gt;0,"SOBRE FCST","BAJO FCST"),"")))</f>
        <v>SOBRE FCST</v>
      </c>
    </row>
    <row r="518" customFormat="false" ht="15" hidden="false" customHeight="false" outlineLevel="0" collapsed="false">
      <c r="A518" s="3" t="n">
        <v>30001598</v>
      </c>
      <c r="B518" s="3" t="s">
        <v>383</v>
      </c>
      <c r="C518" s="3" t="s">
        <v>1372</v>
      </c>
      <c r="D518" s="23" t="n">
        <v>2528</v>
      </c>
      <c r="E518" s="23" t="n">
        <v>4376</v>
      </c>
      <c r="F518" s="23" t="n">
        <f aca="false">D518-E518</f>
        <v>-1848</v>
      </c>
      <c r="G518" s="24" t="n">
        <f aca="false">IF(E518&gt;0,D518/E518-1,"")</f>
        <v>-0.422303473491773</v>
      </c>
      <c r="H518" s="3" t="str">
        <f aca="false">IF(MAX(D518,E518)&lt;Parametros!$B$16,"",IF(E518=0,"PIDE SIN FCST",IF(ABS(G518)&gt;Parametros!$B$14,IF(G518&gt;0,"SOBRE FCST","BAJO FCST"),"")))</f>
        <v>BAJO FCST</v>
      </c>
    </row>
    <row r="519" customFormat="false" ht="15" hidden="false" customHeight="false" outlineLevel="0" collapsed="false">
      <c r="A519" s="3" t="n">
        <v>30001982</v>
      </c>
      <c r="B519" s="3" t="s">
        <v>565</v>
      </c>
      <c r="C519" s="3" t="s">
        <v>1375</v>
      </c>
      <c r="D519" s="23" t="n">
        <v>3153.6</v>
      </c>
      <c r="E519" s="23" t="n">
        <v>1310.53410454937</v>
      </c>
      <c r="F519" s="23" t="n">
        <f aca="false">D519-E519</f>
        <v>1843.06589545063</v>
      </c>
      <c r="G519" s="24" t="n">
        <f aca="false">IF(E519&gt;0,D519/E519-1,"")</f>
        <v>1.40634714430754</v>
      </c>
      <c r="H519" s="3" t="str">
        <f aca="false">IF(MAX(D519,E519)&lt;Parametros!$B$16,"",IF(E519=0,"PIDE SIN FCST",IF(ABS(G519)&gt;Parametros!$B$14,IF(G519&gt;0,"SOBRE FCST","BAJO FCST"),"")))</f>
        <v>SOBRE FCST</v>
      </c>
    </row>
    <row r="520" customFormat="false" ht="15" hidden="false" customHeight="false" outlineLevel="0" collapsed="false">
      <c r="A520" s="3" t="n">
        <v>30000610</v>
      </c>
      <c r="B520" s="3" t="s">
        <v>387</v>
      </c>
      <c r="C520" s="3" t="s">
        <v>1380</v>
      </c>
      <c r="D520" s="23" t="n">
        <v>5174.4</v>
      </c>
      <c r="E520" s="23" t="n">
        <v>7000</v>
      </c>
      <c r="F520" s="23" t="n">
        <f aca="false">D520-E520</f>
        <v>-1825.6</v>
      </c>
      <c r="G520" s="24" t="n">
        <f aca="false">IF(E520&gt;0,D520/E520-1,"")</f>
        <v>-0.2608</v>
      </c>
      <c r="H520" s="3" t="str">
        <f aca="false">IF(MAX(D520,E520)&lt;Parametros!$B$16,"",IF(E520=0,"PIDE SIN FCST",IF(ABS(G520)&gt;Parametros!$B$14,IF(G520&gt;0,"SOBRE FCST","BAJO FCST"),"")))</f>
        <v>BAJO FCST</v>
      </c>
    </row>
    <row r="521" customFormat="false" ht="15" hidden="false" customHeight="false" outlineLevel="0" collapsed="false">
      <c r="A521" s="3" t="n">
        <v>30001739</v>
      </c>
      <c r="B521" s="3" t="s">
        <v>429</v>
      </c>
      <c r="C521" s="3" t="s">
        <v>1377</v>
      </c>
      <c r="D521" s="23" t="n">
        <v>2292</v>
      </c>
      <c r="E521" s="23" t="n">
        <v>4115.07830314556</v>
      </c>
      <c r="F521" s="23" t="n">
        <f aca="false">D521-E521</f>
        <v>-1823.07830314556</v>
      </c>
      <c r="G521" s="24" t="n">
        <f aca="false">IF(E521&gt;0,D521/E521-1,"")</f>
        <v>-0.443023964271105</v>
      </c>
      <c r="H521" s="3" t="str">
        <f aca="false">IF(MAX(D521,E521)&lt;Parametros!$B$16,"",IF(E521=0,"PIDE SIN FCST",IF(ABS(G521)&gt;Parametros!$B$14,IF(G521&gt;0,"SOBRE FCST","BAJO FCST"),"")))</f>
        <v>BAJO FCST</v>
      </c>
    </row>
    <row r="522" customFormat="false" ht="15" hidden="false" customHeight="false" outlineLevel="0" collapsed="false">
      <c r="A522" s="3" t="n">
        <v>30000627</v>
      </c>
      <c r="B522" s="3" t="s">
        <v>308</v>
      </c>
      <c r="C522" s="3" t="s">
        <v>1380</v>
      </c>
      <c r="D522" s="23" t="n">
        <v>15422.4</v>
      </c>
      <c r="E522" s="23" t="n">
        <v>13600</v>
      </c>
      <c r="F522" s="23" t="n">
        <f aca="false">D522-E522</f>
        <v>1822.4</v>
      </c>
      <c r="G522" s="24" t="n">
        <f aca="false">IF(E522&gt;0,D522/E522-1,"")</f>
        <v>0.134</v>
      </c>
      <c r="H522" s="3" t="str">
        <f aca="false">IF(MAX(D522,E522)&lt;Parametros!$B$16,"",IF(E522=0,"PIDE SIN FCST",IF(ABS(G522)&gt;Parametros!$B$14,IF(G522&gt;0,"SOBRE FCST","BAJO FCST"),"")))</f>
        <v/>
      </c>
    </row>
    <row r="523" customFormat="false" ht="15" hidden="false" customHeight="false" outlineLevel="0" collapsed="false">
      <c r="A523" s="3" t="n">
        <v>30000176</v>
      </c>
      <c r="B523" s="3" t="s">
        <v>366</v>
      </c>
      <c r="C523" s="3" t="s">
        <v>1375</v>
      </c>
      <c r="D523" s="23" t="n">
        <v>2481.6</v>
      </c>
      <c r="E523" s="23" t="n">
        <v>4300</v>
      </c>
      <c r="F523" s="23" t="n">
        <f aca="false">D523-E523</f>
        <v>-1818.4</v>
      </c>
      <c r="G523" s="24" t="n">
        <f aca="false">IF(E523&gt;0,D523/E523-1,"")</f>
        <v>-0.422883720930233</v>
      </c>
      <c r="H523" s="3" t="str">
        <f aca="false">IF(MAX(D523,E523)&lt;Parametros!$B$16,"",IF(E523=0,"PIDE SIN FCST",IF(ABS(G523)&gt;Parametros!$B$14,IF(G523&gt;0,"SOBRE FCST","BAJO FCST"),"")))</f>
        <v>BAJO FCST</v>
      </c>
    </row>
    <row r="524" customFormat="false" ht="15" hidden="false" customHeight="false" outlineLevel="0" collapsed="false">
      <c r="A524" s="3" t="n">
        <v>30001901</v>
      </c>
      <c r="B524" s="3" t="s">
        <v>425</v>
      </c>
      <c r="C524" s="3" t="s">
        <v>1379</v>
      </c>
      <c r="D524" s="23" t="n">
        <v>4222.8</v>
      </c>
      <c r="E524" s="23" t="n">
        <v>2408.75923718684</v>
      </c>
      <c r="F524" s="23" t="n">
        <f aca="false">D524-E524</f>
        <v>1814.04076281316</v>
      </c>
      <c r="G524" s="24" t="n">
        <f aca="false">IF(E524&gt;0,D524/E524-1,"")</f>
        <v>0.753101735867861</v>
      </c>
      <c r="H524" s="3" t="str">
        <f aca="false">IF(MAX(D524,E524)&lt;Parametros!$B$16,"",IF(E524=0,"PIDE SIN FCST",IF(ABS(G524)&gt;Parametros!$B$14,IF(G524&gt;0,"SOBRE FCST","BAJO FCST"),"")))</f>
        <v>SOBRE FCST</v>
      </c>
    </row>
    <row r="525" customFormat="false" ht="15" hidden="false" customHeight="false" outlineLevel="0" collapsed="false">
      <c r="A525" s="3" t="n">
        <v>30001402</v>
      </c>
      <c r="B525" s="3" t="s">
        <v>460</v>
      </c>
      <c r="C525" s="3" t="s">
        <v>1377</v>
      </c>
      <c r="D525" s="23" t="n">
        <v>864</v>
      </c>
      <c r="E525" s="23" t="n">
        <v>2675.36651330229</v>
      </c>
      <c r="F525" s="23" t="n">
        <f aca="false">D525-E525</f>
        <v>-1811.36651330229</v>
      </c>
      <c r="G525" s="24" t="n">
        <f aca="false">IF(E525&gt;0,D525/E525-1,"")</f>
        <v>-0.677053594076148</v>
      </c>
      <c r="H525" s="3" t="str">
        <f aca="false">IF(MAX(D525,E525)&lt;Parametros!$B$16,"",IF(E525=0,"PIDE SIN FCST",IF(ABS(G525)&gt;Parametros!$B$14,IF(G525&gt;0,"SOBRE FCST","BAJO FCST"),"")))</f>
        <v>BAJO FCST</v>
      </c>
    </row>
    <row r="526" customFormat="false" ht="15" hidden="false" customHeight="false" outlineLevel="0" collapsed="false">
      <c r="A526" s="3" t="n">
        <v>30001698</v>
      </c>
      <c r="B526" s="3" t="s">
        <v>539</v>
      </c>
      <c r="C526" s="3" t="s">
        <v>1378</v>
      </c>
      <c r="D526" s="23" t="n">
        <v>691.2</v>
      </c>
      <c r="E526" s="23" t="n">
        <v>2500</v>
      </c>
      <c r="F526" s="23" t="n">
        <f aca="false">D526-E526</f>
        <v>-1808.8</v>
      </c>
      <c r="G526" s="24" t="n">
        <f aca="false">IF(E526&gt;0,D526/E526-1,"")</f>
        <v>-0.72352</v>
      </c>
      <c r="H526" s="3" t="str">
        <f aca="false">IF(MAX(D526,E526)&lt;Parametros!$B$16,"",IF(E526=0,"PIDE SIN FCST",IF(ABS(G526)&gt;Parametros!$B$14,IF(G526&gt;0,"SOBRE FCST","BAJO FCST"),"")))</f>
        <v>BAJO FCST</v>
      </c>
    </row>
    <row r="527" customFormat="false" ht="15" hidden="false" customHeight="false" outlineLevel="0" collapsed="false">
      <c r="A527" s="3" t="n">
        <v>30001058</v>
      </c>
      <c r="B527" s="3" t="s">
        <v>288</v>
      </c>
      <c r="C527" s="3" t="s">
        <v>1375</v>
      </c>
      <c r="D527" s="23" t="n">
        <v>12788.16</v>
      </c>
      <c r="E527" s="23" t="n">
        <v>10980.0470421623</v>
      </c>
      <c r="F527" s="23" t="n">
        <f aca="false">D527-E527</f>
        <v>1808.11295783772</v>
      </c>
      <c r="G527" s="24" t="n">
        <f aca="false">IF(E527&gt;0,D527/E527-1,"")</f>
        <v>0.164672605763413</v>
      </c>
      <c r="H527" s="3" t="str">
        <f aca="false">IF(MAX(D527,E527)&lt;Parametros!$B$16,"",IF(E527=0,"PIDE SIN FCST",IF(ABS(G527)&gt;Parametros!$B$14,IF(G527&gt;0,"SOBRE FCST","BAJO FCST"),"")))</f>
        <v/>
      </c>
    </row>
    <row r="528" customFormat="false" ht="15" hidden="false" customHeight="false" outlineLevel="0" collapsed="false">
      <c r="A528" s="3" t="n">
        <v>30001522</v>
      </c>
      <c r="B528" s="3" t="s">
        <v>453</v>
      </c>
      <c r="C528" s="3" t="s">
        <v>1380</v>
      </c>
      <c r="D528" s="23" t="n">
        <v>5745.6</v>
      </c>
      <c r="E528" s="23" t="n">
        <v>3941.6</v>
      </c>
      <c r="F528" s="23" t="n">
        <f aca="false">D528-E528</f>
        <v>1804</v>
      </c>
      <c r="G528" s="24" t="n">
        <f aca="false">IF(E528&gt;0,D528/E528-1,"")</f>
        <v>0.457682159529125</v>
      </c>
      <c r="H528" s="3" t="str">
        <f aca="false">IF(MAX(D528,E528)&lt;Parametros!$B$16,"",IF(E528=0,"PIDE SIN FCST",IF(ABS(G528)&gt;Parametros!$B$14,IF(G528&gt;0,"SOBRE FCST","BAJO FCST"),"")))</f>
        <v>SOBRE FCST</v>
      </c>
    </row>
    <row r="529" customFormat="false" ht="15" hidden="false" customHeight="false" outlineLevel="0" collapsed="false">
      <c r="A529" s="3" t="n">
        <v>30001684</v>
      </c>
      <c r="B529" s="3" t="s">
        <v>274</v>
      </c>
      <c r="C529" s="3" t="s">
        <v>1377</v>
      </c>
      <c r="D529" s="23" t="n">
        <v>552</v>
      </c>
      <c r="E529" s="23" t="n">
        <v>2353.0805</v>
      </c>
      <c r="F529" s="23" t="n">
        <f aca="false">D529-E529</f>
        <v>-1801.0805</v>
      </c>
      <c r="G529" s="24" t="n">
        <f aca="false">IF(E529&gt;0,D529/E529-1,"")</f>
        <v>-0.765413890430013</v>
      </c>
      <c r="H529" s="3" t="str">
        <f aca="false">IF(MAX(D529,E529)&lt;Parametros!$B$16,"",IF(E529=0,"PIDE SIN FCST",IF(ABS(G529)&gt;Parametros!$B$14,IF(G529&gt;0,"SOBRE FCST","BAJO FCST"),"")))</f>
        <v>BAJO FCST</v>
      </c>
    </row>
    <row r="530" customFormat="false" ht="15" hidden="false" customHeight="false" outlineLevel="0" collapsed="false">
      <c r="A530" s="3" t="n">
        <v>30001876</v>
      </c>
      <c r="B530" s="3" t="s">
        <v>373</v>
      </c>
      <c r="C530" s="3" t="s">
        <v>1375</v>
      </c>
      <c r="D530" s="23" t="n">
        <v>9298.8</v>
      </c>
      <c r="E530" s="23" t="n">
        <v>7500</v>
      </c>
      <c r="F530" s="23" t="n">
        <f aca="false">D530-E530</f>
        <v>1798.8</v>
      </c>
      <c r="G530" s="24" t="n">
        <f aca="false">IF(E530&gt;0,D530/E530-1,"")</f>
        <v>0.23984</v>
      </c>
      <c r="H530" s="3" t="str">
        <f aca="false">IF(MAX(D530,E530)&lt;Parametros!$B$16,"",IF(E530=0,"PIDE SIN FCST",IF(ABS(G530)&gt;Parametros!$B$14,IF(G530&gt;0,"SOBRE FCST","BAJO FCST"),"")))</f>
        <v>SOBRE FCST</v>
      </c>
    </row>
    <row r="531" customFormat="false" ht="15" hidden="false" customHeight="false" outlineLevel="0" collapsed="false">
      <c r="A531" s="3" t="n">
        <v>30002347</v>
      </c>
      <c r="B531" s="3" t="s">
        <v>271</v>
      </c>
      <c r="C531" s="3" t="s">
        <v>1377</v>
      </c>
      <c r="D531" s="23" t="n">
        <v>1784</v>
      </c>
      <c r="E531" s="23" t="n">
        <v>0</v>
      </c>
      <c r="F531" s="23" t="n">
        <f aca="false">D531-E531</f>
        <v>1784</v>
      </c>
      <c r="G531" s="24" t="str">
        <f aca="false">IF(E531&gt;0,D531/E531-1,"")</f>
        <v/>
      </c>
      <c r="H531" s="3" t="str">
        <f aca="false">IF(MAX(D531,E531)&lt;Parametros!$B$16,"",IF(E531=0,"PIDE SIN FCST",IF(ABS(G531)&gt;Parametros!$B$14,IF(G531&gt;0,"SOBRE FCST","BAJO FCST"),"")))</f>
        <v>PIDE SIN FCST</v>
      </c>
    </row>
    <row r="532" customFormat="false" ht="15" hidden="false" customHeight="false" outlineLevel="0" collapsed="false">
      <c r="A532" s="3" t="n">
        <v>30002269</v>
      </c>
      <c r="B532" s="3" t="s">
        <v>541</v>
      </c>
      <c r="C532" s="3" t="s">
        <v>1375</v>
      </c>
      <c r="D532" s="23" t="n">
        <v>4158</v>
      </c>
      <c r="E532" s="23" t="n">
        <v>2381.68</v>
      </c>
      <c r="F532" s="23" t="n">
        <f aca="false">D532-E532</f>
        <v>1776.32</v>
      </c>
      <c r="G532" s="24" t="n">
        <f aca="false">IF(E532&gt;0,D532/E532-1,"")</f>
        <v>0.745826475429109</v>
      </c>
      <c r="H532" s="3" t="str">
        <f aca="false">IF(MAX(D532,E532)&lt;Parametros!$B$16,"",IF(E532=0,"PIDE SIN FCST",IF(ABS(G532)&gt;Parametros!$B$14,IF(G532&gt;0,"SOBRE FCST","BAJO FCST"),"")))</f>
        <v>SOBRE FCST</v>
      </c>
    </row>
    <row r="533" customFormat="false" ht="15" hidden="false" customHeight="false" outlineLevel="0" collapsed="false">
      <c r="A533" s="3" t="n">
        <v>30001861</v>
      </c>
      <c r="B533" s="3" t="s">
        <v>250</v>
      </c>
      <c r="C533" s="3" t="s">
        <v>1373</v>
      </c>
      <c r="D533" s="23" t="n">
        <v>15476.4</v>
      </c>
      <c r="E533" s="23" t="n">
        <v>17251.5013099147</v>
      </c>
      <c r="F533" s="23" t="n">
        <f aca="false">D533-E533</f>
        <v>-1775.10130991473</v>
      </c>
      <c r="G533" s="24" t="n">
        <f aca="false">IF(E533&gt;0,D533/E533-1,"")</f>
        <v>-0.102895468517546</v>
      </c>
      <c r="H533" s="3" t="str">
        <f aca="false">IF(MAX(D533,E533)&lt;Parametros!$B$16,"",IF(E533=0,"PIDE SIN FCST",IF(ABS(G533)&gt;Parametros!$B$14,IF(G533&gt;0,"SOBRE FCST","BAJO FCST"),"")))</f>
        <v/>
      </c>
    </row>
    <row r="534" customFormat="false" ht="15" hidden="false" customHeight="false" outlineLevel="0" collapsed="false">
      <c r="A534" s="3" t="n">
        <v>30000543</v>
      </c>
      <c r="B534" s="3" t="s">
        <v>422</v>
      </c>
      <c r="C534" s="3" t="s">
        <v>1380</v>
      </c>
      <c r="D534" s="23" t="n">
        <v>930</v>
      </c>
      <c r="E534" s="23" t="n">
        <v>2700</v>
      </c>
      <c r="F534" s="23" t="n">
        <f aca="false">D534-E534</f>
        <v>-1770</v>
      </c>
      <c r="G534" s="24" t="n">
        <f aca="false">IF(E534&gt;0,D534/E534-1,"")</f>
        <v>-0.655555555555556</v>
      </c>
      <c r="H534" s="3" t="str">
        <f aca="false">IF(MAX(D534,E534)&lt;Parametros!$B$16,"",IF(E534=0,"PIDE SIN FCST",IF(ABS(G534)&gt;Parametros!$B$14,IF(G534&gt;0,"SOBRE FCST","BAJO FCST"),"")))</f>
        <v>BAJO FCST</v>
      </c>
    </row>
    <row r="535" customFormat="false" ht="15" hidden="false" customHeight="false" outlineLevel="0" collapsed="false">
      <c r="A535" s="3" t="n">
        <v>30002198</v>
      </c>
      <c r="B535" s="3" t="s">
        <v>362</v>
      </c>
      <c r="C535" s="3" t="s">
        <v>1375</v>
      </c>
      <c r="D535" s="23" t="n">
        <v>8764.8</v>
      </c>
      <c r="E535" s="23" t="n">
        <v>7000</v>
      </c>
      <c r="F535" s="23" t="n">
        <f aca="false">D535-E535</f>
        <v>1764.8</v>
      </c>
      <c r="G535" s="24" t="n">
        <f aca="false">IF(E535&gt;0,D535/E535-1,"")</f>
        <v>0.252114285714286</v>
      </c>
      <c r="H535" s="3" t="str">
        <f aca="false">IF(MAX(D535,E535)&lt;Parametros!$B$16,"",IF(E535=0,"PIDE SIN FCST",IF(ABS(G535)&gt;Parametros!$B$14,IF(G535&gt;0,"SOBRE FCST","BAJO FCST"),"")))</f>
        <v>SOBRE FCST</v>
      </c>
    </row>
    <row r="536" customFormat="false" ht="15" hidden="false" customHeight="false" outlineLevel="0" collapsed="false">
      <c r="A536" s="3" t="n">
        <v>30000514</v>
      </c>
      <c r="B536" s="3" t="s">
        <v>252</v>
      </c>
      <c r="C536" s="3" t="s">
        <v>1378</v>
      </c>
      <c r="D536" s="23" t="n">
        <v>6408</v>
      </c>
      <c r="E536" s="23" t="n">
        <v>4647.61</v>
      </c>
      <c r="F536" s="23" t="n">
        <f aca="false">D536-E536</f>
        <v>1760.39</v>
      </c>
      <c r="G536" s="24" t="n">
        <f aca="false">IF(E536&gt;0,D536/E536-1,"")</f>
        <v>0.378773175890404</v>
      </c>
      <c r="H536" s="3" t="str">
        <f aca="false">IF(MAX(D536,E536)&lt;Parametros!$B$16,"",IF(E536=0,"PIDE SIN FCST",IF(ABS(G536)&gt;Parametros!$B$14,IF(G536&gt;0,"SOBRE FCST","BAJO FCST"),"")))</f>
        <v>SOBRE FCST</v>
      </c>
    </row>
    <row r="537" customFormat="false" ht="15" hidden="false" customHeight="false" outlineLevel="0" collapsed="false">
      <c r="A537" s="3" t="n">
        <v>30001744</v>
      </c>
      <c r="B537" s="3" t="s">
        <v>437</v>
      </c>
      <c r="C537" s="3" t="s">
        <v>1380</v>
      </c>
      <c r="D537" s="23" t="n">
        <v>6356.88</v>
      </c>
      <c r="E537" s="23" t="n">
        <v>4600</v>
      </c>
      <c r="F537" s="23" t="n">
        <f aca="false">D537-E537</f>
        <v>1756.88</v>
      </c>
      <c r="G537" s="24" t="n">
        <f aca="false">IF(E537&gt;0,D537/E537-1,"")</f>
        <v>0.381930434782609</v>
      </c>
      <c r="H537" s="3" t="str">
        <f aca="false">IF(MAX(D537,E537)&lt;Parametros!$B$16,"",IF(E537=0,"PIDE SIN FCST",IF(ABS(G537)&gt;Parametros!$B$14,IF(G537&gt;0,"SOBRE FCST","BAJO FCST"),"")))</f>
        <v>SOBRE FCST</v>
      </c>
    </row>
    <row r="538" customFormat="false" ht="15" hidden="false" customHeight="false" outlineLevel="0" collapsed="false">
      <c r="A538" s="3" t="n">
        <v>30002106</v>
      </c>
      <c r="B538" s="3" t="s">
        <v>568</v>
      </c>
      <c r="C538" s="3" t="s">
        <v>1375</v>
      </c>
      <c r="D538" s="23" t="n">
        <v>1839.024</v>
      </c>
      <c r="E538" s="23" t="n">
        <v>85.2941176470588</v>
      </c>
      <c r="F538" s="23" t="n">
        <f aca="false">D538-E538</f>
        <v>1753.72988235294</v>
      </c>
      <c r="G538" s="24" t="n">
        <f aca="false">IF(E538&gt;0,D538/E538-1,"")</f>
        <v>20.5609710344828</v>
      </c>
      <c r="H538" s="3" t="str">
        <f aca="false">IF(MAX(D538,E538)&lt;Parametros!$B$16,"",IF(E538=0,"PIDE SIN FCST",IF(ABS(G538)&gt;Parametros!$B$14,IF(G538&gt;0,"SOBRE FCST","BAJO FCST"),"")))</f>
        <v>SOBRE FCST</v>
      </c>
    </row>
    <row r="539" customFormat="false" ht="15" hidden="false" customHeight="false" outlineLevel="0" collapsed="false">
      <c r="A539" s="3" t="n">
        <v>30001895</v>
      </c>
      <c r="B539" s="3" t="s">
        <v>341</v>
      </c>
      <c r="C539" s="3" t="s">
        <v>1375</v>
      </c>
      <c r="D539" s="23" t="n">
        <v>6247.2</v>
      </c>
      <c r="E539" s="23" t="n">
        <v>8000</v>
      </c>
      <c r="F539" s="23" t="n">
        <f aca="false">D539-E539</f>
        <v>-1752.8</v>
      </c>
      <c r="G539" s="24" t="n">
        <f aca="false">IF(E539&gt;0,D539/E539-1,"")</f>
        <v>-0.2191</v>
      </c>
      <c r="H539" s="3" t="str">
        <f aca="false">IF(MAX(D539,E539)&lt;Parametros!$B$16,"",IF(E539=0,"PIDE SIN FCST",IF(ABS(G539)&gt;Parametros!$B$14,IF(G539&gt;0,"SOBRE FCST","BAJO FCST"),"")))</f>
        <v>BAJO FCST</v>
      </c>
    </row>
    <row r="540" customFormat="false" ht="15" hidden="false" customHeight="false" outlineLevel="0" collapsed="false">
      <c r="A540" s="3" t="n">
        <v>30001033</v>
      </c>
      <c r="B540" s="3" t="s">
        <v>477</v>
      </c>
      <c r="C540" s="3" t="s">
        <v>1380</v>
      </c>
      <c r="D540" s="23" t="n">
        <v>2397.6</v>
      </c>
      <c r="E540" s="23" t="n">
        <v>4149.70298428339</v>
      </c>
      <c r="F540" s="23" t="n">
        <f aca="false">D540-E540</f>
        <v>-1752.10298428339</v>
      </c>
      <c r="G540" s="24" t="n">
        <f aca="false">IF(E540&gt;0,D540/E540-1,"")</f>
        <v>-0.422223708761642</v>
      </c>
      <c r="H540" s="3" t="str">
        <f aca="false">IF(MAX(D540,E540)&lt;Parametros!$B$16,"",IF(E540=0,"PIDE SIN FCST",IF(ABS(G540)&gt;Parametros!$B$14,IF(G540&gt;0,"SOBRE FCST","BAJO FCST"),"")))</f>
        <v>BAJO FCST</v>
      </c>
    </row>
    <row r="541" customFormat="false" ht="15" hidden="false" customHeight="false" outlineLevel="0" collapsed="false">
      <c r="A541" s="3" t="n">
        <v>30001031</v>
      </c>
      <c r="B541" s="3" t="s">
        <v>334</v>
      </c>
      <c r="C541" s="3" t="s">
        <v>1380</v>
      </c>
      <c r="D541" s="23" t="n">
        <v>5670</v>
      </c>
      <c r="E541" s="23" t="n">
        <v>7407.21077831309</v>
      </c>
      <c r="F541" s="23" t="n">
        <f aca="false">D541-E541</f>
        <v>-1737.21077831309</v>
      </c>
      <c r="G541" s="24" t="n">
        <f aca="false">IF(E541&gt;0,D541/E541-1,"")</f>
        <v>-0.234529680645691</v>
      </c>
      <c r="H541" s="3" t="str">
        <f aca="false">IF(MAX(D541,E541)&lt;Parametros!$B$16,"",IF(E541=0,"PIDE SIN FCST",IF(ABS(G541)&gt;Parametros!$B$14,IF(G541&gt;0,"SOBRE FCST","BAJO FCST"),"")))</f>
        <v>BAJO FCST</v>
      </c>
    </row>
    <row r="542" customFormat="false" ht="15" hidden="false" customHeight="false" outlineLevel="0" collapsed="false">
      <c r="A542" s="3" t="n">
        <v>30001508</v>
      </c>
      <c r="B542" s="3" t="s">
        <v>318</v>
      </c>
      <c r="C542" s="3" t="s">
        <v>1375</v>
      </c>
      <c r="D542" s="23" t="n">
        <v>6762</v>
      </c>
      <c r="E542" s="23" t="n">
        <v>8494.87892003739</v>
      </c>
      <c r="F542" s="23" t="n">
        <f aca="false">D542-E542</f>
        <v>-1732.87892003739</v>
      </c>
      <c r="G542" s="24" t="n">
        <f aca="false">IF(E542&gt;0,D542/E542-1,"")</f>
        <v>-0.203991008741742</v>
      </c>
      <c r="H542" s="3" t="str">
        <f aca="false">IF(MAX(D542,E542)&lt;Parametros!$B$16,"",IF(E542=0,"PIDE SIN FCST",IF(ABS(G542)&gt;Parametros!$B$14,IF(G542&gt;0,"SOBRE FCST","BAJO FCST"),"")))</f>
        <v>BAJO FCST</v>
      </c>
    </row>
    <row r="543" customFormat="false" ht="15" hidden="false" customHeight="false" outlineLevel="0" collapsed="false">
      <c r="A543" s="3" t="n">
        <v>30002336</v>
      </c>
      <c r="B543" s="3" t="s">
        <v>286</v>
      </c>
      <c r="C543" s="3" t="s">
        <v>1372</v>
      </c>
      <c r="D543" s="23" t="n">
        <v>2019</v>
      </c>
      <c r="E543" s="23" t="n">
        <v>3750.32637172059</v>
      </c>
      <c r="F543" s="23" t="n">
        <f aca="false">D543-E543</f>
        <v>-1731.32637172059</v>
      </c>
      <c r="G543" s="24" t="n">
        <f aca="false">IF(E543&gt;0,D543/E543-1,"")</f>
        <v>-0.461646854197995</v>
      </c>
      <c r="H543" s="3" t="str">
        <f aca="false">IF(MAX(D543,E543)&lt;Parametros!$B$16,"",IF(E543=0,"PIDE SIN FCST",IF(ABS(G543)&gt;Parametros!$B$14,IF(G543&gt;0,"SOBRE FCST","BAJO FCST"),"")))</f>
        <v>BAJO FCST</v>
      </c>
    </row>
    <row r="544" customFormat="false" ht="15" hidden="false" customHeight="false" outlineLevel="0" collapsed="false">
      <c r="A544" s="3" t="n">
        <v>30002359</v>
      </c>
      <c r="B544" s="3" t="s">
        <v>401</v>
      </c>
      <c r="C544" s="3" t="s">
        <v>1378</v>
      </c>
      <c r="D544" s="23" t="n">
        <v>2286</v>
      </c>
      <c r="E544" s="23" t="n">
        <v>557.453963267279</v>
      </c>
      <c r="F544" s="23" t="n">
        <f aca="false">D544-E544</f>
        <v>1728.54603673272</v>
      </c>
      <c r="G544" s="24" t="n">
        <f aca="false">IF(E544&gt;0,D544/E544-1,"")</f>
        <v>3.10078706159265</v>
      </c>
      <c r="H544" s="3" t="str">
        <f aca="false">IF(MAX(D544,E544)&lt;Parametros!$B$16,"",IF(E544=0,"PIDE SIN FCST",IF(ABS(G544)&gt;Parametros!$B$14,IF(G544&gt;0,"SOBRE FCST","BAJO FCST"),"")))</f>
        <v>SOBRE FCST</v>
      </c>
    </row>
    <row r="545" customFormat="false" ht="15" hidden="false" customHeight="false" outlineLevel="0" collapsed="false">
      <c r="A545" s="3" t="n">
        <v>30000612</v>
      </c>
      <c r="B545" s="3" t="s">
        <v>580</v>
      </c>
      <c r="C545" s="3" t="s">
        <v>1380</v>
      </c>
      <c r="D545" s="23" t="n">
        <v>2160</v>
      </c>
      <c r="E545" s="23" t="n">
        <v>450</v>
      </c>
      <c r="F545" s="23" t="n">
        <f aca="false">D545-E545</f>
        <v>1710</v>
      </c>
      <c r="G545" s="24" t="n">
        <f aca="false">IF(E545&gt;0,D545/E545-1,"")</f>
        <v>3.8</v>
      </c>
      <c r="H545" s="3" t="str">
        <f aca="false">IF(MAX(D545,E545)&lt;Parametros!$B$16,"",IF(E545=0,"PIDE SIN FCST",IF(ABS(G545)&gt;Parametros!$B$14,IF(G545&gt;0,"SOBRE FCST","BAJO FCST"),"")))</f>
        <v>SOBRE FCST</v>
      </c>
    </row>
    <row r="546" customFormat="false" ht="15" hidden="false" customHeight="false" outlineLevel="0" collapsed="false">
      <c r="A546" s="3" t="n">
        <v>30001362</v>
      </c>
      <c r="B546" s="3" t="s">
        <v>293</v>
      </c>
      <c r="C546" s="3" t="s">
        <v>1380</v>
      </c>
      <c r="D546" s="23" t="n">
        <v>15301.44</v>
      </c>
      <c r="E546" s="23" t="n">
        <v>13600</v>
      </c>
      <c r="F546" s="23" t="n">
        <f aca="false">D546-E546</f>
        <v>1701.44</v>
      </c>
      <c r="G546" s="24" t="n">
        <f aca="false">IF(E546&gt;0,D546/E546-1,"")</f>
        <v>0.125105882352941</v>
      </c>
      <c r="H546" s="3" t="str">
        <f aca="false">IF(MAX(D546,E546)&lt;Parametros!$B$16,"",IF(E546=0,"PIDE SIN FCST",IF(ABS(G546)&gt;Parametros!$B$14,IF(G546&gt;0,"SOBRE FCST","BAJO FCST"),"")))</f>
        <v/>
      </c>
    </row>
    <row r="547" customFormat="false" ht="15" hidden="false" customHeight="false" outlineLevel="0" collapsed="false">
      <c r="A547" s="3" t="n">
        <v>30002286</v>
      </c>
      <c r="B547" s="3" t="s">
        <v>320</v>
      </c>
      <c r="C547" s="3" t="s">
        <v>1375</v>
      </c>
      <c r="D547" s="23" t="n">
        <v>7678.872</v>
      </c>
      <c r="E547" s="23" t="n">
        <v>9377.79530569355</v>
      </c>
      <c r="F547" s="23" t="n">
        <f aca="false">D547-E547</f>
        <v>-1698.92330569355</v>
      </c>
      <c r="G547" s="24" t="n">
        <f aca="false">IF(E547&gt;0,D547/E547-1,"")</f>
        <v>-0.181164468866374</v>
      </c>
      <c r="H547" s="3" t="str">
        <f aca="false">IF(MAX(D547,E547)&lt;Parametros!$B$16,"",IF(E547=0,"PIDE SIN FCST",IF(ABS(G547)&gt;Parametros!$B$14,IF(G547&gt;0,"SOBRE FCST","BAJO FCST"),"")))</f>
        <v/>
      </c>
    </row>
    <row r="548" customFormat="false" ht="15" hidden="false" customHeight="false" outlineLevel="0" collapsed="false">
      <c r="A548" s="3" t="n">
        <v>30001055</v>
      </c>
      <c r="B548" s="3" t="s">
        <v>246</v>
      </c>
      <c r="C548" s="3" t="s">
        <v>1372</v>
      </c>
      <c r="D548" s="23" t="n">
        <v>3934.56</v>
      </c>
      <c r="E548" s="23" t="n">
        <v>2239.02355395895</v>
      </c>
      <c r="F548" s="23" t="n">
        <f aca="false">D548-E548</f>
        <v>1695.53644604105</v>
      </c>
      <c r="G548" s="24" t="n">
        <f aca="false">IF(E548&gt;0,D548/E548-1,"")</f>
        <v>0.757266015823315</v>
      </c>
      <c r="H548" s="3" t="str">
        <f aca="false">IF(MAX(D548,E548)&lt;Parametros!$B$16,"",IF(E548=0,"PIDE SIN FCST",IF(ABS(G548)&gt;Parametros!$B$14,IF(G548&gt;0,"SOBRE FCST","BAJO FCST"),"")))</f>
        <v>SOBRE FCST</v>
      </c>
    </row>
    <row r="549" customFormat="false" ht="15" hidden="false" customHeight="false" outlineLevel="0" collapsed="false">
      <c r="A549" s="3" t="n">
        <v>30001032</v>
      </c>
      <c r="B549" s="3" t="s">
        <v>316</v>
      </c>
      <c r="C549" s="3" t="s">
        <v>1378</v>
      </c>
      <c r="D549" s="23" t="n">
        <v>3499.2</v>
      </c>
      <c r="E549" s="23" t="n">
        <v>1807.75061095481</v>
      </c>
      <c r="F549" s="23" t="n">
        <f aca="false">D549-E549</f>
        <v>1691.44938904519</v>
      </c>
      <c r="G549" s="24" t="n">
        <f aca="false">IF(E549&gt;0,D549/E549-1,"")</f>
        <v>0.935665228818152</v>
      </c>
      <c r="H549" s="3" t="str">
        <f aca="false">IF(MAX(D549,E549)&lt;Parametros!$B$16,"",IF(E549=0,"PIDE SIN FCST",IF(ABS(G549)&gt;Parametros!$B$14,IF(G549&gt;0,"SOBRE FCST","BAJO FCST"),"")))</f>
        <v>SOBRE FCST</v>
      </c>
    </row>
    <row r="550" customFormat="false" ht="15" hidden="false" customHeight="false" outlineLevel="0" collapsed="false">
      <c r="A550" s="3" t="n">
        <v>30001954</v>
      </c>
      <c r="B550" s="3" t="s">
        <v>470</v>
      </c>
      <c r="C550" s="3" t="s">
        <v>1375</v>
      </c>
      <c r="D550" s="23" t="n">
        <v>3312</v>
      </c>
      <c r="E550" s="23" t="n">
        <v>5000</v>
      </c>
      <c r="F550" s="23" t="n">
        <f aca="false">D550-E550</f>
        <v>-1688</v>
      </c>
      <c r="G550" s="24" t="n">
        <f aca="false">IF(E550&gt;0,D550/E550-1,"")</f>
        <v>-0.3376</v>
      </c>
      <c r="H550" s="3" t="str">
        <f aca="false">IF(MAX(D550,E550)&lt;Parametros!$B$16,"",IF(E550=0,"PIDE SIN FCST",IF(ABS(G550)&gt;Parametros!$B$14,IF(G550&gt;0,"SOBRE FCST","BAJO FCST"),"")))</f>
        <v>BAJO FCST</v>
      </c>
    </row>
    <row r="551" customFormat="false" ht="15" hidden="false" customHeight="false" outlineLevel="0" collapsed="false">
      <c r="A551" s="3" t="n">
        <v>30002132</v>
      </c>
      <c r="B551" s="3" t="s">
        <v>586</v>
      </c>
      <c r="C551" s="3" t="s">
        <v>1380</v>
      </c>
      <c r="D551" s="23" t="n">
        <v>1687.5</v>
      </c>
      <c r="E551" s="23" t="n">
        <v>0</v>
      </c>
      <c r="F551" s="23" t="n">
        <f aca="false">D551-E551</f>
        <v>1687.5</v>
      </c>
      <c r="G551" s="24" t="str">
        <f aca="false">IF(E551&gt;0,D551/E551-1,"")</f>
        <v/>
      </c>
      <c r="H551" s="3" t="str">
        <f aca="false">IF(MAX(D551,E551)&lt;Parametros!$B$16,"",IF(E551=0,"PIDE SIN FCST",IF(ABS(G551)&gt;Parametros!$B$14,IF(G551&gt;0,"SOBRE FCST","BAJO FCST"),"")))</f>
        <v>PIDE SIN FCST</v>
      </c>
    </row>
    <row r="552" customFormat="false" ht="15" hidden="false" customHeight="false" outlineLevel="0" collapsed="false">
      <c r="A552" s="3" t="n">
        <v>30000180</v>
      </c>
      <c r="B552" s="3" t="s">
        <v>462</v>
      </c>
      <c r="C552" s="3" t="s">
        <v>1380</v>
      </c>
      <c r="D552" s="23" t="n">
        <v>4680</v>
      </c>
      <c r="E552" s="23" t="n">
        <v>3000</v>
      </c>
      <c r="F552" s="23" t="n">
        <f aca="false">D552-E552</f>
        <v>1680</v>
      </c>
      <c r="G552" s="24" t="n">
        <f aca="false">IF(E552&gt;0,D552/E552-1,"")</f>
        <v>0.56</v>
      </c>
      <c r="H552" s="3" t="str">
        <f aca="false">IF(MAX(D552,E552)&lt;Parametros!$B$16,"",IF(E552=0,"PIDE SIN FCST",IF(ABS(G552)&gt;Parametros!$B$14,IF(G552&gt;0,"SOBRE FCST","BAJO FCST"),"")))</f>
        <v>SOBRE FCST</v>
      </c>
    </row>
    <row r="553" customFormat="false" ht="15" hidden="false" customHeight="false" outlineLevel="0" collapsed="false">
      <c r="A553" s="3" t="n">
        <v>30000353</v>
      </c>
      <c r="B553" s="3" t="s">
        <v>219</v>
      </c>
      <c r="C553" s="3" t="s">
        <v>1375</v>
      </c>
      <c r="D553" s="23" t="n">
        <v>152328</v>
      </c>
      <c r="E553" s="23" t="n">
        <v>154000</v>
      </c>
      <c r="F553" s="23" t="n">
        <f aca="false">D553-E553</f>
        <v>-1672</v>
      </c>
      <c r="G553" s="24" t="n">
        <f aca="false">IF(E553&gt;0,D553/E553-1,"")</f>
        <v>-0.0108571428571429</v>
      </c>
      <c r="H553" s="3" t="str">
        <f aca="false">IF(MAX(D553,E553)&lt;Parametros!$B$16,"",IF(E553=0,"PIDE SIN FCST",IF(ABS(G553)&gt;Parametros!$B$14,IF(G553&gt;0,"SOBRE FCST","BAJO FCST"),"")))</f>
        <v/>
      </c>
    </row>
    <row r="554" customFormat="false" ht="15" hidden="false" customHeight="false" outlineLevel="0" collapsed="false">
      <c r="A554" s="3" t="n">
        <v>30000300</v>
      </c>
      <c r="B554" s="3" t="s">
        <v>291</v>
      </c>
      <c r="C554" s="3" t="s">
        <v>1377</v>
      </c>
      <c r="D554" s="23" t="n">
        <v>2574</v>
      </c>
      <c r="E554" s="23" t="n">
        <v>4245.82860639289</v>
      </c>
      <c r="F554" s="23" t="n">
        <f aca="false">D554-E554</f>
        <v>-1671.82860639289</v>
      </c>
      <c r="G554" s="24" t="n">
        <f aca="false">IF(E554&gt;0,D554/E554-1,"")</f>
        <v>-0.393757911912797</v>
      </c>
      <c r="H554" s="3" t="str">
        <f aca="false">IF(MAX(D554,E554)&lt;Parametros!$B$16,"",IF(E554=0,"PIDE SIN FCST",IF(ABS(G554)&gt;Parametros!$B$14,IF(G554&gt;0,"SOBRE FCST","BAJO FCST"),"")))</f>
        <v>BAJO FCST</v>
      </c>
    </row>
    <row r="555" customFormat="false" ht="15" hidden="false" customHeight="false" outlineLevel="0" collapsed="false">
      <c r="A555" s="3" t="n">
        <v>30000398</v>
      </c>
      <c r="B555" s="3" t="s">
        <v>295</v>
      </c>
      <c r="C555" s="3" t="s">
        <v>1375</v>
      </c>
      <c r="D555" s="23" t="n">
        <v>9270</v>
      </c>
      <c r="E555" s="23" t="n">
        <v>7600</v>
      </c>
      <c r="F555" s="23" t="n">
        <f aca="false">D555-E555</f>
        <v>1670</v>
      </c>
      <c r="G555" s="24" t="n">
        <f aca="false">IF(E555&gt;0,D555/E555-1,"")</f>
        <v>0.219736842105263</v>
      </c>
      <c r="H555" s="3" t="str">
        <f aca="false">IF(MAX(D555,E555)&lt;Parametros!$B$16,"",IF(E555=0,"PIDE SIN FCST",IF(ABS(G555)&gt;Parametros!$B$14,IF(G555&gt;0,"SOBRE FCST","BAJO FCST"),"")))</f>
        <v>SOBRE FCST</v>
      </c>
    </row>
    <row r="556" customFormat="false" ht="15" hidden="false" customHeight="false" outlineLevel="0" collapsed="false">
      <c r="A556" s="3" t="n">
        <v>30000668</v>
      </c>
      <c r="B556" s="3" t="s">
        <v>280</v>
      </c>
      <c r="C556" s="3" t="s">
        <v>1380</v>
      </c>
      <c r="D556" s="23" t="n">
        <v>32832</v>
      </c>
      <c r="E556" s="23" t="n">
        <v>34500</v>
      </c>
      <c r="F556" s="23" t="n">
        <f aca="false">D556-E556</f>
        <v>-1668</v>
      </c>
      <c r="G556" s="24" t="n">
        <f aca="false">IF(E556&gt;0,D556/E556-1,"")</f>
        <v>-0.0483478260869565</v>
      </c>
      <c r="H556" s="3" t="str">
        <f aca="false">IF(MAX(D556,E556)&lt;Parametros!$B$16,"",IF(E556=0,"PIDE SIN FCST",IF(ABS(G556)&gt;Parametros!$B$14,IF(G556&gt;0,"SOBRE FCST","BAJO FCST"),"")))</f>
        <v/>
      </c>
    </row>
    <row r="557" customFormat="false" ht="15" hidden="false" customHeight="false" outlineLevel="0" collapsed="false">
      <c r="A557" s="3" t="n">
        <v>30001541</v>
      </c>
      <c r="B557" s="3" t="s">
        <v>591</v>
      </c>
      <c r="C557" s="3" t="s">
        <v>1377</v>
      </c>
      <c r="D557" s="23" t="n">
        <v>924</v>
      </c>
      <c r="E557" s="23" t="n">
        <v>2587.72519648721</v>
      </c>
      <c r="F557" s="23" t="n">
        <f aca="false">D557-E557</f>
        <v>-1663.72519648721</v>
      </c>
      <c r="G557" s="24" t="n">
        <f aca="false">IF(E557&gt;0,D557/E557-1,"")</f>
        <v>-0.642929627437135</v>
      </c>
      <c r="H557" s="3" t="str">
        <f aca="false">IF(MAX(D557,E557)&lt;Parametros!$B$16,"",IF(E557=0,"PIDE SIN FCST",IF(ABS(G557)&gt;Parametros!$B$14,IF(G557&gt;0,"SOBRE FCST","BAJO FCST"),"")))</f>
        <v>BAJO FCST</v>
      </c>
    </row>
    <row r="558" customFormat="false" ht="15" hidden="false" customHeight="false" outlineLevel="0" collapsed="false">
      <c r="A558" s="3" t="n">
        <v>30001861</v>
      </c>
      <c r="B558" s="3" t="s">
        <v>250</v>
      </c>
      <c r="C558" s="3" t="s">
        <v>1377</v>
      </c>
      <c r="D558" s="23" t="n">
        <v>7457.4</v>
      </c>
      <c r="E558" s="23" t="n">
        <v>9119.73637528532</v>
      </c>
      <c r="F558" s="23" t="n">
        <f aca="false">D558-E558</f>
        <v>-1662.33637528532</v>
      </c>
      <c r="G558" s="24" t="n">
        <f aca="false">IF(E558&gt;0,D558/E558-1,"")</f>
        <v>-0.182278994356711</v>
      </c>
      <c r="H558" s="3" t="str">
        <f aca="false">IF(MAX(D558,E558)&lt;Parametros!$B$16,"",IF(E558=0,"PIDE SIN FCST",IF(ABS(G558)&gt;Parametros!$B$14,IF(G558&gt;0,"SOBRE FCST","BAJO FCST"),"")))</f>
        <v/>
      </c>
    </row>
    <row r="559" customFormat="false" ht="15" hidden="false" customHeight="false" outlineLevel="0" collapsed="false">
      <c r="A559" s="3" t="n">
        <v>30002198</v>
      </c>
      <c r="B559" s="3" t="s">
        <v>362</v>
      </c>
      <c r="C559" s="3" t="s">
        <v>1373</v>
      </c>
      <c r="D559" s="23" t="n">
        <v>1761.6</v>
      </c>
      <c r="E559" s="23" t="n">
        <v>3421.19715479456</v>
      </c>
      <c r="F559" s="23" t="n">
        <f aca="false">D559-E559</f>
        <v>-1659.59715479456</v>
      </c>
      <c r="G559" s="24" t="n">
        <f aca="false">IF(E559&gt;0,D559/E559-1,"")</f>
        <v>-0.485092521624705</v>
      </c>
      <c r="H559" s="3" t="str">
        <f aca="false">IF(MAX(D559,E559)&lt;Parametros!$B$16,"",IF(E559=0,"PIDE SIN FCST",IF(ABS(G559)&gt;Parametros!$B$14,IF(G559&gt;0,"SOBRE FCST","BAJO FCST"),"")))</f>
        <v>BAJO FCST</v>
      </c>
    </row>
    <row r="560" customFormat="false" ht="15" hidden="false" customHeight="false" outlineLevel="0" collapsed="false">
      <c r="A560" s="3" t="n">
        <v>30000616</v>
      </c>
      <c r="B560" s="3" t="s">
        <v>372</v>
      </c>
      <c r="C560" s="3" t="s">
        <v>1378</v>
      </c>
      <c r="D560" s="23" t="n">
        <v>729.6</v>
      </c>
      <c r="E560" s="23" t="n">
        <v>2388</v>
      </c>
      <c r="F560" s="23" t="n">
        <f aca="false">D560-E560</f>
        <v>-1658.4</v>
      </c>
      <c r="G560" s="24" t="n">
        <f aca="false">IF(E560&gt;0,D560/E560-1,"")</f>
        <v>-0.694472361809045</v>
      </c>
      <c r="H560" s="3" t="str">
        <f aca="false">IF(MAX(D560,E560)&lt;Parametros!$B$16,"",IF(E560=0,"PIDE SIN FCST",IF(ABS(G560)&gt;Parametros!$B$14,IF(G560&gt;0,"SOBRE FCST","BAJO FCST"),"")))</f>
        <v>BAJO FCST</v>
      </c>
    </row>
    <row r="561" customFormat="false" ht="15" hidden="false" customHeight="false" outlineLevel="0" collapsed="false">
      <c r="A561" s="3" t="n">
        <v>30002076</v>
      </c>
      <c r="B561" s="3" t="s">
        <v>489</v>
      </c>
      <c r="C561" s="3" t="s">
        <v>1373</v>
      </c>
      <c r="D561" s="23" t="n">
        <v>144</v>
      </c>
      <c r="E561" s="23" t="n">
        <v>1799.37416666667</v>
      </c>
      <c r="F561" s="23" t="n">
        <f aca="false">D561-E561</f>
        <v>-1655.37416666667</v>
      </c>
      <c r="G561" s="24" t="n">
        <f aca="false">IF(E561&gt;0,D561/E561-1,"")</f>
        <v>-0.919972175511023</v>
      </c>
      <c r="H561" s="3" t="str">
        <f aca="false">IF(MAX(D561,E561)&lt;Parametros!$B$16,"",IF(E561=0,"PIDE SIN FCST",IF(ABS(G561)&gt;Parametros!$B$14,IF(G561&gt;0,"SOBRE FCST","BAJO FCST"),"")))</f>
        <v>BAJO FCST</v>
      </c>
    </row>
    <row r="562" customFormat="false" ht="15" hidden="false" customHeight="false" outlineLevel="0" collapsed="false">
      <c r="A562" s="3" t="n">
        <v>30000207</v>
      </c>
      <c r="B562" s="3" t="s">
        <v>300</v>
      </c>
      <c r="C562" s="3" t="s">
        <v>1375</v>
      </c>
      <c r="D562" s="23" t="n">
        <v>11880</v>
      </c>
      <c r="E562" s="23" t="n">
        <v>13535.3266152446</v>
      </c>
      <c r="F562" s="23" t="n">
        <f aca="false">D562-E562</f>
        <v>-1655.3266152446</v>
      </c>
      <c r="G562" s="24" t="n">
        <f aca="false">IF(E562&gt;0,D562/E562-1,"")</f>
        <v>-0.122296761821782</v>
      </c>
      <c r="H562" s="3" t="str">
        <f aca="false">IF(MAX(D562,E562)&lt;Parametros!$B$16,"",IF(E562=0,"PIDE SIN FCST",IF(ABS(G562)&gt;Parametros!$B$14,IF(G562&gt;0,"SOBRE FCST","BAJO FCST"),"")))</f>
        <v/>
      </c>
    </row>
    <row r="563" customFormat="false" ht="15" hidden="false" customHeight="false" outlineLevel="0" collapsed="false">
      <c r="A563" s="3" t="n">
        <v>30001861</v>
      </c>
      <c r="B563" s="3" t="s">
        <v>250</v>
      </c>
      <c r="C563" s="3" t="s">
        <v>1372</v>
      </c>
      <c r="D563" s="23" t="n">
        <v>5967</v>
      </c>
      <c r="E563" s="23" t="n">
        <v>4312.87532747868</v>
      </c>
      <c r="F563" s="23" t="n">
        <f aca="false">D563-E563</f>
        <v>1654.12467252132</v>
      </c>
      <c r="G563" s="24" t="n">
        <f aca="false">IF(E563&gt;0,D563/E563-1,"")</f>
        <v>0.383531761741956</v>
      </c>
      <c r="H563" s="3" t="str">
        <f aca="false">IF(MAX(D563,E563)&lt;Parametros!$B$16,"",IF(E563=0,"PIDE SIN FCST",IF(ABS(G563)&gt;Parametros!$B$14,IF(G563&gt;0,"SOBRE FCST","BAJO FCST"),"")))</f>
        <v>SOBRE FCST</v>
      </c>
    </row>
    <row r="564" customFormat="false" ht="15" hidden="false" customHeight="false" outlineLevel="0" collapsed="false">
      <c r="A564" s="3" t="n">
        <v>30002094</v>
      </c>
      <c r="B564" s="3" t="s">
        <v>452</v>
      </c>
      <c r="C564" s="3" t="s">
        <v>1375</v>
      </c>
      <c r="D564" s="23" t="n">
        <v>2179.584</v>
      </c>
      <c r="E564" s="23" t="n">
        <v>3833.66695775883</v>
      </c>
      <c r="F564" s="23" t="n">
        <f aca="false">D564-E564</f>
        <v>-1654.08295775883</v>
      </c>
      <c r="G564" s="24" t="n">
        <f aca="false">IF(E564&gt;0,D564/E564-1,"")</f>
        <v>-0.431462350794763</v>
      </c>
      <c r="H564" s="3" t="str">
        <f aca="false">IF(MAX(D564,E564)&lt;Parametros!$B$16,"",IF(E564=0,"PIDE SIN FCST",IF(ABS(G564)&gt;Parametros!$B$14,IF(G564&gt;0,"SOBRE FCST","BAJO FCST"),"")))</f>
        <v>BAJO FCST</v>
      </c>
    </row>
    <row r="565" customFormat="false" ht="15" hidden="false" customHeight="false" outlineLevel="0" collapsed="false">
      <c r="A565" s="3" t="n">
        <v>30000066</v>
      </c>
      <c r="B565" s="3" t="s">
        <v>442</v>
      </c>
      <c r="C565" s="3" t="s">
        <v>1372</v>
      </c>
      <c r="D565" s="23" t="n">
        <v>3808.8</v>
      </c>
      <c r="E565" s="23" t="n">
        <v>2156.43766373934</v>
      </c>
      <c r="F565" s="23" t="n">
        <f aca="false">D565-E565</f>
        <v>1652.36233626066</v>
      </c>
      <c r="G565" s="24" t="n">
        <f aca="false">IF(E565&gt;0,D565/E565-1,"")</f>
        <v>0.766246279243427</v>
      </c>
      <c r="H565" s="3" t="str">
        <f aca="false">IF(MAX(D565,E565)&lt;Parametros!$B$16,"",IF(E565=0,"PIDE SIN FCST",IF(ABS(G565)&gt;Parametros!$B$14,IF(G565&gt;0,"SOBRE FCST","BAJO FCST"),"")))</f>
        <v>SOBRE FCST</v>
      </c>
    </row>
    <row r="566" customFormat="false" ht="15" hidden="false" customHeight="false" outlineLevel="0" collapsed="false">
      <c r="A566" s="3" t="n">
        <v>30001856</v>
      </c>
      <c r="B566" s="3" t="s">
        <v>472</v>
      </c>
      <c r="C566" s="3" t="s">
        <v>1380</v>
      </c>
      <c r="D566" s="23" t="n">
        <v>3024</v>
      </c>
      <c r="E566" s="23" t="n">
        <v>4671.10420748167</v>
      </c>
      <c r="F566" s="23" t="n">
        <f aca="false">D566-E566</f>
        <v>-1647.10420748167</v>
      </c>
      <c r="G566" s="24" t="n">
        <f aca="false">IF(E566&gt;0,D566/E566-1,"")</f>
        <v>-0.352615598864936</v>
      </c>
      <c r="H566" s="3" t="str">
        <f aca="false">IF(MAX(D566,E566)&lt;Parametros!$B$16,"",IF(E566=0,"PIDE SIN FCST",IF(ABS(G566)&gt;Parametros!$B$14,IF(G566&gt;0,"SOBRE FCST","BAJO FCST"),"")))</f>
        <v>BAJO FCST</v>
      </c>
    </row>
    <row r="567" customFormat="false" ht="15" hidden="false" customHeight="false" outlineLevel="0" collapsed="false">
      <c r="A567" s="3" t="n">
        <v>30001086</v>
      </c>
      <c r="B567" s="3" t="s">
        <v>223</v>
      </c>
      <c r="C567" s="3" t="s">
        <v>1378</v>
      </c>
      <c r="D567" s="23" t="n">
        <v>12621.6</v>
      </c>
      <c r="E567" s="23" t="n">
        <v>14267.7832560891</v>
      </c>
      <c r="F567" s="23" t="n">
        <f aca="false">D567-E567</f>
        <v>-1646.18325608914</v>
      </c>
      <c r="G567" s="24" t="n">
        <f aca="false">IF(E567&gt;0,D567/E567-1,"")</f>
        <v>-0.115377646726347</v>
      </c>
      <c r="H567" s="3" t="str">
        <f aca="false">IF(MAX(D567,E567)&lt;Parametros!$B$16,"",IF(E567=0,"PIDE SIN FCST",IF(ABS(G567)&gt;Parametros!$B$14,IF(G567&gt;0,"SOBRE FCST","BAJO FCST"),"")))</f>
        <v/>
      </c>
    </row>
    <row r="568" customFormat="false" ht="15" hidden="false" customHeight="false" outlineLevel="0" collapsed="false">
      <c r="A568" s="3" t="n">
        <v>30001341</v>
      </c>
      <c r="B568" s="3" t="s">
        <v>540</v>
      </c>
      <c r="C568" s="3" t="s">
        <v>1380</v>
      </c>
      <c r="D568" s="23" t="n">
        <v>1555.2</v>
      </c>
      <c r="E568" s="23" t="n">
        <v>3200</v>
      </c>
      <c r="F568" s="23" t="n">
        <f aca="false">D568-E568</f>
        <v>-1644.8</v>
      </c>
      <c r="G568" s="24" t="n">
        <f aca="false">IF(E568&gt;0,D568/E568-1,"")</f>
        <v>-0.514</v>
      </c>
      <c r="H568" s="3" t="str">
        <f aca="false">IF(MAX(D568,E568)&lt;Parametros!$B$16,"",IF(E568=0,"PIDE SIN FCST",IF(ABS(G568)&gt;Parametros!$B$14,IF(G568&gt;0,"SOBRE FCST","BAJO FCST"),"")))</f>
        <v>BAJO FCST</v>
      </c>
    </row>
    <row r="569" customFormat="false" ht="15" hidden="false" customHeight="false" outlineLevel="0" collapsed="false">
      <c r="A569" s="3" t="n">
        <v>30001403</v>
      </c>
      <c r="B569" s="3" t="s">
        <v>465</v>
      </c>
      <c r="C569" s="3" t="s">
        <v>1373</v>
      </c>
      <c r="D569" s="23" t="n">
        <v>4827.6</v>
      </c>
      <c r="E569" s="23" t="n">
        <v>6469.31299121802</v>
      </c>
      <c r="F569" s="23" t="n">
        <f aca="false">D569-E569</f>
        <v>-1641.71299121802</v>
      </c>
      <c r="G569" s="24" t="n">
        <f aca="false">IF(E569&gt;0,D569/E569-1,"")</f>
        <v>-0.25376929411927</v>
      </c>
      <c r="H569" s="3" t="str">
        <f aca="false">IF(MAX(D569,E569)&lt;Parametros!$B$16,"",IF(E569=0,"PIDE SIN FCST",IF(ABS(G569)&gt;Parametros!$B$14,IF(G569&gt;0,"SOBRE FCST","BAJO FCST"),"")))</f>
        <v>BAJO FCST</v>
      </c>
    </row>
    <row r="570" customFormat="false" ht="15" hidden="false" customHeight="false" outlineLevel="0" collapsed="false">
      <c r="A570" s="3" t="n">
        <v>30002272</v>
      </c>
      <c r="B570" s="3" t="s">
        <v>368</v>
      </c>
      <c r="C570" s="3" t="s">
        <v>1379</v>
      </c>
      <c r="D570" s="23" t="n">
        <v>2574</v>
      </c>
      <c r="E570" s="23" t="n">
        <v>934</v>
      </c>
      <c r="F570" s="23" t="n">
        <f aca="false">D570-E570</f>
        <v>1640</v>
      </c>
      <c r="G570" s="24" t="n">
        <f aca="false">IF(E570&gt;0,D570/E570-1,"")</f>
        <v>1.7558886509636</v>
      </c>
      <c r="H570" s="3" t="str">
        <f aca="false">IF(MAX(D570,E570)&lt;Parametros!$B$16,"",IF(E570=0,"PIDE SIN FCST",IF(ABS(G570)&gt;Parametros!$B$14,IF(G570&gt;0,"SOBRE FCST","BAJO FCST"),"")))</f>
        <v>SOBRE FCST</v>
      </c>
    </row>
    <row r="571" customFormat="false" ht="15" hidden="false" customHeight="false" outlineLevel="0" collapsed="false">
      <c r="A571" s="3" t="n">
        <v>30000117</v>
      </c>
      <c r="B571" s="3" t="s">
        <v>553</v>
      </c>
      <c r="C571" s="3" t="s">
        <v>1377</v>
      </c>
      <c r="D571" s="23" t="n">
        <v>600</v>
      </c>
      <c r="E571" s="23" t="n">
        <v>2239.70643375676</v>
      </c>
      <c r="F571" s="23" t="n">
        <f aca="false">D571-E571</f>
        <v>-1639.70643375676</v>
      </c>
      <c r="G571" s="24" t="n">
        <f aca="false">IF(E571&gt;0,D571/E571-1,"")</f>
        <v>-0.732107748159836</v>
      </c>
      <c r="H571" s="3" t="str">
        <f aca="false">IF(MAX(D571,E571)&lt;Parametros!$B$16,"",IF(E571=0,"PIDE SIN FCST",IF(ABS(G571)&gt;Parametros!$B$14,IF(G571&gt;0,"SOBRE FCST","BAJO FCST"),"")))</f>
        <v>BAJO FCST</v>
      </c>
    </row>
    <row r="572" customFormat="false" ht="15" hidden="false" customHeight="false" outlineLevel="0" collapsed="false">
      <c r="A572" s="3" t="n">
        <v>30001749</v>
      </c>
      <c r="B572" s="3" t="s">
        <v>307</v>
      </c>
      <c r="C572" s="3" t="s">
        <v>1375</v>
      </c>
      <c r="D572" s="23" t="n">
        <v>9639</v>
      </c>
      <c r="E572" s="23" t="n">
        <v>8000</v>
      </c>
      <c r="F572" s="23" t="n">
        <f aca="false">D572-E572</f>
        <v>1639</v>
      </c>
      <c r="G572" s="24" t="n">
        <f aca="false">IF(E572&gt;0,D572/E572-1,"")</f>
        <v>0.204875</v>
      </c>
      <c r="H572" s="3" t="str">
        <f aca="false">IF(MAX(D572,E572)&lt;Parametros!$B$16,"",IF(E572=0,"PIDE SIN FCST",IF(ABS(G572)&gt;Parametros!$B$14,IF(G572&gt;0,"SOBRE FCST","BAJO FCST"),"")))</f>
        <v>SOBRE FCST</v>
      </c>
    </row>
    <row r="573" customFormat="false" ht="15" hidden="false" customHeight="false" outlineLevel="0" collapsed="false">
      <c r="A573" s="3" t="n">
        <v>30000514</v>
      </c>
      <c r="B573" s="3" t="s">
        <v>252</v>
      </c>
      <c r="C573" s="3" t="s">
        <v>1373</v>
      </c>
      <c r="D573" s="23" t="n">
        <v>7608</v>
      </c>
      <c r="E573" s="23" t="n">
        <v>9241.25</v>
      </c>
      <c r="F573" s="23" t="n">
        <f aca="false">D573-E573</f>
        <v>-1633.25</v>
      </c>
      <c r="G573" s="24" t="n">
        <f aca="false">IF(E573&gt;0,D573/E573-1,"")</f>
        <v>-0.176734749086974</v>
      </c>
      <c r="H573" s="3" t="str">
        <f aca="false">IF(MAX(D573,E573)&lt;Parametros!$B$16,"",IF(E573=0,"PIDE SIN FCST",IF(ABS(G573)&gt;Parametros!$B$14,IF(G573&gt;0,"SOBRE FCST","BAJO FCST"),"")))</f>
        <v/>
      </c>
    </row>
    <row r="574" customFormat="false" ht="15" hidden="false" customHeight="false" outlineLevel="0" collapsed="false">
      <c r="A574" s="3" t="n">
        <v>30000318</v>
      </c>
      <c r="B574" s="3" t="s">
        <v>306</v>
      </c>
      <c r="C574" s="3" t="s">
        <v>1372</v>
      </c>
      <c r="D574" s="23" t="n">
        <v>3456</v>
      </c>
      <c r="E574" s="23" t="n">
        <v>5085.45</v>
      </c>
      <c r="F574" s="23" t="n">
        <f aca="false">D574-E574</f>
        <v>-1629.45</v>
      </c>
      <c r="G574" s="24" t="n">
        <f aca="false">IF(E574&gt;0,D574/E574-1,"")</f>
        <v>-0.320414122644014</v>
      </c>
      <c r="H574" s="3" t="str">
        <f aca="false">IF(MAX(D574,E574)&lt;Parametros!$B$16,"",IF(E574=0,"PIDE SIN FCST",IF(ABS(G574)&gt;Parametros!$B$14,IF(G574&gt;0,"SOBRE FCST","BAJO FCST"),"")))</f>
        <v>BAJO FCST</v>
      </c>
    </row>
    <row r="575" customFormat="false" ht="15" hidden="false" customHeight="false" outlineLevel="0" collapsed="false">
      <c r="A575" s="3" t="n">
        <v>30000207</v>
      </c>
      <c r="B575" s="3" t="s">
        <v>300</v>
      </c>
      <c r="C575" s="3" t="s">
        <v>1378</v>
      </c>
      <c r="D575" s="23" t="n">
        <v>5178</v>
      </c>
      <c r="E575" s="23" t="n">
        <v>3550.4</v>
      </c>
      <c r="F575" s="23" t="n">
        <f aca="false">D575-E575</f>
        <v>1627.6</v>
      </c>
      <c r="G575" s="24" t="n">
        <f aca="false">IF(E575&gt;0,D575/E575-1,"")</f>
        <v>0.458427219468229</v>
      </c>
      <c r="H575" s="3" t="str">
        <f aca="false">IF(MAX(D575,E575)&lt;Parametros!$B$16,"",IF(E575=0,"PIDE SIN FCST",IF(ABS(G575)&gt;Parametros!$B$14,IF(G575&gt;0,"SOBRE FCST","BAJO FCST"),"")))</f>
        <v>SOBRE FCST</v>
      </c>
    </row>
    <row r="576" customFormat="false" ht="15" hidden="false" customHeight="false" outlineLevel="0" collapsed="false">
      <c r="A576" s="3" t="n">
        <v>30001996</v>
      </c>
      <c r="B576" s="3" t="s">
        <v>394</v>
      </c>
      <c r="C576" s="3" t="s">
        <v>1373</v>
      </c>
      <c r="D576" s="23" t="n">
        <v>945</v>
      </c>
      <c r="E576" s="23" t="n">
        <v>2569.37253551922</v>
      </c>
      <c r="F576" s="23" t="n">
        <f aca="false">D576-E576</f>
        <v>-1624.37253551922</v>
      </c>
      <c r="G576" s="24" t="n">
        <f aca="false">IF(E576&gt;0,D576/E576-1,"")</f>
        <v>-0.632205923066335</v>
      </c>
      <c r="H576" s="3" t="str">
        <f aca="false">IF(MAX(D576,E576)&lt;Parametros!$B$16,"",IF(E576=0,"PIDE SIN FCST",IF(ABS(G576)&gt;Parametros!$B$14,IF(G576&gt;0,"SOBRE FCST","BAJO FCST"),"")))</f>
        <v>BAJO FCST</v>
      </c>
    </row>
    <row r="577" customFormat="false" ht="15" hidden="false" customHeight="false" outlineLevel="0" collapsed="false">
      <c r="A577" s="3" t="n">
        <v>30000088</v>
      </c>
      <c r="B577" s="3" t="s">
        <v>485</v>
      </c>
      <c r="C577" s="3" t="s">
        <v>1380</v>
      </c>
      <c r="D577" s="23" t="n">
        <v>4320</v>
      </c>
      <c r="E577" s="23" t="n">
        <v>2697.00376550074</v>
      </c>
      <c r="F577" s="23" t="n">
        <f aca="false">D577-E577</f>
        <v>1622.99623449926</v>
      </c>
      <c r="G577" s="24" t="n">
        <f aca="false">IF(E577&gt;0,D577/E577-1,"")</f>
        <v>0.601777518911965</v>
      </c>
      <c r="H577" s="3" t="str">
        <f aca="false">IF(MAX(D577,E577)&lt;Parametros!$B$16,"",IF(E577=0,"PIDE SIN FCST",IF(ABS(G577)&gt;Parametros!$B$14,IF(G577&gt;0,"SOBRE FCST","BAJO FCST"),"")))</f>
        <v>SOBRE FCST</v>
      </c>
    </row>
    <row r="578" customFormat="false" ht="15" hidden="false" customHeight="false" outlineLevel="0" collapsed="false">
      <c r="A578" s="3" t="n">
        <v>30000194</v>
      </c>
      <c r="B578" s="3" t="s">
        <v>268</v>
      </c>
      <c r="C578" s="3" t="s">
        <v>1380</v>
      </c>
      <c r="D578" s="23" t="n">
        <v>6618</v>
      </c>
      <c r="E578" s="23" t="n">
        <v>5000</v>
      </c>
      <c r="F578" s="23" t="n">
        <f aca="false">D578-E578</f>
        <v>1618</v>
      </c>
      <c r="G578" s="24" t="n">
        <f aca="false">IF(E578&gt;0,D578/E578-1,"")</f>
        <v>0.3236</v>
      </c>
      <c r="H578" s="3" t="str">
        <f aca="false">IF(MAX(D578,E578)&lt;Parametros!$B$16,"",IF(E578=0,"PIDE SIN FCST",IF(ABS(G578)&gt;Parametros!$B$14,IF(G578&gt;0,"SOBRE FCST","BAJO FCST"),"")))</f>
        <v>SOBRE FCST</v>
      </c>
    </row>
    <row r="579" customFormat="false" ht="15" hidden="false" customHeight="false" outlineLevel="0" collapsed="false">
      <c r="A579" s="3" t="n">
        <v>30002285</v>
      </c>
      <c r="B579" s="3" t="s">
        <v>575</v>
      </c>
      <c r="C579" s="3" t="s">
        <v>1373</v>
      </c>
      <c r="D579" s="23" t="n">
        <v>744</v>
      </c>
      <c r="E579" s="23" t="n">
        <v>2354.875</v>
      </c>
      <c r="F579" s="23" t="n">
        <f aca="false">D579-E579</f>
        <v>-1610.875</v>
      </c>
      <c r="G579" s="24" t="n">
        <f aca="false">IF(E579&gt;0,D579/E579-1,"")</f>
        <v>-0.684059663464091</v>
      </c>
      <c r="H579" s="3" t="str">
        <f aca="false">IF(MAX(D579,E579)&lt;Parametros!$B$16,"",IF(E579=0,"PIDE SIN FCST",IF(ABS(G579)&gt;Parametros!$B$14,IF(G579&gt;0,"SOBRE FCST","BAJO FCST"),"")))</f>
        <v>BAJO FCST</v>
      </c>
    </row>
    <row r="580" customFormat="false" ht="15" hidden="false" customHeight="false" outlineLevel="0" collapsed="false">
      <c r="A580" s="3" t="n">
        <v>30001862</v>
      </c>
      <c r="B580" s="3" t="s">
        <v>239</v>
      </c>
      <c r="C580" s="3" t="s">
        <v>1372</v>
      </c>
      <c r="D580" s="23" t="n">
        <v>11331</v>
      </c>
      <c r="E580" s="23" t="n">
        <v>12938.6259824361</v>
      </c>
      <c r="F580" s="23" t="n">
        <f aca="false">D580-E580</f>
        <v>-1607.62598243605</v>
      </c>
      <c r="G580" s="24" t="n">
        <f aca="false">IF(E580&gt;0,D580/E580-1,"")</f>
        <v>-0.124250131707832</v>
      </c>
      <c r="H580" s="3" t="str">
        <f aca="false">IF(MAX(D580,E580)&lt;Parametros!$B$16,"",IF(E580=0,"PIDE SIN FCST",IF(ABS(G580)&gt;Parametros!$B$14,IF(G580&gt;0,"SOBRE FCST","BAJO FCST"),"")))</f>
        <v/>
      </c>
    </row>
    <row r="581" customFormat="false" ht="15" hidden="false" customHeight="false" outlineLevel="0" collapsed="false">
      <c r="A581" s="3" t="n">
        <v>30000245</v>
      </c>
      <c r="B581" s="3" t="s">
        <v>398</v>
      </c>
      <c r="C581" s="3" t="s">
        <v>1373</v>
      </c>
      <c r="D581" s="23" t="n">
        <v>8316</v>
      </c>
      <c r="E581" s="23" t="n">
        <v>9923.58333333333</v>
      </c>
      <c r="F581" s="23" t="n">
        <f aca="false">D581-E581</f>
        <v>-1607.58333333333</v>
      </c>
      <c r="G581" s="24" t="n">
        <f aca="false">IF(E581&gt;0,D581/E581-1,"")</f>
        <v>-0.161996254713099</v>
      </c>
      <c r="H581" s="3" t="str">
        <f aca="false">IF(MAX(D581,E581)&lt;Parametros!$B$16,"",IF(E581=0,"PIDE SIN FCST",IF(ABS(G581)&gt;Parametros!$B$14,IF(G581&gt;0,"SOBRE FCST","BAJO FCST"),"")))</f>
        <v/>
      </c>
    </row>
    <row r="582" customFormat="false" ht="15" hidden="false" customHeight="false" outlineLevel="0" collapsed="false">
      <c r="A582" s="3" t="n">
        <v>30002184</v>
      </c>
      <c r="B582" s="3" t="s">
        <v>379</v>
      </c>
      <c r="C582" s="3" t="s">
        <v>1375</v>
      </c>
      <c r="D582" s="23" t="n">
        <v>2592</v>
      </c>
      <c r="E582" s="23" t="n">
        <v>4192.5129238792</v>
      </c>
      <c r="F582" s="23" t="n">
        <f aca="false">D582-E582</f>
        <v>-1600.5129238792</v>
      </c>
      <c r="G582" s="24" t="n">
        <f aca="false">IF(E582&gt;0,D582/E582-1,"")</f>
        <v>-0.38175503640387</v>
      </c>
      <c r="H582" s="3" t="str">
        <f aca="false">IF(MAX(D582,E582)&lt;Parametros!$B$16,"",IF(E582=0,"PIDE SIN FCST",IF(ABS(G582)&gt;Parametros!$B$14,IF(G582&gt;0,"SOBRE FCST","BAJO FCST"),"")))</f>
        <v>BAJO FCST</v>
      </c>
    </row>
    <row r="583" customFormat="false" ht="15" hidden="false" customHeight="false" outlineLevel="0" collapsed="false">
      <c r="A583" s="3" t="n">
        <v>30000057</v>
      </c>
      <c r="B583" s="3" t="s">
        <v>554</v>
      </c>
      <c r="C583" s="3" t="s">
        <v>1379</v>
      </c>
      <c r="D583" s="23" t="n">
        <v>0</v>
      </c>
      <c r="E583" s="23" t="n">
        <v>1599.5</v>
      </c>
      <c r="F583" s="23" t="n">
        <f aca="false">D583-E583</f>
        <v>-1599.5</v>
      </c>
      <c r="G583" s="24" t="n">
        <f aca="false">IF(E583&gt;0,D583/E583-1,"")</f>
        <v>-1</v>
      </c>
      <c r="H583" s="3" t="str">
        <f aca="false">IF(MAX(D583,E583)&lt;Parametros!$B$16,"",IF(E583=0,"PIDE SIN FCST",IF(ABS(G583)&gt;Parametros!$B$14,IF(G583&gt;0,"SOBRE FCST","BAJO FCST"),"")))</f>
        <v>BAJO FCST</v>
      </c>
    </row>
    <row r="584" customFormat="false" ht="15" hidden="false" customHeight="false" outlineLevel="0" collapsed="false">
      <c r="A584" s="3" t="n">
        <v>30000308</v>
      </c>
      <c r="B584" s="3" t="s">
        <v>513</v>
      </c>
      <c r="C584" s="3" t="s">
        <v>1373</v>
      </c>
      <c r="D584" s="23" t="n">
        <v>4740</v>
      </c>
      <c r="E584" s="23" t="n">
        <v>6332.1</v>
      </c>
      <c r="F584" s="23" t="n">
        <f aca="false">D584-E584</f>
        <v>-1592.1</v>
      </c>
      <c r="G584" s="24" t="n">
        <f aca="false">IF(E584&gt;0,D584/E584-1,"")</f>
        <v>-0.251433173828588</v>
      </c>
      <c r="H584" s="3" t="str">
        <f aca="false">IF(MAX(D584,E584)&lt;Parametros!$B$16,"",IF(E584=0,"PIDE SIN FCST",IF(ABS(G584)&gt;Parametros!$B$14,IF(G584&gt;0,"SOBRE FCST","BAJO FCST"),"")))</f>
        <v>BAJO FCST</v>
      </c>
    </row>
    <row r="585" customFormat="false" ht="15" hidden="false" customHeight="false" outlineLevel="0" collapsed="false">
      <c r="A585" s="3" t="n">
        <v>30001042</v>
      </c>
      <c r="B585" s="3" t="s">
        <v>257</v>
      </c>
      <c r="C585" s="3" t="s">
        <v>1378</v>
      </c>
      <c r="D585" s="23" t="n">
        <v>4134.24</v>
      </c>
      <c r="E585" s="23" t="n">
        <v>2549.57592480999</v>
      </c>
      <c r="F585" s="23" t="n">
        <f aca="false">D585-E585</f>
        <v>1584.66407519001</v>
      </c>
      <c r="G585" s="24" t="n">
        <f aca="false">IF(E585&gt;0,D585/E585-1,"")</f>
        <v>0.621540256859817</v>
      </c>
      <c r="H585" s="3" t="str">
        <f aca="false">IF(MAX(D585,E585)&lt;Parametros!$B$16,"",IF(E585=0,"PIDE SIN FCST",IF(ABS(G585)&gt;Parametros!$B$14,IF(G585&gt;0,"SOBRE FCST","BAJO FCST"),"")))</f>
        <v>SOBRE FCST</v>
      </c>
    </row>
    <row r="586" customFormat="false" ht="15" hidden="false" customHeight="false" outlineLevel="0" collapsed="false">
      <c r="A586" s="3" t="n">
        <v>30002330</v>
      </c>
      <c r="B586" s="3" t="s">
        <v>275</v>
      </c>
      <c r="C586" s="3" t="s">
        <v>1375</v>
      </c>
      <c r="D586" s="23" t="n">
        <v>9084</v>
      </c>
      <c r="E586" s="23" t="n">
        <v>7500</v>
      </c>
      <c r="F586" s="23" t="n">
        <f aca="false">D586-E586</f>
        <v>1584</v>
      </c>
      <c r="G586" s="24" t="n">
        <f aca="false">IF(E586&gt;0,D586/E586-1,"")</f>
        <v>0.2112</v>
      </c>
      <c r="H586" s="3" t="str">
        <f aca="false">IF(MAX(D586,E586)&lt;Parametros!$B$16,"",IF(E586=0,"PIDE SIN FCST",IF(ABS(G586)&gt;Parametros!$B$14,IF(G586&gt;0,"SOBRE FCST","BAJO FCST"),"")))</f>
        <v>SOBRE FCST</v>
      </c>
    </row>
    <row r="587" customFormat="false" ht="15" hidden="false" customHeight="false" outlineLevel="0" collapsed="false">
      <c r="A587" s="3" t="n">
        <v>30000642</v>
      </c>
      <c r="B587" s="3" t="s">
        <v>451</v>
      </c>
      <c r="C587" s="3" t="s">
        <v>1380</v>
      </c>
      <c r="D587" s="23" t="n">
        <v>1641.6</v>
      </c>
      <c r="E587" s="23" t="n">
        <v>3220</v>
      </c>
      <c r="F587" s="23" t="n">
        <f aca="false">D587-E587</f>
        <v>-1578.4</v>
      </c>
      <c r="G587" s="24" t="n">
        <f aca="false">IF(E587&gt;0,D587/E587-1,"")</f>
        <v>-0.490186335403727</v>
      </c>
      <c r="H587" s="3" t="str">
        <f aca="false">IF(MAX(D587,E587)&lt;Parametros!$B$16,"",IF(E587=0,"PIDE SIN FCST",IF(ABS(G587)&gt;Parametros!$B$14,IF(G587&gt;0,"SOBRE FCST","BAJO FCST"),"")))</f>
        <v>BAJO FCST</v>
      </c>
    </row>
    <row r="588" customFormat="false" ht="15" hidden="false" customHeight="false" outlineLevel="0" collapsed="false">
      <c r="A588" s="3" t="n">
        <v>30000308</v>
      </c>
      <c r="B588" s="3" t="s">
        <v>513</v>
      </c>
      <c r="C588" s="3" t="s">
        <v>1376</v>
      </c>
      <c r="D588" s="23" t="n">
        <v>1578</v>
      </c>
      <c r="E588" s="23" t="n">
        <v>0</v>
      </c>
      <c r="F588" s="23" t="n">
        <f aca="false">D588-E588</f>
        <v>1578</v>
      </c>
      <c r="G588" s="24" t="str">
        <f aca="false">IF(E588&gt;0,D588/E588-1,"")</f>
        <v/>
      </c>
      <c r="H588" s="3" t="str">
        <f aca="false">IF(MAX(D588,E588)&lt;Parametros!$B$16,"",IF(E588=0,"PIDE SIN FCST",IF(ABS(G588)&gt;Parametros!$B$14,IF(G588&gt;0,"SOBRE FCST","BAJO FCST"),"")))</f>
        <v>PIDE SIN FCST</v>
      </c>
    </row>
    <row r="589" customFormat="false" ht="15" hidden="false" customHeight="false" outlineLevel="0" collapsed="false">
      <c r="A589" s="3" t="n">
        <v>30002262</v>
      </c>
      <c r="B589" s="3" t="s">
        <v>522</v>
      </c>
      <c r="C589" s="3" t="s">
        <v>1380</v>
      </c>
      <c r="D589" s="23" t="n">
        <v>3577.65</v>
      </c>
      <c r="E589" s="23" t="n">
        <v>2000</v>
      </c>
      <c r="F589" s="23" t="n">
        <f aca="false">D589-E589</f>
        <v>1577.65</v>
      </c>
      <c r="G589" s="24" t="n">
        <f aca="false">IF(E589&gt;0,D589/E589-1,"")</f>
        <v>0.788825</v>
      </c>
      <c r="H589" s="3" t="str">
        <f aca="false">IF(MAX(D589,E589)&lt;Parametros!$B$16,"",IF(E589=0,"PIDE SIN FCST",IF(ABS(G589)&gt;Parametros!$B$14,IF(G589&gt;0,"SOBRE FCST","BAJO FCST"),"")))</f>
        <v>SOBRE FCST</v>
      </c>
    </row>
    <row r="590" customFormat="false" ht="15" hidden="false" customHeight="false" outlineLevel="0" collapsed="false">
      <c r="A590" s="3" t="n">
        <v>30000179</v>
      </c>
      <c r="B590" s="3" t="s">
        <v>449</v>
      </c>
      <c r="C590" s="3" t="s">
        <v>1380</v>
      </c>
      <c r="D590" s="23" t="n">
        <v>3528</v>
      </c>
      <c r="E590" s="23" t="n">
        <v>5100</v>
      </c>
      <c r="F590" s="23" t="n">
        <f aca="false">D590-E590</f>
        <v>-1572</v>
      </c>
      <c r="G590" s="24" t="n">
        <f aca="false">IF(E590&gt;0,D590/E590-1,"")</f>
        <v>-0.308235294117647</v>
      </c>
      <c r="H590" s="3" t="str">
        <f aca="false">IF(MAX(D590,E590)&lt;Parametros!$B$16,"",IF(E590=0,"PIDE SIN FCST",IF(ABS(G590)&gt;Parametros!$B$14,IF(G590&gt;0,"SOBRE FCST","BAJO FCST"),"")))</f>
        <v>BAJO FCST</v>
      </c>
    </row>
    <row r="591" customFormat="false" ht="15" hidden="false" customHeight="false" outlineLevel="0" collapsed="false">
      <c r="A591" s="3" t="n">
        <v>30001751</v>
      </c>
      <c r="B591" s="3" t="s">
        <v>264</v>
      </c>
      <c r="C591" s="3" t="s">
        <v>1375</v>
      </c>
      <c r="D591" s="23" t="n">
        <v>15071.4</v>
      </c>
      <c r="E591" s="23" t="n">
        <v>13500</v>
      </c>
      <c r="F591" s="23" t="n">
        <f aca="false">D591-E591</f>
        <v>1571.4</v>
      </c>
      <c r="G591" s="24" t="n">
        <f aca="false">IF(E591&gt;0,D591/E591-1,"")</f>
        <v>0.1164</v>
      </c>
      <c r="H591" s="3" t="str">
        <f aca="false">IF(MAX(D591,E591)&lt;Parametros!$B$16,"",IF(E591=0,"PIDE SIN FCST",IF(ABS(G591)&gt;Parametros!$B$14,IF(G591&gt;0,"SOBRE FCST","BAJO FCST"),"")))</f>
        <v/>
      </c>
    </row>
    <row r="592" customFormat="false" ht="15" hidden="false" customHeight="false" outlineLevel="0" collapsed="false">
      <c r="A592" s="3" t="n">
        <v>30002162</v>
      </c>
      <c r="B592" s="3" t="s">
        <v>601</v>
      </c>
      <c r="C592" s="3" t="s">
        <v>1375</v>
      </c>
      <c r="D592" s="23" t="n">
        <v>2430</v>
      </c>
      <c r="E592" s="23" t="n">
        <v>862.575065495737</v>
      </c>
      <c r="F592" s="23" t="n">
        <f aca="false">D592-E592</f>
        <v>1567.42493450426</v>
      </c>
      <c r="G592" s="24" t="n">
        <f aca="false">IF(E592&gt;0,D592/E592-1,"")</f>
        <v>1.81714612119403</v>
      </c>
      <c r="H592" s="3" t="str">
        <f aca="false">IF(MAX(D592,E592)&lt;Parametros!$B$16,"",IF(E592=0,"PIDE SIN FCST",IF(ABS(G592)&gt;Parametros!$B$14,IF(G592&gt;0,"SOBRE FCST","BAJO FCST"),"")))</f>
        <v>SOBRE FCST</v>
      </c>
    </row>
    <row r="593" customFormat="false" ht="15" hidden="false" customHeight="false" outlineLevel="0" collapsed="false">
      <c r="A593" s="3" t="n">
        <v>30000610</v>
      </c>
      <c r="B593" s="3" t="s">
        <v>387</v>
      </c>
      <c r="C593" s="3" t="s">
        <v>1373</v>
      </c>
      <c r="D593" s="23" t="n">
        <v>6733.44</v>
      </c>
      <c r="E593" s="23" t="n">
        <v>8300</v>
      </c>
      <c r="F593" s="23" t="n">
        <f aca="false">D593-E593</f>
        <v>-1566.56</v>
      </c>
      <c r="G593" s="24" t="n">
        <f aca="false">IF(E593&gt;0,D593/E593-1,"")</f>
        <v>-0.188742168674699</v>
      </c>
      <c r="H593" s="3" t="str">
        <f aca="false">IF(MAX(D593,E593)&lt;Parametros!$B$16,"",IF(E593=0,"PIDE SIN FCST",IF(ABS(G593)&gt;Parametros!$B$14,IF(G593&gt;0,"SOBRE FCST","BAJO FCST"),"")))</f>
        <v/>
      </c>
    </row>
    <row r="594" customFormat="false" ht="15" hidden="false" customHeight="false" outlineLevel="0" collapsed="false">
      <c r="A594" s="3" t="n">
        <v>30000195</v>
      </c>
      <c r="B594" s="3" t="s">
        <v>348</v>
      </c>
      <c r="C594" s="3" t="s">
        <v>1373</v>
      </c>
      <c r="D594" s="23" t="n">
        <v>9264</v>
      </c>
      <c r="E594" s="23" t="n">
        <v>7700</v>
      </c>
      <c r="F594" s="23" t="n">
        <f aca="false">D594-E594</f>
        <v>1564</v>
      </c>
      <c r="G594" s="24" t="n">
        <f aca="false">IF(E594&gt;0,D594/E594-1,"")</f>
        <v>0.203116883116883</v>
      </c>
      <c r="H594" s="3" t="str">
        <f aca="false">IF(MAX(D594,E594)&lt;Parametros!$B$16,"",IF(E594=0,"PIDE SIN FCST",IF(ABS(G594)&gt;Parametros!$B$14,IF(G594&gt;0,"SOBRE FCST","BAJO FCST"),"")))</f>
        <v>SOBRE FCST</v>
      </c>
    </row>
    <row r="595" customFormat="false" ht="15" hidden="false" customHeight="false" outlineLevel="0" collapsed="false">
      <c r="A595" s="3" t="n">
        <v>30001745</v>
      </c>
      <c r="B595" s="3" t="s">
        <v>445</v>
      </c>
      <c r="C595" s="3" t="s">
        <v>1380</v>
      </c>
      <c r="D595" s="23" t="n">
        <v>5763.96</v>
      </c>
      <c r="E595" s="23" t="n">
        <v>4200</v>
      </c>
      <c r="F595" s="23" t="n">
        <f aca="false">D595-E595</f>
        <v>1563.96</v>
      </c>
      <c r="G595" s="24" t="n">
        <f aca="false">IF(E595&gt;0,D595/E595-1,"")</f>
        <v>0.372371428571429</v>
      </c>
      <c r="H595" s="3" t="str">
        <f aca="false">IF(MAX(D595,E595)&lt;Parametros!$B$16,"",IF(E595=0,"PIDE SIN FCST",IF(ABS(G595)&gt;Parametros!$B$14,IF(G595&gt;0,"SOBRE FCST","BAJO FCST"),"")))</f>
        <v>SOBRE FCST</v>
      </c>
    </row>
    <row r="596" customFormat="false" ht="15" hidden="false" customHeight="false" outlineLevel="0" collapsed="false">
      <c r="A596" s="3" t="n">
        <v>30001075</v>
      </c>
      <c r="B596" s="3" t="s">
        <v>297</v>
      </c>
      <c r="C596" s="3" t="s">
        <v>1372</v>
      </c>
      <c r="D596" s="23" t="n">
        <v>1562.88</v>
      </c>
      <c r="E596" s="23" t="n">
        <v>0</v>
      </c>
      <c r="F596" s="23" t="n">
        <f aca="false">D596-E596</f>
        <v>1562.88</v>
      </c>
      <c r="G596" s="24" t="str">
        <f aca="false">IF(E596&gt;0,D596/E596-1,"")</f>
        <v/>
      </c>
      <c r="H596" s="3" t="str">
        <f aca="false">IF(MAX(D596,E596)&lt;Parametros!$B$16,"",IF(E596=0,"PIDE SIN FCST",IF(ABS(G596)&gt;Parametros!$B$14,IF(G596&gt;0,"SOBRE FCST","BAJO FCST"),"")))</f>
        <v>PIDE SIN FCST</v>
      </c>
    </row>
    <row r="597" customFormat="false" ht="15" hidden="false" customHeight="false" outlineLevel="0" collapsed="false">
      <c r="A597" s="3" t="n">
        <v>30001410</v>
      </c>
      <c r="B597" s="3" t="s">
        <v>324</v>
      </c>
      <c r="C597" s="3" t="s">
        <v>1372</v>
      </c>
      <c r="D597" s="23" t="n">
        <v>5590.08</v>
      </c>
      <c r="E597" s="23" t="n">
        <v>4029.32</v>
      </c>
      <c r="F597" s="23" t="n">
        <f aca="false">D597-E597</f>
        <v>1560.76</v>
      </c>
      <c r="G597" s="24" t="n">
        <f aca="false">IF(E597&gt;0,D597/E597-1,"")</f>
        <v>0.387350719228058</v>
      </c>
      <c r="H597" s="3" t="str">
        <f aca="false">IF(MAX(D597,E597)&lt;Parametros!$B$16,"",IF(E597=0,"PIDE SIN FCST",IF(ABS(G597)&gt;Parametros!$B$14,IF(G597&gt;0,"SOBRE FCST","BAJO FCST"),"")))</f>
        <v>SOBRE FCST</v>
      </c>
    </row>
    <row r="598" customFormat="false" ht="15" hidden="false" customHeight="false" outlineLevel="0" collapsed="false">
      <c r="A598" s="3" t="n">
        <v>30000464</v>
      </c>
      <c r="B598" s="3" t="s">
        <v>612</v>
      </c>
      <c r="C598" s="3" t="s">
        <v>1375</v>
      </c>
      <c r="D598" s="23" t="n">
        <v>2040</v>
      </c>
      <c r="E598" s="23" t="n">
        <v>3597.00376550074</v>
      </c>
      <c r="F598" s="23" t="n">
        <f aca="false">D598-E598</f>
        <v>-1557.00376550074</v>
      </c>
      <c r="G598" s="24" t="n">
        <f aca="false">IF(E598&gt;0,D598/E598-1,"")</f>
        <v>-0.432861310970574</v>
      </c>
      <c r="H598" s="3" t="str">
        <f aca="false">IF(MAX(D598,E598)&lt;Parametros!$B$16,"",IF(E598=0,"PIDE SIN FCST",IF(ABS(G598)&gt;Parametros!$B$14,IF(G598&gt;0,"SOBRE FCST","BAJO FCST"),"")))</f>
        <v>BAJO FCST</v>
      </c>
    </row>
    <row r="599" customFormat="false" ht="15" hidden="false" customHeight="false" outlineLevel="0" collapsed="false">
      <c r="A599" s="3" t="n">
        <v>30001093</v>
      </c>
      <c r="B599" s="3" t="s">
        <v>327</v>
      </c>
      <c r="C599" s="3" t="s">
        <v>1375</v>
      </c>
      <c r="D599" s="23" t="n">
        <v>9172.8</v>
      </c>
      <c r="E599" s="23" t="n">
        <v>7615.91242466815</v>
      </c>
      <c r="F599" s="23" t="n">
        <f aca="false">D599-E599</f>
        <v>1556.88757533185</v>
      </c>
      <c r="G599" s="24" t="n">
        <f aca="false">IF(E599&gt;0,D599/E599-1,"")</f>
        <v>0.204425614229629</v>
      </c>
      <c r="H599" s="3" t="str">
        <f aca="false">IF(MAX(D599,E599)&lt;Parametros!$B$16,"",IF(E599=0,"PIDE SIN FCST",IF(ABS(G599)&gt;Parametros!$B$14,IF(G599&gt;0,"SOBRE FCST","BAJO FCST"),"")))</f>
        <v>SOBRE FCST</v>
      </c>
    </row>
    <row r="600" customFormat="false" ht="15" hidden="false" customHeight="false" outlineLevel="0" collapsed="false">
      <c r="A600" s="3" t="n">
        <v>30000010</v>
      </c>
      <c r="B600" s="3" t="s">
        <v>331</v>
      </c>
      <c r="C600" s="3" t="s">
        <v>1373</v>
      </c>
      <c r="D600" s="23" t="n">
        <v>1056</v>
      </c>
      <c r="E600" s="23" t="n">
        <v>2605.54166666667</v>
      </c>
      <c r="F600" s="23" t="n">
        <f aca="false">D600-E600</f>
        <v>-1549.54166666667</v>
      </c>
      <c r="G600" s="24" t="n">
        <f aca="false">IF(E600&gt;0,D600/E600-1,"")</f>
        <v>-0.594709993123631</v>
      </c>
      <c r="H600" s="3" t="str">
        <f aca="false">IF(MAX(D600,E600)&lt;Parametros!$B$16,"",IF(E600=0,"PIDE SIN FCST",IF(ABS(G600)&gt;Parametros!$B$14,IF(G600&gt;0,"SOBRE FCST","BAJO FCST"),"")))</f>
        <v>BAJO FCST</v>
      </c>
    </row>
    <row r="601" customFormat="false" ht="15" hidden="false" customHeight="false" outlineLevel="0" collapsed="false">
      <c r="A601" s="3" t="n">
        <v>30000559</v>
      </c>
      <c r="B601" s="3" t="s">
        <v>399</v>
      </c>
      <c r="C601" s="3" t="s">
        <v>1380</v>
      </c>
      <c r="D601" s="23" t="n">
        <v>6854.4</v>
      </c>
      <c r="E601" s="23" t="n">
        <v>8400</v>
      </c>
      <c r="F601" s="23" t="n">
        <f aca="false">D601-E601</f>
        <v>-1545.6</v>
      </c>
      <c r="G601" s="24" t="n">
        <f aca="false">IF(E601&gt;0,D601/E601-1,"")</f>
        <v>-0.184</v>
      </c>
      <c r="H601" s="3" t="str">
        <f aca="false">IF(MAX(D601,E601)&lt;Parametros!$B$16,"",IF(E601=0,"PIDE SIN FCST",IF(ABS(G601)&gt;Parametros!$B$14,IF(G601&gt;0,"SOBRE FCST","BAJO FCST"),"")))</f>
        <v/>
      </c>
    </row>
    <row r="602" customFormat="false" ht="15" hidden="false" customHeight="false" outlineLevel="0" collapsed="false">
      <c r="A602" s="3" t="n">
        <v>30000305</v>
      </c>
      <c r="B602" s="3" t="s">
        <v>254</v>
      </c>
      <c r="C602" s="3" t="s">
        <v>1378</v>
      </c>
      <c r="D602" s="23" t="n">
        <v>3648</v>
      </c>
      <c r="E602" s="23" t="n">
        <v>2107.97573254467</v>
      </c>
      <c r="F602" s="23" t="n">
        <f aca="false">D602-E602</f>
        <v>1540.02426745533</v>
      </c>
      <c r="G602" s="24" t="n">
        <f aca="false">IF(E602&gt;0,D602/E602-1,"")</f>
        <v>0.730570207085008</v>
      </c>
      <c r="H602" s="3" t="str">
        <f aca="false">IF(MAX(D602,E602)&lt;Parametros!$B$16,"",IF(E602=0,"PIDE SIN FCST",IF(ABS(G602)&gt;Parametros!$B$14,IF(G602&gt;0,"SOBRE FCST","BAJO FCST"),"")))</f>
        <v>SOBRE FCST</v>
      </c>
    </row>
    <row r="603" customFormat="false" ht="15" hidden="false" customHeight="false" outlineLevel="0" collapsed="false">
      <c r="A603" s="3" t="n">
        <v>30001852</v>
      </c>
      <c r="B603" s="3" t="s">
        <v>482</v>
      </c>
      <c r="C603" s="3" t="s">
        <v>1375</v>
      </c>
      <c r="D603" s="23" t="n">
        <v>2812.32</v>
      </c>
      <c r="E603" s="23" t="n">
        <v>4343.04488276665</v>
      </c>
      <c r="F603" s="23" t="n">
        <f aca="false">D603-E603</f>
        <v>-1530.72488276665</v>
      </c>
      <c r="G603" s="24" t="n">
        <f aca="false">IF(E603&gt;0,D603/E603-1,"")</f>
        <v>-0.352454308920596</v>
      </c>
      <c r="H603" s="3" t="str">
        <f aca="false">IF(MAX(D603,E603)&lt;Parametros!$B$16,"",IF(E603=0,"PIDE SIN FCST",IF(ABS(G603)&gt;Parametros!$B$14,IF(G603&gt;0,"SOBRE FCST","BAJO FCST"),"")))</f>
        <v>BAJO FCST</v>
      </c>
    </row>
    <row r="604" customFormat="false" ht="15" hidden="false" customHeight="false" outlineLevel="0" collapsed="false">
      <c r="A604" s="3" t="n">
        <v>30002268</v>
      </c>
      <c r="B604" s="3" t="s">
        <v>370</v>
      </c>
      <c r="C604" s="3" t="s">
        <v>1375</v>
      </c>
      <c r="D604" s="23" t="n">
        <v>1925.52</v>
      </c>
      <c r="E604" s="23" t="n">
        <v>400</v>
      </c>
      <c r="F604" s="23" t="n">
        <f aca="false">D604-E604</f>
        <v>1525.52</v>
      </c>
      <c r="G604" s="24" t="n">
        <f aca="false">IF(E604&gt;0,D604/E604-1,"")</f>
        <v>3.8138</v>
      </c>
      <c r="H604" s="3" t="str">
        <f aca="false">IF(MAX(D604,E604)&lt;Parametros!$B$16,"",IF(E604=0,"PIDE SIN FCST",IF(ABS(G604)&gt;Parametros!$B$14,IF(G604&gt;0,"SOBRE FCST","BAJO FCST"),"")))</f>
        <v>SOBRE FCST</v>
      </c>
    </row>
    <row r="605" customFormat="false" ht="15" hidden="false" customHeight="false" outlineLevel="0" collapsed="false">
      <c r="A605" s="3" t="n">
        <v>30001074</v>
      </c>
      <c r="B605" s="3" t="s">
        <v>256</v>
      </c>
      <c r="C605" s="3" t="s">
        <v>1373</v>
      </c>
      <c r="D605" s="23" t="n">
        <v>3891.36</v>
      </c>
      <c r="E605" s="23" t="n">
        <v>2369.70525774906</v>
      </c>
      <c r="F605" s="23" t="n">
        <f aca="false">D605-E605</f>
        <v>1521.65474225094</v>
      </c>
      <c r="G605" s="24" t="n">
        <f aca="false">IF(E605&gt;0,D605/E605-1,"")</f>
        <v>0.64212827197604</v>
      </c>
      <c r="H605" s="3" t="str">
        <f aca="false">IF(MAX(D605,E605)&lt;Parametros!$B$16,"",IF(E605=0,"PIDE SIN FCST",IF(ABS(G605)&gt;Parametros!$B$14,IF(G605&gt;0,"SOBRE FCST","BAJO FCST"),"")))</f>
        <v>SOBRE FCST</v>
      </c>
    </row>
    <row r="606" customFormat="false" ht="15" hidden="false" customHeight="false" outlineLevel="0" collapsed="false">
      <c r="A606" s="3" t="n">
        <v>30001079</v>
      </c>
      <c r="B606" s="3" t="s">
        <v>282</v>
      </c>
      <c r="C606" s="3" t="s">
        <v>1380</v>
      </c>
      <c r="D606" s="23" t="n">
        <v>24076.8</v>
      </c>
      <c r="E606" s="23" t="n">
        <v>25586.8797457178</v>
      </c>
      <c r="F606" s="23" t="n">
        <f aca="false">D606-E606</f>
        <v>-1510.07974571782</v>
      </c>
      <c r="G606" s="24" t="n">
        <f aca="false">IF(E606&gt;0,D606/E606-1,"")</f>
        <v>-0.0590177372436569</v>
      </c>
      <c r="H606" s="3" t="str">
        <f aca="false">IF(MAX(D606,E606)&lt;Parametros!$B$16,"",IF(E606=0,"PIDE SIN FCST",IF(ABS(G606)&gt;Parametros!$B$14,IF(G606&gt;0,"SOBRE FCST","BAJO FCST"),"")))</f>
        <v/>
      </c>
    </row>
    <row r="607" customFormat="false" ht="15" hidden="false" customHeight="false" outlineLevel="0" collapsed="false">
      <c r="A607" s="3" t="n">
        <v>30002199</v>
      </c>
      <c r="B607" s="3" t="s">
        <v>276</v>
      </c>
      <c r="C607" s="3" t="s">
        <v>1378</v>
      </c>
      <c r="D607" s="23" t="n">
        <v>1459.2</v>
      </c>
      <c r="E607" s="23" t="n">
        <v>2967.5795733759</v>
      </c>
      <c r="F607" s="23" t="n">
        <f aca="false">D607-E607</f>
        <v>-1508.3795733759</v>
      </c>
      <c r="G607" s="24" t="n">
        <f aca="false">IF(E607&gt;0,D607/E607-1,"")</f>
        <v>-0.508286142319</v>
      </c>
      <c r="H607" s="3" t="str">
        <f aca="false">IF(MAX(D607,E607)&lt;Parametros!$B$16,"",IF(E607=0,"PIDE SIN FCST",IF(ABS(G607)&gt;Parametros!$B$14,IF(G607&gt;0,"SOBRE FCST","BAJO FCST"),"")))</f>
        <v>BAJO FCST</v>
      </c>
    </row>
    <row r="608" customFormat="false" ht="15" hidden="false" customHeight="false" outlineLevel="0" collapsed="false">
      <c r="A608" s="3" t="n">
        <v>30002329</v>
      </c>
      <c r="B608" s="3" t="s">
        <v>253</v>
      </c>
      <c r="C608" s="3" t="s">
        <v>1378</v>
      </c>
      <c r="D608" s="23" t="n">
        <v>4080</v>
      </c>
      <c r="E608" s="23" t="n">
        <v>2582</v>
      </c>
      <c r="F608" s="23" t="n">
        <f aca="false">D608-E608</f>
        <v>1498</v>
      </c>
      <c r="G608" s="24" t="n">
        <f aca="false">IF(E608&gt;0,D608/E608-1,"")</f>
        <v>0.580170410534469</v>
      </c>
      <c r="H608" s="3" t="str">
        <f aca="false">IF(MAX(D608,E608)&lt;Parametros!$B$16,"",IF(E608=0,"PIDE SIN FCST",IF(ABS(G608)&gt;Parametros!$B$14,IF(G608&gt;0,"SOBRE FCST","BAJO FCST"),"")))</f>
        <v>SOBRE FCST</v>
      </c>
    </row>
    <row r="609" customFormat="false" ht="15" hidden="false" customHeight="false" outlineLevel="0" collapsed="false">
      <c r="A609" s="3" t="n">
        <v>30002155</v>
      </c>
      <c r="B609" s="3" t="s">
        <v>273</v>
      </c>
      <c r="C609" s="3" t="s">
        <v>1375</v>
      </c>
      <c r="D609" s="23" t="n">
        <v>4952.64</v>
      </c>
      <c r="E609" s="23" t="n">
        <v>3458.20636223967</v>
      </c>
      <c r="F609" s="23" t="n">
        <f aca="false">D609-E609</f>
        <v>1494.43363776033</v>
      </c>
      <c r="G609" s="24" t="n">
        <f aca="false">IF(E609&gt;0,D609/E609-1,"")</f>
        <v>0.43214125509632</v>
      </c>
      <c r="H609" s="3" t="str">
        <f aca="false">IF(MAX(D609,E609)&lt;Parametros!$B$16,"",IF(E609=0,"PIDE SIN FCST",IF(ABS(G609)&gt;Parametros!$B$14,IF(G609&gt;0,"SOBRE FCST","BAJO FCST"),"")))</f>
        <v>SOBRE FCST</v>
      </c>
    </row>
    <row r="610" customFormat="false" ht="15" hidden="false" customHeight="false" outlineLevel="0" collapsed="false">
      <c r="A610" s="3" t="n">
        <v>30001086</v>
      </c>
      <c r="B610" s="3" t="s">
        <v>223</v>
      </c>
      <c r="C610" s="3" t="s">
        <v>1377</v>
      </c>
      <c r="D610" s="23" t="n">
        <v>8661.6</v>
      </c>
      <c r="E610" s="23" t="n">
        <v>7173.88876751519</v>
      </c>
      <c r="F610" s="23" t="n">
        <f aca="false">D610-E610</f>
        <v>1487.71123248482</v>
      </c>
      <c r="G610" s="24" t="n">
        <f aca="false">IF(E610&gt;0,D610/E610-1,"")</f>
        <v>0.20737863112981</v>
      </c>
      <c r="H610" s="3" t="str">
        <f aca="false">IF(MAX(D610,E610)&lt;Parametros!$B$16,"",IF(E610=0,"PIDE SIN FCST",IF(ABS(G610)&gt;Parametros!$B$14,IF(G610&gt;0,"SOBRE FCST","BAJO FCST"),"")))</f>
        <v>SOBRE FCST</v>
      </c>
    </row>
    <row r="611" customFormat="false" ht="15" hidden="false" customHeight="false" outlineLevel="0" collapsed="false">
      <c r="A611" s="3" t="n">
        <v>30000610</v>
      </c>
      <c r="B611" s="3" t="s">
        <v>387</v>
      </c>
      <c r="C611" s="3" t="s">
        <v>1377</v>
      </c>
      <c r="D611" s="23" t="n">
        <v>2486.4</v>
      </c>
      <c r="E611" s="23" t="n">
        <v>1000</v>
      </c>
      <c r="F611" s="23" t="n">
        <f aca="false">D611-E611</f>
        <v>1486.4</v>
      </c>
      <c r="G611" s="24" t="n">
        <f aca="false">IF(E611&gt;0,D611/E611-1,"")</f>
        <v>1.4864</v>
      </c>
      <c r="H611" s="3" t="str">
        <f aca="false">IF(MAX(D611,E611)&lt;Parametros!$B$16,"",IF(E611=0,"PIDE SIN FCST",IF(ABS(G611)&gt;Parametros!$B$14,IF(G611&gt;0,"SOBRE FCST","BAJO FCST"),"")))</f>
        <v>SOBRE FCST</v>
      </c>
    </row>
    <row r="612" customFormat="false" ht="15" hidden="false" customHeight="false" outlineLevel="0" collapsed="false">
      <c r="A612" s="3" t="n">
        <v>30001935</v>
      </c>
      <c r="B612" s="3" t="s">
        <v>412</v>
      </c>
      <c r="C612" s="3" t="s">
        <v>1380</v>
      </c>
      <c r="D612" s="23" t="n">
        <v>9676.8</v>
      </c>
      <c r="E612" s="23" t="n">
        <v>8191.01129650222</v>
      </c>
      <c r="F612" s="23" t="n">
        <f aca="false">D612-E612</f>
        <v>1485.78870349778</v>
      </c>
      <c r="G612" s="24" t="n">
        <f aca="false">IF(E612&gt;0,D612/E612-1,"")</f>
        <v>0.181392583859853</v>
      </c>
      <c r="H612" s="3" t="str">
        <f aca="false">IF(MAX(D612,E612)&lt;Parametros!$B$16,"",IF(E612=0,"PIDE SIN FCST",IF(ABS(G612)&gt;Parametros!$B$14,IF(G612&gt;0,"SOBRE FCST","BAJO FCST"),"")))</f>
        <v/>
      </c>
    </row>
    <row r="613" customFormat="false" ht="15" hidden="false" customHeight="false" outlineLevel="0" collapsed="false">
      <c r="A613" s="3" t="n">
        <v>30001854</v>
      </c>
      <c r="B613" s="3" t="s">
        <v>420</v>
      </c>
      <c r="C613" s="3" t="s">
        <v>1375</v>
      </c>
      <c r="D613" s="23" t="n">
        <v>3074.4</v>
      </c>
      <c r="E613" s="23" t="n">
        <v>1592.50941375185</v>
      </c>
      <c r="F613" s="23" t="n">
        <f aca="false">D613-E613</f>
        <v>1481.89058624815</v>
      </c>
      <c r="G613" s="24" t="n">
        <f aca="false">IF(E613&gt;0,D613/E613-1,"")</f>
        <v>0.930538038551944</v>
      </c>
      <c r="H613" s="3" t="str">
        <f aca="false">IF(MAX(D613,E613)&lt;Parametros!$B$16,"",IF(E613=0,"PIDE SIN FCST",IF(ABS(G613)&gt;Parametros!$B$14,IF(G613&gt;0,"SOBRE FCST","BAJO FCST"),"")))</f>
        <v>SOBRE FCST</v>
      </c>
    </row>
    <row r="614" customFormat="false" ht="15" hidden="false" customHeight="false" outlineLevel="0" collapsed="false">
      <c r="A614" s="3" t="n">
        <v>30000469</v>
      </c>
      <c r="B614" s="3" t="s">
        <v>428</v>
      </c>
      <c r="C614" s="3" t="s">
        <v>1375</v>
      </c>
      <c r="D614" s="23" t="n">
        <v>2541</v>
      </c>
      <c r="E614" s="23" t="n">
        <v>4012.87532747868</v>
      </c>
      <c r="F614" s="23" t="n">
        <f aca="false">D614-E614</f>
        <v>-1471.87532747868</v>
      </c>
      <c r="G614" s="24" t="n">
        <f aca="false">IF(E614&gt;0,D614/E614-1,"")</f>
        <v>-0.366788202314641</v>
      </c>
      <c r="H614" s="3" t="str">
        <f aca="false">IF(MAX(D614,E614)&lt;Parametros!$B$16,"",IF(E614=0,"PIDE SIN FCST",IF(ABS(G614)&gt;Parametros!$B$14,IF(G614&gt;0,"SOBRE FCST","BAJO FCST"),"")))</f>
        <v>BAJO FCST</v>
      </c>
    </row>
    <row r="615" customFormat="false" ht="15" hidden="false" customHeight="false" outlineLevel="0" collapsed="false">
      <c r="A615" s="3" t="n">
        <v>30001400</v>
      </c>
      <c r="B615" s="3" t="s">
        <v>263</v>
      </c>
      <c r="C615" s="3" t="s">
        <v>1378</v>
      </c>
      <c r="D615" s="23" t="n">
        <v>7303.8</v>
      </c>
      <c r="E615" s="23" t="n">
        <v>5832.06485754405</v>
      </c>
      <c r="F615" s="23" t="n">
        <f aca="false">D615-E615</f>
        <v>1471.73514245595</v>
      </c>
      <c r="G615" s="24" t="n">
        <f aca="false">IF(E615&gt;0,D615/E615-1,"")</f>
        <v>0.252352327761272</v>
      </c>
      <c r="H615" s="3" t="str">
        <f aca="false">IF(MAX(D615,E615)&lt;Parametros!$B$16,"",IF(E615=0,"PIDE SIN FCST",IF(ABS(G615)&gt;Parametros!$B$14,IF(G615&gt;0,"SOBRE FCST","BAJO FCST"),"")))</f>
        <v>SOBRE FCST</v>
      </c>
    </row>
    <row r="616" customFormat="false" ht="15" hidden="false" customHeight="false" outlineLevel="0" collapsed="false">
      <c r="A616" s="3" t="n">
        <v>30001081</v>
      </c>
      <c r="B616" s="3" t="s">
        <v>267</v>
      </c>
      <c r="C616" s="3" t="s">
        <v>1372</v>
      </c>
      <c r="D616" s="23" t="n">
        <v>3273.6</v>
      </c>
      <c r="E616" s="23" t="n">
        <v>1802.33630596631</v>
      </c>
      <c r="F616" s="23" t="n">
        <f aca="false">D616-E616</f>
        <v>1471.26369403369</v>
      </c>
      <c r="G616" s="24" t="n">
        <f aca="false">IF(E616&gt;0,D616/E616-1,"")</f>
        <v>0.816309192220859</v>
      </c>
      <c r="H616" s="3" t="str">
        <f aca="false">IF(MAX(D616,E616)&lt;Parametros!$B$16,"",IF(E616=0,"PIDE SIN FCST",IF(ABS(G616)&gt;Parametros!$B$14,IF(G616&gt;0,"SOBRE FCST","BAJO FCST"),"")))</f>
        <v>SOBRE FCST</v>
      </c>
    </row>
    <row r="617" customFormat="false" ht="15" hidden="false" customHeight="false" outlineLevel="0" collapsed="false">
      <c r="A617" s="3" t="n">
        <v>30000639</v>
      </c>
      <c r="B617" s="3" t="s">
        <v>244</v>
      </c>
      <c r="C617" s="3" t="s">
        <v>1378</v>
      </c>
      <c r="D617" s="23" t="n">
        <v>4213.44</v>
      </c>
      <c r="E617" s="23" t="n">
        <v>5683.2</v>
      </c>
      <c r="F617" s="23" t="n">
        <f aca="false">D617-E617</f>
        <v>-1469.76</v>
      </c>
      <c r="G617" s="24" t="n">
        <f aca="false">IF(E617&gt;0,D617/E617-1,"")</f>
        <v>-0.258614864864865</v>
      </c>
      <c r="H617" s="3" t="str">
        <f aca="false">IF(MAX(D617,E617)&lt;Parametros!$B$16,"",IF(E617=0,"PIDE SIN FCST",IF(ABS(G617)&gt;Parametros!$B$14,IF(G617&gt;0,"SOBRE FCST","BAJO FCST"),"")))</f>
        <v>BAJO FCST</v>
      </c>
    </row>
    <row r="618" customFormat="false" ht="15" hidden="false" customHeight="false" outlineLevel="0" collapsed="false">
      <c r="A618" s="3" t="n">
        <v>30000246</v>
      </c>
      <c r="B618" s="3" t="s">
        <v>413</v>
      </c>
      <c r="C618" s="3" t="s">
        <v>1373</v>
      </c>
      <c r="D618" s="23" t="n">
        <v>9900</v>
      </c>
      <c r="E618" s="23" t="n">
        <v>11369.1416666667</v>
      </c>
      <c r="F618" s="23" t="n">
        <f aca="false">D618-E618</f>
        <v>-1469.14166666667</v>
      </c>
      <c r="G618" s="24" t="n">
        <f aca="false">IF(E618&gt;0,D618/E618-1,"")</f>
        <v>-0.129221862981448</v>
      </c>
      <c r="H618" s="3" t="str">
        <f aca="false">IF(MAX(D618,E618)&lt;Parametros!$B$16,"",IF(E618=0,"PIDE SIN FCST",IF(ABS(G618)&gt;Parametros!$B$14,IF(G618&gt;0,"SOBRE FCST","BAJO FCST"),"")))</f>
        <v/>
      </c>
    </row>
    <row r="619" customFormat="false" ht="15" hidden="false" customHeight="false" outlineLevel="0" collapsed="false">
      <c r="A619" s="3" t="n">
        <v>30000055</v>
      </c>
      <c r="B619" s="3" t="s">
        <v>417</v>
      </c>
      <c r="C619" s="3" t="s">
        <v>1379</v>
      </c>
      <c r="D619" s="23" t="n">
        <v>2856.6</v>
      </c>
      <c r="E619" s="23" t="n">
        <v>1393.6</v>
      </c>
      <c r="F619" s="23" t="n">
        <f aca="false">D619-E619</f>
        <v>1463</v>
      </c>
      <c r="G619" s="24" t="n">
        <f aca="false">IF(E619&gt;0,D619/E619-1,"")</f>
        <v>1.0497990815155</v>
      </c>
      <c r="H619" s="3" t="str">
        <f aca="false">IF(MAX(D619,E619)&lt;Parametros!$B$16,"",IF(E619=0,"PIDE SIN FCST",IF(ABS(G619)&gt;Parametros!$B$14,IF(G619&gt;0,"SOBRE FCST","BAJO FCST"),"")))</f>
        <v>SOBRE FCST</v>
      </c>
    </row>
    <row r="620" customFormat="false" ht="15" hidden="false" customHeight="false" outlineLevel="0" collapsed="false">
      <c r="A620" s="3" t="n">
        <v>30000115</v>
      </c>
      <c r="B620" s="3" t="s">
        <v>283</v>
      </c>
      <c r="C620" s="3" t="s">
        <v>1373</v>
      </c>
      <c r="D620" s="23" t="n">
        <v>6776</v>
      </c>
      <c r="E620" s="23" t="n">
        <v>8237.06917115545</v>
      </c>
      <c r="F620" s="23" t="n">
        <f aca="false">D620-E620</f>
        <v>-1461.06917115545</v>
      </c>
      <c r="G620" s="24" t="n">
        <f aca="false">IF(E620&gt;0,D620/E620-1,"")</f>
        <v>-0.177377309914043</v>
      </c>
      <c r="H620" s="3" t="str">
        <f aca="false">IF(MAX(D620,E620)&lt;Parametros!$B$16,"",IF(E620=0,"PIDE SIN FCST",IF(ABS(G620)&gt;Parametros!$B$14,IF(G620&gt;0,"SOBRE FCST","BAJO FCST"),"")))</f>
        <v/>
      </c>
    </row>
    <row r="621" customFormat="false" ht="15" hidden="false" customHeight="false" outlineLevel="0" collapsed="false">
      <c r="A621" s="3" t="n">
        <v>30002286</v>
      </c>
      <c r="B621" s="3" t="s">
        <v>320</v>
      </c>
      <c r="C621" s="3" t="s">
        <v>1372</v>
      </c>
      <c r="D621" s="23" t="n">
        <v>1455.624</v>
      </c>
      <c r="E621" s="23" t="n">
        <v>0</v>
      </c>
      <c r="F621" s="23" t="n">
        <f aca="false">D621-E621</f>
        <v>1455.624</v>
      </c>
      <c r="G621" s="24" t="str">
        <f aca="false">IF(E621&gt;0,D621/E621-1,"")</f>
        <v/>
      </c>
      <c r="H621" s="3" t="str">
        <f aca="false">IF(MAX(D621,E621)&lt;Parametros!$B$16,"",IF(E621=0,"PIDE SIN FCST",IF(ABS(G621)&gt;Parametros!$B$14,IF(G621&gt;0,"SOBRE FCST","BAJO FCST"),"")))</f>
        <v>PIDE SIN FCST</v>
      </c>
    </row>
    <row r="622" customFormat="false" ht="15" hidden="false" customHeight="false" outlineLevel="0" collapsed="false">
      <c r="A622" s="3" t="n">
        <v>30001046</v>
      </c>
      <c r="B622" s="3" t="s">
        <v>535</v>
      </c>
      <c r="C622" s="3" t="s">
        <v>1377</v>
      </c>
      <c r="D622" s="23" t="n">
        <v>3006.72</v>
      </c>
      <c r="E622" s="23" t="n">
        <v>1553.96651082268</v>
      </c>
      <c r="F622" s="23" t="n">
        <f aca="false">D622-E622</f>
        <v>1452.75348917732</v>
      </c>
      <c r="G622" s="24" t="n">
        <f aca="false">IF(E622&gt;0,D622/E622-1,"")</f>
        <v>0.934867951824917</v>
      </c>
      <c r="H622" s="3" t="str">
        <f aca="false">IF(MAX(D622,E622)&lt;Parametros!$B$16,"",IF(E622=0,"PIDE SIN FCST",IF(ABS(G622)&gt;Parametros!$B$14,IF(G622&gt;0,"SOBRE FCST","BAJO FCST"),"")))</f>
        <v>SOBRE FCST</v>
      </c>
    </row>
    <row r="623" customFormat="false" ht="15" hidden="false" customHeight="false" outlineLevel="0" collapsed="false">
      <c r="A623" s="3" t="n">
        <v>30001409</v>
      </c>
      <c r="B623" s="3" t="s">
        <v>270</v>
      </c>
      <c r="C623" s="3" t="s">
        <v>1373</v>
      </c>
      <c r="D623" s="23" t="n">
        <v>9231</v>
      </c>
      <c r="E623" s="23" t="n">
        <v>10680.47</v>
      </c>
      <c r="F623" s="23" t="n">
        <f aca="false">D623-E623</f>
        <v>-1449.47</v>
      </c>
      <c r="G623" s="24" t="n">
        <f aca="false">IF(E623&gt;0,D623/E623-1,"")</f>
        <v>-0.135712192440969</v>
      </c>
      <c r="H623" s="3" t="str">
        <f aca="false">IF(MAX(D623,E623)&lt;Parametros!$B$16,"",IF(E623=0,"PIDE SIN FCST",IF(ABS(G623)&gt;Parametros!$B$14,IF(G623&gt;0,"SOBRE FCST","BAJO FCST"),"")))</f>
        <v/>
      </c>
    </row>
    <row r="624" customFormat="false" ht="15" hidden="false" customHeight="false" outlineLevel="0" collapsed="false">
      <c r="A624" s="3" t="n">
        <v>30000347</v>
      </c>
      <c r="B624" s="3" t="s">
        <v>319</v>
      </c>
      <c r="C624" s="3" t="s">
        <v>1378</v>
      </c>
      <c r="D624" s="23" t="n">
        <v>486</v>
      </c>
      <c r="E624" s="23" t="n">
        <v>1924.82924247645</v>
      </c>
      <c r="F624" s="23" t="n">
        <f aca="false">D624-E624</f>
        <v>-1438.82924247645</v>
      </c>
      <c r="G624" s="24" t="n">
        <f aca="false">IF(E624&gt;0,D624/E624-1,"")</f>
        <v>-0.747510070360984</v>
      </c>
      <c r="H624" s="3" t="str">
        <f aca="false">IF(MAX(D624,E624)&lt;Parametros!$B$16,"",IF(E624=0,"PIDE SIN FCST",IF(ABS(G624)&gt;Parametros!$B$14,IF(G624&gt;0,"SOBRE FCST","BAJO FCST"),"")))</f>
        <v>BAJO FCST</v>
      </c>
    </row>
    <row r="625" customFormat="false" ht="15" hidden="false" customHeight="false" outlineLevel="0" collapsed="false">
      <c r="A625" s="3" t="n">
        <v>30000300</v>
      </c>
      <c r="B625" s="3" t="s">
        <v>291</v>
      </c>
      <c r="C625" s="3" t="s">
        <v>1380</v>
      </c>
      <c r="D625" s="23" t="n">
        <v>16416</v>
      </c>
      <c r="E625" s="23" t="n">
        <v>14980.6</v>
      </c>
      <c r="F625" s="23" t="n">
        <f aca="false">D625-E625</f>
        <v>1435.4</v>
      </c>
      <c r="G625" s="24" t="n">
        <f aca="false">IF(E625&gt;0,D625/E625-1,"")</f>
        <v>0.0958172569857014</v>
      </c>
      <c r="H625" s="3" t="str">
        <f aca="false">IF(MAX(D625,E625)&lt;Parametros!$B$16,"",IF(E625=0,"PIDE SIN FCST",IF(ABS(G625)&gt;Parametros!$B$14,IF(G625&gt;0,"SOBRE FCST","BAJO FCST"),"")))</f>
        <v/>
      </c>
    </row>
    <row r="626" customFormat="false" ht="15" hidden="false" customHeight="false" outlineLevel="0" collapsed="false">
      <c r="A626" s="3" t="n">
        <v>30000500</v>
      </c>
      <c r="B626" s="3" t="s">
        <v>526</v>
      </c>
      <c r="C626" s="3" t="s">
        <v>1380</v>
      </c>
      <c r="D626" s="23" t="n">
        <v>4050</v>
      </c>
      <c r="E626" s="23" t="n">
        <v>2616.03242877202</v>
      </c>
      <c r="F626" s="23" t="n">
        <f aca="false">D626-E626</f>
        <v>1433.96757122798</v>
      </c>
      <c r="G626" s="24" t="n">
        <f aca="false">IF(E626&gt;0,D626/E626-1,"")</f>
        <v>0.548145946302771</v>
      </c>
      <c r="H626" s="3" t="str">
        <f aca="false">IF(MAX(D626,E626)&lt;Parametros!$B$16,"",IF(E626=0,"PIDE SIN FCST",IF(ABS(G626)&gt;Parametros!$B$14,IF(G626&gt;0,"SOBRE FCST","BAJO FCST"),"")))</f>
        <v>SOBRE FCST</v>
      </c>
    </row>
    <row r="627" customFormat="false" ht="15" hidden="false" customHeight="false" outlineLevel="0" collapsed="false">
      <c r="A627" s="3" t="n">
        <v>30001757</v>
      </c>
      <c r="B627" s="3" t="s">
        <v>506</v>
      </c>
      <c r="C627" s="3" t="s">
        <v>1373</v>
      </c>
      <c r="D627" s="23" t="n">
        <v>9933.3</v>
      </c>
      <c r="E627" s="23" t="n">
        <v>8500</v>
      </c>
      <c r="F627" s="23" t="n">
        <f aca="false">D627-E627</f>
        <v>1433.3</v>
      </c>
      <c r="G627" s="24" t="n">
        <f aca="false">IF(E627&gt;0,D627/E627-1,"")</f>
        <v>0.168623529411765</v>
      </c>
      <c r="H627" s="3" t="str">
        <f aca="false">IF(MAX(D627,E627)&lt;Parametros!$B$16,"",IF(E627=0,"PIDE SIN FCST",IF(ABS(G627)&gt;Parametros!$B$14,IF(G627&gt;0,"SOBRE FCST","BAJO FCST"),"")))</f>
        <v/>
      </c>
    </row>
    <row r="628" customFormat="false" ht="15" hidden="false" customHeight="false" outlineLevel="0" collapsed="false">
      <c r="A628" s="3" t="n">
        <v>30000351</v>
      </c>
      <c r="B628" s="3" t="s">
        <v>393</v>
      </c>
      <c r="C628" s="3" t="s">
        <v>1380</v>
      </c>
      <c r="D628" s="23" t="n">
        <v>1872</v>
      </c>
      <c r="E628" s="23" t="n">
        <v>440.331698634076</v>
      </c>
      <c r="F628" s="23" t="n">
        <f aca="false">D628-E628</f>
        <v>1431.66830136592</v>
      </c>
      <c r="G628" s="24" t="n">
        <f aca="false">IF(E628&gt;0,D628/E628-1,"")</f>
        <v>3.25134053670678</v>
      </c>
      <c r="H628" s="3" t="str">
        <f aca="false">IF(MAX(D628,E628)&lt;Parametros!$B$16,"",IF(E628=0,"PIDE SIN FCST",IF(ABS(G628)&gt;Parametros!$B$14,IF(G628&gt;0,"SOBRE FCST","BAJO FCST"),"")))</f>
        <v>SOBRE FCST</v>
      </c>
    </row>
    <row r="629" customFormat="false" ht="15" hidden="false" customHeight="false" outlineLevel="0" collapsed="false">
      <c r="A629" s="3" t="n">
        <v>30000097</v>
      </c>
      <c r="B629" s="3" t="s">
        <v>354</v>
      </c>
      <c r="C629" s="3" t="s">
        <v>1379</v>
      </c>
      <c r="D629" s="23" t="n">
        <v>9231.6</v>
      </c>
      <c r="E629" s="23" t="n">
        <v>7800</v>
      </c>
      <c r="F629" s="23" t="n">
        <f aca="false">D629-E629</f>
        <v>1431.6</v>
      </c>
      <c r="G629" s="24" t="n">
        <f aca="false">IF(E629&gt;0,D629/E629-1,"")</f>
        <v>0.183538461538462</v>
      </c>
      <c r="H629" s="3" t="str">
        <f aca="false">IF(MAX(D629,E629)&lt;Parametros!$B$16,"",IF(E629=0,"PIDE SIN FCST",IF(ABS(G629)&gt;Parametros!$B$14,IF(G629&gt;0,"SOBRE FCST","BAJO FCST"),"")))</f>
        <v/>
      </c>
    </row>
    <row r="630" customFormat="false" ht="15" hidden="false" customHeight="false" outlineLevel="0" collapsed="false">
      <c r="A630" s="3" t="n">
        <v>30001780</v>
      </c>
      <c r="B630" s="3" t="s">
        <v>340</v>
      </c>
      <c r="C630" s="3" t="s">
        <v>1380</v>
      </c>
      <c r="D630" s="23" t="n">
        <v>10969.344</v>
      </c>
      <c r="E630" s="23" t="n">
        <v>12400</v>
      </c>
      <c r="F630" s="23" t="n">
        <f aca="false">D630-E630</f>
        <v>-1430.656</v>
      </c>
      <c r="G630" s="24" t="n">
        <f aca="false">IF(E630&gt;0,D630/E630-1,"")</f>
        <v>-0.115375483870968</v>
      </c>
      <c r="H630" s="3" t="str">
        <f aca="false">IF(MAX(D630,E630)&lt;Parametros!$B$16,"",IF(E630=0,"PIDE SIN FCST",IF(ABS(G630)&gt;Parametros!$B$14,IF(G630&gt;0,"SOBRE FCST","BAJO FCST"),"")))</f>
        <v/>
      </c>
    </row>
    <row r="631" customFormat="false" ht="15" hidden="false" customHeight="false" outlineLevel="0" collapsed="false">
      <c r="A631" s="3" t="n">
        <v>30000401</v>
      </c>
      <c r="B631" s="3" t="s">
        <v>234</v>
      </c>
      <c r="C631" s="3" t="s">
        <v>1378</v>
      </c>
      <c r="D631" s="23" t="n">
        <v>2286</v>
      </c>
      <c r="E631" s="23" t="n">
        <v>857.786738996265</v>
      </c>
      <c r="F631" s="23" t="n">
        <f aca="false">D631-E631</f>
        <v>1428.21326100374</v>
      </c>
      <c r="G631" s="24" t="n">
        <f aca="false">IF(E631&gt;0,D631/E631-1,"")</f>
        <v>1.66499806545733</v>
      </c>
      <c r="H631" s="3" t="str">
        <f aca="false">IF(MAX(D631,E631)&lt;Parametros!$B$16,"",IF(E631=0,"PIDE SIN FCST",IF(ABS(G631)&gt;Parametros!$B$14,IF(G631&gt;0,"SOBRE FCST","BAJO FCST"),"")))</f>
        <v>SOBRE FCST</v>
      </c>
    </row>
    <row r="632" customFormat="false" ht="15" hidden="false" customHeight="false" outlineLevel="0" collapsed="false">
      <c r="A632" s="3" t="n">
        <v>30001080</v>
      </c>
      <c r="B632" s="3" t="s">
        <v>278</v>
      </c>
      <c r="C632" s="3" t="s">
        <v>1379</v>
      </c>
      <c r="D632" s="23" t="n">
        <v>6077.28</v>
      </c>
      <c r="E632" s="23" t="n">
        <v>7504.68172866962</v>
      </c>
      <c r="F632" s="23" t="n">
        <f aca="false">D632-E632</f>
        <v>-1427.40172866962</v>
      </c>
      <c r="G632" s="24" t="n">
        <f aca="false">IF(E632&gt;0,D632/E632-1,"")</f>
        <v>-0.190201500913306</v>
      </c>
      <c r="H632" s="3" t="str">
        <f aca="false">IF(MAX(D632,E632)&lt;Parametros!$B$16,"",IF(E632=0,"PIDE SIN FCST",IF(ABS(G632)&gt;Parametros!$B$14,IF(G632&gt;0,"SOBRE FCST","BAJO FCST"),"")))</f>
        <v/>
      </c>
    </row>
    <row r="633" customFormat="false" ht="15" hidden="false" customHeight="false" outlineLevel="0" collapsed="false">
      <c r="A633" s="3" t="n">
        <v>30001977</v>
      </c>
      <c r="B633" s="3" t="s">
        <v>292</v>
      </c>
      <c r="C633" s="3" t="s">
        <v>1375</v>
      </c>
      <c r="D633" s="23" t="n">
        <v>13422</v>
      </c>
      <c r="E633" s="23" t="n">
        <v>12000</v>
      </c>
      <c r="F633" s="23" t="n">
        <f aca="false">D633-E633</f>
        <v>1422</v>
      </c>
      <c r="G633" s="24" t="n">
        <f aca="false">IF(E633&gt;0,D633/E633-1,"")</f>
        <v>0.1185</v>
      </c>
      <c r="H633" s="3" t="str">
        <f aca="false">IF(MAX(D633,E633)&lt;Parametros!$B$16,"",IF(E633=0,"PIDE SIN FCST",IF(ABS(G633)&gt;Parametros!$B$14,IF(G633&gt;0,"SOBRE FCST","BAJO FCST"),"")))</f>
        <v/>
      </c>
    </row>
    <row r="634" customFormat="false" ht="15" hidden="false" customHeight="false" outlineLevel="0" collapsed="false">
      <c r="A634" s="3" t="n">
        <v>30002273</v>
      </c>
      <c r="B634" s="3" t="s">
        <v>512</v>
      </c>
      <c r="C634" s="3" t="s">
        <v>1380</v>
      </c>
      <c r="D634" s="23" t="n">
        <v>2880</v>
      </c>
      <c r="E634" s="23" t="n">
        <v>4300</v>
      </c>
      <c r="F634" s="23" t="n">
        <f aca="false">D634-E634</f>
        <v>-1420</v>
      </c>
      <c r="G634" s="24" t="n">
        <f aca="false">IF(E634&gt;0,D634/E634-1,"")</f>
        <v>-0.330232558139535</v>
      </c>
      <c r="H634" s="3" t="str">
        <f aca="false">IF(MAX(D634,E634)&lt;Parametros!$B$16,"",IF(E634=0,"PIDE SIN FCST",IF(ABS(G634)&gt;Parametros!$B$14,IF(G634&gt;0,"SOBRE FCST","BAJO FCST"),"")))</f>
        <v>BAJO FCST</v>
      </c>
    </row>
    <row r="635" customFormat="false" ht="15" hidden="false" customHeight="false" outlineLevel="0" collapsed="false">
      <c r="A635" s="3" t="n">
        <v>30002064</v>
      </c>
      <c r="B635" s="3" t="s">
        <v>509</v>
      </c>
      <c r="C635" s="3" t="s">
        <v>1380</v>
      </c>
      <c r="D635" s="23" t="n">
        <v>1382.4</v>
      </c>
      <c r="E635" s="23" t="n">
        <v>2800</v>
      </c>
      <c r="F635" s="23" t="n">
        <f aca="false">D635-E635</f>
        <v>-1417.6</v>
      </c>
      <c r="G635" s="24" t="n">
        <f aca="false">IF(E635&gt;0,D635/E635-1,"")</f>
        <v>-0.506285714285714</v>
      </c>
      <c r="H635" s="3" t="str">
        <f aca="false">IF(MAX(D635,E635)&lt;Parametros!$B$16,"",IF(E635=0,"PIDE SIN FCST",IF(ABS(G635)&gt;Parametros!$B$14,IF(G635&gt;0,"SOBRE FCST","BAJO FCST"),"")))</f>
        <v>BAJO FCST</v>
      </c>
    </row>
    <row r="636" customFormat="false" ht="15" hidden="false" customHeight="false" outlineLevel="0" collapsed="false">
      <c r="A636" s="3" t="n">
        <v>30001944</v>
      </c>
      <c r="B636" s="3" t="s">
        <v>336</v>
      </c>
      <c r="C636" s="3" t="s">
        <v>1378</v>
      </c>
      <c r="D636" s="23" t="n">
        <v>604.8</v>
      </c>
      <c r="E636" s="23" t="n">
        <v>2021.37657169603</v>
      </c>
      <c r="F636" s="23" t="n">
        <f aca="false">D636-E636</f>
        <v>-1416.57657169603</v>
      </c>
      <c r="G636" s="24" t="n">
        <f aca="false">IF(E636&gt;0,D636/E636-1,"")</f>
        <v>-0.700797956962297</v>
      </c>
      <c r="H636" s="3" t="str">
        <f aca="false">IF(MAX(D636,E636)&lt;Parametros!$B$16,"",IF(E636=0,"PIDE SIN FCST",IF(ABS(G636)&gt;Parametros!$B$14,IF(G636&gt;0,"SOBRE FCST","BAJO FCST"),"")))</f>
        <v>BAJO FCST</v>
      </c>
    </row>
    <row r="637" customFormat="false" ht="15" hidden="false" customHeight="false" outlineLevel="0" collapsed="false">
      <c r="A637" s="3" t="n">
        <v>30001657</v>
      </c>
      <c r="B637" s="3" t="s">
        <v>395</v>
      </c>
      <c r="C637" s="3" t="s">
        <v>1373</v>
      </c>
      <c r="D637" s="23" t="n">
        <v>2514.24</v>
      </c>
      <c r="E637" s="23" t="n">
        <v>1100</v>
      </c>
      <c r="F637" s="23" t="n">
        <f aca="false">D637-E637</f>
        <v>1414.24</v>
      </c>
      <c r="G637" s="24" t="n">
        <f aca="false">IF(E637&gt;0,D637/E637-1,"")</f>
        <v>1.28567272727273</v>
      </c>
      <c r="H637" s="3" t="str">
        <f aca="false">IF(MAX(D637,E637)&lt;Parametros!$B$16,"",IF(E637=0,"PIDE SIN FCST",IF(ABS(G637)&gt;Parametros!$B$14,IF(G637&gt;0,"SOBRE FCST","BAJO FCST"),"")))</f>
        <v>SOBRE FCST</v>
      </c>
    </row>
    <row r="638" customFormat="false" ht="15" hidden="false" customHeight="false" outlineLevel="0" collapsed="false">
      <c r="A638" s="3" t="n">
        <v>30001540</v>
      </c>
      <c r="B638" s="3" t="s">
        <v>501</v>
      </c>
      <c r="C638" s="3" t="s">
        <v>1380</v>
      </c>
      <c r="D638" s="23" t="n">
        <v>2006.4</v>
      </c>
      <c r="E638" s="23" t="n">
        <v>3420</v>
      </c>
      <c r="F638" s="23" t="n">
        <f aca="false">D638-E638</f>
        <v>-1413.6</v>
      </c>
      <c r="G638" s="24" t="n">
        <f aca="false">IF(E638&gt;0,D638/E638-1,"")</f>
        <v>-0.413333333333333</v>
      </c>
      <c r="H638" s="3" t="str">
        <f aca="false">IF(MAX(D638,E638)&lt;Parametros!$B$16,"",IF(E638=0,"PIDE SIN FCST",IF(ABS(G638)&gt;Parametros!$B$14,IF(G638&gt;0,"SOBRE FCST","BAJO FCST"),"")))</f>
        <v>BAJO FCST</v>
      </c>
    </row>
    <row r="639" customFormat="false" ht="15" hidden="false" customHeight="false" outlineLevel="0" collapsed="false">
      <c r="A639" s="3" t="n">
        <v>30000634</v>
      </c>
      <c r="B639" s="3" t="s">
        <v>471</v>
      </c>
      <c r="C639" s="3" t="s">
        <v>1375</v>
      </c>
      <c r="D639" s="23" t="n">
        <v>2486.4</v>
      </c>
      <c r="E639" s="23" t="n">
        <v>3900</v>
      </c>
      <c r="F639" s="23" t="n">
        <f aca="false">D639-E639</f>
        <v>-1413.6</v>
      </c>
      <c r="G639" s="24" t="n">
        <f aca="false">IF(E639&gt;0,D639/E639-1,"")</f>
        <v>-0.362461538461538</v>
      </c>
      <c r="H639" s="3" t="str">
        <f aca="false">IF(MAX(D639,E639)&lt;Parametros!$B$16,"",IF(E639=0,"PIDE SIN FCST",IF(ABS(G639)&gt;Parametros!$B$14,IF(G639&gt;0,"SOBRE FCST","BAJO FCST"),"")))</f>
        <v>BAJO FCST</v>
      </c>
    </row>
    <row r="640" customFormat="false" ht="15" hidden="false" customHeight="false" outlineLevel="0" collapsed="false">
      <c r="A640" s="3" t="n">
        <v>30001689</v>
      </c>
      <c r="B640" s="3" t="s">
        <v>358</v>
      </c>
      <c r="C640" s="3" t="s">
        <v>1378</v>
      </c>
      <c r="D640" s="23" t="n">
        <v>4310.8</v>
      </c>
      <c r="E640" s="23" t="n">
        <v>2900</v>
      </c>
      <c r="F640" s="23" t="n">
        <f aca="false">D640-E640</f>
        <v>1410.8</v>
      </c>
      <c r="G640" s="24" t="n">
        <f aca="false">IF(E640&gt;0,D640/E640-1,"")</f>
        <v>0.48648275862069</v>
      </c>
      <c r="H640" s="3" t="str">
        <f aca="false">IF(MAX(D640,E640)&lt;Parametros!$B$16,"",IF(E640=0,"PIDE SIN FCST",IF(ABS(G640)&gt;Parametros!$B$14,IF(G640&gt;0,"SOBRE FCST","BAJO FCST"),"")))</f>
        <v>SOBRE FCST</v>
      </c>
    </row>
    <row r="641" customFormat="false" ht="15" hidden="false" customHeight="false" outlineLevel="0" collapsed="false">
      <c r="A641" s="3" t="n">
        <v>30000309</v>
      </c>
      <c r="B641" s="3" t="s">
        <v>236</v>
      </c>
      <c r="C641" s="3" t="s">
        <v>1373</v>
      </c>
      <c r="D641" s="23" t="n">
        <v>52488</v>
      </c>
      <c r="E641" s="23" t="n">
        <v>51078.2</v>
      </c>
      <c r="F641" s="23" t="n">
        <f aca="false">D641-E641</f>
        <v>1409.8</v>
      </c>
      <c r="G641" s="24" t="n">
        <f aca="false">IF(E641&gt;0,D641/E641-1,"")</f>
        <v>0.0276008160036965</v>
      </c>
      <c r="H641" s="3" t="str">
        <f aca="false">IF(MAX(D641,E641)&lt;Parametros!$B$16,"",IF(E641=0,"PIDE SIN FCST",IF(ABS(G641)&gt;Parametros!$B$14,IF(G641&gt;0,"SOBRE FCST","BAJO FCST"),"")))</f>
        <v/>
      </c>
    </row>
    <row r="642" customFormat="false" ht="15" hidden="false" customHeight="false" outlineLevel="0" collapsed="false">
      <c r="A642" s="3" t="n">
        <v>30001888</v>
      </c>
      <c r="B642" s="3" t="s">
        <v>497</v>
      </c>
      <c r="C642" s="3" t="s">
        <v>1375</v>
      </c>
      <c r="D642" s="23" t="n">
        <v>6900</v>
      </c>
      <c r="E642" s="23" t="n">
        <v>5500</v>
      </c>
      <c r="F642" s="23" t="n">
        <f aca="false">D642-E642</f>
        <v>1400</v>
      </c>
      <c r="G642" s="24" t="n">
        <f aca="false">IF(E642&gt;0,D642/E642-1,"")</f>
        <v>0.254545454545455</v>
      </c>
      <c r="H642" s="3" t="str">
        <f aca="false">IF(MAX(D642,E642)&lt;Parametros!$B$16,"",IF(E642=0,"PIDE SIN FCST",IF(ABS(G642)&gt;Parametros!$B$14,IF(G642&gt;0,"SOBRE FCST","BAJO FCST"),"")))</f>
        <v>SOBRE FCST</v>
      </c>
    </row>
    <row r="643" customFormat="false" ht="15" hidden="false" customHeight="false" outlineLevel="0" collapsed="false">
      <c r="A643" s="3" t="n">
        <v>30000238</v>
      </c>
      <c r="B643" s="3" t="s">
        <v>408</v>
      </c>
      <c r="C643" s="3" t="s">
        <v>1380</v>
      </c>
      <c r="D643" s="23" t="n">
        <v>5040</v>
      </c>
      <c r="E643" s="23" t="n">
        <v>3640.00003331504</v>
      </c>
      <c r="F643" s="23" t="n">
        <f aca="false">D643-E643</f>
        <v>1399.99996668496</v>
      </c>
      <c r="G643" s="24" t="n">
        <f aca="false">IF(E643&gt;0,D643/E643-1,"")</f>
        <v>0.384615371942714</v>
      </c>
      <c r="H643" s="3" t="str">
        <f aca="false">IF(MAX(D643,E643)&lt;Parametros!$B$16,"",IF(E643=0,"PIDE SIN FCST",IF(ABS(G643)&gt;Parametros!$B$14,IF(G643&gt;0,"SOBRE FCST","BAJO FCST"),"")))</f>
        <v>SOBRE FCST</v>
      </c>
    </row>
    <row r="644" customFormat="false" ht="15" hidden="false" customHeight="false" outlineLevel="0" collapsed="false">
      <c r="A644" s="3" t="n">
        <v>30001093</v>
      </c>
      <c r="B644" s="3" t="s">
        <v>327</v>
      </c>
      <c r="C644" s="3" t="s">
        <v>1372</v>
      </c>
      <c r="D644" s="23" t="n">
        <v>1396.8</v>
      </c>
      <c r="E644" s="23" t="n">
        <v>0</v>
      </c>
      <c r="F644" s="23" t="n">
        <f aca="false">D644-E644</f>
        <v>1396.8</v>
      </c>
      <c r="G644" s="24" t="str">
        <f aca="false">IF(E644&gt;0,D644/E644-1,"")</f>
        <v/>
      </c>
      <c r="H644" s="3" t="str">
        <f aca="false">IF(MAX(D644,E644)&lt;Parametros!$B$16,"",IF(E644=0,"PIDE SIN FCST",IF(ABS(G644)&gt;Parametros!$B$14,IF(G644&gt;0,"SOBRE FCST","BAJO FCST"),"")))</f>
        <v>PIDE SIN FCST</v>
      </c>
    </row>
    <row r="645" customFormat="false" ht="15" hidden="false" customHeight="false" outlineLevel="0" collapsed="false">
      <c r="A645" s="3" t="n">
        <v>30000660</v>
      </c>
      <c r="B645" s="3" t="s">
        <v>388</v>
      </c>
      <c r="C645" s="3" t="s">
        <v>1373</v>
      </c>
      <c r="D645" s="23" t="n">
        <v>2222.4</v>
      </c>
      <c r="E645" s="23" t="n">
        <v>3614.30220099482</v>
      </c>
      <c r="F645" s="23" t="n">
        <f aca="false">D645-E645</f>
        <v>-1391.90220099481</v>
      </c>
      <c r="G645" s="24" t="n">
        <f aca="false">IF(E645&gt;0,D645/E645-1,"")</f>
        <v>-0.385109524215131</v>
      </c>
      <c r="H645" s="3" t="str">
        <f aca="false">IF(MAX(D645,E645)&lt;Parametros!$B$16,"",IF(E645=0,"PIDE SIN FCST",IF(ABS(G645)&gt;Parametros!$B$14,IF(G645&gt;0,"SOBRE FCST","BAJO FCST"),"")))</f>
        <v>BAJO FCST</v>
      </c>
    </row>
    <row r="646" customFormat="false" ht="15" hidden="false" customHeight="false" outlineLevel="0" collapsed="false">
      <c r="A646" s="3" t="n">
        <v>30001749</v>
      </c>
      <c r="B646" s="3" t="s">
        <v>307</v>
      </c>
      <c r="C646" s="3" t="s">
        <v>1378</v>
      </c>
      <c r="D646" s="23" t="n">
        <v>2187</v>
      </c>
      <c r="E646" s="23" t="n">
        <v>796.739130434783</v>
      </c>
      <c r="F646" s="23" t="n">
        <f aca="false">D646-E646</f>
        <v>1390.26086956522</v>
      </c>
      <c r="G646" s="24" t="n">
        <f aca="false">IF(E646&gt;0,D646/E646-1,"")</f>
        <v>1.74493860845839</v>
      </c>
      <c r="H646" s="3" t="str">
        <f aca="false">IF(MAX(D646,E646)&lt;Parametros!$B$16,"",IF(E646=0,"PIDE SIN FCST",IF(ABS(G646)&gt;Parametros!$B$14,IF(G646&gt;0,"SOBRE FCST","BAJO FCST"),"")))</f>
        <v>SOBRE FCST</v>
      </c>
    </row>
    <row r="647" customFormat="false" ht="15" hidden="false" customHeight="false" outlineLevel="0" collapsed="false">
      <c r="A647" s="3" t="n">
        <v>30001711</v>
      </c>
      <c r="B647" s="3" t="s">
        <v>309</v>
      </c>
      <c r="C647" s="3" t="s">
        <v>1379</v>
      </c>
      <c r="D647" s="23" t="n">
        <v>4747.68</v>
      </c>
      <c r="E647" s="23" t="n">
        <v>3362.78762155329</v>
      </c>
      <c r="F647" s="23" t="n">
        <f aca="false">D647-E647</f>
        <v>1384.89237844671</v>
      </c>
      <c r="G647" s="24" t="n">
        <f aca="false">IF(E647&gt;0,D647/E647-1,"")</f>
        <v>0.4118286773659</v>
      </c>
      <c r="H647" s="3" t="str">
        <f aca="false">IF(MAX(D647,E647)&lt;Parametros!$B$16,"",IF(E647=0,"PIDE SIN FCST",IF(ABS(G647)&gt;Parametros!$B$14,IF(G647&gt;0,"SOBRE FCST","BAJO FCST"),"")))</f>
        <v>SOBRE FCST</v>
      </c>
    </row>
    <row r="648" customFormat="false" ht="15" hidden="false" customHeight="false" outlineLevel="0" collapsed="false">
      <c r="A648" s="3" t="n">
        <v>30000616</v>
      </c>
      <c r="B648" s="3" t="s">
        <v>372</v>
      </c>
      <c r="C648" s="3" t="s">
        <v>1379</v>
      </c>
      <c r="D648" s="23" t="n">
        <v>2880</v>
      </c>
      <c r="E648" s="23" t="n">
        <v>1500</v>
      </c>
      <c r="F648" s="23" t="n">
        <f aca="false">D648-E648</f>
        <v>1380</v>
      </c>
      <c r="G648" s="24" t="n">
        <f aca="false">IF(E648&gt;0,D648/E648-1,"")</f>
        <v>0.92</v>
      </c>
      <c r="H648" s="3" t="str">
        <f aca="false">IF(MAX(D648,E648)&lt;Parametros!$B$16,"",IF(E648=0,"PIDE SIN FCST",IF(ABS(G648)&gt;Parametros!$B$14,IF(G648&gt;0,"SOBRE FCST","BAJO FCST"),"")))</f>
        <v>SOBRE FCST</v>
      </c>
    </row>
    <row r="649" customFormat="false" ht="15" hidden="false" customHeight="false" outlineLevel="0" collapsed="false">
      <c r="A649" s="3" t="n">
        <v>30002099</v>
      </c>
      <c r="B649" s="3" t="s">
        <v>237</v>
      </c>
      <c r="C649" s="3" t="s">
        <v>1377</v>
      </c>
      <c r="D649" s="23" t="n">
        <v>1026</v>
      </c>
      <c r="E649" s="23" t="n">
        <v>2402.50167143066</v>
      </c>
      <c r="F649" s="23" t="n">
        <f aca="false">D649-E649</f>
        <v>-1376.50167143066</v>
      </c>
      <c r="G649" s="24" t="n">
        <f aca="false">IF(E649&gt;0,D649/E649-1,"")</f>
        <v>-0.572945146219594</v>
      </c>
      <c r="H649" s="3" t="str">
        <f aca="false">IF(MAX(D649,E649)&lt;Parametros!$B$16,"",IF(E649=0,"PIDE SIN FCST",IF(ABS(G649)&gt;Parametros!$B$14,IF(G649&gt;0,"SOBRE FCST","BAJO FCST"),"")))</f>
        <v>BAJO FCST</v>
      </c>
    </row>
    <row r="650" customFormat="false" ht="15" hidden="false" customHeight="false" outlineLevel="0" collapsed="false">
      <c r="A650" s="3" t="n">
        <v>30001816</v>
      </c>
      <c r="B650" s="3" t="s">
        <v>421</v>
      </c>
      <c r="C650" s="3" t="s">
        <v>1375</v>
      </c>
      <c r="D650" s="23" t="n">
        <v>3672</v>
      </c>
      <c r="E650" s="23" t="n">
        <v>2296.39317046298</v>
      </c>
      <c r="F650" s="23" t="n">
        <f aca="false">D650-E650</f>
        <v>1375.60682953702</v>
      </c>
      <c r="G650" s="24" t="n">
        <f aca="false">IF(E650&gt;0,D650/E650-1,"")</f>
        <v>0.599029315724575</v>
      </c>
      <c r="H650" s="3" t="str">
        <f aca="false">IF(MAX(D650,E650)&lt;Parametros!$B$16,"",IF(E650=0,"PIDE SIN FCST",IF(ABS(G650)&gt;Parametros!$B$14,IF(G650&gt;0,"SOBRE FCST","BAJO FCST"),"")))</f>
        <v>SOBRE FCST</v>
      </c>
    </row>
    <row r="651" customFormat="false" ht="15" hidden="false" customHeight="false" outlineLevel="0" collapsed="false">
      <c r="A651" s="3" t="n">
        <v>30002064</v>
      </c>
      <c r="B651" s="3" t="s">
        <v>509</v>
      </c>
      <c r="C651" s="3" t="s">
        <v>1375</v>
      </c>
      <c r="D651" s="23" t="n">
        <v>2899.2</v>
      </c>
      <c r="E651" s="23" t="n">
        <v>1524.04864315804</v>
      </c>
      <c r="F651" s="23" t="n">
        <f aca="false">D651-E651</f>
        <v>1375.15135684196</v>
      </c>
      <c r="G651" s="24" t="n">
        <f aca="false">IF(E651&gt;0,D651/E651-1,"")</f>
        <v>0.902301486908227</v>
      </c>
      <c r="H651" s="3" t="str">
        <f aca="false">IF(MAX(D651,E651)&lt;Parametros!$B$16,"",IF(E651=0,"PIDE SIN FCST",IF(ABS(G651)&gt;Parametros!$B$14,IF(G651&gt;0,"SOBRE FCST","BAJO FCST"),"")))</f>
        <v>SOBRE FCST</v>
      </c>
    </row>
    <row r="652" customFormat="false" ht="15" hidden="false" customHeight="false" outlineLevel="0" collapsed="false">
      <c r="A652" s="3" t="n">
        <v>30002359</v>
      </c>
      <c r="B652" s="3" t="s">
        <v>401</v>
      </c>
      <c r="C652" s="3" t="s">
        <v>1373</v>
      </c>
      <c r="D652" s="23" t="n">
        <v>3024</v>
      </c>
      <c r="E652" s="23" t="n">
        <v>4384.725</v>
      </c>
      <c r="F652" s="23" t="n">
        <f aca="false">D652-E652</f>
        <v>-1360.725</v>
      </c>
      <c r="G652" s="24" t="n">
        <f aca="false">IF(E652&gt;0,D652/E652-1,"")</f>
        <v>-0.310333031147906</v>
      </c>
      <c r="H652" s="3" t="str">
        <f aca="false">IF(MAX(D652,E652)&lt;Parametros!$B$16,"",IF(E652=0,"PIDE SIN FCST",IF(ABS(G652)&gt;Parametros!$B$14,IF(G652&gt;0,"SOBRE FCST","BAJO FCST"),"")))</f>
        <v>BAJO FCST</v>
      </c>
    </row>
    <row r="653" customFormat="false" ht="15" hidden="false" customHeight="false" outlineLevel="0" collapsed="false">
      <c r="A653" s="3" t="n">
        <v>30000177</v>
      </c>
      <c r="B653" s="3" t="s">
        <v>439</v>
      </c>
      <c r="C653" s="3" t="s">
        <v>1379</v>
      </c>
      <c r="D653" s="23" t="n">
        <v>648</v>
      </c>
      <c r="E653" s="23" t="n">
        <v>2000</v>
      </c>
      <c r="F653" s="23" t="n">
        <f aca="false">D653-E653</f>
        <v>-1352</v>
      </c>
      <c r="G653" s="24" t="n">
        <f aca="false">IF(E653&gt;0,D653/E653-1,"")</f>
        <v>-0.676</v>
      </c>
      <c r="H653" s="3" t="str">
        <f aca="false">IF(MAX(D653,E653)&lt;Parametros!$B$16,"",IF(E653=0,"PIDE SIN FCST",IF(ABS(G653)&gt;Parametros!$B$14,IF(G653&gt;0,"SOBRE FCST","BAJO FCST"),"")))</f>
        <v>BAJO FCST</v>
      </c>
    </row>
    <row r="654" customFormat="false" ht="15" hidden="false" customHeight="false" outlineLevel="0" collapsed="false">
      <c r="A654" s="3" t="n">
        <v>30000328</v>
      </c>
      <c r="B654" s="3" t="s">
        <v>367</v>
      </c>
      <c r="C654" s="3" t="s">
        <v>1373</v>
      </c>
      <c r="D654" s="23" t="n">
        <v>1536</v>
      </c>
      <c r="E654" s="23" t="n">
        <v>2878.675</v>
      </c>
      <c r="F654" s="23" t="n">
        <f aca="false">D654-E654</f>
        <v>-1342.675</v>
      </c>
      <c r="G654" s="24" t="n">
        <f aca="false">IF(E654&gt;0,D654/E654-1,"")</f>
        <v>-0.466421183356926</v>
      </c>
      <c r="H654" s="3" t="str">
        <f aca="false">IF(MAX(D654,E654)&lt;Parametros!$B$16,"",IF(E654=0,"PIDE SIN FCST",IF(ABS(G654)&gt;Parametros!$B$14,IF(G654&gt;0,"SOBRE FCST","BAJO FCST"),"")))</f>
        <v>BAJO FCST</v>
      </c>
    </row>
    <row r="655" customFormat="false" ht="15" hidden="false" customHeight="false" outlineLevel="0" collapsed="false">
      <c r="A655" s="3" t="n">
        <v>30000401</v>
      </c>
      <c r="B655" s="3" t="s">
        <v>234</v>
      </c>
      <c r="C655" s="3" t="s">
        <v>1377</v>
      </c>
      <c r="D655" s="23" t="n">
        <v>1944</v>
      </c>
      <c r="E655" s="23" t="n">
        <v>3274.55171031237</v>
      </c>
      <c r="F655" s="23" t="n">
        <f aca="false">D655-E655</f>
        <v>-1330.55171031237</v>
      </c>
      <c r="G655" s="24" t="n">
        <f aca="false">IF(E655&gt;0,D655/E655-1,"")</f>
        <v>-0.406330950927462</v>
      </c>
      <c r="H655" s="3" t="str">
        <f aca="false">IF(MAX(D655,E655)&lt;Parametros!$B$16,"",IF(E655=0,"PIDE SIN FCST",IF(ABS(G655)&gt;Parametros!$B$14,IF(G655&gt;0,"SOBRE FCST","BAJO FCST"),"")))</f>
        <v>BAJO FCST</v>
      </c>
    </row>
    <row r="656" customFormat="false" ht="15" hidden="false" customHeight="false" outlineLevel="0" collapsed="false">
      <c r="A656" s="3" t="n">
        <v>30002093</v>
      </c>
      <c r="B656" s="3" t="s">
        <v>488</v>
      </c>
      <c r="C656" s="3" t="s">
        <v>1380</v>
      </c>
      <c r="D656" s="23" t="n">
        <v>1140.48</v>
      </c>
      <c r="E656" s="23" t="n">
        <v>2470.37037037037</v>
      </c>
      <c r="F656" s="23" t="n">
        <f aca="false">D656-E656</f>
        <v>-1329.89037037037</v>
      </c>
      <c r="G656" s="24" t="n">
        <f aca="false">IF(E656&gt;0,D656/E656-1,"")</f>
        <v>-0.538336431784108</v>
      </c>
      <c r="H656" s="3" t="str">
        <f aca="false">IF(MAX(D656,E656)&lt;Parametros!$B$16,"",IF(E656=0,"PIDE SIN FCST",IF(ABS(G656)&gt;Parametros!$B$14,IF(G656&gt;0,"SOBRE FCST","BAJO FCST"),"")))</f>
        <v>BAJO FCST</v>
      </c>
    </row>
    <row r="657" customFormat="false" ht="15" hidden="false" customHeight="false" outlineLevel="0" collapsed="false">
      <c r="A657" s="3" t="n">
        <v>30000207</v>
      </c>
      <c r="B657" s="3" t="s">
        <v>300</v>
      </c>
      <c r="C657" s="3" t="s">
        <v>1373</v>
      </c>
      <c r="D657" s="23" t="n">
        <v>7410</v>
      </c>
      <c r="E657" s="23" t="n">
        <v>6082.95333333333</v>
      </c>
      <c r="F657" s="23" t="n">
        <f aca="false">D657-E657</f>
        <v>1327.04666666667</v>
      </c>
      <c r="G657" s="24" t="n">
        <f aca="false">IF(E657&gt;0,D657/E657-1,"")</f>
        <v>0.218158284955882</v>
      </c>
      <c r="H657" s="3" t="str">
        <f aca="false">IF(MAX(D657,E657)&lt;Parametros!$B$16,"",IF(E657=0,"PIDE SIN FCST",IF(ABS(G657)&gt;Parametros!$B$14,IF(G657&gt;0,"SOBRE FCST","BAJO FCST"),"")))</f>
        <v>SOBRE FCST</v>
      </c>
    </row>
    <row r="658" customFormat="false" ht="15" hidden="false" customHeight="false" outlineLevel="0" collapsed="false">
      <c r="A658" s="3" t="n">
        <v>30002170</v>
      </c>
      <c r="B658" s="3" t="s">
        <v>561</v>
      </c>
      <c r="C658" s="3" t="s">
        <v>1380</v>
      </c>
      <c r="D658" s="23" t="n">
        <v>3081.6</v>
      </c>
      <c r="E658" s="23" t="n">
        <v>1760.4801248402</v>
      </c>
      <c r="F658" s="23" t="n">
        <f aca="false">D658-E658</f>
        <v>1321.1198751598</v>
      </c>
      <c r="G658" s="24" t="n">
        <f aca="false">IF(E658&gt;0,D658/E658-1,"")</f>
        <v>0.750431576317697</v>
      </c>
      <c r="H658" s="3" t="str">
        <f aca="false">IF(MAX(D658,E658)&lt;Parametros!$B$16,"",IF(E658=0,"PIDE SIN FCST",IF(ABS(G658)&gt;Parametros!$B$14,IF(G658&gt;0,"SOBRE FCST","BAJO FCST"),"")))</f>
        <v>SOBRE FCST</v>
      </c>
    </row>
    <row r="659" customFormat="false" ht="15" hidden="false" customHeight="false" outlineLevel="0" collapsed="false">
      <c r="A659" s="3" t="n">
        <v>30001080</v>
      </c>
      <c r="B659" s="3" t="s">
        <v>278</v>
      </c>
      <c r="C659" s="3" t="s">
        <v>1373</v>
      </c>
      <c r="D659" s="23" t="n">
        <v>3025.44</v>
      </c>
      <c r="E659" s="23" t="n">
        <v>1707.655411655</v>
      </c>
      <c r="F659" s="23" t="n">
        <f aca="false">D659-E659</f>
        <v>1317.784588345</v>
      </c>
      <c r="G659" s="24" t="n">
        <f aca="false">IF(E659&gt;0,D659/E659-1,"")</f>
        <v>0.771692332862316</v>
      </c>
      <c r="H659" s="3" t="str">
        <f aca="false">IF(MAX(D659,E659)&lt;Parametros!$B$16,"",IF(E659=0,"PIDE SIN FCST",IF(ABS(G659)&gt;Parametros!$B$14,IF(G659&gt;0,"SOBRE FCST","BAJO FCST"),"")))</f>
        <v>SOBRE FCST</v>
      </c>
    </row>
    <row r="660" customFormat="false" ht="15" hidden="false" customHeight="false" outlineLevel="0" collapsed="false">
      <c r="A660" s="3" t="n">
        <v>30000615</v>
      </c>
      <c r="B660" s="3" t="s">
        <v>279</v>
      </c>
      <c r="C660" s="3" t="s">
        <v>1372</v>
      </c>
      <c r="D660" s="23" t="n">
        <v>2649.6</v>
      </c>
      <c r="E660" s="23" t="n">
        <v>3962.4</v>
      </c>
      <c r="F660" s="23" t="n">
        <f aca="false">D660-E660</f>
        <v>-1312.8</v>
      </c>
      <c r="G660" s="24" t="n">
        <f aca="false">IF(E660&gt;0,D660/E660-1,"")</f>
        <v>-0.331314354936402</v>
      </c>
      <c r="H660" s="3" t="str">
        <f aca="false">IF(MAX(D660,E660)&lt;Parametros!$B$16,"",IF(E660=0,"PIDE SIN FCST",IF(ABS(G660)&gt;Parametros!$B$14,IF(G660&gt;0,"SOBRE FCST","BAJO FCST"),"")))</f>
        <v>BAJO FCST</v>
      </c>
    </row>
    <row r="661" customFormat="false" ht="15" hidden="false" customHeight="false" outlineLevel="0" collapsed="false">
      <c r="A661" s="3" t="n">
        <v>30000006</v>
      </c>
      <c r="B661" s="3" t="s">
        <v>402</v>
      </c>
      <c r="C661" s="3" t="s">
        <v>1378</v>
      </c>
      <c r="D661" s="23" t="n">
        <v>2076</v>
      </c>
      <c r="E661" s="23" t="n">
        <v>768.453087885986</v>
      </c>
      <c r="F661" s="23" t="n">
        <f aca="false">D661-E661</f>
        <v>1307.54691211401</v>
      </c>
      <c r="G661" s="24" t="n">
        <f aca="false">IF(E661&gt;0,D661/E661-1,"")</f>
        <v>1.70153120955122</v>
      </c>
      <c r="H661" s="3" t="str">
        <f aca="false">IF(MAX(D661,E661)&lt;Parametros!$B$16,"",IF(E661=0,"PIDE SIN FCST",IF(ABS(G661)&gt;Parametros!$B$14,IF(G661&gt;0,"SOBRE FCST","BAJO FCST"),"")))</f>
        <v>SOBRE FCST</v>
      </c>
    </row>
    <row r="662" customFormat="false" ht="15" hidden="false" customHeight="false" outlineLevel="0" collapsed="false">
      <c r="A662" s="3" t="n">
        <v>30001924</v>
      </c>
      <c r="B662" s="3" t="s">
        <v>563</v>
      </c>
      <c r="C662" s="3" t="s">
        <v>1375</v>
      </c>
      <c r="D662" s="23" t="n">
        <v>2676</v>
      </c>
      <c r="E662" s="23" t="n">
        <v>1369.50168408734</v>
      </c>
      <c r="F662" s="23" t="n">
        <f aca="false">D662-E662</f>
        <v>1306.49831591266</v>
      </c>
      <c r="G662" s="24" t="n">
        <f aca="false">IF(E662&gt;0,D662/E662-1,"")</f>
        <v>0.953995406572523</v>
      </c>
      <c r="H662" s="3" t="str">
        <f aca="false">IF(MAX(D662,E662)&lt;Parametros!$B$16,"",IF(E662=0,"PIDE SIN FCST",IF(ABS(G662)&gt;Parametros!$B$14,IF(G662&gt;0,"SOBRE FCST","BAJO FCST"),"")))</f>
        <v>SOBRE FCST</v>
      </c>
    </row>
    <row r="663" customFormat="false" ht="15" hidden="false" customHeight="false" outlineLevel="0" collapsed="false">
      <c r="A663" s="3" t="n">
        <v>30001780</v>
      </c>
      <c r="B663" s="3" t="s">
        <v>340</v>
      </c>
      <c r="C663" s="3" t="s">
        <v>1375</v>
      </c>
      <c r="D663" s="23" t="n">
        <v>7193.664</v>
      </c>
      <c r="E663" s="23" t="n">
        <v>8500</v>
      </c>
      <c r="F663" s="23" t="n">
        <f aca="false">D663-E663</f>
        <v>-1306.336</v>
      </c>
      <c r="G663" s="24" t="n">
        <f aca="false">IF(E663&gt;0,D663/E663-1,"")</f>
        <v>-0.153686588235294</v>
      </c>
      <c r="H663" s="3" t="str">
        <f aca="false">IF(MAX(D663,E663)&lt;Parametros!$B$16,"",IF(E663=0,"PIDE SIN FCST",IF(ABS(G663)&gt;Parametros!$B$14,IF(G663&gt;0,"SOBRE FCST","BAJO FCST"),"")))</f>
        <v/>
      </c>
    </row>
    <row r="664" customFormat="false" ht="15" hidden="false" customHeight="false" outlineLevel="0" collapsed="false">
      <c r="A664" s="3" t="n">
        <v>30001076</v>
      </c>
      <c r="B664" s="3" t="s">
        <v>457</v>
      </c>
      <c r="C664" s="3" t="s">
        <v>1377</v>
      </c>
      <c r="D664" s="23" t="n">
        <v>2275.68</v>
      </c>
      <c r="E664" s="23" t="n">
        <v>970.248054918538</v>
      </c>
      <c r="F664" s="23" t="n">
        <f aca="false">D664-E664</f>
        <v>1305.43194508146</v>
      </c>
      <c r="G664" s="24" t="n">
        <f aca="false">IF(E664&gt;0,D664/E664-1,"")</f>
        <v>1.3454620583507</v>
      </c>
      <c r="H664" s="3" t="str">
        <f aca="false">IF(MAX(D664,E664)&lt;Parametros!$B$16,"",IF(E664=0,"PIDE SIN FCST",IF(ABS(G664)&gt;Parametros!$B$14,IF(G664&gt;0,"SOBRE FCST","BAJO FCST"),"")))</f>
        <v>SOBRE FCST</v>
      </c>
    </row>
    <row r="665" customFormat="false" ht="15" hidden="false" customHeight="false" outlineLevel="0" collapsed="false">
      <c r="A665" s="3" t="n">
        <v>30001093</v>
      </c>
      <c r="B665" s="3" t="s">
        <v>327</v>
      </c>
      <c r="C665" s="3" t="s">
        <v>1379</v>
      </c>
      <c r="D665" s="23" t="n">
        <v>2361.6</v>
      </c>
      <c r="E665" s="23" t="n">
        <v>1056.48648014373</v>
      </c>
      <c r="F665" s="23" t="n">
        <f aca="false">D665-E665</f>
        <v>1305.11351985627</v>
      </c>
      <c r="G665" s="24" t="n">
        <f aca="false">IF(E665&gt;0,D665/E665-1,"")</f>
        <v>1.23533385839327</v>
      </c>
      <c r="H665" s="3" t="str">
        <f aca="false">IF(MAX(D665,E665)&lt;Parametros!$B$16,"",IF(E665=0,"PIDE SIN FCST",IF(ABS(G665)&gt;Parametros!$B$14,IF(G665&gt;0,"SOBRE FCST","BAJO FCST"),"")))</f>
        <v>SOBRE FCST</v>
      </c>
    </row>
    <row r="666" customFormat="false" ht="15" hidden="false" customHeight="false" outlineLevel="0" collapsed="false">
      <c r="A666" s="3" t="n">
        <v>30002169</v>
      </c>
      <c r="B666" s="3" t="s">
        <v>377</v>
      </c>
      <c r="C666" s="3" t="s">
        <v>1373</v>
      </c>
      <c r="D666" s="23" t="n">
        <v>3029.4</v>
      </c>
      <c r="E666" s="23" t="n">
        <v>1725.15013099147</v>
      </c>
      <c r="F666" s="23" t="n">
        <f aca="false">D666-E666</f>
        <v>1304.24986900853</v>
      </c>
      <c r="G666" s="24" t="n">
        <f aca="false">IF(E666&gt;0,D666/E666-1,"")</f>
        <v>0.756021082210945</v>
      </c>
      <c r="H666" s="3" t="str">
        <f aca="false">IF(MAX(D666,E666)&lt;Parametros!$B$16,"",IF(E666=0,"PIDE SIN FCST",IF(ABS(G666)&gt;Parametros!$B$14,IF(G666&gt;0,"SOBRE FCST","BAJO FCST"),"")))</f>
        <v>SOBRE FCST</v>
      </c>
    </row>
    <row r="667" customFormat="false" ht="15" hidden="false" customHeight="false" outlineLevel="0" collapsed="false">
      <c r="A667" s="3" t="n">
        <v>30001862</v>
      </c>
      <c r="B667" s="3" t="s">
        <v>239</v>
      </c>
      <c r="C667" s="3" t="s">
        <v>1379</v>
      </c>
      <c r="D667" s="23" t="n">
        <v>15201</v>
      </c>
      <c r="E667" s="23" t="n">
        <v>16500</v>
      </c>
      <c r="F667" s="23" t="n">
        <f aca="false">D667-E667</f>
        <v>-1299</v>
      </c>
      <c r="G667" s="24" t="n">
        <f aca="false">IF(E667&gt;0,D667/E667-1,"")</f>
        <v>-0.0787272727272728</v>
      </c>
      <c r="H667" s="3" t="str">
        <f aca="false">IF(MAX(D667,E667)&lt;Parametros!$B$16,"",IF(E667=0,"PIDE SIN FCST",IF(ABS(G667)&gt;Parametros!$B$14,IF(G667&gt;0,"SOBRE FCST","BAJO FCST"),"")))</f>
        <v/>
      </c>
    </row>
    <row r="668" customFormat="false" ht="15" hidden="false" customHeight="false" outlineLevel="0" collapsed="false">
      <c r="A668" s="3" t="n">
        <v>30000637</v>
      </c>
      <c r="B668" s="3" t="s">
        <v>232</v>
      </c>
      <c r="C668" s="3" t="s">
        <v>1378</v>
      </c>
      <c r="D668" s="23" t="n">
        <v>6584.64</v>
      </c>
      <c r="E668" s="23" t="n">
        <v>7883.2</v>
      </c>
      <c r="F668" s="23" t="n">
        <f aca="false">D668-E668</f>
        <v>-1298.56</v>
      </c>
      <c r="G668" s="24" t="n">
        <f aca="false">IF(E668&gt;0,D668/E668-1,"")</f>
        <v>-0.164724984777755</v>
      </c>
      <c r="H668" s="3" t="str">
        <f aca="false">IF(MAX(D668,E668)&lt;Parametros!$B$16,"",IF(E668=0,"PIDE SIN FCST",IF(ABS(G668)&gt;Parametros!$B$14,IF(G668&gt;0,"SOBRE FCST","BAJO FCST"),"")))</f>
        <v/>
      </c>
    </row>
    <row r="669" customFormat="false" ht="15" hidden="false" customHeight="false" outlineLevel="0" collapsed="false">
      <c r="A669" s="3" t="n">
        <v>30000043</v>
      </c>
      <c r="B669" s="3" t="s">
        <v>546</v>
      </c>
      <c r="C669" s="3" t="s">
        <v>1379</v>
      </c>
      <c r="D669" s="23" t="n">
        <v>794.88</v>
      </c>
      <c r="E669" s="23" t="n">
        <v>2089.76</v>
      </c>
      <c r="F669" s="23" t="n">
        <f aca="false">D669-E669</f>
        <v>-1294.88</v>
      </c>
      <c r="G669" s="24" t="n">
        <f aca="false">IF(E669&gt;0,D669/E669-1,"")</f>
        <v>-0.619630962407166</v>
      </c>
      <c r="H669" s="3" t="str">
        <f aca="false">IF(MAX(D669,E669)&lt;Parametros!$B$16,"",IF(E669=0,"PIDE SIN FCST",IF(ABS(G669)&gt;Parametros!$B$14,IF(G669&gt;0,"SOBRE FCST","BAJO FCST"),"")))</f>
        <v>BAJO FCST</v>
      </c>
    </row>
    <row r="670" customFormat="false" ht="15" hidden="false" customHeight="false" outlineLevel="0" collapsed="false">
      <c r="A670" s="3" t="n">
        <v>30002180</v>
      </c>
      <c r="B670" s="3" t="s">
        <v>426</v>
      </c>
      <c r="C670" s="3" t="s">
        <v>1375</v>
      </c>
      <c r="D670" s="23" t="n">
        <v>2622</v>
      </c>
      <c r="E670" s="23" t="n">
        <v>3916.84215784301</v>
      </c>
      <c r="F670" s="23" t="n">
        <f aca="false">D670-E670</f>
        <v>-1294.84215784301</v>
      </c>
      <c r="G670" s="24" t="n">
        <f aca="false">IF(E670&gt;0,D670/E670-1,"")</f>
        <v>-0.330583185551718</v>
      </c>
      <c r="H670" s="3" t="str">
        <f aca="false">IF(MAX(D670,E670)&lt;Parametros!$B$16,"",IF(E670=0,"PIDE SIN FCST",IF(ABS(G670)&gt;Parametros!$B$14,IF(G670&gt;0,"SOBRE FCST","BAJO FCST"),"")))</f>
        <v>BAJO FCST</v>
      </c>
    </row>
    <row r="671" customFormat="false" ht="15" hidden="false" customHeight="false" outlineLevel="0" collapsed="false">
      <c r="A671" s="3" t="n">
        <v>30002253</v>
      </c>
      <c r="B671" s="3" t="s">
        <v>555</v>
      </c>
      <c r="C671" s="3" t="s">
        <v>1375</v>
      </c>
      <c r="D671" s="23" t="n">
        <v>0</v>
      </c>
      <c r="E671" s="23" t="n">
        <v>1293.86259824361</v>
      </c>
      <c r="F671" s="23" t="n">
        <f aca="false">D671-E671</f>
        <v>-1293.86259824361</v>
      </c>
      <c r="G671" s="24" t="n">
        <f aca="false">IF(E671&gt;0,D671/E671-1,"")</f>
        <v>-1</v>
      </c>
      <c r="H671" s="3" t="str">
        <f aca="false">IF(MAX(D671,E671)&lt;Parametros!$B$16,"",IF(E671=0,"PIDE SIN FCST",IF(ABS(G671)&gt;Parametros!$B$14,IF(G671&gt;0,"SOBRE FCST","BAJO FCST"),"")))</f>
        <v>BAJO FCST</v>
      </c>
    </row>
    <row r="672" customFormat="false" ht="15" hidden="false" customHeight="false" outlineLevel="0" collapsed="false">
      <c r="A672" s="3" t="n">
        <v>30000459</v>
      </c>
      <c r="B672" s="3" t="s">
        <v>666</v>
      </c>
      <c r="C672" s="3" t="s">
        <v>1377</v>
      </c>
      <c r="D672" s="23" t="n">
        <v>0</v>
      </c>
      <c r="E672" s="23" t="n">
        <v>1293.86259824361</v>
      </c>
      <c r="F672" s="23" t="n">
        <f aca="false">D672-E672</f>
        <v>-1293.86259824361</v>
      </c>
      <c r="G672" s="24" t="n">
        <f aca="false">IF(E672&gt;0,D672/E672-1,"")</f>
        <v>-1</v>
      </c>
      <c r="H672" s="3" t="str">
        <f aca="false">IF(MAX(D672,E672)&lt;Parametros!$B$16,"",IF(E672=0,"PIDE SIN FCST",IF(ABS(G672)&gt;Parametros!$B$14,IF(G672&gt;0,"SOBRE FCST","BAJO FCST"),"")))</f>
        <v>BAJO FCST</v>
      </c>
    </row>
    <row r="673" customFormat="false" ht="15" hidden="false" customHeight="false" outlineLevel="0" collapsed="false">
      <c r="A673" s="3" t="n">
        <v>30002078</v>
      </c>
      <c r="B673" s="3" t="s">
        <v>339</v>
      </c>
      <c r="C673" s="3" t="s">
        <v>1378</v>
      </c>
      <c r="D673" s="23" t="n">
        <v>840</v>
      </c>
      <c r="E673" s="23" t="n">
        <v>2129.01270682286</v>
      </c>
      <c r="F673" s="23" t="n">
        <f aca="false">D673-E673</f>
        <v>-1289.01270682285</v>
      </c>
      <c r="G673" s="24" t="n">
        <f aca="false">IF(E673&gt;0,D673/E673-1,"")</f>
        <v>-0.605450922247646</v>
      </c>
      <c r="H673" s="3" t="str">
        <f aca="false">IF(MAX(D673,E673)&lt;Parametros!$B$16,"",IF(E673=0,"PIDE SIN FCST",IF(ABS(G673)&gt;Parametros!$B$14,IF(G673&gt;0,"SOBRE FCST","BAJO FCST"),"")))</f>
        <v>BAJO FCST</v>
      </c>
    </row>
    <row r="674" customFormat="false" ht="15" hidden="false" customHeight="false" outlineLevel="0" collapsed="false">
      <c r="A674" s="3" t="n">
        <v>30000398</v>
      </c>
      <c r="B674" s="3" t="s">
        <v>295</v>
      </c>
      <c r="C674" s="3" t="s">
        <v>1379</v>
      </c>
      <c r="D674" s="23" t="n">
        <v>2688</v>
      </c>
      <c r="E674" s="23" t="n">
        <v>1400</v>
      </c>
      <c r="F674" s="23" t="n">
        <f aca="false">D674-E674</f>
        <v>1288</v>
      </c>
      <c r="G674" s="24" t="n">
        <f aca="false">IF(E674&gt;0,D674/E674-1,"")</f>
        <v>0.92</v>
      </c>
      <c r="H674" s="3" t="str">
        <f aca="false">IF(MAX(D674,E674)&lt;Parametros!$B$16,"",IF(E674=0,"PIDE SIN FCST",IF(ABS(G674)&gt;Parametros!$B$14,IF(G674&gt;0,"SOBRE FCST","BAJO FCST"),"")))</f>
        <v>SOBRE FCST</v>
      </c>
    </row>
    <row r="675" customFormat="false" ht="15" hidden="false" customHeight="false" outlineLevel="0" collapsed="false">
      <c r="A675" s="3" t="n">
        <v>30000351</v>
      </c>
      <c r="B675" s="3" t="s">
        <v>393</v>
      </c>
      <c r="C675" s="3" t="s">
        <v>1372</v>
      </c>
      <c r="D675" s="23" t="n">
        <v>4092</v>
      </c>
      <c r="E675" s="23" t="n">
        <v>2806.98780072342</v>
      </c>
      <c r="F675" s="23" t="n">
        <f aca="false">D675-E675</f>
        <v>1285.01219927658</v>
      </c>
      <c r="G675" s="24" t="n">
        <f aca="false">IF(E675&gt;0,D675/E675-1,"")</f>
        <v>0.457790446736323</v>
      </c>
      <c r="H675" s="3" t="str">
        <f aca="false">IF(MAX(D675,E675)&lt;Parametros!$B$16,"",IF(E675=0,"PIDE SIN FCST",IF(ABS(G675)&gt;Parametros!$B$14,IF(G675&gt;0,"SOBRE FCST","BAJO FCST"),"")))</f>
        <v>SOBRE FCST</v>
      </c>
    </row>
    <row r="676" customFormat="false" ht="15" hidden="false" customHeight="false" outlineLevel="0" collapsed="false">
      <c r="A676" s="3" t="n">
        <v>30001020</v>
      </c>
      <c r="B676" s="3" t="s">
        <v>461</v>
      </c>
      <c r="C676" s="3" t="s">
        <v>1375</v>
      </c>
      <c r="D676" s="23" t="n">
        <v>2566.8</v>
      </c>
      <c r="E676" s="23" t="n">
        <v>3844.08405154153</v>
      </c>
      <c r="F676" s="23" t="n">
        <f aca="false">D676-E676</f>
        <v>-1277.28405154153</v>
      </c>
      <c r="G676" s="24" t="n">
        <f aca="false">IF(E676&gt;0,D676/E676-1,"")</f>
        <v>-0.33227266480537</v>
      </c>
      <c r="H676" s="3" t="str">
        <f aca="false">IF(MAX(D676,E676)&lt;Parametros!$B$16,"",IF(E676=0,"PIDE SIN FCST",IF(ABS(G676)&gt;Parametros!$B$14,IF(G676&gt;0,"SOBRE FCST","BAJO FCST"),"")))</f>
        <v>BAJO FCST</v>
      </c>
    </row>
    <row r="677" customFormat="false" ht="15" hidden="false" customHeight="false" outlineLevel="0" collapsed="false">
      <c r="A677" s="3" t="n">
        <v>30000478</v>
      </c>
      <c r="B677" s="3" t="s">
        <v>392</v>
      </c>
      <c r="C677" s="3" t="s">
        <v>1378</v>
      </c>
      <c r="D677" s="23" t="n">
        <v>2052</v>
      </c>
      <c r="E677" s="23" t="n">
        <v>775.165633802817</v>
      </c>
      <c r="F677" s="23" t="n">
        <f aca="false">D677-E677</f>
        <v>1276.83436619718</v>
      </c>
      <c r="G677" s="24" t="n">
        <f aca="false">IF(E677&gt;0,D677/E677-1,"")</f>
        <v>1.64717617824887</v>
      </c>
      <c r="H677" s="3" t="str">
        <f aca="false">IF(MAX(D677,E677)&lt;Parametros!$B$16,"",IF(E677=0,"PIDE SIN FCST",IF(ABS(G677)&gt;Parametros!$B$14,IF(G677&gt;0,"SOBRE FCST","BAJO FCST"),"")))</f>
        <v>SOBRE FCST</v>
      </c>
    </row>
    <row r="678" customFormat="false" ht="15" hidden="false" customHeight="false" outlineLevel="0" collapsed="false">
      <c r="A678" s="3" t="n">
        <v>30001765</v>
      </c>
      <c r="B678" s="3" t="s">
        <v>438</v>
      </c>
      <c r="C678" s="3" t="s">
        <v>1373</v>
      </c>
      <c r="D678" s="23" t="n">
        <v>8262</v>
      </c>
      <c r="E678" s="23" t="n">
        <v>9538</v>
      </c>
      <c r="F678" s="23" t="n">
        <f aca="false">D678-E678</f>
        <v>-1276</v>
      </c>
      <c r="G678" s="24" t="n">
        <f aca="false">IF(E678&gt;0,D678/E678-1,"")</f>
        <v>-0.133780666806458</v>
      </c>
      <c r="H678" s="3" t="str">
        <f aca="false">IF(MAX(D678,E678)&lt;Parametros!$B$16,"",IF(E678=0,"PIDE SIN FCST",IF(ABS(G678)&gt;Parametros!$B$14,IF(G678&gt;0,"SOBRE FCST","BAJO FCST"),"")))</f>
        <v/>
      </c>
    </row>
    <row r="679" customFormat="false" ht="15" hidden="false" customHeight="false" outlineLevel="0" collapsed="false">
      <c r="A679" s="3" t="n">
        <v>30001861</v>
      </c>
      <c r="B679" s="3" t="s">
        <v>250</v>
      </c>
      <c r="C679" s="3" t="s">
        <v>1375</v>
      </c>
      <c r="D679" s="23" t="n">
        <v>11226.6</v>
      </c>
      <c r="E679" s="23" t="n">
        <v>12500</v>
      </c>
      <c r="F679" s="23" t="n">
        <f aca="false">D679-E679</f>
        <v>-1273.4</v>
      </c>
      <c r="G679" s="24" t="n">
        <f aca="false">IF(E679&gt;0,D679/E679-1,"")</f>
        <v>-0.101872</v>
      </c>
      <c r="H679" s="3" t="str">
        <f aca="false">IF(MAX(D679,E679)&lt;Parametros!$B$16,"",IF(E679=0,"PIDE SIN FCST",IF(ABS(G679)&gt;Parametros!$B$14,IF(G679&gt;0,"SOBRE FCST","BAJO FCST"),"")))</f>
        <v/>
      </c>
    </row>
    <row r="680" customFormat="false" ht="15" hidden="false" customHeight="false" outlineLevel="0" collapsed="false">
      <c r="A680" s="3" t="n">
        <v>30000488</v>
      </c>
      <c r="B680" s="3" t="s">
        <v>448</v>
      </c>
      <c r="C680" s="3" t="s">
        <v>1375</v>
      </c>
      <c r="D680" s="23" t="n">
        <v>6361.2</v>
      </c>
      <c r="E680" s="23" t="n">
        <v>5087.98332695098</v>
      </c>
      <c r="F680" s="23" t="n">
        <f aca="false">D680-E680</f>
        <v>1273.21667304902</v>
      </c>
      <c r="G680" s="24" t="n">
        <f aca="false">IF(E680&gt;0,D680/E680-1,"")</f>
        <v>0.250239946012561</v>
      </c>
      <c r="H680" s="3" t="str">
        <f aca="false">IF(MAX(D680,E680)&lt;Parametros!$B$16,"",IF(E680=0,"PIDE SIN FCST",IF(ABS(G680)&gt;Parametros!$B$14,IF(G680&gt;0,"SOBRE FCST","BAJO FCST"),"")))</f>
        <v>SOBRE FCST</v>
      </c>
    </row>
    <row r="681" customFormat="false" ht="15" hidden="false" customHeight="false" outlineLevel="0" collapsed="false">
      <c r="A681" s="3" t="n">
        <v>30000300</v>
      </c>
      <c r="B681" s="3" t="s">
        <v>291</v>
      </c>
      <c r="C681" s="3" t="s">
        <v>1375</v>
      </c>
      <c r="D681" s="23" t="n">
        <v>3996</v>
      </c>
      <c r="E681" s="23" t="n">
        <v>5268.65031516301</v>
      </c>
      <c r="F681" s="23" t="n">
        <f aca="false">D681-E681</f>
        <v>-1272.65031516301</v>
      </c>
      <c r="G681" s="24" t="n">
        <f aca="false">IF(E681&gt;0,D681/E681-1,"")</f>
        <v>-0.241551486440534</v>
      </c>
      <c r="H681" s="3" t="str">
        <f aca="false">IF(MAX(D681,E681)&lt;Parametros!$B$16,"",IF(E681=0,"PIDE SIN FCST",IF(ABS(G681)&gt;Parametros!$B$14,IF(G681&gt;0,"SOBRE FCST","BAJO FCST"),"")))</f>
        <v>BAJO FCST</v>
      </c>
    </row>
    <row r="682" customFormat="false" ht="15" hidden="false" customHeight="false" outlineLevel="0" collapsed="false">
      <c r="A682" s="3" t="n">
        <v>30002272</v>
      </c>
      <c r="B682" s="3" t="s">
        <v>368</v>
      </c>
      <c r="C682" s="3" t="s">
        <v>1375</v>
      </c>
      <c r="D682" s="23" t="n">
        <v>6372</v>
      </c>
      <c r="E682" s="23" t="n">
        <v>5100</v>
      </c>
      <c r="F682" s="23" t="n">
        <f aca="false">D682-E682</f>
        <v>1272</v>
      </c>
      <c r="G682" s="24" t="n">
        <f aca="false">IF(E682&gt;0,D682/E682-1,"")</f>
        <v>0.249411764705882</v>
      </c>
      <c r="H682" s="3" t="str">
        <f aca="false">IF(MAX(D682,E682)&lt;Parametros!$B$16,"",IF(E682=0,"PIDE SIN FCST",IF(ABS(G682)&gt;Parametros!$B$14,IF(G682&gt;0,"SOBRE FCST","BAJO FCST"),"")))</f>
        <v>SOBRE FCST</v>
      </c>
    </row>
    <row r="683" customFormat="false" ht="15" hidden="false" customHeight="false" outlineLevel="0" collapsed="false">
      <c r="A683" s="3" t="n">
        <v>30002357</v>
      </c>
      <c r="B683" s="3" t="s">
        <v>556</v>
      </c>
      <c r="C683" s="3" t="s">
        <v>1380</v>
      </c>
      <c r="D683" s="23" t="n">
        <v>8730</v>
      </c>
      <c r="E683" s="23" t="n">
        <v>10000</v>
      </c>
      <c r="F683" s="23" t="n">
        <f aca="false">D683-E683</f>
        <v>-1270</v>
      </c>
      <c r="G683" s="24" t="n">
        <f aca="false">IF(E683&gt;0,D683/E683-1,"")</f>
        <v>-0.127</v>
      </c>
      <c r="H683" s="3" t="str">
        <f aca="false">IF(MAX(D683,E683)&lt;Parametros!$B$16,"",IF(E683=0,"PIDE SIN FCST",IF(ABS(G683)&gt;Parametros!$B$14,IF(G683&gt;0,"SOBRE FCST","BAJO FCST"),"")))</f>
        <v/>
      </c>
    </row>
    <row r="684" customFormat="false" ht="15" hidden="false" customHeight="false" outlineLevel="0" collapsed="false">
      <c r="A684" s="3" t="n">
        <v>30000206</v>
      </c>
      <c r="B684" s="3" t="s">
        <v>287</v>
      </c>
      <c r="C684" s="3" t="s">
        <v>1372</v>
      </c>
      <c r="D684" s="23" t="n">
        <v>1884</v>
      </c>
      <c r="E684" s="23" t="n">
        <v>3153.47265564545</v>
      </c>
      <c r="F684" s="23" t="n">
        <f aca="false">D684-E684</f>
        <v>-1269.47265564544</v>
      </c>
      <c r="G684" s="24" t="n">
        <f aca="false">IF(E684&gt;0,D684/E684-1,"")</f>
        <v>-0.402563394159387</v>
      </c>
      <c r="H684" s="3" t="str">
        <f aca="false">IF(MAX(D684,E684)&lt;Parametros!$B$16,"",IF(E684=0,"PIDE SIN FCST",IF(ABS(G684)&gt;Parametros!$B$14,IF(G684&gt;0,"SOBRE FCST","BAJO FCST"),"")))</f>
        <v>BAJO FCST</v>
      </c>
    </row>
    <row r="685" customFormat="false" ht="15" hidden="false" customHeight="false" outlineLevel="0" collapsed="false">
      <c r="A685" s="3" t="n">
        <v>30001923</v>
      </c>
      <c r="B685" s="3" t="s">
        <v>346</v>
      </c>
      <c r="C685" s="3" t="s">
        <v>1380</v>
      </c>
      <c r="D685" s="23" t="n">
        <v>13824</v>
      </c>
      <c r="E685" s="23" t="n">
        <v>12555.84</v>
      </c>
      <c r="F685" s="23" t="n">
        <f aca="false">D685-E685</f>
        <v>1268.16</v>
      </c>
      <c r="G685" s="24" t="n">
        <f aca="false">IF(E685&gt;0,D685/E685-1,"")</f>
        <v>0.101001605627342</v>
      </c>
      <c r="H685" s="3" t="str">
        <f aca="false">IF(MAX(D685,E685)&lt;Parametros!$B$16,"",IF(E685=0,"PIDE SIN FCST",IF(ABS(G685)&gt;Parametros!$B$14,IF(G685&gt;0,"SOBRE FCST","BAJO FCST"),"")))</f>
        <v/>
      </c>
    </row>
    <row r="686" customFormat="false" ht="15" hidden="false" customHeight="false" outlineLevel="0" collapsed="false">
      <c r="A686" s="3" t="n">
        <v>30001657</v>
      </c>
      <c r="B686" s="3" t="s">
        <v>395</v>
      </c>
      <c r="C686" s="3" t="s">
        <v>1380</v>
      </c>
      <c r="D686" s="23" t="n">
        <v>11664</v>
      </c>
      <c r="E686" s="23" t="n">
        <v>10400</v>
      </c>
      <c r="F686" s="23" t="n">
        <f aca="false">D686-E686</f>
        <v>1264</v>
      </c>
      <c r="G686" s="24" t="n">
        <f aca="false">IF(E686&gt;0,D686/E686-1,"")</f>
        <v>0.121538461538462</v>
      </c>
      <c r="H686" s="3" t="str">
        <f aca="false">IF(MAX(D686,E686)&lt;Parametros!$B$16,"",IF(E686=0,"PIDE SIN FCST",IF(ABS(G686)&gt;Parametros!$B$14,IF(G686&gt;0,"SOBRE FCST","BAJO FCST"),"")))</f>
        <v/>
      </c>
    </row>
    <row r="687" customFormat="false" ht="15" hidden="false" customHeight="false" outlineLevel="0" collapsed="false">
      <c r="A687" s="3" t="n">
        <v>30001856</v>
      </c>
      <c r="B687" s="3" t="s">
        <v>472</v>
      </c>
      <c r="C687" s="3" t="s">
        <v>1378</v>
      </c>
      <c r="D687" s="23" t="n">
        <v>947.52</v>
      </c>
      <c r="E687" s="23" t="n">
        <v>2211.38637332332</v>
      </c>
      <c r="F687" s="23" t="n">
        <f aca="false">D687-E687</f>
        <v>-1263.86637332332</v>
      </c>
      <c r="G687" s="24" t="n">
        <f aca="false">IF(E687&gt;0,D687/E687-1,"")</f>
        <v>-0.571526707666174</v>
      </c>
      <c r="H687" s="3" t="str">
        <f aca="false">IF(MAX(D687,E687)&lt;Parametros!$B$16,"",IF(E687=0,"PIDE SIN FCST",IF(ABS(G687)&gt;Parametros!$B$14,IF(G687&gt;0,"SOBRE FCST","BAJO FCST"),"")))</f>
        <v>BAJO FCST</v>
      </c>
    </row>
    <row r="688" customFormat="false" ht="15" hidden="false" customHeight="false" outlineLevel="0" collapsed="false">
      <c r="A688" s="3" t="n">
        <v>30002276</v>
      </c>
      <c r="B688" s="3" t="s">
        <v>523</v>
      </c>
      <c r="C688" s="3" t="s">
        <v>1378</v>
      </c>
      <c r="D688" s="23" t="n">
        <v>0</v>
      </c>
      <c r="E688" s="23" t="n">
        <v>1261.8</v>
      </c>
      <c r="F688" s="23" t="n">
        <f aca="false">D688-E688</f>
        <v>-1261.8</v>
      </c>
      <c r="G688" s="24" t="n">
        <f aca="false">IF(E688&gt;0,D688/E688-1,"")</f>
        <v>-1</v>
      </c>
      <c r="H688" s="3" t="str">
        <f aca="false">IF(MAX(D688,E688)&lt;Parametros!$B$16,"",IF(E688=0,"PIDE SIN FCST",IF(ABS(G688)&gt;Parametros!$B$14,IF(G688&gt;0,"SOBRE FCST","BAJO FCST"),"")))</f>
        <v>BAJO FCST</v>
      </c>
    </row>
    <row r="689" customFormat="false" ht="15" hidden="false" customHeight="false" outlineLevel="0" collapsed="false">
      <c r="A689" s="3" t="n">
        <v>30000188</v>
      </c>
      <c r="B689" s="3" t="s">
        <v>418</v>
      </c>
      <c r="C689" s="3" t="s">
        <v>1375</v>
      </c>
      <c r="D689" s="23" t="n">
        <v>2340</v>
      </c>
      <c r="E689" s="23" t="n">
        <v>3600</v>
      </c>
      <c r="F689" s="23" t="n">
        <f aca="false">D689-E689</f>
        <v>-1260</v>
      </c>
      <c r="G689" s="24" t="n">
        <f aca="false">IF(E689&gt;0,D689/E689-1,"")</f>
        <v>-0.35</v>
      </c>
      <c r="H689" s="3" t="str">
        <f aca="false">IF(MAX(D689,E689)&lt;Parametros!$B$16,"",IF(E689=0,"PIDE SIN FCST",IF(ABS(G689)&gt;Parametros!$B$14,IF(G689&gt;0,"SOBRE FCST","BAJO FCST"),"")))</f>
        <v>BAJO FCST</v>
      </c>
    </row>
    <row r="690" customFormat="false" ht="15" hidden="false" customHeight="false" outlineLevel="0" collapsed="false">
      <c r="A690" s="3" t="n">
        <v>30001404</v>
      </c>
      <c r="B690" s="3" t="s">
        <v>305</v>
      </c>
      <c r="C690" s="3" t="s">
        <v>1375</v>
      </c>
      <c r="D690" s="23" t="n">
        <v>8959.5</v>
      </c>
      <c r="E690" s="23" t="n">
        <v>7700</v>
      </c>
      <c r="F690" s="23" t="n">
        <f aca="false">D690-E690</f>
        <v>1259.5</v>
      </c>
      <c r="G690" s="24" t="n">
        <f aca="false">IF(E690&gt;0,D690/E690-1,"")</f>
        <v>0.163571428571428</v>
      </c>
      <c r="H690" s="3" t="str">
        <f aca="false">IF(MAX(D690,E690)&lt;Parametros!$B$16,"",IF(E690=0,"PIDE SIN FCST",IF(ABS(G690)&gt;Parametros!$B$14,IF(G690&gt;0,"SOBRE FCST","BAJO FCST"),"")))</f>
        <v/>
      </c>
    </row>
    <row r="691" customFormat="false" ht="15" hidden="false" customHeight="false" outlineLevel="0" collapsed="false">
      <c r="A691" s="3" t="n">
        <v>30000642</v>
      </c>
      <c r="B691" s="3" t="s">
        <v>451</v>
      </c>
      <c r="C691" s="3" t="s">
        <v>1375</v>
      </c>
      <c r="D691" s="23" t="n">
        <v>5259.2</v>
      </c>
      <c r="E691" s="23" t="n">
        <v>4000</v>
      </c>
      <c r="F691" s="23" t="n">
        <f aca="false">D691-E691</f>
        <v>1259.2</v>
      </c>
      <c r="G691" s="24" t="n">
        <f aca="false">IF(E691&gt;0,D691/E691-1,"")</f>
        <v>0.3148</v>
      </c>
      <c r="H691" s="3" t="str">
        <f aca="false">IF(MAX(D691,E691)&lt;Parametros!$B$16,"",IF(E691=0,"PIDE SIN FCST",IF(ABS(G691)&gt;Parametros!$B$14,IF(G691&gt;0,"SOBRE FCST","BAJO FCST"),"")))</f>
        <v>SOBRE FCST</v>
      </c>
    </row>
    <row r="692" customFormat="false" ht="15" hidden="false" customHeight="false" outlineLevel="0" collapsed="false">
      <c r="A692" s="3" t="n">
        <v>30000254</v>
      </c>
      <c r="B692" s="3" t="s">
        <v>272</v>
      </c>
      <c r="C692" s="3" t="s">
        <v>1377</v>
      </c>
      <c r="D692" s="23" t="n">
        <v>2754</v>
      </c>
      <c r="E692" s="23" t="n">
        <v>4012.30552680939</v>
      </c>
      <c r="F692" s="23" t="n">
        <f aca="false">D692-E692</f>
        <v>-1258.30552680939</v>
      </c>
      <c r="G692" s="24" t="n">
        <f aca="false">IF(E692&gt;0,D692/E692-1,"")</f>
        <v>-0.313611592736808</v>
      </c>
      <c r="H692" s="3" t="str">
        <f aca="false">IF(MAX(D692,E692)&lt;Parametros!$B$16,"",IF(E692=0,"PIDE SIN FCST",IF(ABS(G692)&gt;Parametros!$B$14,IF(G692&gt;0,"SOBRE FCST","BAJO FCST"),"")))</f>
        <v>BAJO FCST</v>
      </c>
    </row>
    <row r="693" customFormat="false" ht="15" hidden="false" customHeight="false" outlineLevel="0" collapsed="false">
      <c r="A693" s="3" t="n">
        <v>30000250</v>
      </c>
      <c r="B693" s="3" t="s">
        <v>544</v>
      </c>
      <c r="C693" s="3" t="s">
        <v>1375</v>
      </c>
      <c r="D693" s="23" t="n">
        <v>2196</v>
      </c>
      <c r="E693" s="23" t="n">
        <v>3450.30026198295</v>
      </c>
      <c r="F693" s="23" t="n">
        <f aca="false">D693-E693</f>
        <v>-1254.30026198295</v>
      </c>
      <c r="G693" s="24" t="n">
        <f aca="false">IF(E693&gt;0,D693/E693-1,"")</f>
        <v>-0.363533654100608</v>
      </c>
      <c r="H693" s="3" t="str">
        <f aca="false">IF(MAX(D693,E693)&lt;Parametros!$B$16,"",IF(E693=0,"PIDE SIN FCST",IF(ABS(G693)&gt;Parametros!$B$14,IF(G693&gt;0,"SOBRE FCST","BAJO FCST"),"")))</f>
        <v>BAJO FCST</v>
      </c>
    </row>
    <row r="694" customFormat="false" ht="15" hidden="false" customHeight="false" outlineLevel="0" collapsed="false">
      <c r="A694" s="3" t="n">
        <v>30002135</v>
      </c>
      <c r="B694" s="3" t="s">
        <v>446</v>
      </c>
      <c r="C694" s="3" t="s">
        <v>1380</v>
      </c>
      <c r="D694" s="23" t="n">
        <v>3628.8</v>
      </c>
      <c r="E694" s="23" t="n">
        <v>2376.40451860089</v>
      </c>
      <c r="F694" s="23" t="n">
        <f aca="false">D694-E694</f>
        <v>1252.39548139911</v>
      </c>
      <c r="G694" s="24" t="n">
        <f aca="false">IF(E694&gt;0,D694/E694-1,"")</f>
        <v>0.527012750395065</v>
      </c>
      <c r="H694" s="3" t="str">
        <f aca="false">IF(MAX(D694,E694)&lt;Parametros!$B$16,"",IF(E694=0,"PIDE SIN FCST",IF(ABS(G694)&gt;Parametros!$B$14,IF(G694&gt;0,"SOBRE FCST","BAJO FCST"),"")))</f>
        <v>SOBRE FCST</v>
      </c>
    </row>
    <row r="695" customFormat="false" ht="15" hidden="false" customHeight="false" outlineLevel="0" collapsed="false">
      <c r="A695" s="3" t="n">
        <v>30001474</v>
      </c>
      <c r="B695" s="3" t="s">
        <v>514</v>
      </c>
      <c r="C695" s="3" t="s">
        <v>1375</v>
      </c>
      <c r="D695" s="23" t="n">
        <v>2619</v>
      </c>
      <c r="E695" s="23" t="n">
        <v>3866.52108240102</v>
      </c>
      <c r="F695" s="23" t="n">
        <f aca="false">D695-E695</f>
        <v>-1247.52108240102</v>
      </c>
      <c r="G695" s="24" t="n">
        <f aca="false">IF(E695&gt;0,D695/E695-1,"")</f>
        <v>-0.322646910702046</v>
      </c>
      <c r="H695" s="3" t="str">
        <f aca="false">IF(MAX(D695,E695)&lt;Parametros!$B$16,"",IF(E695=0,"PIDE SIN FCST",IF(ABS(G695)&gt;Parametros!$B$14,IF(G695&gt;0,"SOBRE FCST","BAJO FCST"),"")))</f>
        <v>BAJO FCST</v>
      </c>
    </row>
    <row r="696" customFormat="false" ht="15" hidden="false" customHeight="false" outlineLevel="0" collapsed="false">
      <c r="A696" s="3" t="n">
        <v>30000616</v>
      </c>
      <c r="B696" s="3" t="s">
        <v>372</v>
      </c>
      <c r="C696" s="3" t="s">
        <v>1375</v>
      </c>
      <c r="D696" s="23" t="n">
        <v>2745.6</v>
      </c>
      <c r="E696" s="23" t="n">
        <v>1500</v>
      </c>
      <c r="F696" s="23" t="n">
        <f aca="false">D696-E696</f>
        <v>1245.6</v>
      </c>
      <c r="G696" s="24" t="n">
        <f aca="false">IF(E696&gt;0,D696/E696-1,"")</f>
        <v>0.8304</v>
      </c>
      <c r="H696" s="3" t="str">
        <f aca="false">IF(MAX(D696,E696)&lt;Parametros!$B$16,"",IF(E696=0,"PIDE SIN FCST",IF(ABS(G696)&gt;Parametros!$B$14,IF(G696&gt;0,"SOBRE FCST","BAJO FCST"),"")))</f>
        <v>SOBRE FCST</v>
      </c>
    </row>
    <row r="697" customFormat="false" ht="15" hidden="false" customHeight="false" outlineLevel="0" collapsed="false">
      <c r="A697" s="3" t="n">
        <v>30001995</v>
      </c>
      <c r="B697" s="3" t="s">
        <v>468</v>
      </c>
      <c r="C697" s="3" t="s">
        <v>1377</v>
      </c>
      <c r="D697" s="23" t="n">
        <v>912</v>
      </c>
      <c r="E697" s="23" t="n">
        <v>2156.43766373934</v>
      </c>
      <c r="F697" s="23" t="n">
        <f aca="false">D697-E697</f>
        <v>-1244.43766373934</v>
      </c>
      <c r="G697" s="24" t="n">
        <f aca="false">IF(E697&gt;0,D697/E697-1,"")</f>
        <v>-0.577080286003464</v>
      </c>
      <c r="H697" s="3" t="str">
        <f aca="false">IF(MAX(D697,E697)&lt;Parametros!$B$16,"",IF(E697=0,"PIDE SIN FCST",IF(ABS(G697)&gt;Parametros!$B$14,IF(G697&gt;0,"SOBRE FCST","BAJO FCST"),"")))</f>
        <v>BAJO FCST</v>
      </c>
    </row>
    <row r="698" customFormat="false" ht="15" hidden="false" customHeight="false" outlineLevel="0" collapsed="false">
      <c r="A698" s="3" t="n">
        <v>30000626</v>
      </c>
      <c r="B698" s="3" t="s">
        <v>238</v>
      </c>
      <c r="C698" s="3" t="s">
        <v>1379</v>
      </c>
      <c r="D698" s="23" t="n">
        <v>5380.8</v>
      </c>
      <c r="E698" s="23" t="n">
        <v>6620.8</v>
      </c>
      <c r="F698" s="23" t="n">
        <f aca="false">D698-E698</f>
        <v>-1240</v>
      </c>
      <c r="G698" s="24" t="n">
        <f aca="false">IF(E698&gt;0,D698/E698-1,"")</f>
        <v>-0.187288545190914</v>
      </c>
      <c r="H698" s="3" t="str">
        <f aca="false">IF(MAX(D698,E698)&lt;Parametros!$B$16,"",IF(E698=0,"PIDE SIN FCST",IF(ABS(G698)&gt;Parametros!$B$14,IF(G698&gt;0,"SOBRE FCST","BAJO FCST"),"")))</f>
        <v/>
      </c>
    </row>
    <row r="699" customFormat="false" ht="15" hidden="false" customHeight="false" outlineLevel="0" collapsed="false">
      <c r="A699" s="3" t="n">
        <v>30001041</v>
      </c>
      <c r="B699" s="3" t="s">
        <v>258</v>
      </c>
      <c r="C699" s="3" t="s">
        <v>1373</v>
      </c>
      <c r="D699" s="23" t="n">
        <v>9240</v>
      </c>
      <c r="E699" s="23" t="n">
        <v>8001.61707331789</v>
      </c>
      <c r="F699" s="23" t="n">
        <f aca="false">D699-E699</f>
        <v>1238.38292668211</v>
      </c>
      <c r="G699" s="24" t="n">
        <f aca="false">IF(E699&gt;0,D699/E699-1,"")</f>
        <v>0.154766582221437</v>
      </c>
      <c r="H699" s="3" t="str">
        <f aca="false">IF(MAX(D699,E699)&lt;Parametros!$B$16,"",IF(E699=0,"PIDE SIN FCST",IF(ABS(G699)&gt;Parametros!$B$14,IF(G699&gt;0,"SOBRE FCST","BAJO FCST"),"")))</f>
        <v/>
      </c>
    </row>
    <row r="700" customFormat="false" ht="15" hidden="false" customHeight="false" outlineLevel="0" collapsed="false">
      <c r="A700" s="3" t="n">
        <v>30000066</v>
      </c>
      <c r="B700" s="3" t="s">
        <v>442</v>
      </c>
      <c r="C700" s="3" t="s">
        <v>1380</v>
      </c>
      <c r="D700" s="23" t="n">
        <v>2937.6</v>
      </c>
      <c r="E700" s="23" t="n">
        <v>1700</v>
      </c>
      <c r="F700" s="23" t="n">
        <f aca="false">D700-E700</f>
        <v>1237.6</v>
      </c>
      <c r="G700" s="24" t="n">
        <f aca="false">IF(E700&gt;0,D700/E700-1,"")</f>
        <v>0.728</v>
      </c>
      <c r="H700" s="3" t="str">
        <f aca="false">IF(MAX(D700,E700)&lt;Parametros!$B$16,"",IF(E700=0,"PIDE SIN FCST",IF(ABS(G700)&gt;Parametros!$B$14,IF(G700&gt;0,"SOBRE FCST","BAJO FCST"),"")))</f>
        <v>SOBRE FCST</v>
      </c>
    </row>
    <row r="701" customFormat="false" ht="15" hidden="false" customHeight="false" outlineLevel="0" collapsed="false">
      <c r="A701" s="3" t="n">
        <v>30000524</v>
      </c>
      <c r="B701" s="3" t="s">
        <v>220</v>
      </c>
      <c r="C701" s="3" t="s">
        <v>1380</v>
      </c>
      <c r="D701" s="23" t="n">
        <v>24192</v>
      </c>
      <c r="E701" s="23" t="n">
        <v>25428</v>
      </c>
      <c r="F701" s="23" t="n">
        <f aca="false">D701-E701</f>
        <v>-1236</v>
      </c>
      <c r="G701" s="24" t="n">
        <f aca="false">IF(E701&gt;0,D701/E701-1,"")</f>
        <v>-0.0486078338839076</v>
      </c>
      <c r="H701" s="3" t="str">
        <f aca="false">IF(MAX(D701,E701)&lt;Parametros!$B$16,"",IF(E701=0,"PIDE SIN FCST",IF(ABS(G701)&gt;Parametros!$B$14,IF(G701&gt;0,"SOBRE FCST","BAJO FCST"),"")))</f>
        <v/>
      </c>
    </row>
    <row r="702" customFormat="false" ht="15" hidden="false" customHeight="false" outlineLevel="0" collapsed="false">
      <c r="A702" s="3" t="n">
        <v>30001404</v>
      </c>
      <c r="B702" s="3" t="s">
        <v>305</v>
      </c>
      <c r="C702" s="3" t="s">
        <v>1379</v>
      </c>
      <c r="D702" s="23" t="n">
        <v>4536</v>
      </c>
      <c r="E702" s="23" t="n">
        <v>3300</v>
      </c>
      <c r="F702" s="23" t="n">
        <f aca="false">D702-E702</f>
        <v>1236</v>
      </c>
      <c r="G702" s="24" t="n">
        <f aca="false">IF(E702&gt;0,D702/E702-1,"")</f>
        <v>0.374545454545455</v>
      </c>
      <c r="H702" s="3" t="str">
        <f aca="false">IF(MAX(D702,E702)&lt;Parametros!$B$16,"",IF(E702=0,"PIDE SIN FCST",IF(ABS(G702)&gt;Parametros!$B$14,IF(G702&gt;0,"SOBRE FCST","BAJO FCST"),"")))</f>
        <v>SOBRE FCST</v>
      </c>
    </row>
    <row r="703" customFormat="false" ht="15" hidden="false" customHeight="false" outlineLevel="0" collapsed="false">
      <c r="A703" s="3" t="n">
        <v>30000354</v>
      </c>
      <c r="B703" s="3" t="s">
        <v>378</v>
      </c>
      <c r="C703" s="3" t="s">
        <v>1375</v>
      </c>
      <c r="D703" s="23" t="n">
        <v>6534</v>
      </c>
      <c r="E703" s="23" t="n">
        <v>5300</v>
      </c>
      <c r="F703" s="23" t="n">
        <f aca="false">D703-E703</f>
        <v>1234</v>
      </c>
      <c r="G703" s="24" t="n">
        <f aca="false">IF(E703&gt;0,D703/E703-1,"")</f>
        <v>0.232830188679245</v>
      </c>
      <c r="H703" s="3" t="str">
        <f aca="false">IF(MAX(D703,E703)&lt;Parametros!$B$16,"",IF(E703=0,"PIDE SIN FCST",IF(ABS(G703)&gt;Parametros!$B$14,IF(G703&gt;0,"SOBRE FCST","BAJO FCST"),"")))</f>
        <v>SOBRE FCST</v>
      </c>
    </row>
    <row r="704" customFormat="false" ht="15" hidden="false" customHeight="false" outlineLevel="0" collapsed="false">
      <c r="A704" s="3" t="n">
        <v>30002262</v>
      </c>
      <c r="B704" s="3" t="s">
        <v>522</v>
      </c>
      <c r="C704" s="3" t="s">
        <v>1373</v>
      </c>
      <c r="D704" s="23" t="n">
        <v>1818.15</v>
      </c>
      <c r="E704" s="23" t="n">
        <v>593.615833333333</v>
      </c>
      <c r="F704" s="23" t="n">
        <f aca="false">D704-E704</f>
        <v>1224.53416666667</v>
      </c>
      <c r="G704" s="24" t="n">
        <f aca="false">IF(E704&gt;0,D704/E704-1,"")</f>
        <v>2.06283946267157</v>
      </c>
      <c r="H704" s="3" t="str">
        <f aca="false">IF(MAX(D704,E704)&lt;Parametros!$B$16,"",IF(E704=0,"PIDE SIN FCST",IF(ABS(G704)&gt;Parametros!$B$14,IF(G704&gt;0,"SOBRE FCST","BAJO FCST"),"")))</f>
        <v>SOBRE FCST</v>
      </c>
    </row>
    <row r="705" customFormat="false" ht="15" hidden="false" customHeight="false" outlineLevel="0" collapsed="false">
      <c r="A705" s="3" t="n">
        <v>30001983</v>
      </c>
      <c r="B705" s="3" t="s">
        <v>458</v>
      </c>
      <c r="C705" s="3" t="s">
        <v>1373</v>
      </c>
      <c r="D705" s="23" t="n">
        <v>2240.76</v>
      </c>
      <c r="E705" s="23" t="n">
        <v>1016.29728985224</v>
      </c>
      <c r="F705" s="23" t="n">
        <f aca="false">D705-E705</f>
        <v>1224.46271014776</v>
      </c>
      <c r="G705" s="24" t="n">
        <f aca="false">IF(E705&gt;0,D705/E705-1,"")</f>
        <v>1.20482729057142</v>
      </c>
      <c r="H705" s="3" t="str">
        <f aca="false">IF(MAX(D705,E705)&lt;Parametros!$B$16,"",IF(E705=0,"PIDE SIN FCST",IF(ABS(G705)&gt;Parametros!$B$14,IF(G705&gt;0,"SOBRE FCST","BAJO FCST"),"")))</f>
        <v>SOBRE FCST</v>
      </c>
    </row>
    <row r="706" customFormat="false" ht="15" hidden="false" customHeight="false" outlineLevel="0" collapsed="false">
      <c r="A706" s="3" t="n">
        <v>30001058</v>
      </c>
      <c r="B706" s="3" t="s">
        <v>288</v>
      </c>
      <c r="C706" s="3" t="s">
        <v>1379</v>
      </c>
      <c r="D706" s="23" t="n">
        <v>5120.64</v>
      </c>
      <c r="E706" s="23" t="n">
        <v>3897.10779601417</v>
      </c>
      <c r="F706" s="23" t="n">
        <f aca="false">D706-E706</f>
        <v>1223.53220398583</v>
      </c>
      <c r="G706" s="24" t="n">
        <f aca="false">IF(E706&gt;0,D706/E706-1,"")</f>
        <v>0.313959035271545</v>
      </c>
      <c r="H706" s="3" t="str">
        <f aca="false">IF(MAX(D706,E706)&lt;Parametros!$B$16,"",IF(E706=0,"PIDE SIN FCST",IF(ABS(G706)&gt;Parametros!$B$14,IF(G706&gt;0,"SOBRE FCST","BAJO FCST"),"")))</f>
        <v>SOBRE FCST</v>
      </c>
    </row>
    <row r="707" customFormat="false" ht="15" hidden="false" customHeight="false" outlineLevel="0" collapsed="false">
      <c r="A707" s="3" t="n">
        <v>30001829</v>
      </c>
      <c r="B707" s="3" t="s">
        <v>504</v>
      </c>
      <c r="C707" s="3" t="s">
        <v>1375</v>
      </c>
      <c r="D707" s="23" t="n">
        <v>3134.04</v>
      </c>
      <c r="E707" s="23" t="n">
        <v>1912.43353601483</v>
      </c>
      <c r="F707" s="23" t="n">
        <f aca="false">D707-E707</f>
        <v>1221.60646398517</v>
      </c>
      <c r="G707" s="24" t="n">
        <f aca="false">IF(E707&gt;0,D707/E707-1,"")</f>
        <v>0.638770676721545</v>
      </c>
      <c r="H707" s="3" t="str">
        <f aca="false">IF(MAX(D707,E707)&lt;Parametros!$B$16,"",IF(E707=0,"PIDE SIN FCST",IF(ABS(G707)&gt;Parametros!$B$14,IF(G707&gt;0,"SOBRE FCST","BAJO FCST"),"")))</f>
        <v>SOBRE FCST</v>
      </c>
    </row>
    <row r="708" customFormat="false" ht="15" hidden="false" customHeight="false" outlineLevel="0" collapsed="false">
      <c r="A708" s="3" t="n">
        <v>30000307</v>
      </c>
      <c r="B708" s="3" t="s">
        <v>410</v>
      </c>
      <c r="C708" s="3" t="s">
        <v>1375</v>
      </c>
      <c r="D708" s="23" t="n">
        <v>2850</v>
      </c>
      <c r="E708" s="23" t="n">
        <v>1633.74</v>
      </c>
      <c r="F708" s="23" t="n">
        <f aca="false">D708-E708</f>
        <v>1216.26</v>
      </c>
      <c r="G708" s="24" t="n">
        <f aca="false">IF(E708&gt;0,D708/E708-1,"")</f>
        <v>0.74446362334276</v>
      </c>
      <c r="H708" s="3" t="str">
        <f aca="false">IF(MAX(D708,E708)&lt;Parametros!$B$16,"",IF(E708=0,"PIDE SIN FCST",IF(ABS(G708)&gt;Parametros!$B$14,IF(G708&gt;0,"SOBRE FCST","BAJO FCST"),"")))</f>
        <v>SOBRE FCST</v>
      </c>
    </row>
    <row r="709" customFormat="false" ht="15" hidden="false" customHeight="false" outlineLevel="0" collapsed="false">
      <c r="A709" s="3" t="n">
        <v>30001045</v>
      </c>
      <c r="B709" s="3" t="s">
        <v>361</v>
      </c>
      <c r="C709" s="3" t="s">
        <v>1373</v>
      </c>
      <c r="D709" s="23" t="n">
        <v>4052.16</v>
      </c>
      <c r="E709" s="23" t="n">
        <v>5266.51287336798</v>
      </c>
      <c r="F709" s="23" t="n">
        <f aca="false">D709-E709</f>
        <v>-1214.35287336798</v>
      </c>
      <c r="G709" s="24" t="n">
        <f aca="false">IF(E709&gt;0,D709/E709-1,"")</f>
        <v>-0.230580063614539</v>
      </c>
      <c r="H709" s="3" t="str">
        <f aca="false">IF(MAX(D709,E709)&lt;Parametros!$B$16,"",IF(E709=0,"PIDE SIN FCST",IF(ABS(G709)&gt;Parametros!$B$14,IF(G709&gt;0,"SOBRE FCST","BAJO FCST"),"")))</f>
        <v>BAJO FCST</v>
      </c>
    </row>
    <row r="710" customFormat="false" ht="15" hidden="false" customHeight="false" outlineLevel="0" collapsed="false">
      <c r="A710" s="3" t="n">
        <v>30002261</v>
      </c>
      <c r="B710" s="3" t="s">
        <v>545</v>
      </c>
      <c r="C710" s="3" t="s">
        <v>1380</v>
      </c>
      <c r="D710" s="23" t="n">
        <v>3211.95</v>
      </c>
      <c r="E710" s="23" t="n">
        <v>2000</v>
      </c>
      <c r="F710" s="23" t="n">
        <f aca="false">D710-E710</f>
        <v>1211.95</v>
      </c>
      <c r="G710" s="24" t="n">
        <f aca="false">IF(E710&gt;0,D710/E710-1,"")</f>
        <v>0.605975</v>
      </c>
      <c r="H710" s="3" t="str">
        <f aca="false">IF(MAX(D710,E710)&lt;Parametros!$B$16,"",IF(E710=0,"PIDE SIN FCST",IF(ABS(G710)&gt;Parametros!$B$14,IF(G710&gt;0,"SOBRE FCST","BAJO FCST"),"")))</f>
        <v>SOBRE FCST</v>
      </c>
    </row>
    <row r="711" customFormat="false" ht="15" hidden="false" customHeight="false" outlineLevel="0" collapsed="false">
      <c r="A711" s="3" t="n">
        <v>30002286</v>
      </c>
      <c r="B711" s="3" t="s">
        <v>320</v>
      </c>
      <c r="C711" s="3" t="s">
        <v>1377</v>
      </c>
      <c r="D711" s="23" t="n">
        <v>1210.536</v>
      </c>
      <c r="E711" s="23" t="n">
        <v>0</v>
      </c>
      <c r="F711" s="23" t="n">
        <f aca="false">D711-E711</f>
        <v>1210.536</v>
      </c>
      <c r="G711" s="24" t="str">
        <f aca="false">IF(E711&gt;0,D711/E711-1,"")</f>
        <v/>
      </c>
      <c r="H711" s="3" t="str">
        <f aca="false">IF(MAX(D711,E711)&lt;Parametros!$B$16,"",IF(E711=0,"PIDE SIN FCST",IF(ABS(G711)&gt;Parametros!$B$14,IF(G711&gt;0,"SOBRE FCST","BAJO FCST"),"")))</f>
        <v>PIDE SIN FCST</v>
      </c>
    </row>
    <row r="712" customFormat="false" ht="15" hidden="false" customHeight="false" outlineLevel="0" collapsed="false">
      <c r="A712" s="3" t="n">
        <v>30000325</v>
      </c>
      <c r="B712" s="3" t="s">
        <v>216</v>
      </c>
      <c r="C712" s="3" t="s">
        <v>1377</v>
      </c>
      <c r="D712" s="23" t="n">
        <v>8028</v>
      </c>
      <c r="E712" s="23" t="n">
        <v>6821.57146916916</v>
      </c>
      <c r="F712" s="23" t="n">
        <f aca="false">D712-E712</f>
        <v>1206.42853083084</v>
      </c>
      <c r="G712" s="24" t="n">
        <f aca="false">IF(E712&gt;0,D712/E712-1,"")</f>
        <v>0.176854927971279</v>
      </c>
      <c r="H712" s="3" t="str">
        <f aca="false">IF(MAX(D712,E712)&lt;Parametros!$B$16,"",IF(E712=0,"PIDE SIN FCST",IF(ABS(G712)&gt;Parametros!$B$14,IF(G712&gt;0,"SOBRE FCST","BAJO FCST"),"")))</f>
        <v/>
      </c>
    </row>
    <row r="713" customFormat="false" ht="15" hidden="false" customHeight="false" outlineLevel="0" collapsed="false">
      <c r="A713" s="3" t="n">
        <v>30002077</v>
      </c>
      <c r="B713" s="3" t="s">
        <v>364</v>
      </c>
      <c r="C713" s="3" t="s">
        <v>1376</v>
      </c>
      <c r="D713" s="23" t="n">
        <v>2004</v>
      </c>
      <c r="E713" s="23" t="n">
        <v>800</v>
      </c>
      <c r="F713" s="23" t="n">
        <f aca="false">D713-E713</f>
        <v>1204</v>
      </c>
      <c r="G713" s="24" t="n">
        <f aca="false">IF(E713&gt;0,D713/E713-1,"")</f>
        <v>1.505</v>
      </c>
      <c r="H713" s="3" t="str">
        <f aca="false">IF(MAX(D713,E713)&lt;Parametros!$B$16,"",IF(E713=0,"PIDE SIN FCST",IF(ABS(G713)&gt;Parametros!$B$14,IF(G713&gt;0,"SOBRE FCST","BAJO FCST"),"")))</f>
        <v>SOBRE FCST</v>
      </c>
    </row>
    <row r="714" customFormat="false" ht="15" hidden="false" customHeight="false" outlineLevel="0" collapsed="false">
      <c r="A714" s="3" t="n">
        <v>30000637</v>
      </c>
      <c r="B714" s="3" t="s">
        <v>232</v>
      </c>
      <c r="C714" s="3" t="s">
        <v>1372</v>
      </c>
      <c r="D714" s="23" t="n">
        <v>6985.92</v>
      </c>
      <c r="E714" s="23" t="n">
        <v>5783.2</v>
      </c>
      <c r="F714" s="23" t="n">
        <f aca="false">D714-E714</f>
        <v>1202.72</v>
      </c>
      <c r="G714" s="24" t="n">
        <f aca="false">IF(E714&gt;0,D714/E714-1,"")</f>
        <v>0.207967907041084</v>
      </c>
      <c r="H714" s="3" t="str">
        <f aca="false">IF(MAX(D714,E714)&lt;Parametros!$B$16,"",IF(E714=0,"PIDE SIN FCST",IF(ABS(G714)&gt;Parametros!$B$14,IF(G714&gt;0,"SOBRE FCST","BAJO FCST"),"")))</f>
        <v>SOBRE FCST</v>
      </c>
    </row>
    <row r="715" customFormat="false" ht="15" hidden="false" customHeight="false" outlineLevel="0" collapsed="false">
      <c r="A715" s="3" t="n">
        <v>30001767</v>
      </c>
      <c r="B715" s="3" t="s">
        <v>469</v>
      </c>
      <c r="C715" s="3" t="s">
        <v>1373</v>
      </c>
      <c r="D715" s="23" t="n">
        <v>5621.4</v>
      </c>
      <c r="E715" s="23" t="n">
        <v>6823</v>
      </c>
      <c r="F715" s="23" t="n">
        <f aca="false">D715-E715</f>
        <v>-1201.6</v>
      </c>
      <c r="G715" s="24" t="n">
        <f aca="false">IF(E715&gt;0,D715/E715-1,"")</f>
        <v>-0.17611021544775</v>
      </c>
      <c r="H715" s="3" t="str">
        <f aca="false">IF(MAX(D715,E715)&lt;Parametros!$B$16,"",IF(E715=0,"PIDE SIN FCST",IF(ABS(G715)&gt;Parametros!$B$14,IF(G715&gt;0,"SOBRE FCST","BAJO FCST"),"")))</f>
        <v/>
      </c>
    </row>
    <row r="716" customFormat="false" ht="15" hidden="false" customHeight="false" outlineLevel="0" collapsed="false">
      <c r="A716" s="3" t="n">
        <v>30001882</v>
      </c>
      <c r="B716" s="3" t="s">
        <v>376</v>
      </c>
      <c r="C716" s="3" t="s">
        <v>1378</v>
      </c>
      <c r="D716" s="23" t="n">
        <v>906</v>
      </c>
      <c r="E716" s="23" t="n">
        <v>2101.81181099244</v>
      </c>
      <c r="F716" s="23" t="n">
        <f aca="false">D716-E716</f>
        <v>-1195.81181099243</v>
      </c>
      <c r="G716" s="24" t="n">
        <f aca="false">IF(E716&gt;0,D716/E716-1,"")</f>
        <v>-0.568943330101374</v>
      </c>
      <c r="H716" s="3" t="str">
        <f aca="false">IF(MAX(D716,E716)&lt;Parametros!$B$16,"",IF(E716=0,"PIDE SIN FCST",IF(ABS(G716)&gt;Parametros!$B$14,IF(G716&gt;0,"SOBRE FCST","BAJO FCST"),"")))</f>
        <v>BAJO FCST</v>
      </c>
    </row>
    <row r="717" customFormat="false" ht="15" hidden="false" customHeight="false" outlineLevel="0" collapsed="false">
      <c r="A717" s="3" t="n">
        <v>30000615</v>
      </c>
      <c r="B717" s="3" t="s">
        <v>279</v>
      </c>
      <c r="C717" s="3" t="s">
        <v>1377</v>
      </c>
      <c r="D717" s="23" t="n">
        <v>1708.8</v>
      </c>
      <c r="E717" s="23" t="n">
        <v>517.2</v>
      </c>
      <c r="F717" s="23" t="n">
        <f aca="false">D717-E717</f>
        <v>1191.6</v>
      </c>
      <c r="G717" s="24" t="n">
        <f aca="false">IF(E717&gt;0,D717/E717-1,"")</f>
        <v>2.30394431554524</v>
      </c>
      <c r="H717" s="3" t="str">
        <f aca="false">IF(MAX(D717,E717)&lt;Parametros!$B$16,"",IF(E717=0,"PIDE SIN FCST",IF(ABS(G717)&gt;Parametros!$B$14,IF(G717&gt;0,"SOBRE FCST","BAJO FCST"),"")))</f>
        <v>SOBRE FCST</v>
      </c>
    </row>
    <row r="718" customFormat="false" ht="15" hidden="false" customHeight="false" outlineLevel="0" collapsed="false">
      <c r="A718" s="3" t="n">
        <v>30001400</v>
      </c>
      <c r="B718" s="3" t="s">
        <v>263</v>
      </c>
      <c r="C718" s="3" t="s">
        <v>1379</v>
      </c>
      <c r="D718" s="23" t="n">
        <v>3316.32</v>
      </c>
      <c r="E718" s="23" t="n">
        <v>2125.15013099147</v>
      </c>
      <c r="F718" s="23" t="n">
        <f aca="false">D718-E718</f>
        <v>1191.16986900853</v>
      </c>
      <c r="G718" s="24" t="n">
        <f aca="false">IF(E718&gt;0,D718/E718-1,"")</f>
        <v>0.560510926563478</v>
      </c>
      <c r="H718" s="3" t="str">
        <f aca="false">IF(MAX(D718,E718)&lt;Parametros!$B$16,"",IF(E718=0,"PIDE SIN FCST",IF(ABS(G718)&gt;Parametros!$B$14,IF(G718&gt;0,"SOBRE FCST","BAJO FCST"),"")))</f>
        <v>SOBRE FCST</v>
      </c>
    </row>
    <row r="719" customFormat="false" ht="15" hidden="false" customHeight="false" outlineLevel="0" collapsed="false">
      <c r="A719" s="3" t="n">
        <v>30000630</v>
      </c>
      <c r="B719" s="3" t="s">
        <v>356</v>
      </c>
      <c r="C719" s="3" t="s">
        <v>1379</v>
      </c>
      <c r="D719" s="23" t="n">
        <v>3590.4</v>
      </c>
      <c r="E719" s="23" t="n">
        <v>2400</v>
      </c>
      <c r="F719" s="23" t="n">
        <f aca="false">D719-E719</f>
        <v>1190.4</v>
      </c>
      <c r="G719" s="24" t="n">
        <f aca="false">IF(E719&gt;0,D719/E719-1,"")</f>
        <v>0.496</v>
      </c>
      <c r="H719" s="3" t="str">
        <f aca="false">IF(MAX(D719,E719)&lt;Parametros!$B$16,"",IF(E719=0,"PIDE SIN FCST",IF(ABS(G719)&gt;Parametros!$B$14,IF(G719&gt;0,"SOBRE FCST","BAJO FCST"),"")))</f>
        <v>SOBRE FCST</v>
      </c>
    </row>
    <row r="720" customFormat="false" ht="15" hidden="false" customHeight="false" outlineLevel="0" collapsed="false">
      <c r="A720" s="3" t="n">
        <v>30002065</v>
      </c>
      <c r="B720" s="3" t="s">
        <v>313</v>
      </c>
      <c r="C720" s="3" t="s">
        <v>1378</v>
      </c>
      <c r="D720" s="23" t="n">
        <v>2748</v>
      </c>
      <c r="E720" s="23" t="n">
        <v>1560.55491627649</v>
      </c>
      <c r="F720" s="23" t="n">
        <f aca="false">D720-E720</f>
        <v>1187.44508372351</v>
      </c>
      <c r="G720" s="24" t="n">
        <f aca="false">IF(E720&gt;0,D720/E720-1,"")</f>
        <v>0.760912077709371</v>
      </c>
      <c r="H720" s="3" t="str">
        <f aca="false">IF(MAX(D720,E720)&lt;Parametros!$B$16,"",IF(E720=0,"PIDE SIN FCST",IF(ABS(G720)&gt;Parametros!$B$14,IF(G720&gt;0,"SOBRE FCST","BAJO FCST"),"")))</f>
        <v>SOBRE FCST</v>
      </c>
    </row>
    <row r="721" customFormat="false" ht="15" hidden="false" customHeight="false" outlineLevel="0" collapsed="false">
      <c r="A721" s="3" t="n">
        <v>30001083</v>
      </c>
      <c r="B721" s="3" t="s">
        <v>397</v>
      </c>
      <c r="C721" s="3" t="s">
        <v>1378</v>
      </c>
      <c r="D721" s="23" t="n">
        <v>1937.76</v>
      </c>
      <c r="E721" s="23" t="n">
        <v>754.324310744552</v>
      </c>
      <c r="F721" s="23" t="n">
        <f aca="false">D721-E721</f>
        <v>1183.43568925545</v>
      </c>
      <c r="G721" s="24" t="n">
        <f aca="false">IF(E721&gt;0,D721/E721-1,"")</f>
        <v>1.56886855215808</v>
      </c>
      <c r="H721" s="3" t="str">
        <f aca="false">IF(MAX(D721,E721)&lt;Parametros!$B$16,"",IF(E721=0,"PIDE SIN FCST",IF(ABS(G721)&gt;Parametros!$B$14,IF(G721&gt;0,"SOBRE FCST","BAJO FCST"),"")))</f>
        <v>SOBRE FCST</v>
      </c>
    </row>
    <row r="722" customFormat="false" ht="15" hidden="false" customHeight="false" outlineLevel="0" collapsed="false">
      <c r="A722" s="3" t="n">
        <v>30002358</v>
      </c>
      <c r="B722" s="3" t="s">
        <v>493</v>
      </c>
      <c r="C722" s="3" t="s">
        <v>1375</v>
      </c>
      <c r="D722" s="23" t="n">
        <v>4986</v>
      </c>
      <c r="E722" s="23" t="n">
        <v>3804.5</v>
      </c>
      <c r="F722" s="23" t="n">
        <f aca="false">D722-E722</f>
        <v>1181.5</v>
      </c>
      <c r="G722" s="24" t="n">
        <f aca="false">IF(E722&gt;0,D722/E722-1,"")</f>
        <v>0.310553292154028</v>
      </c>
      <c r="H722" s="3" t="str">
        <f aca="false">IF(MAX(D722,E722)&lt;Parametros!$B$16,"",IF(E722=0,"PIDE SIN FCST",IF(ABS(G722)&gt;Parametros!$B$14,IF(G722&gt;0,"SOBRE FCST","BAJO FCST"),"")))</f>
        <v>SOBRE FCST</v>
      </c>
    </row>
    <row r="723" customFormat="false" ht="15" hidden="false" customHeight="false" outlineLevel="0" collapsed="false">
      <c r="A723" s="3" t="n">
        <v>30001857</v>
      </c>
      <c r="B723" s="3" t="s">
        <v>330</v>
      </c>
      <c r="C723" s="3" t="s">
        <v>1375</v>
      </c>
      <c r="D723" s="23" t="n">
        <v>8225.28</v>
      </c>
      <c r="E723" s="23" t="n">
        <v>7046.84689923809</v>
      </c>
      <c r="F723" s="23" t="n">
        <f aca="false">D723-E723</f>
        <v>1178.43310076192</v>
      </c>
      <c r="G723" s="24" t="n">
        <f aca="false">IF(E723&gt;0,D723/E723-1,"")</f>
        <v>0.167228423947926</v>
      </c>
      <c r="H723" s="3" t="str">
        <f aca="false">IF(MAX(D723,E723)&lt;Parametros!$B$16,"",IF(E723=0,"PIDE SIN FCST",IF(ABS(G723)&gt;Parametros!$B$14,IF(G723&gt;0,"SOBRE FCST","BAJO FCST"),"")))</f>
        <v/>
      </c>
    </row>
    <row r="724" customFormat="false" ht="15" hidden="false" customHeight="false" outlineLevel="0" collapsed="false">
      <c r="A724" s="3" t="n">
        <v>30001490</v>
      </c>
      <c r="B724" s="3" t="s">
        <v>337</v>
      </c>
      <c r="C724" s="3" t="s">
        <v>1379</v>
      </c>
      <c r="D724" s="23" t="n">
        <v>2279.7</v>
      </c>
      <c r="E724" s="23" t="n">
        <v>3450.30026198295</v>
      </c>
      <c r="F724" s="23" t="n">
        <f aca="false">D724-E724</f>
        <v>-1170.60026198295</v>
      </c>
      <c r="G724" s="24" t="n">
        <f aca="false">IF(E724&gt;0,D724/E724-1,"")</f>
        <v>-0.339274895834771</v>
      </c>
      <c r="H724" s="3" t="str">
        <f aca="false">IF(MAX(D724,E724)&lt;Parametros!$B$16,"",IF(E724=0,"PIDE SIN FCST",IF(ABS(G724)&gt;Parametros!$B$14,IF(G724&gt;0,"SOBRE FCST","BAJO FCST"),"")))</f>
        <v>BAJO FCST</v>
      </c>
    </row>
    <row r="725" customFormat="false" ht="15" hidden="false" customHeight="false" outlineLevel="0" collapsed="false">
      <c r="A725" s="3" t="n">
        <v>30001977</v>
      </c>
      <c r="B725" s="3" t="s">
        <v>292</v>
      </c>
      <c r="C725" s="3" t="s">
        <v>1378</v>
      </c>
      <c r="D725" s="23" t="n">
        <v>1836</v>
      </c>
      <c r="E725" s="23" t="n">
        <v>3005.45517110201</v>
      </c>
      <c r="F725" s="23" t="n">
        <f aca="false">D725-E725</f>
        <v>-1169.45517110201</v>
      </c>
      <c r="G725" s="24" t="n">
        <f aca="false">IF(E725&gt;0,D725/E725-1,"")</f>
        <v>-0.389110834973194</v>
      </c>
      <c r="H725" s="3" t="str">
        <f aca="false">IF(MAX(D725,E725)&lt;Parametros!$B$16,"",IF(E725=0,"PIDE SIN FCST",IF(ABS(G725)&gt;Parametros!$B$14,IF(G725&gt;0,"SOBRE FCST","BAJO FCST"),"")))</f>
        <v>BAJO FCST</v>
      </c>
    </row>
    <row r="726" customFormat="false" ht="15" hidden="false" customHeight="false" outlineLevel="0" collapsed="false">
      <c r="A726" s="3" t="n">
        <v>30000309</v>
      </c>
      <c r="B726" s="3" t="s">
        <v>236</v>
      </c>
      <c r="C726" s="3" t="s">
        <v>1377</v>
      </c>
      <c r="D726" s="23" t="n">
        <v>5856</v>
      </c>
      <c r="E726" s="23" t="n">
        <v>7024.59742996749</v>
      </c>
      <c r="F726" s="23" t="n">
        <f aca="false">D726-E726</f>
        <v>-1168.59742996749</v>
      </c>
      <c r="G726" s="24" t="n">
        <f aca="false">IF(E726&gt;0,D726/E726-1,"")</f>
        <v>-0.166357921805193</v>
      </c>
      <c r="H726" s="3" t="str">
        <f aca="false">IF(MAX(D726,E726)&lt;Parametros!$B$16,"",IF(E726=0,"PIDE SIN FCST",IF(ABS(G726)&gt;Parametros!$B$14,IF(G726&gt;0,"SOBRE FCST","BAJO FCST"),"")))</f>
        <v/>
      </c>
    </row>
    <row r="727" customFormat="false" ht="15" hidden="false" customHeight="false" outlineLevel="0" collapsed="false">
      <c r="A727" s="3" t="n">
        <v>30001976</v>
      </c>
      <c r="B727" s="3" t="s">
        <v>432</v>
      </c>
      <c r="C727" s="3" t="s">
        <v>1375</v>
      </c>
      <c r="D727" s="23" t="n">
        <v>3132</v>
      </c>
      <c r="E727" s="23" t="n">
        <v>4300</v>
      </c>
      <c r="F727" s="23" t="n">
        <f aca="false">D727-E727</f>
        <v>-1168</v>
      </c>
      <c r="G727" s="24" t="n">
        <f aca="false">IF(E727&gt;0,D727/E727-1,"")</f>
        <v>-0.271627906976744</v>
      </c>
      <c r="H727" s="3" t="str">
        <f aca="false">IF(MAX(D727,E727)&lt;Parametros!$B$16,"",IF(E727=0,"PIDE SIN FCST",IF(ABS(G727)&gt;Parametros!$B$14,IF(G727&gt;0,"SOBRE FCST","BAJO FCST"),"")))</f>
        <v>BAJO FCST</v>
      </c>
    </row>
    <row r="728" customFormat="false" ht="15" hidden="false" customHeight="false" outlineLevel="0" collapsed="false">
      <c r="A728" s="3" t="n">
        <v>30001482</v>
      </c>
      <c r="B728" s="3" t="s">
        <v>566</v>
      </c>
      <c r="C728" s="3" t="s">
        <v>1373</v>
      </c>
      <c r="D728" s="23" t="n">
        <v>32.4</v>
      </c>
      <c r="E728" s="23" t="n">
        <v>1200</v>
      </c>
      <c r="F728" s="23" t="n">
        <f aca="false">D728-E728</f>
        <v>-1167.6</v>
      </c>
      <c r="G728" s="24" t="n">
        <f aca="false">IF(E728&gt;0,D728/E728-1,"")</f>
        <v>-0.973</v>
      </c>
      <c r="H728" s="3" t="str">
        <f aca="false">IF(MAX(D728,E728)&lt;Parametros!$B$16,"",IF(E728=0,"PIDE SIN FCST",IF(ABS(G728)&gt;Parametros!$B$14,IF(G728&gt;0,"SOBRE FCST","BAJO FCST"),"")))</f>
        <v>BAJO FCST</v>
      </c>
    </row>
    <row r="729" customFormat="false" ht="15" hidden="false" customHeight="false" outlineLevel="0" collapsed="false">
      <c r="A729" s="3" t="n">
        <v>30001746</v>
      </c>
      <c r="B729" s="3" t="s">
        <v>375</v>
      </c>
      <c r="C729" s="3" t="s">
        <v>1379</v>
      </c>
      <c r="D729" s="23" t="n">
        <v>2423.52</v>
      </c>
      <c r="E729" s="23" t="n">
        <v>1256.68</v>
      </c>
      <c r="F729" s="23" t="n">
        <f aca="false">D729-E729</f>
        <v>1166.84</v>
      </c>
      <c r="G729" s="24" t="n">
        <f aca="false">IF(E729&gt;0,D729/E729-1,"")</f>
        <v>0.928510042333768</v>
      </c>
      <c r="H729" s="3" t="str">
        <f aca="false">IF(MAX(D729,E729)&lt;Parametros!$B$16,"",IF(E729=0,"PIDE SIN FCST",IF(ABS(G729)&gt;Parametros!$B$14,IF(G729&gt;0,"SOBRE FCST","BAJO FCST"),"")))</f>
        <v>SOBRE FCST</v>
      </c>
    </row>
    <row r="730" customFormat="false" ht="15" hidden="false" customHeight="false" outlineLevel="0" collapsed="false">
      <c r="A730" s="3" t="n">
        <v>30000633</v>
      </c>
      <c r="B730" s="3" t="s">
        <v>492</v>
      </c>
      <c r="C730" s="3" t="s">
        <v>1373</v>
      </c>
      <c r="D730" s="23" t="n">
        <v>3316.8</v>
      </c>
      <c r="E730" s="23" t="n">
        <v>2150</v>
      </c>
      <c r="F730" s="23" t="n">
        <f aca="false">D730-E730</f>
        <v>1166.8</v>
      </c>
      <c r="G730" s="24" t="n">
        <f aca="false">IF(E730&gt;0,D730/E730-1,"")</f>
        <v>0.542697674418605</v>
      </c>
      <c r="H730" s="3" t="str">
        <f aca="false">IF(MAX(D730,E730)&lt;Parametros!$B$16,"",IF(E730=0,"PIDE SIN FCST",IF(ABS(G730)&gt;Parametros!$B$14,IF(G730&gt;0,"SOBRE FCST","BAJO FCST"),"")))</f>
        <v>SOBRE FCST</v>
      </c>
    </row>
    <row r="731" customFormat="false" ht="15" hidden="false" customHeight="false" outlineLevel="0" collapsed="false">
      <c r="A731" s="3" t="n">
        <v>30001074</v>
      </c>
      <c r="B731" s="3" t="s">
        <v>256</v>
      </c>
      <c r="C731" s="3" t="s">
        <v>1377</v>
      </c>
      <c r="D731" s="23" t="n">
        <v>2682.24</v>
      </c>
      <c r="E731" s="23" t="n">
        <v>1521.36604640727</v>
      </c>
      <c r="F731" s="23" t="n">
        <f aca="false">D731-E731</f>
        <v>1160.87395359273</v>
      </c>
      <c r="G731" s="24" t="n">
        <f aca="false">IF(E731&gt;0,D731/E731-1,"")</f>
        <v>0.763047102526148</v>
      </c>
      <c r="H731" s="3" t="str">
        <f aca="false">IF(MAX(D731,E731)&lt;Parametros!$B$16,"",IF(E731=0,"PIDE SIN FCST",IF(ABS(G731)&gt;Parametros!$B$14,IF(G731&gt;0,"SOBRE FCST","BAJO FCST"),"")))</f>
        <v>SOBRE FCST</v>
      </c>
    </row>
    <row r="732" customFormat="false" ht="15" hidden="false" customHeight="false" outlineLevel="0" collapsed="false">
      <c r="A732" s="3" t="n">
        <v>30001715</v>
      </c>
      <c r="B732" s="3" t="s">
        <v>321</v>
      </c>
      <c r="C732" s="3" t="s">
        <v>1379</v>
      </c>
      <c r="D732" s="23" t="n">
        <v>4028</v>
      </c>
      <c r="E732" s="23" t="n">
        <v>2873.64618903923</v>
      </c>
      <c r="F732" s="23" t="n">
        <f aca="false">D732-E732</f>
        <v>1154.35381096077</v>
      </c>
      <c r="G732" s="24" t="n">
        <f aca="false">IF(E732&gt;0,D732/E732-1,"")</f>
        <v>0.401703527512799</v>
      </c>
      <c r="H732" s="3" t="str">
        <f aca="false">IF(MAX(D732,E732)&lt;Parametros!$B$16,"",IF(E732=0,"PIDE SIN FCST",IF(ABS(G732)&gt;Parametros!$B$14,IF(G732&gt;0,"SOBRE FCST","BAJO FCST"),"")))</f>
        <v>SOBRE FCST</v>
      </c>
    </row>
    <row r="733" customFormat="false" ht="15" hidden="false" customHeight="false" outlineLevel="0" collapsed="false">
      <c r="A733" s="3" t="n">
        <v>30001423</v>
      </c>
      <c r="B733" s="3" t="s">
        <v>328</v>
      </c>
      <c r="C733" s="3" t="s">
        <v>1372</v>
      </c>
      <c r="D733" s="23" t="n">
        <v>472.5</v>
      </c>
      <c r="E733" s="23" t="n">
        <v>1622.62861403154</v>
      </c>
      <c r="F733" s="23" t="n">
        <f aca="false">D733-E733</f>
        <v>-1150.12861403154</v>
      </c>
      <c r="G733" s="24" t="n">
        <f aca="false">IF(E733&gt;0,D733/E733-1,"")</f>
        <v>-0.708805825366263</v>
      </c>
      <c r="H733" s="3" t="str">
        <f aca="false">IF(MAX(D733,E733)&lt;Parametros!$B$16,"",IF(E733=0,"PIDE SIN FCST",IF(ABS(G733)&gt;Parametros!$B$14,IF(G733&gt;0,"SOBRE FCST","BAJO FCST"),"")))</f>
        <v>BAJO FCST</v>
      </c>
    </row>
    <row r="734" customFormat="false" ht="15" hidden="false" customHeight="false" outlineLevel="0" collapsed="false">
      <c r="A734" s="3" t="n">
        <v>30001045</v>
      </c>
      <c r="B734" s="3" t="s">
        <v>361</v>
      </c>
      <c r="C734" s="3" t="s">
        <v>1378</v>
      </c>
      <c r="D734" s="23" t="n">
        <v>1581.12</v>
      </c>
      <c r="E734" s="23" t="n">
        <v>431.287532747868</v>
      </c>
      <c r="F734" s="23" t="n">
        <f aca="false">D734-E734</f>
        <v>1149.83246725213</v>
      </c>
      <c r="G734" s="24" t="n">
        <f aca="false">IF(E734&gt;0,D734/E734-1,"")</f>
        <v>2.6660461523805</v>
      </c>
      <c r="H734" s="3" t="str">
        <f aca="false">IF(MAX(D734,E734)&lt;Parametros!$B$16,"",IF(E734=0,"PIDE SIN FCST",IF(ABS(G734)&gt;Parametros!$B$14,IF(G734&gt;0,"SOBRE FCST","BAJO FCST"),"")))</f>
        <v>SOBRE FCST</v>
      </c>
    </row>
    <row r="735" customFormat="false" ht="15" hidden="false" customHeight="false" outlineLevel="0" collapsed="false">
      <c r="A735" s="3" t="n">
        <v>30001091</v>
      </c>
      <c r="B735" s="3" t="s">
        <v>303</v>
      </c>
      <c r="C735" s="3" t="s">
        <v>1378</v>
      </c>
      <c r="D735" s="23" t="n">
        <v>1008</v>
      </c>
      <c r="E735" s="23" t="n">
        <v>2156.43766373934</v>
      </c>
      <c r="F735" s="23" t="n">
        <f aca="false">D735-E735</f>
        <v>-1148.43766373934</v>
      </c>
      <c r="G735" s="24" t="n">
        <f aca="false">IF(E735&gt;0,D735/E735-1,"")</f>
        <v>-0.53256242137225</v>
      </c>
      <c r="H735" s="3" t="str">
        <f aca="false">IF(MAX(D735,E735)&lt;Parametros!$B$16,"",IF(E735=0,"PIDE SIN FCST",IF(ABS(G735)&gt;Parametros!$B$14,IF(G735&gt;0,"SOBRE FCST","BAJO FCST"),"")))</f>
        <v>BAJO FCST</v>
      </c>
    </row>
    <row r="736" customFormat="false" ht="15" hidden="false" customHeight="false" outlineLevel="0" collapsed="false">
      <c r="A736" s="3" t="n">
        <v>30001083</v>
      </c>
      <c r="B736" s="3" t="s">
        <v>397</v>
      </c>
      <c r="C736" s="3" t="s">
        <v>1375</v>
      </c>
      <c r="D736" s="23" t="n">
        <v>3590.4</v>
      </c>
      <c r="E736" s="23" t="n">
        <v>2442.04362480243</v>
      </c>
      <c r="F736" s="23" t="n">
        <f aca="false">D736-E736</f>
        <v>1148.35637519757</v>
      </c>
      <c r="G736" s="24" t="n">
        <f aca="false">IF(E736&gt;0,D736/E736-1,"")</f>
        <v>0.470244005280815</v>
      </c>
      <c r="H736" s="3" t="str">
        <f aca="false">IF(MAX(D736,E736)&lt;Parametros!$B$16,"",IF(E736=0,"PIDE SIN FCST",IF(ABS(G736)&gt;Parametros!$B$14,IF(G736&gt;0,"SOBRE FCST","BAJO FCST"),"")))</f>
        <v>SOBRE FCST</v>
      </c>
    </row>
    <row r="737" customFormat="false" ht="15" hidden="false" customHeight="false" outlineLevel="0" collapsed="false">
      <c r="A737" s="3" t="n">
        <v>30000188</v>
      </c>
      <c r="B737" s="3" t="s">
        <v>418</v>
      </c>
      <c r="C737" s="3" t="s">
        <v>1373</v>
      </c>
      <c r="D737" s="23" t="n">
        <v>4242</v>
      </c>
      <c r="E737" s="23" t="n">
        <v>5386</v>
      </c>
      <c r="F737" s="23" t="n">
        <f aca="false">D737-E737</f>
        <v>-1144</v>
      </c>
      <c r="G737" s="24" t="n">
        <f aca="false">IF(E737&gt;0,D737/E737-1,"")</f>
        <v>-0.212402525064983</v>
      </c>
      <c r="H737" s="3" t="str">
        <f aca="false">IF(MAX(D737,E737)&lt;Parametros!$B$16,"",IF(E737=0,"PIDE SIN FCST",IF(ABS(G737)&gt;Parametros!$B$14,IF(G737&gt;0,"SOBRE FCST","BAJO FCST"),"")))</f>
        <v>BAJO FCST</v>
      </c>
    </row>
    <row r="738" customFormat="false" ht="15" hidden="false" customHeight="false" outlineLevel="0" collapsed="false">
      <c r="A738" s="3" t="n">
        <v>30000494</v>
      </c>
      <c r="B738" s="3" t="s">
        <v>611</v>
      </c>
      <c r="C738" s="3" t="s">
        <v>1380</v>
      </c>
      <c r="D738" s="23" t="n">
        <v>540</v>
      </c>
      <c r="E738" s="23" t="n">
        <v>1676.28907506624</v>
      </c>
      <c r="F738" s="23" t="n">
        <f aca="false">D738-E738</f>
        <v>-1136.28907506624</v>
      </c>
      <c r="G738" s="24" t="n">
        <f aca="false">IF(E738&gt;0,D738/E738-1,"")</f>
        <v>-0.677859858402608</v>
      </c>
      <c r="H738" s="3" t="str">
        <f aca="false">IF(MAX(D738,E738)&lt;Parametros!$B$16,"",IF(E738=0,"PIDE SIN FCST",IF(ABS(G738)&gt;Parametros!$B$14,IF(G738&gt;0,"SOBRE FCST","BAJO FCST"),"")))</f>
        <v>BAJO FCST</v>
      </c>
    </row>
    <row r="739" customFormat="false" ht="15" hidden="false" customHeight="false" outlineLevel="0" collapsed="false">
      <c r="A739" s="3" t="n">
        <v>30002094</v>
      </c>
      <c r="B739" s="3" t="s">
        <v>452</v>
      </c>
      <c r="C739" s="3" t="s">
        <v>1380</v>
      </c>
      <c r="D739" s="23" t="n">
        <v>3136.32</v>
      </c>
      <c r="E739" s="23" t="n">
        <v>4271.77144231278</v>
      </c>
      <c r="F739" s="23" t="n">
        <f aca="false">D739-E739</f>
        <v>-1135.45144231278</v>
      </c>
      <c r="G739" s="24" t="n">
        <f aca="false">IF(E739&gt;0,D739/E739-1,"")</f>
        <v>-0.265803416134556</v>
      </c>
      <c r="H739" s="3" t="str">
        <f aca="false">IF(MAX(D739,E739)&lt;Parametros!$B$16,"",IF(E739=0,"PIDE SIN FCST",IF(ABS(G739)&gt;Parametros!$B$14,IF(G739&gt;0,"SOBRE FCST","BAJO FCST"),"")))</f>
        <v>BAJO FCST</v>
      </c>
    </row>
    <row r="740" customFormat="false" ht="15" hidden="false" customHeight="false" outlineLevel="0" collapsed="false">
      <c r="A740" s="3" t="n">
        <v>30000194</v>
      </c>
      <c r="B740" s="3" t="s">
        <v>268</v>
      </c>
      <c r="C740" s="3" t="s">
        <v>1378</v>
      </c>
      <c r="D740" s="23" t="n">
        <v>444</v>
      </c>
      <c r="E740" s="23" t="n">
        <v>1579</v>
      </c>
      <c r="F740" s="23" t="n">
        <f aca="false">D740-E740</f>
        <v>-1135</v>
      </c>
      <c r="G740" s="24" t="n">
        <f aca="false">IF(E740&gt;0,D740/E740-1,"")</f>
        <v>-0.718809373020899</v>
      </c>
      <c r="H740" s="3" t="str">
        <f aca="false">IF(MAX(D740,E740)&lt;Parametros!$B$16,"",IF(E740=0,"PIDE SIN FCST",IF(ABS(G740)&gt;Parametros!$B$14,IF(G740&gt;0,"SOBRE FCST","BAJO FCST"),"")))</f>
        <v>BAJO FCST</v>
      </c>
    </row>
    <row r="741" customFormat="false" ht="15" hidden="false" customHeight="false" outlineLevel="0" collapsed="false">
      <c r="A741" s="3" t="n">
        <v>30002176</v>
      </c>
      <c r="B741" s="3" t="s">
        <v>548</v>
      </c>
      <c r="C741" s="3" t="s">
        <v>1379</v>
      </c>
      <c r="D741" s="23" t="n">
        <v>1915.2</v>
      </c>
      <c r="E741" s="23" t="n">
        <v>782.4</v>
      </c>
      <c r="F741" s="23" t="n">
        <f aca="false">D741-E741</f>
        <v>1132.8</v>
      </c>
      <c r="G741" s="24" t="n">
        <f aca="false">IF(E741&gt;0,D741/E741-1,"")</f>
        <v>1.4478527607362</v>
      </c>
      <c r="H741" s="3" t="str">
        <f aca="false">IF(MAX(D741,E741)&lt;Parametros!$B$16,"",IF(E741=0,"PIDE SIN FCST",IF(ABS(G741)&gt;Parametros!$B$14,IF(G741&gt;0,"SOBRE FCST","BAJO FCST"),"")))</f>
        <v>SOBRE FCST</v>
      </c>
    </row>
    <row r="742" customFormat="false" ht="15" hidden="false" customHeight="false" outlineLevel="0" collapsed="false">
      <c r="A742" s="3" t="n">
        <v>30000194</v>
      </c>
      <c r="B742" s="3" t="s">
        <v>268</v>
      </c>
      <c r="C742" s="3" t="s">
        <v>1372</v>
      </c>
      <c r="D742" s="23" t="n">
        <v>6792</v>
      </c>
      <c r="E742" s="23" t="n">
        <v>7924</v>
      </c>
      <c r="F742" s="23" t="n">
        <f aca="false">D742-E742</f>
        <v>-1132</v>
      </c>
      <c r="G742" s="24" t="n">
        <f aca="false">IF(E742&gt;0,D742/E742-1,"")</f>
        <v>-0.142857142857143</v>
      </c>
      <c r="H742" s="3" t="str">
        <f aca="false">IF(MAX(D742,E742)&lt;Parametros!$B$16,"",IF(E742=0,"PIDE SIN FCST",IF(ABS(G742)&gt;Parametros!$B$14,IF(G742&gt;0,"SOBRE FCST","BAJO FCST"),"")))</f>
        <v/>
      </c>
    </row>
    <row r="743" customFormat="false" ht="15" hidden="false" customHeight="false" outlineLevel="0" collapsed="false">
      <c r="A743" s="3" t="n">
        <v>30000629</v>
      </c>
      <c r="B743" s="3" t="s">
        <v>347</v>
      </c>
      <c r="C743" s="3" t="s">
        <v>1373</v>
      </c>
      <c r="D743" s="23" t="n">
        <v>5630.08</v>
      </c>
      <c r="E743" s="23" t="n">
        <v>4500</v>
      </c>
      <c r="F743" s="23" t="n">
        <f aca="false">D743-E743</f>
        <v>1130.08</v>
      </c>
      <c r="G743" s="24" t="n">
        <f aca="false">IF(E743&gt;0,D743/E743-1,"")</f>
        <v>0.251128888888889</v>
      </c>
      <c r="H743" s="3" t="str">
        <f aca="false">IF(MAX(D743,E743)&lt;Parametros!$B$16,"",IF(E743=0,"PIDE SIN FCST",IF(ABS(G743)&gt;Parametros!$B$14,IF(G743&gt;0,"SOBRE FCST","BAJO FCST"),"")))</f>
        <v>SOBRE FCST</v>
      </c>
    </row>
    <row r="744" customFormat="false" ht="15" hidden="false" customHeight="false" outlineLevel="0" collapsed="false">
      <c r="A744" s="3" t="n">
        <v>30000616</v>
      </c>
      <c r="B744" s="3" t="s">
        <v>372</v>
      </c>
      <c r="C744" s="3" t="s">
        <v>1380</v>
      </c>
      <c r="D744" s="23" t="n">
        <v>7228.8</v>
      </c>
      <c r="E744" s="23" t="n">
        <v>6100</v>
      </c>
      <c r="F744" s="23" t="n">
        <f aca="false">D744-E744</f>
        <v>1128.8</v>
      </c>
      <c r="G744" s="24" t="n">
        <f aca="false">IF(E744&gt;0,D744/E744-1,"")</f>
        <v>0.185049180327869</v>
      </c>
      <c r="H744" s="3" t="str">
        <f aca="false">IF(MAX(D744,E744)&lt;Parametros!$B$16,"",IF(E744=0,"PIDE SIN FCST",IF(ABS(G744)&gt;Parametros!$B$14,IF(G744&gt;0,"SOBRE FCST","BAJO FCST"),"")))</f>
        <v/>
      </c>
    </row>
    <row r="745" customFormat="false" ht="15" hidden="false" customHeight="false" outlineLevel="0" collapsed="false">
      <c r="A745" s="3" t="n">
        <v>30001480</v>
      </c>
      <c r="B745" s="3" t="s">
        <v>560</v>
      </c>
      <c r="C745" s="3" t="s">
        <v>1373</v>
      </c>
      <c r="D745" s="23" t="n">
        <v>71.28</v>
      </c>
      <c r="E745" s="23" t="n">
        <v>1200</v>
      </c>
      <c r="F745" s="23" t="n">
        <f aca="false">D745-E745</f>
        <v>-1128.72</v>
      </c>
      <c r="G745" s="24" t="n">
        <f aca="false">IF(E745&gt;0,D745/E745-1,"")</f>
        <v>-0.9406</v>
      </c>
      <c r="H745" s="3" t="str">
        <f aca="false">IF(MAX(D745,E745)&lt;Parametros!$B$16,"",IF(E745=0,"PIDE SIN FCST",IF(ABS(G745)&gt;Parametros!$B$14,IF(G745&gt;0,"SOBRE FCST","BAJO FCST"),"")))</f>
        <v>BAJO FCST</v>
      </c>
    </row>
    <row r="746" customFormat="false" ht="15" hidden="false" customHeight="false" outlineLevel="0" collapsed="false">
      <c r="A746" s="3" t="n">
        <v>30000192</v>
      </c>
      <c r="B746" s="3" t="s">
        <v>311</v>
      </c>
      <c r="C746" s="3" t="s">
        <v>1378</v>
      </c>
      <c r="D746" s="23" t="n">
        <v>870</v>
      </c>
      <c r="E746" s="23" t="n">
        <v>1998</v>
      </c>
      <c r="F746" s="23" t="n">
        <f aca="false">D746-E746</f>
        <v>-1128</v>
      </c>
      <c r="G746" s="24" t="n">
        <f aca="false">IF(E746&gt;0,D746/E746-1,"")</f>
        <v>-0.564564564564565</v>
      </c>
      <c r="H746" s="3" t="str">
        <f aca="false">IF(MAX(D746,E746)&lt;Parametros!$B$16,"",IF(E746=0,"PIDE SIN FCST",IF(ABS(G746)&gt;Parametros!$B$14,IF(G746&gt;0,"SOBRE FCST","BAJO FCST"),"")))</f>
        <v>BAJO FCST</v>
      </c>
    </row>
    <row r="747" customFormat="false" ht="15" hidden="false" customHeight="false" outlineLevel="0" collapsed="false">
      <c r="A747" s="3" t="n">
        <v>30001143</v>
      </c>
      <c r="B747" s="3" t="s">
        <v>503</v>
      </c>
      <c r="C747" s="3" t="s">
        <v>1379</v>
      </c>
      <c r="D747" s="23" t="n">
        <v>1575</v>
      </c>
      <c r="E747" s="23" t="n">
        <v>2700</v>
      </c>
      <c r="F747" s="23" t="n">
        <f aca="false">D747-E747</f>
        <v>-1125</v>
      </c>
      <c r="G747" s="24" t="n">
        <f aca="false">IF(E747&gt;0,D747/E747-1,"")</f>
        <v>-0.416666666666667</v>
      </c>
      <c r="H747" s="3" t="str">
        <f aca="false">IF(MAX(D747,E747)&lt;Parametros!$B$16,"",IF(E747=0,"PIDE SIN FCST",IF(ABS(G747)&gt;Parametros!$B$14,IF(G747&gt;0,"SOBRE FCST","BAJO FCST"),"")))</f>
        <v>BAJO FCST</v>
      </c>
    </row>
    <row r="748" customFormat="false" ht="15" hidden="false" customHeight="false" outlineLevel="0" collapsed="false">
      <c r="A748" s="3" t="n">
        <v>30001047</v>
      </c>
      <c r="B748" s="3" t="s">
        <v>374</v>
      </c>
      <c r="C748" s="3" t="s">
        <v>1377</v>
      </c>
      <c r="D748" s="23" t="n">
        <v>3386.88</v>
      </c>
      <c r="E748" s="23" t="n">
        <v>2265.49460765943</v>
      </c>
      <c r="F748" s="23" t="n">
        <f aca="false">D748-E748</f>
        <v>1121.38539234057</v>
      </c>
      <c r="G748" s="24" t="n">
        <f aca="false">IF(E748&gt;0,D748/E748-1,"")</f>
        <v>0.494984798705441</v>
      </c>
      <c r="H748" s="3" t="str">
        <f aca="false">IF(MAX(D748,E748)&lt;Parametros!$B$16,"",IF(E748=0,"PIDE SIN FCST",IF(ABS(G748)&gt;Parametros!$B$14,IF(G748&gt;0,"SOBRE FCST","BAJO FCST"),"")))</f>
        <v>SOBRE FCST</v>
      </c>
    </row>
    <row r="749" customFormat="false" ht="15" hidden="false" customHeight="false" outlineLevel="0" collapsed="false">
      <c r="A749" s="3" t="n">
        <v>30000658</v>
      </c>
      <c r="B749" s="3" t="s">
        <v>322</v>
      </c>
      <c r="C749" s="3" t="s">
        <v>1373</v>
      </c>
      <c r="D749" s="23" t="n">
        <v>3079.2</v>
      </c>
      <c r="E749" s="23" t="n">
        <v>4199.24698217221</v>
      </c>
      <c r="F749" s="23" t="n">
        <f aca="false">D749-E749</f>
        <v>-1120.04698217221</v>
      </c>
      <c r="G749" s="24" t="n">
        <f aca="false">IF(E749&gt;0,D749/E749-1,"")</f>
        <v>-0.266725674133325</v>
      </c>
      <c r="H749" s="3" t="str">
        <f aca="false">IF(MAX(D749,E749)&lt;Parametros!$B$16,"",IF(E749=0,"PIDE SIN FCST",IF(ABS(G749)&gt;Parametros!$B$14,IF(G749&gt;0,"SOBRE FCST","BAJO FCST"),"")))</f>
        <v>BAJO FCST</v>
      </c>
    </row>
    <row r="750" customFormat="false" ht="15" hidden="false" customHeight="false" outlineLevel="0" collapsed="false">
      <c r="A750" s="3" t="n">
        <v>30000626</v>
      </c>
      <c r="B750" s="3" t="s">
        <v>238</v>
      </c>
      <c r="C750" s="3" t="s">
        <v>1380</v>
      </c>
      <c r="D750" s="23" t="n">
        <v>51114.56</v>
      </c>
      <c r="E750" s="23" t="n">
        <v>50000</v>
      </c>
      <c r="F750" s="23" t="n">
        <f aca="false">D750-E750</f>
        <v>1114.56</v>
      </c>
      <c r="G750" s="24" t="n">
        <f aca="false">IF(E750&gt;0,D750/E750-1,"")</f>
        <v>0.0222912</v>
      </c>
      <c r="H750" s="3" t="str">
        <f aca="false">IF(MAX(D750,E750)&lt;Parametros!$B$16,"",IF(E750=0,"PIDE SIN FCST",IF(ABS(G750)&gt;Parametros!$B$14,IF(G750&gt;0,"SOBRE FCST","BAJO FCST"),"")))</f>
        <v/>
      </c>
    </row>
    <row r="751" customFormat="false" ht="15" hidden="false" customHeight="false" outlineLevel="0" collapsed="false">
      <c r="A751" s="3" t="n">
        <v>30002199</v>
      </c>
      <c r="B751" s="3" t="s">
        <v>276</v>
      </c>
      <c r="C751" s="3" t="s">
        <v>1377</v>
      </c>
      <c r="D751" s="23" t="n">
        <v>830.4</v>
      </c>
      <c r="E751" s="23" t="n">
        <v>1944.85440967008</v>
      </c>
      <c r="F751" s="23" t="n">
        <f aca="false">D751-E751</f>
        <v>-1114.45440967008</v>
      </c>
      <c r="G751" s="24" t="n">
        <f aca="false">IF(E751&gt;0,D751/E751-1,"")</f>
        <v>-0.57302716549314</v>
      </c>
      <c r="H751" s="3" t="str">
        <f aca="false">IF(MAX(D751,E751)&lt;Parametros!$B$16,"",IF(E751=0,"PIDE SIN FCST",IF(ABS(G751)&gt;Parametros!$B$14,IF(G751&gt;0,"SOBRE FCST","BAJO FCST"),"")))</f>
        <v>BAJO FCST</v>
      </c>
    </row>
    <row r="752" customFormat="false" ht="15" hidden="false" customHeight="false" outlineLevel="0" collapsed="false">
      <c r="A752" s="3" t="n">
        <v>30001094</v>
      </c>
      <c r="B752" s="3" t="s">
        <v>326</v>
      </c>
      <c r="C752" s="3" t="s">
        <v>1373</v>
      </c>
      <c r="D752" s="23" t="n">
        <v>4255.2</v>
      </c>
      <c r="E752" s="23" t="n">
        <v>5369.02776402319</v>
      </c>
      <c r="F752" s="23" t="n">
        <f aca="false">D752-E752</f>
        <v>-1113.82776402319</v>
      </c>
      <c r="G752" s="24" t="n">
        <f aca="false">IF(E752&gt;0,D752/E752-1,"")</f>
        <v>-0.207454275332069</v>
      </c>
      <c r="H752" s="3" t="str">
        <f aca="false">IF(MAX(D752,E752)&lt;Parametros!$B$16,"",IF(E752=0,"PIDE SIN FCST",IF(ABS(G752)&gt;Parametros!$B$14,IF(G752&gt;0,"SOBRE FCST","BAJO FCST"),"")))</f>
        <v>BAJO FCST</v>
      </c>
    </row>
    <row r="753" customFormat="false" ht="15" hidden="false" customHeight="false" outlineLevel="0" collapsed="false">
      <c r="A753" s="3" t="n">
        <v>30002253</v>
      </c>
      <c r="B753" s="3" t="s">
        <v>555</v>
      </c>
      <c r="C753" s="3" t="s">
        <v>1373</v>
      </c>
      <c r="D753" s="23" t="n">
        <v>1107</v>
      </c>
      <c r="E753" s="23" t="n">
        <v>0</v>
      </c>
      <c r="F753" s="23" t="n">
        <f aca="false">D753-E753</f>
        <v>1107</v>
      </c>
      <c r="G753" s="24" t="str">
        <f aca="false">IF(E753&gt;0,D753/E753-1,"")</f>
        <v/>
      </c>
      <c r="H753" s="3" t="str">
        <f aca="false">IF(MAX(D753,E753)&lt;Parametros!$B$16,"",IF(E753=0,"PIDE SIN FCST",IF(ABS(G753)&gt;Parametros!$B$14,IF(G753&gt;0,"SOBRE FCST","BAJO FCST"),"")))</f>
        <v>PIDE SIN FCST</v>
      </c>
    </row>
    <row r="754" customFormat="false" ht="15" hidden="false" customHeight="false" outlineLevel="0" collapsed="false">
      <c r="A754" s="3" t="n">
        <v>30001887</v>
      </c>
      <c r="B754" s="3" t="s">
        <v>310</v>
      </c>
      <c r="C754" s="3" t="s">
        <v>1377</v>
      </c>
      <c r="D754" s="23" t="n">
        <v>3408</v>
      </c>
      <c r="E754" s="23" t="n">
        <v>4513.47417991955</v>
      </c>
      <c r="F754" s="23" t="n">
        <f aca="false">D754-E754</f>
        <v>-1105.47417991955</v>
      </c>
      <c r="G754" s="24" t="n">
        <f aca="false">IF(E754&gt;0,D754/E754-1,"")</f>
        <v>-0.244927551560571</v>
      </c>
      <c r="H754" s="3" t="str">
        <f aca="false">IF(MAX(D754,E754)&lt;Parametros!$B$16,"",IF(E754=0,"PIDE SIN FCST",IF(ABS(G754)&gt;Parametros!$B$14,IF(G754&gt;0,"SOBRE FCST","BAJO FCST"),"")))</f>
        <v>BAJO FCST</v>
      </c>
    </row>
    <row r="755" customFormat="false" ht="15" hidden="false" customHeight="false" outlineLevel="0" collapsed="false">
      <c r="A755" s="3" t="n">
        <v>30001753</v>
      </c>
      <c r="B755" s="3" t="s">
        <v>255</v>
      </c>
      <c r="C755" s="3" t="s">
        <v>1380</v>
      </c>
      <c r="D755" s="23" t="n">
        <v>32394.6</v>
      </c>
      <c r="E755" s="23" t="n">
        <v>33500</v>
      </c>
      <c r="F755" s="23" t="n">
        <f aca="false">D755-E755</f>
        <v>-1105.4</v>
      </c>
      <c r="G755" s="24" t="n">
        <f aca="false">IF(E755&gt;0,D755/E755-1,"")</f>
        <v>-0.0329970149253732</v>
      </c>
      <c r="H755" s="3" t="str">
        <f aca="false">IF(MAX(D755,E755)&lt;Parametros!$B$16,"",IF(E755=0,"PIDE SIN FCST",IF(ABS(G755)&gt;Parametros!$B$14,IF(G755&gt;0,"SOBRE FCST","BAJO FCST"),"")))</f>
        <v/>
      </c>
    </row>
    <row r="756" customFormat="false" ht="15" hidden="false" customHeight="false" outlineLevel="0" collapsed="false">
      <c r="A756" s="3" t="n">
        <v>30001506</v>
      </c>
      <c r="B756" s="3" t="s">
        <v>352</v>
      </c>
      <c r="C756" s="3" t="s">
        <v>1372</v>
      </c>
      <c r="D756" s="23" t="n">
        <v>1338.6</v>
      </c>
      <c r="E756" s="23" t="n">
        <v>2443.27489351152</v>
      </c>
      <c r="F756" s="23" t="n">
        <f aca="false">D756-E756</f>
        <v>-1104.67489351152</v>
      </c>
      <c r="G756" s="24" t="n">
        <f aca="false">IF(E756&gt;0,D756/E756-1,"")</f>
        <v>-0.452128778650797</v>
      </c>
      <c r="H756" s="3" t="str">
        <f aca="false">IF(MAX(D756,E756)&lt;Parametros!$B$16,"",IF(E756=0,"PIDE SIN FCST",IF(ABS(G756)&gt;Parametros!$B$14,IF(G756&gt;0,"SOBRE FCST","BAJO FCST"),"")))</f>
        <v>BAJO FCST</v>
      </c>
    </row>
    <row r="757" customFormat="false" ht="15" hidden="false" customHeight="false" outlineLevel="0" collapsed="false">
      <c r="A757" s="3" t="n">
        <v>30000355</v>
      </c>
      <c r="B757" s="3" t="s">
        <v>583</v>
      </c>
      <c r="C757" s="3" t="s">
        <v>1377</v>
      </c>
      <c r="D757" s="23" t="n">
        <v>672</v>
      </c>
      <c r="E757" s="23" t="n">
        <v>1776.6457921874</v>
      </c>
      <c r="F757" s="23" t="n">
        <f aca="false">D757-E757</f>
        <v>-1104.6457921874</v>
      </c>
      <c r="G757" s="24" t="n">
        <f aca="false">IF(E757&gt;0,D757/E757-1,"")</f>
        <v>-0.621759158209787</v>
      </c>
      <c r="H757" s="3" t="str">
        <f aca="false">IF(MAX(D757,E757)&lt;Parametros!$B$16,"",IF(E757=0,"PIDE SIN FCST",IF(ABS(G757)&gt;Parametros!$B$14,IF(G757&gt;0,"SOBRE FCST","BAJO FCST"),"")))</f>
        <v>BAJO FCST</v>
      </c>
    </row>
    <row r="758" customFormat="false" ht="15" hidden="false" customHeight="false" outlineLevel="0" collapsed="false">
      <c r="A758" s="3" t="n">
        <v>30001861</v>
      </c>
      <c r="B758" s="3" t="s">
        <v>250</v>
      </c>
      <c r="C758" s="3" t="s">
        <v>1379</v>
      </c>
      <c r="D758" s="23" t="n">
        <v>11696.4</v>
      </c>
      <c r="E758" s="23" t="n">
        <v>12800</v>
      </c>
      <c r="F758" s="23" t="n">
        <f aca="false">D758-E758</f>
        <v>-1103.6</v>
      </c>
      <c r="G758" s="24" t="n">
        <f aca="false">IF(E758&gt;0,D758/E758-1,"")</f>
        <v>-0.08621875</v>
      </c>
      <c r="H758" s="3" t="str">
        <f aca="false">IF(MAX(D758,E758)&lt;Parametros!$B$16,"",IF(E758=0,"PIDE SIN FCST",IF(ABS(G758)&gt;Parametros!$B$14,IF(G758&gt;0,"SOBRE FCST","BAJO FCST"),"")))</f>
        <v/>
      </c>
    </row>
    <row r="759" customFormat="false" ht="15" hidden="false" customHeight="false" outlineLevel="0" collapsed="false">
      <c r="A759" s="3" t="n">
        <v>30000608</v>
      </c>
      <c r="B759" s="3" t="s">
        <v>416</v>
      </c>
      <c r="C759" s="3" t="s">
        <v>1380</v>
      </c>
      <c r="D759" s="23" t="n">
        <v>2647.68</v>
      </c>
      <c r="E759" s="23" t="n">
        <v>3750</v>
      </c>
      <c r="F759" s="23" t="n">
        <f aca="false">D759-E759</f>
        <v>-1102.32</v>
      </c>
      <c r="G759" s="24" t="n">
        <f aca="false">IF(E759&gt;0,D759/E759-1,"")</f>
        <v>-0.293952</v>
      </c>
      <c r="H759" s="3" t="str">
        <f aca="false">IF(MAX(D759,E759)&lt;Parametros!$B$16,"",IF(E759=0,"PIDE SIN FCST",IF(ABS(G759)&gt;Parametros!$B$14,IF(G759&gt;0,"SOBRE FCST","BAJO FCST"),"")))</f>
        <v>BAJO FCST</v>
      </c>
    </row>
    <row r="760" customFormat="false" ht="15" hidden="false" customHeight="false" outlineLevel="0" collapsed="false">
      <c r="A760" s="3" t="n">
        <v>30001489</v>
      </c>
      <c r="B760" s="3" t="s">
        <v>289</v>
      </c>
      <c r="C760" s="3" t="s">
        <v>1380</v>
      </c>
      <c r="D760" s="23" t="n">
        <v>14262.48</v>
      </c>
      <c r="E760" s="23" t="n">
        <v>13160.3242877202</v>
      </c>
      <c r="F760" s="23" t="n">
        <f aca="false">D760-E760</f>
        <v>1102.15571227976</v>
      </c>
      <c r="G760" s="24" t="n">
        <f aca="false">IF(E760&gt;0,D760/E760-1,"")</f>
        <v>0.0837483703428319</v>
      </c>
      <c r="H760" s="3" t="str">
        <f aca="false">IF(MAX(D760,E760)&lt;Parametros!$B$16,"",IF(E760=0,"PIDE SIN FCST",IF(ABS(G760)&gt;Parametros!$B$14,IF(G760&gt;0,"SOBRE FCST","BAJO FCST"),"")))</f>
        <v/>
      </c>
    </row>
    <row r="761" customFormat="false" ht="15" hidden="false" customHeight="false" outlineLevel="0" collapsed="false">
      <c r="A761" s="3" t="n">
        <v>30000347</v>
      </c>
      <c r="B761" s="3" t="s">
        <v>319</v>
      </c>
      <c r="C761" s="3" t="s">
        <v>1379</v>
      </c>
      <c r="D761" s="23" t="n">
        <v>10098</v>
      </c>
      <c r="E761" s="23" t="n">
        <v>9000</v>
      </c>
      <c r="F761" s="23" t="n">
        <f aca="false">D761-E761</f>
        <v>1098</v>
      </c>
      <c r="G761" s="24" t="n">
        <f aca="false">IF(E761&gt;0,D761/E761-1,"")</f>
        <v>0.122</v>
      </c>
      <c r="H761" s="3" t="str">
        <f aca="false">IF(MAX(D761,E761)&lt;Parametros!$B$16,"",IF(E761=0,"PIDE SIN FCST",IF(ABS(G761)&gt;Parametros!$B$14,IF(G761&gt;0,"SOBRE FCST","BAJO FCST"),"")))</f>
        <v/>
      </c>
    </row>
    <row r="762" customFormat="false" ht="15" hidden="false" customHeight="false" outlineLevel="0" collapsed="false">
      <c r="A762" s="3" t="n">
        <v>30000041</v>
      </c>
      <c r="B762" s="3" t="s">
        <v>419</v>
      </c>
      <c r="C762" s="3" t="s">
        <v>1379</v>
      </c>
      <c r="D762" s="23" t="n">
        <v>496.8</v>
      </c>
      <c r="E762" s="23" t="n">
        <v>1593.6</v>
      </c>
      <c r="F762" s="23" t="n">
        <f aca="false">D762-E762</f>
        <v>-1096.8</v>
      </c>
      <c r="G762" s="24" t="n">
        <f aca="false">IF(E762&gt;0,D762/E762-1,"")</f>
        <v>-0.688253012048193</v>
      </c>
      <c r="H762" s="3" t="str">
        <f aca="false">IF(MAX(D762,E762)&lt;Parametros!$B$16,"",IF(E762=0,"PIDE SIN FCST",IF(ABS(G762)&gt;Parametros!$B$14,IF(G762&gt;0,"SOBRE FCST","BAJO FCST"),"")))</f>
        <v>BAJO FCST</v>
      </c>
    </row>
    <row r="763" customFormat="false" ht="15" hidden="false" customHeight="false" outlineLevel="0" collapsed="false">
      <c r="A763" s="3" t="n">
        <v>30000248</v>
      </c>
      <c r="B763" s="3" t="s">
        <v>434</v>
      </c>
      <c r="C763" s="3" t="s">
        <v>1373</v>
      </c>
      <c r="D763" s="23" t="n">
        <v>9240</v>
      </c>
      <c r="E763" s="23" t="n">
        <v>10336.6583333333</v>
      </c>
      <c r="F763" s="23" t="n">
        <f aca="false">D763-E763</f>
        <v>-1096.65833333333</v>
      </c>
      <c r="G763" s="24" t="n">
        <f aca="false">IF(E763&gt;0,D763/E763-1,"")</f>
        <v>-0.106094087467016</v>
      </c>
      <c r="H763" s="3" t="str">
        <f aca="false">IF(MAX(D763,E763)&lt;Parametros!$B$16,"",IF(E763=0,"PIDE SIN FCST",IF(ABS(G763)&gt;Parametros!$B$14,IF(G763&gt;0,"SOBRE FCST","BAJO FCST"),"")))</f>
        <v/>
      </c>
    </row>
    <row r="764" customFormat="false" ht="15" hidden="false" customHeight="false" outlineLevel="0" collapsed="false">
      <c r="A764" s="3" t="n">
        <v>30001056</v>
      </c>
      <c r="B764" s="3" t="s">
        <v>259</v>
      </c>
      <c r="C764" s="3" t="s">
        <v>1372</v>
      </c>
      <c r="D764" s="23" t="n">
        <v>3333.12</v>
      </c>
      <c r="E764" s="23" t="n">
        <v>2239.24768044083</v>
      </c>
      <c r="F764" s="23" t="n">
        <f aca="false">D764-E764</f>
        <v>1093.87231955917</v>
      </c>
      <c r="G764" s="24" t="n">
        <f aca="false">IF(E764&gt;0,D764/E764-1,"")</f>
        <v>0.488499923038361</v>
      </c>
      <c r="H764" s="3" t="str">
        <f aca="false">IF(MAX(D764,E764)&lt;Parametros!$B$16,"",IF(E764=0,"PIDE SIN FCST",IF(ABS(G764)&gt;Parametros!$B$14,IF(G764&gt;0,"SOBRE FCST","BAJO FCST"),"")))</f>
        <v>SOBRE FCST</v>
      </c>
    </row>
    <row r="765" customFormat="false" ht="15" hidden="false" customHeight="false" outlineLevel="0" collapsed="false">
      <c r="A765" s="3" t="n">
        <v>30001716</v>
      </c>
      <c r="B765" s="3" t="s">
        <v>609</v>
      </c>
      <c r="C765" s="3" t="s">
        <v>1375</v>
      </c>
      <c r="D765" s="23" t="n">
        <v>1710</v>
      </c>
      <c r="E765" s="23" t="n">
        <v>2800</v>
      </c>
      <c r="F765" s="23" t="n">
        <f aca="false">D765-E765</f>
        <v>-1090</v>
      </c>
      <c r="G765" s="24" t="n">
        <f aca="false">IF(E765&gt;0,D765/E765-1,"")</f>
        <v>-0.389285714285714</v>
      </c>
      <c r="H765" s="3" t="str">
        <f aca="false">IF(MAX(D765,E765)&lt;Parametros!$B$16,"",IF(E765=0,"PIDE SIN FCST",IF(ABS(G765)&gt;Parametros!$B$14,IF(G765&gt;0,"SOBRE FCST","BAJO FCST"),"")))</f>
        <v>BAJO FCST</v>
      </c>
    </row>
    <row r="766" customFormat="false" ht="15" hidden="false" customHeight="false" outlineLevel="0" collapsed="false">
      <c r="A766" s="3" t="n">
        <v>30001715</v>
      </c>
      <c r="B766" s="3" t="s">
        <v>321</v>
      </c>
      <c r="C766" s="3" t="s">
        <v>1378</v>
      </c>
      <c r="D766" s="23" t="n">
        <v>380</v>
      </c>
      <c r="E766" s="23" t="n">
        <v>1469.00814511947</v>
      </c>
      <c r="F766" s="23" t="n">
        <f aca="false">D766-E766</f>
        <v>-1089.00814511947</v>
      </c>
      <c r="G766" s="24" t="n">
        <f aca="false">IF(E766&gt;0,D766/E766-1,"")</f>
        <v>-0.741322060560055</v>
      </c>
      <c r="H766" s="3" t="str">
        <f aca="false">IF(MAX(D766,E766)&lt;Parametros!$B$16,"",IF(E766=0,"PIDE SIN FCST",IF(ABS(G766)&gt;Parametros!$B$14,IF(G766&gt;0,"SOBRE FCST","BAJO FCST"),"")))</f>
        <v>BAJO FCST</v>
      </c>
    </row>
    <row r="767" customFormat="false" ht="15" hidden="false" customHeight="false" outlineLevel="0" collapsed="false">
      <c r="A767" s="3" t="n">
        <v>30000300</v>
      </c>
      <c r="B767" s="3" t="s">
        <v>291</v>
      </c>
      <c r="C767" s="3" t="s">
        <v>1378</v>
      </c>
      <c r="D767" s="23" t="n">
        <v>2406</v>
      </c>
      <c r="E767" s="23" t="n">
        <v>1319.83727525701</v>
      </c>
      <c r="F767" s="23" t="n">
        <f aca="false">D767-E767</f>
        <v>1086.16272474299</v>
      </c>
      <c r="G767" s="24" t="n">
        <f aca="false">IF(E767&gt;0,D767/E767-1,"")</f>
        <v>0.822951999542133</v>
      </c>
      <c r="H767" s="3" t="str">
        <f aca="false">IF(MAX(D767,E767)&lt;Parametros!$B$16,"",IF(E767=0,"PIDE SIN FCST",IF(ABS(G767)&gt;Parametros!$B$14,IF(G767&gt;0,"SOBRE FCST","BAJO FCST"),"")))</f>
        <v>SOBRE FCST</v>
      </c>
    </row>
    <row r="768" customFormat="false" ht="15" hidden="false" customHeight="false" outlineLevel="0" collapsed="false">
      <c r="A768" s="3" t="n">
        <v>30001996</v>
      </c>
      <c r="B768" s="3" t="s">
        <v>394</v>
      </c>
      <c r="C768" s="3" t="s">
        <v>1380</v>
      </c>
      <c r="D768" s="23" t="n">
        <v>6300</v>
      </c>
      <c r="E768" s="23" t="n">
        <v>5214.60679872323</v>
      </c>
      <c r="F768" s="23" t="n">
        <f aca="false">D768-E768</f>
        <v>1085.39320127677</v>
      </c>
      <c r="G768" s="24" t="n">
        <f aca="false">IF(E768&gt;0,D768/E768-1,"")</f>
        <v>0.208144783139262</v>
      </c>
      <c r="H768" s="3" t="str">
        <f aca="false">IF(MAX(D768,E768)&lt;Parametros!$B$16,"",IF(E768=0,"PIDE SIN FCST",IF(ABS(G768)&gt;Parametros!$B$14,IF(G768&gt;0,"SOBRE FCST","BAJO FCST"),"")))</f>
        <v>SOBRE FCST</v>
      </c>
    </row>
    <row r="769" customFormat="false" ht="15" hidden="false" customHeight="false" outlineLevel="0" collapsed="false">
      <c r="A769" s="3" t="n">
        <v>30001506</v>
      </c>
      <c r="B769" s="3" t="s">
        <v>352</v>
      </c>
      <c r="C769" s="3" t="s">
        <v>1377</v>
      </c>
      <c r="D769" s="23" t="n">
        <v>2056.2</v>
      </c>
      <c r="E769" s="23" t="n">
        <v>977.309957404607</v>
      </c>
      <c r="F769" s="23" t="n">
        <f aca="false">D769-E769</f>
        <v>1078.89004259539</v>
      </c>
      <c r="G769" s="24" t="n">
        <f aca="false">IF(E769&gt;0,D769/E769-1,"")</f>
        <v>1.10393845311936</v>
      </c>
      <c r="H769" s="3" t="str">
        <f aca="false">IF(MAX(D769,E769)&lt;Parametros!$B$16,"",IF(E769=0,"PIDE SIN FCST",IF(ABS(G769)&gt;Parametros!$B$14,IF(G769&gt;0,"SOBRE FCST","BAJO FCST"),"")))</f>
        <v>SOBRE FCST</v>
      </c>
    </row>
    <row r="770" customFormat="false" ht="15" hidden="false" customHeight="false" outlineLevel="0" collapsed="false">
      <c r="A770" s="3" t="n">
        <v>30001058</v>
      </c>
      <c r="B770" s="3" t="s">
        <v>288</v>
      </c>
      <c r="C770" s="3" t="s">
        <v>1373</v>
      </c>
      <c r="D770" s="23" t="n">
        <v>2748.48</v>
      </c>
      <c r="E770" s="23" t="n">
        <v>1670.22151588128</v>
      </c>
      <c r="F770" s="23" t="n">
        <f aca="false">D770-E770</f>
        <v>1078.25848411872</v>
      </c>
      <c r="G770" s="24" t="n">
        <f aca="false">IF(E770&gt;0,D770/E770-1,"")</f>
        <v>0.645578130724646</v>
      </c>
      <c r="H770" s="3" t="str">
        <f aca="false">IF(MAX(D770,E770)&lt;Parametros!$B$16,"",IF(E770=0,"PIDE SIN FCST",IF(ABS(G770)&gt;Parametros!$B$14,IF(G770&gt;0,"SOBRE FCST","BAJO FCST"),"")))</f>
        <v>SOBRE FCST</v>
      </c>
    </row>
    <row r="771" customFormat="false" ht="15" hidden="false" customHeight="false" outlineLevel="0" collapsed="false">
      <c r="A771" s="3" t="n">
        <v>30000254</v>
      </c>
      <c r="B771" s="3" t="s">
        <v>272</v>
      </c>
      <c r="C771" s="3" t="s">
        <v>1375</v>
      </c>
      <c r="D771" s="23" t="n">
        <v>13368</v>
      </c>
      <c r="E771" s="23" t="n">
        <v>14441.9989856792</v>
      </c>
      <c r="F771" s="23" t="n">
        <f aca="false">D771-E771</f>
        <v>-1073.99898567923</v>
      </c>
      <c r="G771" s="24" t="n">
        <f aca="false">IF(E771&gt;0,D771/E771-1,"")</f>
        <v>-0.0743663662311717</v>
      </c>
      <c r="H771" s="3" t="str">
        <f aca="false">IF(MAX(D771,E771)&lt;Parametros!$B$16,"",IF(E771=0,"PIDE SIN FCST",IF(ABS(G771)&gt;Parametros!$B$14,IF(G771&gt;0,"SOBRE FCST","BAJO FCST"),"")))</f>
        <v/>
      </c>
    </row>
    <row r="772" customFormat="false" ht="15" hidden="false" customHeight="false" outlineLevel="0" collapsed="false">
      <c r="A772" s="3" t="n">
        <v>30000499</v>
      </c>
      <c r="B772" s="3" t="s">
        <v>562</v>
      </c>
      <c r="C772" s="3" t="s">
        <v>1375</v>
      </c>
      <c r="D772" s="23" t="n">
        <v>2386.8</v>
      </c>
      <c r="E772" s="23" t="n">
        <v>1315.45263705963</v>
      </c>
      <c r="F772" s="23" t="n">
        <f aca="false">D772-E772</f>
        <v>1071.34736294037</v>
      </c>
      <c r="G772" s="24" t="n">
        <f aca="false">IF(E772&gt;0,D772/E772-1,"")</f>
        <v>0.814432487159023</v>
      </c>
      <c r="H772" s="3" t="str">
        <f aca="false">IF(MAX(D772,E772)&lt;Parametros!$B$16,"",IF(E772=0,"PIDE SIN FCST",IF(ABS(G772)&gt;Parametros!$B$14,IF(G772&gt;0,"SOBRE FCST","BAJO FCST"),"")))</f>
        <v>SOBRE FCST</v>
      </c>
    </row>
    <row r="773" customFormat="false" ht="15" hidden="false" customHeight="false" outlineLevel="0" collapsed="false">
      <c r="A773" s="3" t="n">
        <v>30000400</v>
      </c>
      <c r="B773" s="3" t="s">
        <v>235</v>
      </c>
      <c r="C773" s="3" t="s">
        <v>1379</v>
      </c>
      <c r="D773" s="23" t="n">
        <v>2304</v>
      </c>
      <c r="E773" s="23" t="n">
        <v>1233.21</v>
      </c>
      <c r="F773" s="23" t="n">
        <f aca="false">D773-E773</f>
        <v>1070.79</v>
      </c>
      <c r="G773" s="24" t="n">
        <f aca="false">IF(E773&gt;0,D773/E773-1,"")</f>
        <v>0.868294937601868</v>
      </c>
      <c r="H773" s="3" t="str">
        <f aca="false">IF(MAX(D773,E773)&lt;Parametros!$B$16,"",IF(E773=0,"PIDE SIN FCST",IF(ABS(G773)&gt;Parametros!$B$14,IF(G773&gt;0,"SOBRE FCST","BAJO FCST"),"")))</f>
        <v>SOBRE FCST</v>
      </c>
    </row>
    <row r="774" customFormat="false" ht="15" hidden="false" customHeight="false" outlineLevel="0" collapsed="false">
      <c r="A774" s="3" t="n">
        <v>30001074</v>
      </c>
      <c r="B774" s="3" t="s">
        <v>256</v>
      </c>
      <c r="C774" s="3" t="s">
        <v>1378</v>
      </c>
      <c r="D774" s="23" t="n">
        <v>3331.68</v>
      </c>
      <c r="E774" s="23" t="n">
        <v>2263.65788689546</v>
      </c>
      <c r="F774" s="23" t="n">
        <f aca="false">D774-E774</f>
        <v>1068.02211310454</v>
      </c>
      <c r="G774" s="24" t="n">
        <f aca="false">IF(E774&gt;0,D774/E774-1,"")</f>
        <v>0.471812511637656</v>
      </c>
      <c r="H774" s="3" t="str">
        <f aca="false">IF(MAX(D774,E774)&lt;Parametros!$B$16,"",IF(E774=0,"PIDE SIN FCST",IF(ABS(G774)&gt;Parametros!$B$14,IF(G774&gt;0,"SOBRE FCST","BAJO FCST"),"")))</f>
        <v>SOBRE FCST</v>
      </c>
    </row>
    <row r="775" customFormat="false" ht="15" hidden="false" customHeight="false" outlineLevel="0" collapsed="false">
      <c r="A775" s="3" t="n">
        <v>30001828</v>
      </c>
      <c r="B775" s="3" t="s">
        <v>510</v>
      </c>
      <c r="C775" s="3" t="s">
        <v>1375</v>
      </c>
      <c r="D775" s="23" t="n">
        <v>2976.48</v>
      </c>
      <c r="E775" s="23" t="n">
        <v>1912.43353601483</v>
      </c>
      <c r="F775" s="23" t="n">
        <f aca="false">D775-E775</f>
        <v>1064.04646398517</v>
      </c>
      <c r="G775" s="24" t="n">
        <f aca="false">IF(E775&gt;0,D775/E775-1,"")</f>
        <v>0.55638349984306</v>
      </c>
      <c r="H775" s="3" t="str">
        <f aca="false">IF(MAX(D775,E775)&lt;Parametros!$B$16,"",IF(E775=0,"PIDE SIN FCST",IF(ABS(G775)&gt;Parametros!$B$14,IF(G775&gt;0,"SOBRE FCST","BAJO FCST"),"")))</f>
        <v>SOBRE FCST</v>
      </c>
    </row>
    <row r="776" customFormat="false" ht="15" hidden="false" customHeight="false" outlineLevel="0" collapsed="false">
      <c r="A776" s="3" t="n">
        <v>30001995</v>
      </c>
      <c r="B776" s="3" t="s">
        <v>468</v>
      </c>
      <c r="C776" s="3" t="s">
        <v>1373</v>
      </c>
      <c r="D776" s="23" t="n">
        <v>2784</v>
      </c>
      <c r="E776" s="23" t="n">
        <v>1725.15013099147</v>
      </c>
      <c r="F776" s="23" t="n">
        <f aca="false">D776-E776</f>
        <v>1058.84986900853</v>
      </c>
      <c r="G776" s="24" t="n">
        <f aca="false">IF(E776&gt;0,D776/E776-1,"")</f>
        <v>0.613772592881518</v>
      </c>
      <c r="H776" s="3" t="str">
        <f aca="false">IF(MAX(D776,E776)&lt;Parametros!$B$16,"",IF(E776=0,"PIDE SIN FCST",IF(ABS(G776)&gt;Parametros!$B$14,IF(G776&gt;0,"SOBRE FCST","BAJO FCST"),"")))</f>
        <v>SOBRE FCST</v>
      </c>
    </row>
    <row r="777" customFormat="false" ht="15" hidden="false" customHeight="false" outlineLevel="0" collapsed="false">
      <c r="A777" s="3" t="n">
        <v>30001080</v>
      </c>
      <c r="B777" s="3" t="s">
        <v>278</v>
      </c>
      <c r="C777" s="3" t="s">
        <v>1372</v>
      </c>
      <c r="D777" s="23" t="n">
        <v>1568.16</v>
      </c>
      <c r="E777" s="23" t="n">
        <v>513.796320872075</v>
      </c>
      <c r="F777" s="23" t="n">
        <f aca="false">D777-E777</f>
        <v>1054.36367912793</v>
      </c>
      <c r="G777" s="24" t="n">
        <f aca="false">IF(E777&gt;0,D777/E777-1,"")</f>
        <v>2.05210437735003</v>
      </c>
      <c r="H777" s="3" t="str">
        <f aca="false">IF(MAX(D777,E777)&lt;Parametros!$B$16,"",IF(E777=0,"PIDE SIN FCST",IF(ABS(G777)&gt;Parametros!$B$14,IF(G777&gt;0,"SOBRE FCST","BAJO FCST"),"")))</f>
        <v>SOBRE FCST</v>
      </c>
    </row>
    <row r="778" customFormat="false" ht="15" hidden="false" customHeight="false" outlineLevel="0" collapsed="false">
      <c r="A778" s="3" t="n">
        <v>30000195</v>
      </c>
      <c r="B778" s="3" t="s">
        <v>348</v>
      </c>
      <c r="C778" s="3" t="s">
        <v>1378</v>
      </c>
      <c r="D778" s="23" t="n">
        <v>1128</v>
      </c>
      <c r="E778" s="23" t="n">
        <v>2180</v>
      </c>
      <c r="F778" s="23" t="n">
        <f aca="false">D778-E778</f>
        <v>-1052</v>
      </c>
      <c r="G778" s="24" t="n">
        <f aca="false">IF(E778&gt;0,D778/E778-1,"")</f>
        <v>-0.48256880733945</v>
      </c>
      <c r="H778" s="3" t="str">
        <f aca="false">IF(MAX(D778,E778)&lt;Parametros!$B$16,"",IF(E778=0,"PIDE SIN FCST",IF(ABS(G778)&gt;Parametros!$B$14,IF(G778&gt;0,"SOBRE FCST","BAJO FCST"),"")))</f>
        <v>BAJO FCST</v>
      </c>
    </row>
    <row r="779" customFormat="false" ht="15" hidden="false" customHeight="false" outlineLevel="0" collapsed="false">
      <c r="A779" s="3" t="n">
        <v>30002336</v>
      </c>
      <c r="B779" s="3" t="s">
        <v>286</v>
      </c>
      <c r="C779" s="3" t="s">
        <v>1380</v>
      </c>
      <c r="D779" s="23" t="n">
        <v>4050</v>
      </c>
      <c r="E779" s="23" t="n">
        <v>3000</v>
      </c>
      <c r="F779" s="23" t="n">
        <f aca="false">D779-E779</f>
        <v>1050</v>
      </c>
      <c r="G779" s="24" t="n">
        <f aca="false">IF(E779&gt;0,D779/E779-1,"")</f>
        <v>0.35</v>
      </c>
      <c r="H779" s="3" t="str">
        <f aca="false">IF(MAX(D779,E779)&lt;Parametros!$B$16,"",IF(E779=0,"PIDE SIN FCST",IF(ABS(G779)&gt;Parametros!$B$14,IF(G779&gt;0,"SOBRE FCST","BAJO FCST"),"")))</f>
        <v>SOBRE FCST</v>
      </c>
    </row>
    <row r="780" customFormat="false" ht="15" hidden="false" customHeight="false" outlineLevel="0" collapsed="false">
      <c r="A780" s="3" t="n">
        <v>30000043</v>
      </c>
      <c r="B780" s="3" t="s">
        <v>546</v>
      </c>
      <c r="C780" s="3" t="s">
        <v>1380</v>
      </c>
      <c r="D780" s="23" t="n">
        <v>2649.6</v>
      </c>
      <c r="E780" s="23" t="n">
        <v>1599.76</v>
      </c>
      <c r="F780" s="23" t="n">
        <f aca="false">D780-E780</f>
        <v>1049.84</v>
      </c>
      <c r="G780" s="24" t="n">
        <f aca="false">IF(E780&gt;0,D780/E780-1,"")</f>
        <v>0.65624843726559</v>
      </c>
      <c r="H780" s="3" t="str">
        <f aca="false">IF(MAX(D780,E780)&lt;Parametros!$B$16,"",IF(E780=0,"PIDE SIN FCST",IF(ABS(G780)&gt;Parametros!$B$14,IF(G780&gt;0,"SOBRE FCST","BAJO FCST"),"")))</f>
        <v>SOBRE FCST</v>
      </c>
    </row>
    <row r="781" customFormat="false" ht="15" hidden="false" customHeight="false" outlineLevel="0" collapsed="false">
      <c r="A781" s="3" t="n">
        <v>30000608</v>
      </c>
      <c r="B781" s="3" t="s">
        <v>416</v>
      </c>
      <c r="C781" s="3" t="s">
        <v>1373</v>
      </c>
      <c r="D781" s="23" t="n">
        <v>5376</v>
      </c>
      <c r="E781" s="23" t="n">
        <v>4330</v>
      </c>
      <c r="F781" s="23" t="n">
        <f aca="false">D781-E781</f>
        <v>1046</v>
      </c>
      <c r="G781" s="24" t="n">
        <f aca="false">IF(E781&gt;0,D781/E781-1,"")</f>
        <v>0.241570438799076</v>
      </c>
      <c r="H781" s="3" t="str">
        <f aca="false">IF(MAX(D781,E781)&lt;Parametros!$B$16,"",IF(E781=0,"PIDE SIN FCST",IF(ABS(G781)&gt;Parametros!$B$14,IF(G781&gt;0,"SOBRE FCST","BAJO FCST"),"")))</f>
        <v>SOBRE FCST</v>
      </c>
    </row>
    <row r="782" customFormat="false" ht="15" hidden="false" customHeight="false" outlineLevel="0" collapsed="false">
      <c r="A782" s="3" t="n">
        <v>30000478</v>
      </c>
      <c r="B782" s="3" t="s">
        <v>392</v>
      </c>
      <c r="C782" s="3" t="s">
        <v>1375</v>
      </c>
      <c r="D782" s="23" t="n">
        <v>9444</v>
      </c>
      <c r="E782" s="23" t="n">
        <v>8400</v>
      </c>
      <c r="F782" s="23" t="n">
        <f aca="false">D782-E782</f>
        <v>1044</v>
      </c>
      <c r="G782" s="24" t="n">
        <f aca="false">IF(E782&gt;0,D782/E782-1,"")</f>
        <v>0.124285714285714</v>
      </c>
      <c r="H782" s="3" t="str">
        <f aca="false">IF(MAX(D782,E782)&lt;Parametros!$B$16,"",IF(E782=0,"PIDE SIN FCST",IF(ABS(G782)&gt;Parametros!$B$14,IF(G782&gt;0,"SOBRE FCST","BAJO FCST"),"")))</f>
        <v/>
      </c>
    </row>
    <row r="783" customFormat="false" ht="15" hidden="false" customHeight="false" outlineLevel="0" collapsed="false">
      <c r="A783" s="3" t="n">
        <v>30000115</v>
      </c>
      <c r="B783" s="3" t="s">
        <v>283</v>
      </c>
      <c r="C783" s="3" t="s">
        <v>1372</v>
      </c>
      <c r="D783" s="23" t="n">
        <v>1360</v>
      </c>
      <c r="E783" s="23" t="n">
        <v>2403.36137678568</v>
      </c>
      <c r="F783" s="23" t="n">
        <f aca="false">D783-E783</f>
        <v>-1043.36137678568</v>
      </c>
      <c r="G783" s="24" t="n">
        <f aca="false">IF(E783&gt;0,D783/E783-1,"")</f>
        <v>-0.434125881718669</v>
      </c>
      <c r="H783" s="3" t="str">
        <f aca="false">IF(MAX(D783,E783)&lt;Parametros!$B$16,"",IF(E783=0,"PIDE SIN FCST",IF(ABS(G783)&gt;Parametros!$B$14,IF(G783&gt;0,"SOBRE FCST","BAJO FCST"),"")))</f>
        <v>BAJO FCST</v>
      </c>
    </row>
    <row r="784" customFormat="false" ht="15" hidden="false" customHeight="false" outlineLevel="0" collapsed="false">
      <c r="A784" s="3" t="n">
        <v>30001889</v>
      </c>
      <c r="B784" s="3" t="s">
        <v>507</v>
      </c>
      <c r="C784" s="3" t="s">
        <v>1380</v>
      </c>
      <c r="D784" s="23" t="n">
        <v>3057.6</v>
      </c>
      <c r="E784" s="23" t="n">
        <v>4098.82162618701</v>
      </c>
      <c r="F784" s="23" t="n">
        <f aca="false">D784-E784</f>
        <v>-1041.22162618701</v>
      </c>
      <c r="G784" s="24" t="n">
        <f aca="false">IF(E784&gt;0,D784/E784-1,"")</f>
        <v>-0.254029504366508</v>
      </c>
      <c r="H784" s="3" t="str">
        <f aca="false">IF(MAX(D784,E784)&lt;Parametros!$B$16,"",IF(E784=0,"PIDE SIN FCST",IF(ABS(G784)&gt;Parametros!$B$14,IF(G784&gt;0,"SOBRE FCST","BAJO FCST"),"")))</f>
        <v>BAJO FCST</v>
      </c>
    </row>
    <row r="785" customFormat="false" ht="15" hidden="false" customHeight="false" outlineLevel="0" collapsed="false">
      <c r="A785" s="3" t="n">
        <v>30001995</v>
      </c>
      <c r="B785" s="3" t="s">
        <v>468</v>
      </c>
      <c r="C785" s="3" t="s">
        <v>1380</v>
      </c>
      <c r="D785" s="23" t="n">
        <v>2160</v>
      </c>
      <c r="E785" s="23" t="n">
        <v>3200</v>
      </c>
      <c r="F785" s="23" t="n">
        <f aca="false">D785-E785</f>
        <v>-1040</v>
      </c>
      <c r="G785" s="24" t="n">
        <f aca="false">IF(E785&gt;0,D785/E785-1,"")</f>
        <v>-0.325</v>
      </c>
      <c r="H785" s="3" t="str">
        <f aca="false">IF(MAX(D785,E785)&lt;Parametros!$B$16,"",IF(E785=0,"PIDE SIN FCST",IF(ABS(G785)&gt;Parametros!$B$14,IF(G785&gt;0,"SOBRE FCST","BAJO FCST"),"")))</f>
        <v>BAJO FCST</v>
      </c>
    </row>
    <row r="786" customFormat="false" ht="15" hidden="false" customHeight="false" outlineLevel="0" collapsed="false">
      <c r="A786" s="3" t="n">
        <v>30002120</v>
      </c>
      <c r="B786" s="3" t="s">
        <v>598</v>
      </c>
      <c r="C786" s="3" t="s">
        <v>1379</v>
      </c>
      <c r="D786" s="23" t="n">
        <v>1832.832</v>
      </c>
      <c r="E786" s="23" t="n">
        <v>794.007531001479</v>
      </c>
      <c r="F786" s="23" t="n">
        <f aca="false">D786-E786</f>
        <v>1038.82446899852</v>
      </c>
      <c r="G786" s="24" t="n">
        <f aca="false">IF(E786&gt;0,D786/E786-1,"")</f>
        <v>1.30833075057645</v>
      </c>
      <c r="H786" s="3" t="str">
        <f aca="false">IF(MAX(D786,E786)&lt;Parametros!$B$16,"",IF(E786=0,"PIDE SIN FCST",IF(ABS(G786)&gt;Parametros!$B$14,IF(G786&gt;0,"SOBRE FCST","BAJO FCST"),"")))</f>
        <v>SOBRE FCST</v>
      </c>
    </row>
    <row r="787" customFormat="false" ht="15" hidden="false" customHeight="false" outlineLevel="0" collapsed="false">
      <c r="A787" s="3" t="n">
        <v>30001708</v>
      </c>
      <c r="B787" s="3" t="s">
        <v>530</v>
      </c>
      <c r="C787" s="3" t="s">
        <v>1375</v>
      </c>
      <c r="D787" s="23" t="n">
        <v>1653.12</v>
      </c>
      <c r="E787" s="23" t="n">
        <v>616.032428772024</v>
      </c>
      <c r="F787" s="23" t="n">
        <f aca="false">D787-E787</f>
        <v>1037.08757122798</v>
      </c>
      <c r="G787" s="24" t="n">
        <f aca="false">IF(E787&gt;0,D787/E787-1,"")</f>
        <v>1.68349509342433</v>
      </c>
      <c r="H787" s="3" t="str">
        <f aca="false">IF(MAX(D787,E787)&lt;Parametros!$B$16,"",IF(E787=0,"PIDE SIN FCST",IF(ABS(G787)&gt;Parametros!$B$14,IF(G787&gt;0,"SOBRE FCST","BAJO FCST"),"")))</f>
        <v>SOBRE FCST</v>
      </c>
    </row>
    <row r="788" customFormat="false" ht="15" hidden="false" customHeight="false" outlineLevel="0" collapsed="false">
      <c r="A788" s="3" t="n">
        <v>30002178</v>
      </c>
      <c r="B788" s="3" t="s">
        <v>527</v>
      </c>
      <c r="C788" s="3" t="s">
        <v>1375</v>
      </c>
      <c r="D788" s="23" t="n">
        <v>2257.2</v>
      </c>
      <c r="E788" s="23" t="n">
        <v>1221</v>
      </c>
      <c r="F788" s="23" t="n">
        <f aca="false">D788-E788</f>
        <v>1036.2</v>
      </c>
      <c r="G788" s="24" t="n">
        <f aca="false">IF(E788&gt;0,D788/E788-1,"")</f>
        <v>0.848648648648648</v>
      </c>
      <c r="H788" s="3" t="str">
        <f aca="false">IF(MAX(D788,E788)&lt;Parametros!$B$16,"",IF(E788=0,"PIDE SIN FCST",IF(ABS(G788)&gt;Parametros!$B$14,IF(G788&gt;0,"SOBRE FCST","BAJO FCST"),"")))</f>
        <v>SOBRE FCST</v>
      </c>
    </row>
    <row r="789" customFormat="false" ht="15" hidden="false" customHeight="false" outlineLevel="0" collapsed="false">
      <c r="A789" s="3" t="n">
        <v>30001976</v>
      </c>
      <c r="B789" s="3" t="s">
        <v>432</v>
      </c>
      <c r="C789" s="3" t="s">
        <v>1379</v>
      </c>
      <c r="D789" s="23" t="n">
        <v>3186</v>
      </c>
      <c r="E789" s="23" t="n">
        <v>2150</v>
      </c>
      <c r="F789" s="23" t="n">
        <f aca="false">D789-E789</f>
        <v>1036</v>
      </c>
      <c r="G789" s="24" t="n">
        <f aca="false">IF(E789&gt;0,D789/E789-1,"")</f>
        <v>0.481860465116279</v>
      </c>
      <c r="H789" s="3" t="str">
        <f aca="false">IF(MAX(D789,E789)&lt;Parametros!$B$16,"",IF(E789=0,"PIDE SIN FCST",IF(ABS(G789)&gt;Parametros!$B$14,IF(G789&gt;0,"SOBRE FCST","BAJO FCST"),"")))</f>
        <v>SOBRE FCST</v>
      </c>
    </row>
    <row r="790" customFormat="false" ht="15" hidden="false" customHeight="false" outlineLevel="0" collapsed="false">
      <c r="A790" s="3" t="n">
        <v>30001091</v>
      </c>
      <c r="B790" s="3" t="s">
        <v>303</v>
      </c>
      <c r="C790" s="3" t="s">
        <v>1375</v>
      </c>
      <c r="D790" s="23" t="n">
        <v>8445.6</v>
      </c>
      <c r="E790" s="23" t="n">
        <v>7410.20659074103</v>
      </c>
      <c r="F790" s="23" t="n">
        <f aca="false">D790-E790</f>
        <v>1035.39340925897</v>
      </c>
      <c r="G790" s="24" t="n">
        <f aca="false">IF(E790&gt;0,D790/E790-1,"")</f>
        <v>0.139725309487684</v>
      </c>
      <c r="H790" s="3" t="str">
        <f aca="false">IF(MAX(D790,E790)&lt;Parametros!$B$16,"",IF(E790=0,"PIDE SIN FCST",IF(ABS(G790)&gt;Parametros!$B$14,IF(G790&gt;0,"SOBRE FCST","BAJO FCST"),"")))</f>
        <v/>
      </c>
    </row>
    <row r="791" customFormat="false" ht="15" hidden="false" customHeight="false" outlineLevel="0" collapsed="false">
      <c r="A791" s="3" t="n">
        <v>30002134</v>
      </c>
      <c r="B791" s="3" t="s">
        <v>444</v>
      </c>
      <c r="C791" s="3" t="s">
        <v>1380</v>
      </c>
      <c r="D791" s="23" t="n">
        <v>3235.2</v>
      </c>
      <c r="E791" s="23" t="n">
        <v>2200.00001388127</v>
      </c>
      <c r="F791" s="23" t="n">
        <f aca="false">D791-E791</f>
        <v>1035.19998611873</v>
      </c>
      <c r="G791" s="24" t="n">
        <f aca="false">IF(E791&gt;0,D791/E791-1,"")</f>
        <v>0.470545445266802</v>
      </c>
      <c r="H791" s="3" t="str">
        <f aca="false">IF(MAX(D791,E791)&lt;Parametros!$B$16,"",IF(E791=0,"PIDE SIN FCST",IF(ABS(G791)&gt;Parametros!$B$14,IF(G791&gt;0,"SOBRE FCST","BAJO FCST"),"")))</f>
        <v>SOBRE FCST</v>
      </c>
    </row>
    <row r="792" customFormat="false" ht="15" hidden="false" customHeight="false" outlineLevel="0" collapsed="false">
      <c r="A792" s="3" t="n">
        <v>30000326</v>
      </c>
      <c r="B792" s="3" t="s">
        <v>218</v>
      </c>
      <c r="C792" s="3" t="s">
        <v>1377</v>
      </c>
      <c r="D792" s="23" t="n">
        <v>6612</v>
      </c>
      <c r="E792" s="23" t="n">
        <v>5577.53701455055</v>
      </c>
      <c r="F792" s="23" t="n">
        <f aca="false">D792-E792</f>
        <v>1034.46298544945</v>
      </c>
      <c r="G792" s="24" t="n">
        <f aca="false">IF(E792&gt;0,D792/E792-1,"")</f>
        <v>0.185469497154527</v>
      </c>
      <c r="H792" s="3" t="str">
        <f aca="false">IF(MAX(D792,E792)&lt;Parametros!$B$16,"",IF(E792=0,"PIDE SIN FCST",IF(ABS(G792)&gt;Parametros!$B$14,IF(G792&gt;0,"SOBRE FCST","BAJO FCST"),"")))</f>
        <v/>
      </c>
    </row>
    <row r="793" customFormat="false" ht="15" hidden="false" customHeight="false" outlineLevel="0" collapsed="false">
      <c r="A793" s="3" t="n">
        <v>30001939</v>
      </c>
      <c r="B793" s="3" t="s">
        <v>312</v>
      </c>
      <c r="C793" s="3" t="s">
        <v>1378</v>
      </c>
      <c r="D793" s="23" t="n">
        <v>691.2</v>
      </c>
      <c r="E793" s="23" t="n">
        <v>1725.15013099147</v>
      </c>
      <c r="F793" s="23" t="n">
        <f aca="false">D793-E793</f>
        <v>-1033.95013099147</v>
      </c>
      <c r="G793" s="24" t="n">
        <f aca="false">IF(E793&gt;0,D793/E793-1,"")</f>
        <v>-0.599339218319071</v>
      </c>
      <c r="H793" s="3" t="str">
        <f aca="false">IF(MAX(D793,E793)&lt;Parametros!$B$16,"",IF(E793=0,"PIDE SIN FCST",IF(ABS(G793)&gt;Parametros!$B$14,IF(G793&gt;0,"SOBRE FCST","BAJO FCST"),"")))</f>
        <v>BAJO FCST</v>
      </c>
    </row>
    <row r="794" customFormat="false" ht="15" hidden="false" customHeight="false" outlineLevel="0" collapsed="false">
      <c r="A794" s="3" t="n">
        <v>30001977</v>
      </c>
      <c r="B794" s="3" t="s">
        <v>292</v>
      </c>
      <c r="C794" s="3" t="s">
        <v>1380</v>
      </c>
      <c r="D794" s="23" t="n">
        <v>8370</v>
      </c>
      <c r="E794" s="23" t="n">
        <v>9400</v>
      </c>
      <c r="F794" s="23" t="n">
        <f aca="false">D794-E794</f>
        <v>-1030</v>
      </c>
      <c r="G794" s="24" t="n">
        <f aca="false">IF(E794&gt;0,D794/E794-1,"")</f>
        <v>-0.109574468085106</v>
      </c>
      <c r="H794" s="3" t="str">
        <f aca="false">IF(MAX(D794,E794)&lt;Parametros!$B$16,"",IF(E794=0,"PIDE SIN FCST",IF(ABS(G794)&gt;Parametros!$B$14,IF(G794&gt;0,"SOBRE FCST","BAJO FCST"),"")))</f>
        <v/>
      </c>
    </row>
    <row r="795" customFormat="false" ht="15" hidden="false" customHeight="false" outlineLevel="0" collapsed="false">
      <c r="A795" s="3" t="n">
        <v>30002268</v>
      </c>
      <c r="B795" s="3" t="s">
        <v>370</v>
      </c>
      <c r="C795" s="3" t="s">
        <v>1377</v>
      </c>
      <c r="D795" s="23" t="n">
        <v>1749.24</v>
      </c>
      <c r="E795" s="23" t="n">
        <v>720</v>
      </c>
      <c r="F795" s="23" t="n">
        <f aca="false">D795-E795</f>
        <v>1029.24</v>
      </c>
      <c r="G795" s="24" t="n">
        <f aca="false">IF(E795&gt;0,D795/E795-1,"")</f>
        <v>1.4295</v>
      </c>
      <c r="H795" s="3" t="str">
        <f aca="false">IF(MAX(D795,E795)&lt;Parametros!$B$16,"",IF(E795=0,"PIDE SIN FCST",IF(ABS(G795)&gt;Parametros!$B$14,IF(G795&gt;0,"SOBRE FCST","BAJO FCST"),"")))</f>
        <v>SOBRE FCST</v>
      </c>
    </row>
    <row r="796" customFormat="false" ht="15" hidden="false" customHeight="false" outlineLevel="0" collapsed="false">
      <c r="A796" s="3" t="n">
        <v>30001041</v>
      </c>
      <c r="B796" s="3" t="s">
        <v>258</v>
      </c>
      <c r="C796" s="3" t="s">
        <v>1372</v>
      </c>
      <c r="D796" s="23" t="n">
        <v>8099.52</v>
      </c>
      <c r="E796" s="23" t="n">
        <v>7072.53629038287</v>
      </c>
      <c r="F796" s="23" t="n">
        <f aca="false">D796-E796</f>
        <v>1026.98370961713</v>
      </c>
      <c r="G796" s="24" t="n">
        <f aca="false">IF(E796&gt;0,D796/E796-1,"")</f>
        <v>0.145207273239956</v>
      </c>
      <c r="H796" s="3" t="str">
        <f aca="false">IF(MAX(D796,E796)&lt;Parametros!$B$16,"",IF(E796=0,"PIDE SIN FCST",IF(ABS(G796)&gt;Parametros!$B$14,IF(G796&gt;0,"SOBRE FCST","BAJO FCST"),"")))</f>
        <v/>
      </c>
    </row>
    <row r="797" customFormat="false" ht="15" hidden="false" customHeight="false" outlineLevel="0" collapsed="false">
      <c r="A797" s="3" t="n">
        <v>30000514</v>
      </c>
      <c r="B797" s="3" t="s">
        <v>252</v>
      </c>
      <c r="C797" s="3" t="s">
        <v>1377</v>
      </c>
      <c r="D797" s="23" t="n">
        <v>4728</v>
      </c>
      <c r="E797" s="23" t="n">
        <v>3704.208846988</v>
      </c>
      <c r="F797" s="23" t="n">
        <f aca="false">D797-E797</f>
        <v>1023.79115301201</v>
      </c>
      <c r="G797" s="24" t="n">
        <f aca="false">IF(E797&gt;0,D797/E797-1,"")</f>
        <v>0.276385915401201</v>
      </c>
      <c r="H797" s="3" t="str">
        <f aca="false">IF(MAX(D797,E797)&lt;Parametros!$B$16,"",IF(E797=0,"PIDE SIN FCST",IF(ABS(G797)&gt;Parametros!$B$14,IF(G797&gt;0,"SOBRE FCST","BAJO FCST"),"")))</f>
        <v>SOBRE FCST</v>
      </c>
    </row>
    <row r="798" customFormat="false" ht="15" hidden="false" customHeight="false" outlineLevel="0" collapsed="false">
      <c r="A798" s="3" t="n">
        <v>30002200</v>
      </c>
      <c r="B798" s="3" t="s">
        <v>357</v>
      </c>
      <c r="C798" s="3" t="s">
        <v>1379</v>
      </c>
      <c r="D798" s="23" t="n">
        <v>2476.8</v>
      </c>
      <c r="E798" s="23" t="n">
        <v>3500</v>
      </c>
      <c r="F798" s="23" t="n">
        <f aca="false">D798-E798</f>
        <v>-1023.2</v>
      </c>
      <c r="G798" s="24" t="n">
        <f aca="false">IF(E798&gt;0,D798/E798-1,"")</f>
        <v>-0.292342857142857</v>
      </c>
      <c r="H798" s="3" t="str">
        <f aca="false">IF(MAX(D798,E798)&lt;Parametros!$B$16,"",IF(E798=0,"PIDE SIN FCST",IF(ABS(G798)&gt;Parametros!$B$14,IF(G798&gt;0,"SOBRE FCST","BAJO FCST"),"")))</f>
        <v>BAJO FCST</v>
      </c>
    </row>
    <row r="799" customFormat="false" ht="15" hidden="false" customHeight="false" outlineLevel="0" collapsed="false">
      <c r="A799" s="3" t="n">
        <v>30000069</v>
      </c>
      <c r="B799" s="3" t="s">
        <v>433</v>
      </c>
      <c r="C799" s="3" t="s">
        <v>1372</v>
      </c>
      <c r="D799" s="23" t="n">
        <v>2430</v>
      </c>
      <c r="E799" s="23" t="n">
        <v>3450.30026198295</v>
      </c>
      <c r="F799" s="23" t="n">
        <f aca="false">D799-E799</f>
        <v>-1020.30026198295</v>
      </c>
      <c r="G799" s="24" t="n">
        <f aca="false">IF(E799&gt;0,D799/E799-1,"")</f>
        <v>-0.295713469701493</v>
      </c>
      <c r="H799" s="3" t="str">
        <f aca="false">IF(MAX(D799,E799)&lt;Parametros!$B$16,"",IF(E799=0,"PIDE SIN FCST",IF(ABS(G799)&gt;Parametros!$B$14,IF(G799&gt;0,"SOBRE FCST","BAJO FCST"),"")))</f>
        <v>BAJO FCST</v>
      </c>
    </row>
    <row r="800" customFormat="false" ht="15" hidden="false" customHeight="false" outlineLevel="0" collapsed="false">
      <c r="A800" s="3" t="n">
        <v>30001037</v>
      </c>
      <c r="B800" s="3" t="s">
        <v>614</v>
      </c>
      <c r="C800" s="3" t="s">
        <v>1375</v>
      </c>
      <c r="D800" s="23" t="n">
        <v>1776.6</v>
      </c>
      <c r="E800" s="23" t="n">
        <v>759.211471033368</v>
      </c>
      <c r="F800" s="23" t="n">
        <f aca="false">D800-E800</f>
        <v>1017.38852896663</v>
      </c>
      <c r="G800" s="24" t="n">
        <f aca="false">IF(E800&gt;0,D800/E800-1,"")</f>
        <v>1.34005947984671</v>
      </c>
      <c r="H800" s="3" t="str">
        <f aca="false">IF(MAX(D800,E800)&lt;Parametros!$B$16,"",IF(E800=0,"PIDE SIN FCST",IF(ABS(G800)&gt;Parametros!$B$14,IF(G800&gt;0,"SOBRE FCST","BAJO FCST"),"")))</f>
        <v>SOBRE FCST</v>
      </c>
    </row>
    <row r="801" customFormat="false" ht="15" hidden="false" customHeight="false" outlineLevel="0" collapsed="false">
      <c r="A801" s="3" t="n">
        <v>30000318</v>
      </c>
      <c r="B801" s="3" t="s">
        <v>306</v>
      </c>
      <c r="C801" s="3" t="s">
        <v>1379</v>
      </c>
      <c r="D801" s="23" t="n">
        <v>2400</v>
      </c>
      <c r="E801" s="23" t="n">
        <v>1385.94568672678</v>
      </c>
      <c r="F801" s="23" t="n">
        <f aca="false">D801-E801</f>
        <v>1014.05431327322</v>
      </c>
      <c r="G801" s="24" t="n">
        <f aca="false">IF(E801&gt;0,D801/E801-1,"")</f>
        <v>0.731669590651955</v>
      </c>
      <c r="H801" s="3" t="str">
        <f aca="false">IF(MAX(D801,E801)&lt;Parametros!$B$16,"",IF(E801=0,"PIDE SIN FCST",IF(ABS(G801)&gt;Parametros!$B$14,IF(G801&gt;0,"SOBRE FCST","BAJO FCST"),"")))</f>
        <v>SOBRE FCST</v>
      </c>
    </row>
    <row r="802" customFormat="false" ht="15" hidden="false" customHeight="false" outlineLevel="0" collapsed="false">
      <c r="A802" s="3" t="n">
        <v>30000398</v>
      </c>
      <c r="B802" s="3" t="s">
        <v>295</v>
      </c>
      <c r="C802" s="3" t="s">
        <v>1372</v>
      </c>
      <c r="D802" s="23" t="n">
        <v>7386</v>
      </c>
      <c r="E802" s="23" t="n">
        <v>6372.03515741174</v>
      </c>
      <c r="F802" s="23" t="n">
        <f aca="false">D802-E802</f>
        <v>1013.96484258827</v>
      </c>
      <c r="G802" s="24" t="n">
        <f aca="false">IF(E802&gt;0,D802/E802-1,"")</f>
        <v>0.159127314514085</v>
      </c>
      <c r="H802" s="3" t="str">
        <f aca="false">IF(MAX(D802,E802)&lt;Parametros!$B$16,"",IF(E802=0,"PIDE SIN FCST",IF(ABS(G802)&gt;Parametros!$B$14,IF(G802&gt;0,"SOBRE FCST","BAJO FCST"),"")))</f>
        <v/>
      </c>
    </row>
    <row r="803" customFormat="false" ht="15" hidden="false" customHeight="false" outlineLevel="0" collapsed="false">
      <c r="A803" s="3" t="n">
        <v>30002178</v>
      </c>
      <c r="B803" s="3" t="s">
        <v>527</v>
      </c>
      <c r="C803" s="3" t="s">
        <v>1373</v>
      </c>
      <c r="D803" s="23" t="n">
        <v>1841.1</v>
      </c>
      <c r="E803" s="23" t="n">
        <v>2851.9225</v>
      </c>
      <c r="F803" s="23" t="n">
        <f aca="false">D803-E803</f>
        <v>-1010.8225</v>
      </c>
      <c r="G803" s="24" t="n">
        <f aca="false">IF(E803&gt;0,D803/E803-1,"")</f>
        <v>-0.354435472913447</v>
      </c>
      <c r="H803" s="3" t="str">
        <f aca="false">IF(MAX(D803,E803)&lt;Parametros!$B$16,"",IF(E803=0,"PIDE SIN FCST",IF(ABS(G803)&gt;Parametros!$B$14,IF(G803&gt;0,"SOBRE FCST","BAJO FCST"),"")))</f>
        <v>BAJO FCST</v>
      </c>
    </row>
    <row r="804" customFormat="false" ht="15" hidden="false" customHeight="false" outlineLevel="0" collapsed="false">
      <c r="A804" s="3" t="n">
        <v>30000115</v>
      </c>
      <c r="B804" s="3" t="s">
        <v>283</v>
      </c>
      <c r="C804" s="3" t="s">
        <v>1375</v>
      </c>
      <c r="D804" s="23" t="n">
        <v>7008</v>
      </c>
      <c r="E804" s="23" t="n">
        <v>6000</v>
      </c>
      <c r="F804" s="23" t="n">
        <f aca="false">D804-E804</f>
        <v>1008</v>
      </c>
      <c r="G804" s="24" t="n">
        <f aca="false">IF(E804&gt;0,D804/E804-1,"")</f>
        <v>0.168</v>
      </c>
      <c r="H804" s="3" t="str">
        <f aca="false">IF(MAX(D804,E804)&lt;Parametros!$B$16,"",IF(E804=0,"PIDE SIN FCST",IF(ABS(G804)&gt;Parametros!$B$14,IF(G804&gt;0,"SOBRE FCST","BAJO FCST"),"")))</f>
        <v/>
      </c>
    </row>
    <row r="805" customFormat="false" ht="15" hidden="false" customHeight="false" outlineLevel="0" collapsed="false">
      <c r="A805" s="3" t="n">
        <v>30001036</v>
      </c>
      <c r="B805" s="3" t="s">
        <v>610</v>
      </c>
      <c r="C805" s="3" t="s">
        <v>1375</v>
      </c>
      <c r="D805" s="23" t="n">
        <v>1728</v>
      </c>
      <c r="E805" s="23" t="n">
        <v>722.34652016335</v>
      </c>
      <c r="F805" s="23" t="n">
        <f aca="false">D805-E805</f>
        <v>1005.65347983665</v>
      </c>
      <c r="G805" s="24" t="n">
        <f aca="false">IF(E805&gt;0,D805/E805-1,"")</f>
        <v>1.39220367478095</v>
      </c>
      <c r="H805" s="3" t="str">
        <f aca="false">IF(MAX(D805,E805)&lt;Parametros!$B$16,"",IF(E805=0,"PIDE SIN FCST",IF(ABS(G805)&gt;Parametros!$B$14,IF(G805&gt;0,"SOBRE FCST","BAJO FCST"),"")))</f>
        <v>SOBRE FCST</v>
      </c>
    </row>
    <row r="806" customFormat="false" ht="15" hidden="false" customHeight="false" outlineLevel="0" collapsed="false">
      <c r="A806" s="3" t="n">
        <v>30000306</v>
      </c>
      <c r="B806" s="3" t="s">
        <v>329</v>
      </c>
      <c r="C806" s="3" t="s">
        <v>1372</v>
      </c>
      <c r="D806" s="23" t="n">
        <v>4560</v>
      </c>
      <c r="E806" s="23" t="n">
        <v>3558.1798591379</v>
      </c>
      <c r="F806" s="23" t="n">
        <f aca="false">D806-E806</f>
        <v>1001.8201408621</v>
      </c>
      <c r="G806" s="24" t="n">
        <f aca="false">IF(E806&gt;0,D806/E806-1,"")</f>
        <v>0.28155410364917</v>
      </c>
      <c r="H806" s="3" t="str">
        <f aca="false">IF(MAX(D806,E806)&lt;Parametros!$B$16,"",IF(E806=0,"PIDE SIN FCST",IF(ABS(G806)&gt;Parametros!$B$14,IF(G806&gt;0,"SOBRE FCST","BAJO FCST"),"")))</f>
        <v>SOBRE FCST</v>
      </c>
    </row>
    <row r="807" customFormat="false" ht="15" hidden="false" customHeight="false" outlineLevel="0" collapsed="false">
      <c r="A807" s="3" t="n">
        <v>30001747</v>
      </c>
      <c r="B807" s="3" t="s">
        <v>381</v>
      </c>
      <c r="C807" s="3" t="s">
        <v>1379</v>
      </c>
      <c r="D807" s="23" t="n">
        <v>2258.28</v>
      </c>
      <c r="E807" s="23" t="n">
        <v>1256.68</v>
      </c>
      <c r="F807" s="23" t="n">
        <f aca="false">D807-E807</f>
        <v>1001.6</v>
      </c>
      <c r="G807" s="24" t="n">
        <f aca="false">IF(E807&gt;0,D807/E807-1,"")</f>
        <v>0.797020721265557</v>
      </c>
      <c r="H807" s="3" t="str">
        <f aca="false">IF(MAX(D807,E807)&lt;Parametros!$B$16,"",IF(E807=0,"PIDE SIN FCST",IF(ABS(G807)&gt;Parametros!$B$14,IF(G807&gt;0,"SOBRE FCST","BAJO FCST"),"")))</f>
        <v>SOBRE FCST</v>
      </c>
    </row>
    <row r="808" customFormat="false" ht="15" hidden="false" customHeight="false" outlineLevel="0" collapsed="false">
      <c r="A808" s="3" t="n">
        <v>30002187</v>
      </c>
      <c r="B808" s="3" t="s">
        <v>642</v>
      </c>
      <c r="C808" s="3" t="s">
        <v>1380</v>
      </c>
      <c r="D808" s="23" t="n">
        <v>0</v>
      </c>
      <c r="E808" s="23" t="n">
        <v>1000</v>
      </c>
      <c r="F808" s="23" t="n">
        <f aca="false">D808-E808</f>
        <v>-1000</v>
      </c>
      <c r="G808" s="24" t="n">
        <f aca="false">IF(E808&gt;0,D808/E808-1,"")</f>
        <v>-1</v>
      </c>
      <c r="H808" s="3" t="str">
        <f aca="false">IF(MAX(D808,E808)&lt;Parametros!$B$16,"",IF(E808=0,"PIDE SIN FCST",IF(ABS(G808)&gt;Parametros!$B$14,IF(G808&gt;0,"SOBRE FCST","BAJO FCST"),"")))</f>
        <v>BAJO FCST</v>
      </c>
    </row>
    <row r="809" customFormat="false" ht="15" hidden="false" customHeight="false" outlineLevel="0" collapsed="false">
      <c r="A809" s="3" t="n">
        <v>30000635</v>
      </c>
      <c r="B809" s="3" t="s">
        <v>558</v>
      </c>
      <c r="C809" s="3" t="s">
        <v>1375</v>
      </c>
      <c r="D809" s="23" t="n">
        <v>0</v>
      </c>
      <c r="E809" s="23" t="n">
        <v>1000</v>
      </c>
      <c r="F809" s="23" t="n">
        <f aca="false">D809-E809</f>
        <v>-1000</v>
      </c>
      <c r="G809" s="24" t="n">
        <f aca="false">IF(E809&gt;0,D809/E809-1,"")</f>
        <v>-1</v>
      </c>
      <c r="H809" s="3" t="str">
        <f aca="false">IF(MAX(D809,E809)&lt;Parametros!$B$16,"",IF(E809=0,"PIDE SIN FCST",IF(ABS(G809)&gt;Parametros!$B$14,IF(G809&gt;0,"SOBRE FCST","BAJO FCST"),"")))</f>
        <v>BAJO FCST</v>
      </c>
    </row>
    <row r="810" customFormat="false" ht="15" hidden="false" customHeight="false" outlineLevel="0" collapsed="false">
      <c r="A810" s="3" t="n">
        <v>30001942</v>
      </c>
      <c r="B810" s="3" t="s">
        <v>342</v>
      </c>
      <c r="C810" s="3" t="s">
        <v>1379</v>
      </c>
      <c r="D810" s="23" t="n">
        <v>2899.2</v>
      </c>
      <c r="E810" s="23" t="n">
        <v>1900</v>
      </c>
      <c r="F810" s="23" t="n">
        <f aca="false">D810-E810</f>
        <v>999.2</v>
      </c>
      <c r="G810" s="24" t="n">
        <f aca="false">IF(E810&gt;0,D810/E810-1,"")</f>
        <v>0.525894736842105</v>
      </c>
      <c r="H810" s="3" t="str">
        <f aca="false">IF(MAX(D810,E810)&lt;Parametros!$B$16,"",IF(E810=0,"PIDE SIN FCST",IF(ABS(G810)&gt;Parametros!$B$14,IF(G810&gt;0,"SOBRE FCST","BAJO FCST"),"")))</f>
        <v>SOBRE FCST</v>
      </c>
    </row>
    <row r="811" customFormat="false" ht="15" hidden="false" customHeight="false" outlineLevel="0" collapsed="false">
      <c r="A811" s="3" t="n">
        <v>30001081</v>
      </c>
      <c r="B811" s="3" t="s">
        <v>267</v>
      </c>
      <c r="C811" s="3" t="s">
        <v>1380</v>
      </c>
      <c r="D811" s="23" t="n">
        <v>32313.6</v>
      </c>
      <c r="E811" s="23" t="n">
        <v>31315.7337100477</v>
      </c>
      <c r="F811" s="23" t="n">
        <f aca="false">D811-E811</f>
        <v>997.866289952319</v>
      </c>
      <c r="G811" s="24" t="n">
        <f aca="false">IF(E811&gt;0,D811/E811-1,"")</f>
        <v>0.0318646945714751</v>
      </c>
      <c r="H811" s="3" t="str">
        <f aca="false">IF(MAX(D811,E811)&lt;Parametros!$B$16,"",IF(E811=0,"PIDE SIN FCST",IF(ABS(G811)&gt;Parametros!$B$14,IF(G811&gt;0,"SOBRE FCST","BAJO FCST"),"")))</f>
        <v/>
      </c>
    </row>
    <row r="812" customFormat="false" ht="15" hidden="false" customHeight="false" outlineLevel="0" collapsed="false">
      <c r="A812" s="3" t="n">
        <v>30001079</v>
      </c>
      <c r="B812" s="3" t="s">
        <v>282</v>
      </c>
      <c r="C812" s="3" t="s">
        <v>1372</v>
      </c>
      <c r="D812" s="23" t="n">
        <v>2523.84</v>
      </c>
      <c r="E812" s="23" t="n">
        <v>1526.09204938536</v>
      </c>
      <c r="F812" s="23" t="n">
        <f aca="false">D812-E812</f>
        <v>997.747950614644</v>
      </c>
      <c r="G812" s="24" t="n">
        <f aca="false">IF(E812&gt;0,D812/E812-1,"")</f>
        <v>0.653792771554307</v>
      </c>
      <c r="H812" s="3" t="str">
        <f aca="false">IF(MAX(D812,E812)&lt;Parametros!$B$16,"",IF(E812=0,"PIDE SIN FCST",IF(ABS(G812)&gt;Parametros!$B$14,IF(G812&gt;0,"SOBRE FCST","BAJO FCST"),"")))</f>
        <v>SOBRE FCST</v>
      </c>
    </row>
    <row r="813" customFormat="false" ht="15" hidden="false" customHeight="false" outlineLevel="0" collapsed="false">
      <c r="A813" s="3" t="n">
        <v>30000636</v>
      </c>
      <c r="B813" s="3" t="s">
        <v>479</v>
      </c>
      <c r="C813" s="3" t="s">
        <v>1375</v>
      </c>
      <c r="D813" s="23" t="n">
        <v>3403.2</v>
      </c>
      <c r="E813" s="23" t="n">
        <v>4400</v>
      </c>
      <c r="F813" s="23" t="n">
        <f aca="false">D813-E813</f>
        <v>-996.8</v>
      </c>
      <c r="G813" s="24" t="n">
        <f aca="false">IF(E813&gt;0,D813/E813-1,"")</f>
        <v>-0.226545454545455</v>
      </c>
      <c r="H813" s="3" t="str">
        <f aca="false">IF(MAX(D813,E813)&lt;Parametros!$B$16,"",IF(E813=0,"PIDE SIN FCST",IF(ABS(G813)&gt;Parametros!$B$14,IF(G813&gt;0,"SOBRE FCST","BAJO FCST"),"")))</f>
        <v>BAJO FCST</v>
      </c>
    </row>
    <row r="814" customFormat="false" ht="15" hidden="false" customHeight="false" outlineLevel="0" collapsed="false">
      <c r="A814" s="3" t="n">
        <v>30000244</v>
      </c>
      <c r="B814" s="3" t="s">
        <v>403</v>
      </c>
      <c r="C814" s="3" t="s">
        <v>1377</v>
      </c>
      <c r="D814" s="23" t="n">
        <v>2040</v>
      </c>
      <c r="E814" s="23" t="n">
        <v>3035.48887140985</v>
      </c>
      <c r="F814" s="23" t="n">
        <f aca="false">D814-E814</f>
        <v>-995.488871409846</v>
      </c>
      <c r="G814" s="24" t="n">
        <f aca="false">IF(E814&gt;0,D814/E814-1,"")</f>
        <v>-0.327950097523331</v>
      </c>
      <c r="H814" s="3" t="str">
        <f aca="false">IF(MAX(D814,E814)&lt;Parametros!$B$16,"",IF(E814=0,"PIDE SIN FCST",IF(ABS(G814)&gt;Parametros!$B$14,IF(G814&gt;0,"SOBRE FCST","BAJO FCST"),"")))</f>
        <v>BAJO FCST</v>
      </c>
    </row>
    <row r="815" customFormat="false" ht="15" hidden="false" customHeight="false" outlineLevel="0" collapsed="false">
      <c r="A815" s="3" t="n">
        <v>30000638</v>
      </c>
      <c r="B815" s="3" t="s">
        <v>277</v>
      </c>
      <c r="C815" s="3" t="s">
        <v>1379</v>
      </c>
      <c r="D815" s="23" t="n">
        <v>2006.4</v>
      </c>
      <c r="E815" s="23" t="n">
        <v>3000</v>
      </c>
      <c r="F815" s="23" t="n">
        <f aca="false">D815-E815</f>
        <v>-993.6</v>
      </c>
      <c r="G815" s="24" t="n">
        <f aca="false">IF(E815&gt;0,D815/E815-1,"")</f>
        <v>-0.3312</v>
      </c>
      <c r="H815" s="3" t="str">
        <f aca="false">IF(MAX(D815,E815)&lt;Parametros!$B$16,"",IF(E815=0,"PIDE SIN FCST",IF(ABS(G815)&gt;Parametros!$B$14,IF(G815&gt;0,"SOBRE FCST","BAJO FCST"),"")))</f>
        <v>BAJO FCST</v>
      </c>
    </row>
    <row r="816" customFormat="false" ht="15" hidden="false" customHeight="false" outlineLevel="0" collapsed="false">
      <c r="A816" s="3" t="n">
        <v>30001707</v>
      </c>
      <c r="B816" s="3" t="s">
        <v>549</v>
      </c>
      <c r="C816" s="3" t="s">
        <v>1375</v>
      </c>
      <c r="D816" s="23" t="n">
        <v>1609.44</v>
      </c>
      <c r="E816" s="23" t="n">
        <v>616.032428772024</v>
      </c>
      <c r="F816" s="23" t="n">
        <f aca="false">D816-E816</f>
        <v>993.407571227976</v>
      </c>
      <c r="G816" s="24" t="n">
        <f aca="false">IF(E816&gt;0,D816/E816-1,"")</f>
        <v>1.61258973526474</v>
      </c>
      <c r="H816" s="3" t="str">
        <f aca="false">IF(MAX(D816,E816)&lt;Parametros!$B$16,"",IF(E816=0,"PIDE SIN FCST",IF(ABS(G816)&gt;Parametros!$B$14,IF(G816&gt;0,"SOBRE FCST","BAJO FCST"),"")))</f>
        <v>SOBRE FCST</v>
      </c>
    </row>
    <row r="817" customFormat="false" ht="15" hidden="false" customHeight="false" outlineLevel="0" collapsed="false">
      <c r="A817" s="3" t="n">
        <v>30000079</v>
      </c>
      <c r="B817" s="3" t="s">
        <v>435</v>
      </c>
      <c r="C817" s="3" t="s">
        <v>1373</v>
      </c>
      <c r="D817" s="23" t="n">
        <v>4560</v>
      </c>
      <c r="E817" s="23" t="n">
        <v>3567.64772050811</v>
      </c>
      <c r="F817" s="23" t="n">
        <f aca="false">D817-E817</f>
        <v>992.352279491893</v>
      </c>
      <c r="G817" s="24" t="n">
        <f aca="false">IF(E817&gt;0,D817/E817-1,"")</f>
        <v>0.278153101772773</v>
      </c>
      <c r="H817" s="3" t="str">
        <f aca="false">IF(MAX(D817,E817)&lt;Parametros!$B$16,"",IF(E817=0,"PIDE SIN FCST",IF(ABS(G817)&gt;Parametros!$B$14,IF(G817&gt;0,"SOBRE FCST","BAJO FCST"),"")))</f>
        <v>SOBRE FCST</v>
      </c>
    </row>
    <row r="818" customFormat="false" ht="15" hidden="false" customHeight="false" outlineLevel="0" collapsed="false">
      <c r="A818" s="3" t="n">
        <v>30000627</v>
      </c>
      <c r="B818" s="3" t="s">
        <v>308</v>
      </c>
      <c r="C818" s="3" t="s">
        <v>1375</v>
      </c>
      <c r="D818" s="23" t="n">
        <v>8290.56</v>
      </c>
      <c r="E818" s="23" t="n">
        <v>7300</v>
      </c>
      <c r="F818" s="23" t="n">
        <f aca="false">D818-E818</f>
        <v>990.56</v>
      </c>
      <c r="G818" s="24" t="n">
        <f aca="false">IF(E818&gt;0,D818/E818-1,"")</f>
        <v>0.135693150684931</v>
      </c>
      <c r="H818" s="3" t="str">
        <f aca="false">IF(MAX(D818,E818)&lt;Parametros!$B$16,"",IF(E818=0,"PIDE SIN FCST",IF(ABS(G818)&gt;Parametros!$B$14,IF(G818&gt;0,"SOBRE FCST","BAJO FCST"),"")))</f>
        <v/>
      </c>
    </row>
    <row r="819" customFormat="false" ht="15" hidden="false" customHeight="false" outlineLevel="0" collapsed="false">
      <c r="A819" s="3" t="n">
        <v>30000441</v>
      </c>
      <c r="B819" s="3" t="s">
        <v>229</v>
      </c>
      <c r="C819" s="3" t="s">
        <v>1379</v>
      </c>
      <c r="D819" s="23" t="n">
        <v>5690</v>
      </c>
      <c r="E819" s="23" t="n">
        <v>4700</v>
      </c>
      <c r="F819" s="23" t="n">
        <f aca="false">D819-E819</f>
        <v>990</v>
      </c>
      <c r="G819" s="24" t="n">
        <f aca="false">IF(E819&gt;0,D819/E819-1,"")</f>
        <v>0.21063829787234</v>
      </c>
      <c r="H819" s="3" t="str">
        <f aca="false">IF(MAX(D819,E819)&lt;Parametros!$B$16,"",IF(E819=0,"PIDE SIN FCST",IF(ABS(G819)&gt;Parametros!$B$14,IF(G819&gt;0,"SOBRE FCST","BAJO FCST"),"")))</f>
        <v>SOBRE FCST</v>
      </c>
    </row>
    <row r="820" customFormat="false" ht="15" hidden="false" customHeight="false" outlineLevel="0" collapsed="false">
      <c r="A820" s="3" t="n">
        <v>30001774</v>
      </c>
      <c r="B820" s="3" t="s">
        <v>284</v>
      </c>
      <c r="C820" s="3" t="s">
        <v>1376</v>
      </c>
      <c r="D820" s="23" t="n">
        <v>990</v>
      </c>
      <c r="E820" s="23" t="n">
        <v>0</v>
      </c>
      <c r="F820" s="23" t="n">
        <f aca="false">D820-E820</f>
        <v>990</v>
      </c>
      <c r="G820" s="24" t="str">
        <f aca="false">IF(E820&gt;0,D820/E820-1,"")</f>
        <v/>
      </c>
      <c r="H820" s="3" t="str">
        <f aca="false">IF(MAX(D820,E820)&lt;Parametros!$B$16,"",IF(E820=0,"PIDE SIN FCST",IF(ABS(G820)&gt;Parametros!$B$14,IF(G820&gt;0,"SOBRE FCST","BAJO FCST"),"")))</f>
        <v/>
      </c>
    </row>
    <row r="821" customFormat="false" ht="15" hidden="false" customHeight="false" outlineLevel="0" collapsed="false">
      <c r="A821" s="3" t="n">
        <v>30001899</v>
      </c>
      <c r="B821" s="3" t="s">
        <v>582</v>
      </c>
      <c r="C821" s="3" t="s">
        <v>1375</v>
      </c>
      <c r="D821" s="23" t="n">
        <v>1249.92</v>
      </c>
      <c r="E821" s="23" t="n">
        <v>261.347090994192</v>
      </c>
      <c r="F821" s="23" t="n">
        <f aca="false">D821-E821</f>
        <v>988.572909005808</v>
      </c>
      <c r="G821" s="24" t="n">
        <f aca="false">IF(E821&gt;0,D821/E821-1,"")</f>
        <v>3.78260536685207</v>
      </c>
      <c r="H821" s="3" t="str">
        <f aca="false">IF(MAX(D821,E821)&lt;Parametros!$B$16,"",IF(E821=0,"PIDE SIN FCST",IF(ABS(G821)&gt;Parametros!$B$14,IF(G821&gt;0,"SOBRE FCST","BAJO FCST"),"")))</f>
        <v>SOBRE FCST</v>
      </c>
    </row>
    <row r="822" customFormat="false" ht="15" hidden="false" customHeight="false" outlineLevel="0" collapsed="false">
      <c r="A822" s="3" t="n">
        <v>30002145</v>
      </c>
      <c r="B822" s="3" t="s">
        <v>631</v>
      </c>
      <c r="C822" s="3" t="s">
        <v>1373</v>
      </c>
      <c r="D822" s="23" t="n">
        <v>306.6</v>
      </c>
      <c r="E822" s="23" t="n">
        <v>1293.86259824361</v>
      </c>
      <c r="F822" s="23" t="n">
        <f aca="false">D822-E822</f>
        <v>-987.262598243605</v>
      </c>
      <c r="G822" s="24" t="n">
        <f aca="false">IF(E822&gt;0,D822/E822-1,"")</f>
        <v>-0.763035116390099</v>
      </c>
      <c r="H822" s="3" t="str">
        <f aca="false">IF(MAX(D822,E822)&lt;Parametros!$B$16,"",IF(E822=0,"PIDE SIN FCST",IF(ABS(G822)&gt;Parametros!$B$14,IF(G822&gt;0,"SOBRE FCST","BAJO FCST"),"")))</f>
        <v>BAJO FCST</v>
      </c>
    </row>
    <row r="823" customFormat="false" ht="15" hidden="false" customHeight="false" outlineLevel="0" collapsed="false">
      <c r="A823" s="3" t="n">
        <v>30001857</v>
      </c>
      <c r="B823" s="3" t="s">
        <v>330</v>
      </c>
      <c r="C823" s="3" t="s">
        <v>1377</v>
      </c>
      <c r="D823" s="23" t="n">
        <v>1827.84</v>
      </c>
      <c r="E823" s="23" t="n">
        <v>840.804591900535</v>
      </c>
      <c r="F823" s="23" t="n">
        <f aca="false">D823-E823</f>
        <v>987.035408099465</v>
      </c>
      <c r="G823" s="24" t="n">
        <f aca="false">IF(E823&gt;0,D823/E823-1,"")</f>
        <v>1.17391771834689</v>
      </c>
      <c r="H823" s="3" t="str">
        <f aca="false">IF(MAX(D823,E823)&lt;Parametros!$B$16,"",IF(E823=0,"PIDE SIN FCST",IF(ABS(G823)&gt;Parametros!$B$14,IF(G823&gt;0,"SOBRE FCST","BAJO FCST"),"")))</f>
        <v>SOBRE FCST</v>
      </c>
    </row>
    <row r="824" customFormat="false" ht="15" hidden="false" customHeight="false" outlineLevel="0" collapsed="false">
      <c r="A824" s="3" t="n">
        <v>30000354</v>
      </c>
      <c r="B824" s="3" t="s">
        <v>378</v>
      </c>
      <c r="C824" s="3" t="s">
        <v>1376</v>
      </c>
      <c r="D824" s="23" t="n">
        <v>216</v>
      </c>
      <c r="E824" s="23" t="n">
        <v>1200</v>
      </c>
      <c r="F824" s="23" t="n">
        <f aca="false">D824-E824</f>
        <v>-984</v>
      </c>
      <c r="G824" s="24" t="n">
        <f aca="false">IF(E824&gt;0,D824/E824-1,"")</f>
        <v>-0.82</v>
      </c>
      <c r="H824" s="3" t="str">
        <f aca="false">IF(MAX(D824,E824)&lt;Parametros!$B$16,"",IF(E824=0,"PIDE SIN FCST",IF(ABS(G824)&gt;Parametros!$B$14,IF(G824&gt;0,"SOBRE FCST","BAJO FCST"),"")))</f>
        <v>BAJO FCST</v>
      </c>
    </row>
    <row r="825" customFormat="false" ht="15" hidden="false" customHeight="false" outlineLevel="0" collapsed="false">
      <c r="A825" s="3" t="n">
        <v>30001661</v>
      </c>
      <c r="B825" s="3" t="s">
        <v>431</v>
      </c>
      <c r="C825" s="3" t="s">
        <v>1373</v>
      </c>
      <c r="D825" s="23" t="n">
        <v>1831.68</v>
      </c>
      <c r="E825" s="23" t="n">
        <v>850</v>
      </c>
      <c r="F825" s="23" t="n">
        <f aca="false">D825-E825</f>
        <v>981.68</v>
      </c>
      <c r="G825" s="24" t="n">
        <f aca="false">IF(E825&gt;0,D825/E825-1,"")</f>
        <v>1.15491764705882</v>
      </c>
      <c r="H825" s="3" t="str">
        <f aca="false">IF(MAX(D825,E825)&lt;Parametros!$B$16,"",IF(E825=0,"PIDE SIN FCST",IF(ABS(G825)&gt;Parametros!$B$14,IF(G825&gt;0,"SOBRE FCST","BAJO FCST"),"")))</f>
        <v>SOBRE FCST</v>
      </c>
    </row>
    <row r="826" customFormat="false" ht="15" hidden="false" customHeight="false" outlineLevel="0" collapsed="false">
      <c r="A826" s="3" t="n">
        <v>30001944</v>
      </c>
      <c r="B826" s="3" t="s">
        <v>336</v>
      </c>
      <c r="C826" s="3" t="s">
        <v>1379</v>
      </c>
      <c r="D826" s="23" t="n">
        <v>3609.6</v>
      </c>
      <c r="E826" s="23" t="n">
        <v>4591.01129650222</v>
      </c>
      <c r="F826" s="23" t="n">
        <f aca="false">D826-E826</f>
        <v>-981.411296502218</v>
      </c>
      <c r="G826" s="24" t="n">
        <f aca="false">IF(E826&gt;0,D826/E826-1,"")</f>
        <v>-0.213767998621553</v>
      </c>
      <c r="H826" s="3" t="str">
        <f aca="false">IF(MAX(D826,E826)&lt;Parametros!$B$16,"",IF(E826=0,"PIDE SIN FCST",IF(ABS(G826)&gt;Parametros!$B$14,IF(G826&gt;0,"SOBRE FCST","BAJO FCST"),"")))</f>
        <v>BAJO FCST</v>
      </c>
    </row>
    <row r="827" customFormat="false" ht="15" hidden="false" customHeight="false" outlineLevel="0" collapsed="false">
      <c r="A827" s="3" t="n">
        <v>30000638</v>
      </c>
      <c r="B827" s="3" t="s">
        <v>277</v>
      </c>
      <c r="C827" s="3" t="s">
        <v>1378</v>
      </c>
      <c r="D827" s="23" t="n">
        <v>1641.6</v>
      </c>
      <c r="E827" s="23" t="n">
        <v>2620.8</v>
      </c>
      <c r="F827" s="23" t="n">
        <f aca="false">D827-E827</f>
        <v>-979.2</v>
      </c>
      <c r="G827" s="24" t="n">
        <f aca="false">IF(E827&gt;0,D827/E827-1,"")</f>
        <v>-0.373626373626374</v>
      </c>
      <c r="H827" s="3" t="str">
        <f aca="false">IF(MAX(D827,E827)&lt;Parametros!$B$16,"",IF(E827=0,"PIDE SIN FCST",IF(ABS(G827)&gt;Parametros!$B$14,IF(G827&gt;0,"SOBRE FCST","BAJO FCST"),"")))</f>
        <v>BAJO FCST</v>
      </c>
    </row>
    <row r="828" customFormat="false" ht="15" hidden="false" customHeight="false" outlineLevel="0" collapsed="false">
      <c r="A828" s="3" t="n">
        <v>30000673</v>
      </c>
      <c r="B828" s="3" t="s">
        <v>531</v>
      </c>
      <c r="C828" s="3" t="s">
        <v>1377</v>
      </c>
      <c r="D828" s="23" t="n">
        <v>1426.8</v>
      </c>
      <c r="E828" s="23" t="n">
        <v>448.4</v>
      </c>
      <c r="F828" s="23" t="n">
        <f aca="false">D828-E828</f>
        <v>978.4</v>
      </c>
      <c r="G828" s="24" t="n">
        <f aca="false">IF(E828&gt;0,D828/E828-1,"")</f>
        <v>2.18198037466548</v>
      </c>
      <c r="H828" s="3" t="str">
        <f aca="false">IF(MAX(D828,E828)&lt;Parametros!$B$16,"",IF(E828=0,"PIDE SIN FCST",IF(ABS(G828)&gt;Parametros!$B$14,IF(G828&gt;0,"SOBRE FCST","BAJO FCST"),"")))</f>
        <v>SOBRE FCST</v>
      </c>
    </row>
    <row r="829" customFormat="false" ht="15" hidden="false" customHeight="false" outlineLevel="0" collapsed="false">
      <c r="A829" s="3" t="n">
        <v>30002134</v>
      </c>
      <c r="B829" s="3" t="s">
        <v>444</v>
      </c>
      <c r="C829" s="3" t="s">
        <v>1378</v>
      </c>
      <c r="D829" s="23" t="n">
        <v>316.8</v>
      </c>
      <c r="E829" s="23" t="n">
        <v>1293.86259824361</v>
      </c>
      <c r="F829" s="23" t="n">
        <f aca="false">D829-E829</f>
        <v>-977.062598243605</v>
      </c>
      <c r="G829" s="24" t="n">
        <f aca="false">IF(E829&gt;0,D829/E829-1,"")</f>
        <v>-0.755151744528321</v>
      </c>
      <c r="H829" s="3" t="str">
        <f aca="false">IF(MAX(D829,E829)&lt;Parametros!$B$16,"",IF(E829=0,"PIDE SIN FCST",IF(ABS(G829)&gt;Parametros!$B$14,IF(G829&gt;0,"SOBRE FCST","BAJO FCST"),"")))</f>
        <v>BAJO FCST</v>
      </c>
    </row>
    <row r="830" customFormat="false" ht="15" hidden="false" customHeight="false" outlineLevel="0" collapsed="false">
      <c r="A830" s="3" t="n">
        <v>30001080</v>
      </c>
      <c r="B830" s="3" t="s">
        <v>278</v>
      </c>
      <c r="C830" s="3" t="s">
        <v>1375</v>
      </c>
      <c r="D830" s="23" t="n">
        <v>10037.28</v>
      </c>
      <c r="E830" s="23" t="n">
        <v>9061.27787893484</v>
      </c>
      <c r="F830" s="23" t="n">
        <f aca="false">D830-E830</f>
        <v>976.002121065159</v>
      </c>
      <c r="G830" s="24" t="n">
        <f aca="false">IF(E830&gt;0,D830/E830-1,"")</f>
        <v>0.107711311153377</v>
      </c>
      <c r="H830" s="3" t="str">
        <f aca="false">IF(MAX(D830,E830)&lt;Parametros!$B$16,"",IF(E830=0,"PIDE SIN FCST",IF(ABS(G830)&gt;Parametros!$B$14,IF(G830&gt;0,"SOBRE FCST","BAJO FCST"),"")))</f>
        <v/>
      </c>
    </row>
    <row r="831" customFormat="false" ht="15" hidden="false" customHeight="false" outlineLevel="0" collapsed="false">
      <c r="A831" s="3" t="n">
        <v>30000628</v>
      </c>
      <c r="B831" s="3" t="s">
        <v>574</v>
      </c>
      <c r="C831" s="3" t="s">
        <v>1379</v>
      </c>
      <c r="D831" s="23" t="n">
        <v>1876.8</v>
      </c>
      <c r="E831" s="23" t="n">
        <v>2850</v>
      </c>
      <c r="F831" s="23" t="n">
        <f aca="false">D831-E831</f>
        <v>-973.2</v>
      </c>
      <c r="G831" s="24" t="n">
        <f aca="false">IF(E831&gt;0,D831/E831-1,"")</f>
        <v>-0.341473684210526</v>
      </c>
      <c r="H831" s="3" t="str">
        <f aca="false">IF(MAX(D831,E831)&lt;Parametros!$B$16,"",IF(E831=0,"PIDE SIN FCST",IF(ABS(G831)&gt;Parametros!$B$14,IF(G831&gt;0,"SOBRE FCST","BAJO FCST"),"")))</f>
        <v>BAJO FCST</v>
      </c>
    </row>
    <row r="832" customFormat="false" ht="15" hidden="false" customHeight="false" outlineLevel="0" collapsed="false">
      <c r="A832" s="3" t="n">
        <v>30001055</v>
      </c>
      <c r="B832" s="3" t="s">
        <v>246</v>
      </c>
      <c r="C832" s="3" t="s">
        <v>1373</v>
      </c>
      <c r="D832" s="23" t="n">
        <v>4169.76</v>
      </c>
      <c r="E832" s="23" t="n">
        <v>3198.25826635507</v>
      </c>
      <c r="F832" s="23" t="n">
        <f aca="false">D832-E832</f>
        <v>971.501733644933</v>
      </c>
      <c r="G832" s="24" t="n">
        <f aca="false">IF(E832&gt;0,D832/E832-1,"")</f>
        <v>0.303759625626519</v>
      </c>
      <c r="H832" s="3" t="str">
        <f aca="false">IF(MAX(D832,E832)&lt;Parametros!$B$16,"",IF(E832=0,"PIDE SIN FCST",IF(ABS(G832)&gt;Parametros!$B$14,IF(G832&gt;0,"SOBRE FCST","BAJO FCST"),"")))</f>
        <v>SOBRE FCST</v>
      </c>
    </row>
    <row r="833" customFormat="false" ht="15" hidden="false" customHeight="false" outlineLevel="0" collapsed="false">
      <c r="A833" s="3" t="n">
        <v>30001815</v>
      </c>
      <c r="B833" s="3" t="s">
        <v>332</v>
      </c>
      <c r="C833" s="3" t="s">
        <v>1379</v>
      </c>
      <c r="D833" s="23" t="n">
        <v>6470</v>
      </c>
      <c r="E833" s="23" t="n">
        <v>5500</v>
      </c>
      <c r="F833" s="23" t="n">
        <f aca="false">D833-E833</f>
        <v>970</v>
      </c>
      <c r="G833" s="24" t="n">
        <f aca="false">IF(E833&gt;0,D833/E833-1,"")</f>
        <v>0.176363636363636</v>
      </c>
      <c r="H833" s="3" t="str">
        <f aca="false">IF(MAX(D833,E833)&lt;Parametros!$B$16,"",IF(E833=0,"PIDE SIN FCST",IF(ABS(G833)&gt;Parametros!$B$14,IF(G833&gt;0,"SOBRE FCST","BAJO FCST"),"")))</f>
        <v/>
      </c>
    </row>
    <row r="834" customFormat="false" ht="15" hidden="false" customHeight="false" outlineLevel="0" collapsed="false">
      <c r="A834" s="3" t="n">
        <v>30001661</v>
      </c>
      <c r="B834" s="3" t="s">
        <v>431</v>
      </c>
      <c r="C834" s="3" t="s">
        <v>1380</v>
      </c>
      <c r="D834" s="23" t="n">
        <v>8164.8</v>
      </c>
      <c r="E834" s="23" t="n">
        <v>7200</v>
      </c>
      <c r="F834" s="23" t="n">
        <f aca="false">D834-E834</f>
        <v>964.799999999999</v>
      </c>
      <c r="G834" s="24" t="n">
        <f aca="false">IF(E834&gt;0,D834/E834-1,"")</f>
        <v>0.134</v>
      </c>
      <c r="H834" s="3" t="str">
        <f aca="false">IF(MAX(D834,E834)&lt;Parametros!$B$16,"",IF(E834=0,"PIDE SIN FCST",IF(ABS(G834)&gt;Parametros!$B$14,IF(G834&gt;0,"SOBRE FCST","BAJO FCST"),"")))</f>
        <v/>
      </c>
    </row>
    <row r="835" customFormat="false" ht="15" hidden="false" customHeight="false" outlineLevel="0" collapsed="false">
      <c r="A835" s="3" t="n">
        <v>30000441</v>
      </c>
      <c r="B835" s="3" t="s">
        <v>229</v>
      </c>
      <c r="C835" s="3" t="s">
        <v>1380</v>
      </c>
      <c r="D835" s="23" t="n">
        <v>1600</v>
      </c>
      <c r="E835" s="23" t="n">
        <v>635.206024801183</v>
      </c>
      <c r="F835" s="23" t="n">
        <f aca="false">D835-E835</f>
        <v>964.793975198817</v>
      </c>
      <c r="G835" s="24" t="n">
        <f aca="false">IF(E835&gt;0,D835/E835-1,"")</f>
        <v>1.5188677964772</v>
      </c>
      <c r="H835" s="3" t="str">
        <f aca="false">IF(MAX(D835,E835)&lt;Parametros!$B$16,"",IF(E835=0,"PIDE SIN FCST",IF(ABS(G835)&gt;Parametros!$B$14,IF(G835&gt;0,"SOBRE FCST","BAJO FCST"),"")))</f>
        <v>SOBRE FCST</v>
      </c>
    </row>
    <row r="836" customFormat="false" ht="15" hidden="false" customHeight="false" outlineLevel="0" collapsed="false">
      <c r="A836" s="3" t="n">
        <v>30000599</v>
      </c>
      <c r="B836" s="3" t="s">
        <v>333</v>
      </c>
      <c r="C836" s="3" t="s">
        <v>1378</v>
      </c>
      <c r="D836" s="23" t="n">
        <v>42.48</v>
      </c>
      <c r="E836" s="23" t="n">
        <v>1007.12</v>
      </c>
      <c r="F836" s="23" t="n">
        <f aca="false">D836-E836</f>
        <v>-964.64</v>
      </c>
      <c r="G836" s="24" t="n">
        <f aca="false">IF(E836&gt;0,D836/E836-1,"")</f>
        <v>-0.957820319326396</v>
      </c>
      <c r="H836" s="3" t="str">
        <f aca="false">IF(MAX(D836,E836)&lt;Parametros!$B$16,"",IF(E836=0,"PIDE SIN FCST",IF(ABS(G836)&gt;Parametros!$B$14,IF(G836&gt;0,"SOBRE FCST","BAJO FCST"),"")))</f>
        <v>BAJO FCST</v>
      </c>
    </row>
    <row r="837" customFormat="false" ht="15" hidden="false" customHeight="false" outlineLevel="0" collapsed="false">
      <c r="A837" s="3" t="n">
        <v>30000207</v>
      </c>
      <c r="B837" s="3" t="s">
        <v>300</v>
      </c>
      <c r="C837" s="3" t="s">
        <v>1377</v>
      </c>
      <c r="D837" s="23" t="n">
        <v>1848</v>
      </c>
      <c r="E837" s="23" t="n">
        <v>2812.37587049854</v>
      </c>
      <c r="F837" s="23" t="n">
        <f aca="false">D837-E837</f>
        <v>-964.375870498539</v>
      </c>
      <c r="G837" s="24" t="n">
        <f aca="false">IF(E837&gt;0,D837/E837-1,"")</f>
        <v>-0.342904332459511</v>
      </c>
      <c r="H837" s="3" t="str">
        <f aca="false">IF(MAX(D837,E837)&lt;Parametros!$B$16,"",IF(E837=0,"PIDE SIN FCST",IF(ABS(G837)&gt;Parametros!$B$14,IF(G837&gt;0,"SOBRE FCST","BAJO FCST"),"")))</f>
        <v>BAJO FCST</v>
      </c>
    </row>
    <row r="838" customFormat="false" ht="15" hidden="false" customHeight="false" outlineLevel="0" collapsed="false">
      <c r="A838" s="3" t="n">
        <v>30000351</v>
      </c>
      <c r="B838" s="3" t="s">
        <v>393</v>
      </c>
      <c r="C838" s="3" t="s">
        <v>1375</v>
      </c>
      <c r="D838" s="23" t="n">
        <v>1152</v>
      </c>
      <c r="E838" s="23" t="n">
        <v>190</v>
      </c>
      <c r="F838" s="23" t="n">
        <f aca="false">D838-E838</f>
        <v>962</v>
      </c>
      <c r="G838" s="24" t="n">
        <f aca="false">IF(E838&gt;0,D838/E838-1,"")</f>
        <v>5.06315789473684</v>
      </c>
      <c r="H838" s="3" t="str">
        <f aca="false">IF(MAX(D838,E838)&lt;Parametros!$B$16,"",IF(E838=0,"PIDE SIN FCST",IF(ABS(G838)&gt;Parametros!$B$14,IF(G838&gt;0,"SOBRE FCST","BAJO FCST"),"")))</f>
        <v>SOBRE FCST</v>
      </c>
    </row>
    <row r="839" customFormat="false" ht="15" hidden="false" customHeight="false" outlineLevel="0" collapsed="false">
      <c r="A839" s="3" t="n">
        <v>30001739</v>
      </c>
      <c r="B839" s="3" t="s">
        <v>429</v>
      </c>
      <c r="C839" s="3" t="s">
        <v>1373</v>
      </c>
      <c r="D839" s="23" t="n">
        <v>1860</v>
      </c>
      <c r="E839" s="23" t="n">
        <v>2821.37657169603</v>
      </c>
      <c r="F839" s="23" t="n">
        <f aca="false">D839-E839</f>
        <v>-961.376571696032</v>
      </c>
      <c r="G839" s="24" t="n">
        <f aca="false">IF(E839&gt;0,D839/E839-1,"")</f>
        <v>-0.340747343456571</v>
      </c>
      <c r="H839" s="3" t="str">
        <f aca="false">IF(MAX(D839,E839)&lt;Parametros!$B$16,"",IF(E839=0,"PIDE SIN FCST",IF(ABS(G839)&gt;Parametros!$B$14,IF(G839&gt;0,"SOBRE FCST","BAJO FCST"),"")))</f>
        <v>BAJO FCST</v>
      </c>
    </row>
    <row r="840" customFormat="false" ht="15" hidden="false" customHeight="false" outlineLevel="0" collapsed="false">
      <c r="A840" s="3" t="n">
        <v>30000615</v>
      </c>
      <c r="B840" s="3" t="s">
        <v>279</v>
      </c>
      <c r="C840" s="3" t="s">
        <v>1378</v>
      </c>
      <c r="D840" s="23" t="n">
        <v>2160</v>
      </c>
      <c r="E840" s="23" t="n">
        <v>3120</v>
      </c>
      <c r="F840" s="23" t="n">
        <f aca="false">D840-E840</f>
        <v>-960</v>
      </c>
      <c r="G840" s="24" t="n">
        <f aca="false">IF(E840&gt;0,D840/E840-1,"")</f>
        <v>-0.307692307692308</v>
      </c>
      <c r="H840" s="3" t="str">
        <f aca="false">IF(MAX(D840,E840)&lt;Parametros!$B$16,"",IF(E840=0,"PIDE SIN FCST",IF(ABS(G840)&gt;Parametros!$B$14,IF(G840&gt;0,"SOBRE FCST","BAJO FCST"),"")))</f>
        <v>BAJO FCST</v>
      </c>
    </row>
    <row r="841" customFormat="false" ht="15" hidden="false" customHeight="false" outlineLevel="0" collapsed="false">
      <c r="A841" s="3" t="n">
        <v>30000079</v>
      </c>
      <c r="B841" s="3" t="s">
        <v>435</v>
      </c>
      <c r="C841" s="3" t="s">
        <v>1378</v>
      </c>
      <c r="D841" s="23" t="n">
        <v>1080</v>
      </c>
      <c r="E841" s="23" t="n">
        <v>2039.70643375676</v>
      </c>
      <c r="F841" s="23" t="n">
        <f aca="false">D841-E841</f>
        <v>-959.706433756756</v>
      </c>
      <c r="G841" s="24" t="n">
        <f aca="false">IF(E841&gt;0,D841/E841-1,"")</f>
        <v>-0.470512039317912</v>
      </c>
      <c r="H841" s="3" t="str">
        <f aca="false">IF(MAX(D841,E841)&lt;Parametros!$B$16,"",IF(E841=0,"PIDE SIN FCST",IF(ABS(G841)&gt;Parametros!$B$14,IF(G841&gt;0,"SOBRE FCST","BAJO FCST"),"")))</f>
        <v>BAJO FCST</v>
      </c>
    </row>
    <row r="842" customFormat="false" ht="15" hidden="false" customHeight="false" outlineLevel="0" collapsed="false">
      <c r="A842" s="3" t="n">
        <v>30001537</v>
      </c>
      <c r="B842" s="3" t="s">
        <v>571</v>
      </c>
      <c r="C842" s="3" t="s">
        <v>1380</v>
      </c>
      <c r="D842" s="23" t="n">
        <v>1252.8</v>
      </c>
      <c r="E842" s="23" t="n">
        <v>2211.06649782751</v>
      </c>
      <c r="F842" s="23" t="n">
        <f aca="false">D842-E842</f>
        <v>-958.266497827514</v>
      </c>
      <c r="G842" s="24" t="n">
        <f aca="false">IF(E842&gt;0,D842/E842-1,"")</f>
        <v>-0.433395602877191</v>
      </c>
      <c r="H842" s="3" t="str">
        <f aca="false">IF(MAX(D842,E842)&lt;Parametros!$B$16,"",IF(E842=0,"PIDE SIN FCST",IF(ABS(G842)&gt;Parametros!$B$14,IF(G842&gt;0,"SOBRE FCST","BAJO FCST"),"")))</f>
        <v>BAJO FCST</v>
      </c>
    </row>
    <row r="843" customFormat="false" ht="15" hidden="false" customHeight="false" outlineLevel="0" collapsed="false">
      <c r="A843" s="3" t="n">
        <v>30001746</v>
      </c>
      <c r="B843" s="3" t="s">
        <v>375</v>
      </c>
      <c r="C843" s="3" t="s">
        <v>1375</v>
      </c>
      <c r="D843" s="23" t="n">
        <v>2242.08</v>
      </c>
      <c r="E843" s="23" t="n">
        <v>3200</v>
      </c>
      <c r="F843" s="23" t="n">
        <f aca="false">D843-E843</f>
        <v>-957.92</v>
      </c>
      <c r="G843" s="24" t="n">
        <f aca="false">IF(E843&gt;0,D843/E843-1,"")</f>
        <v>-0.29935</v>
      </c>
      <c r="H843" s="3" t="str">
        <f aca="false">IF(MAX(D843,E843)&lt;Parametros!$B$16,"",IF(E843=0,"PIDE SIN FCST",IF(ABS(G843)&gt;Parametros!$B$14,IF(G843&gt;0,"SOBRE FCST","BAJO FCST"),"")))</f>
        <v>BAJO FCST</v>
      </c>
    </row>
    <row r="844" customFormat="false" ht="15" hidden="false" customHeight="false" outlineLevel="0" collapsed="false">
      <c r="A844" s="3" t="n">
        <v>30001698</v>
      </c>
      <c r="B844" s="3" t="s">
        <v>539</v>
      </c>
      <c r="C844" s="3" t="s">
        <v>1373</v>
      </c>
      <c r="D844" s="23" t="n">
        <v>894.24</v>
      </c>
      <c r="E844" s="23" t="n">
        <v>1850</v>
      </c>
      <c r="F844" s="23" t="n">
        <f aca="false">D844-E844</f>
        <v>-955.76</v>
      </c>
      <c r="G844" s="24" t="n">
        <f aca="false">IF(E844&gt;0,D844/E844-1,"")</f>
        <v>-0.516627027027027</v>
      </c>
      <c r="H844" s="3" t="str">
        <f aca="false">IF(MAX(D844,E844)&lt;Parametros!$B$16,"",IF(E844=0,"PIDE SIN FCST",IF(ABS(G844)&gt;Parametros!$B$14,IF(G844&gt;0,"SOBRE FCST","BAJO FCST"),"")))</f>
        <v>BAJO FCST</v>
      </c>
    </row>
    <row r="845" customFormat="false" ht="15" hidden="false" customHeight="false" outlineLevel="0" collapsed="false">
      <c r="A845" s="3" t="n">
        <v>30001541</v>
      </c>
      <c r="B845" s="3" t="s">
        <v>591</v>
      </c>
      <c r="C845" s="3" t="s">
        <v>1373</v>
      </c>
      <c r="D845" s="23" t="n">
        <v>1632</v>
      </c>
      <c r="E845" s="23" t="n">
        <v>2587.72519648721</v>
      </c>
      <c r="F845" s="23" t="n">
        <f aca="false">D845-E845</f>
        <v>-955.725196487209</v>
      </c>
      <c r="G845" s="24" t="n">
        <f aca="false">IF(E845&gt;0,D845/E845-1,"")</f>
        <v>-0.369330251057797</v>
      </c>
      <c r="H845" s="3" t="str">
        <f aca="false">IF(MAX(D845,E845)&lt;Parametros!$B$16,"",IF(E845=0,"PIDE SIN FCST",IF(ABS(G845)&gt;Parametros!$B$14,IF(G845&gt;0,"SOBRE FCST","BAJO FCST"),"")))</f>
        <v>BAJO FCST</v>
      </c>
    </row>
    <row r="846" customFormat="false" ht="15" hidden="false" customHeight="false" outlineLevel="0" collapsed="false">
      <c r="A846" s="3" t="n">
        <v>30000560</v>
      </c>
      <c r="B846" s="3" t="s">
        <v>384</v>
      </c>
      <c r="C846" s="3" t="s">
        <v>1375</v>
      </c>
      <c r="D846" s="23" t="n">
        <v>6955.2</v>
      </c>
      <c r="E846" s="23" t="n">
        <v>6000</v>
      </c>
      <c r="F846" s="23" t="n">
        <f aca="false">D846-E846</f>
        <v>955.2</v>
      </c>
      <c r="G846" s="24" t="n">
        <f aca="false">IF(E846&gt;0,D846/E846-1,"")</f>
        <v>0.1592</v>
      </c>
      <c r="H846" s="3" t="str">
        <f aca="false">IF(MAX(D846,E846)&lt;Parametros!$B$16,"",IF(E846=0,"PIDE SIN FCST",IF(ABS(G846)&gt;Parametros!$B$14,IF(G846&gt;0,"SOBRE FCST","BAJO FCST"),"")))</f>
        <v/>
      </c>
    </row>
    <row r="847" customFormat="false" ht="15" hidden="false" customHeight="false" outlineLevel="0" collapsed="false">
      <c r="A847" s="3" t="n">
        <v>30001886</v>
      </c>
      <c r="B847" s="3" t="s">
        <v>500</v>
      </c>
      <c r="C847" s="3" t="s">
        <v>1378</v>
      </c>
      <c r="D847" s="23" t="n">
        <v>45.6</v>
      </c>
      <c r="E847" s="23" t="n">
        <v>1000</v>
      </c>
      <c r="F847" s="23" t="n">
        <f aca="false">D847-E847</f>
        <v>-954.4</v>
      </c>
      <c r="G847" s="24" t="n">
        <f aca="false">IF(E847&gt;0,D847/E847-1,"")</f>
        <v>-0.9544</v>
      </c>
      <c r="H847" s="3" t="str">
        <f aca="false">IF(MAX(D847,E847)&lt;Parametros!$B$16,"",IF(E847=0,"PIDE SIN FCST",IF(ABS(G847)&gt;Parametros!$B$14,IF(G847&gt;0,"SOBRE FCST","BAJO FCST"),"")))</f>
        <v>BAJO FCST</v>
      </c>
    </row>
    <row r="848" customFormat="false" ht="15" hidden="false" customHeight="false" outlineLevel="0" collapsed="false">
      <c r="A848" s="3" t="n">
        <v>30000178</v>
      </c>
      <c r="B848" s="3" t="s">
        <v>359</v>
      </c>
      <c r="C848" s="3" t="s">
        <v>1379</v>
      </c>
      <c r="D848" s="23" t="n">
        <v>2448</v>
      </c>
      <c r="E848" s="23" t="n">
        <v>3400</v>
      </c>
      <c r="F848" s="23" t="n">
        <f aca="false">D848-E848</f>
        <v>-952</v>
      </c>
      <c r="G848" s="24" t="n">
        <f aca="false">IF(E848&gt;0,D848/E848-1,"")</f>
        <v>-0.28</v>
      </c>
      <c r="H848" s="3" t="str">
        <f aca="false">IF(MAX(D848,E848)&lt;Parametros!$B$16,"",IF(E848=0,"PIDE SIN FCST",IF(ABS(G848)&gt;Parametros!$B$14,IF(G848&gt;0,"SOBRE FCST","BAJO FCST"),"")))</f>
        <v>BAJO FCST</v>
      </c>
    </row>
    <row r="849" customFormat="false" ht="15" hidden="false" customHeight="false" outlineLevel="0" collapsed="false">
      <c r="A849" s="3" t="n">
        <v>30001142</v>
      </c>
      <c r="B849" s="3" t="s">
        <v>521</v>
      </c>
      <c r="C849" s="3" t="s">
        <v>1379</v>
      </c>
      <c r="D849" s="23" t="n">
        <v>1050</v>
      </c>
      <c r="E849" s="23" t="n">
        <v>2000</v>
      </c>
      <c r="F849" s="23" t="n">
        <f aca="false">D849-E849</f>
        <v>-950</v>
      </c>
      <c r="G849" s="24" t="n">
        <f aca="false">IF(E849&gt;0,D849/E849-1,"")</f>
        <v>-0.475</v>
      </c>
      <c r="H849" s="3" t="str">
        <f aca="false">IF(MAX(D849,E849)&lt;Parametros!$B$16,"",IF(E849=0,"PIDE SIN FCST",IF(ABS(G849)&gt;Parametros!$B$14,IF(G849&gt;0,"SOBRE FCST","BAJO FCST"),"")))</f>
        <v>BAJO FCST</v>
      </c>
    </row>
    <row r="850" customFormat="false" ht="15" hidden="false" customHeight="false" outlineLevel="0" collapsed="false">
      <c r="A850" s="3" t="n">
        <v>30002090</v>
      </c>
      <c r="B850" s="3" t="s">
        <v>317</v>
      </c>
      <c r="C850" s="3" t="s">
        <v>1379</v>
      </c>
      <c r="D850" s="23" t="n">
        <v>2889</v>
      </c>
      <c r="E850" s="23" t="n">
        <v>1940.77085611871</v>
      </c>
      <c r="F850" s="23" t="n">
        <f aca="false">D850-E850</f>
        <v>948.229143881292</v>
      </c>
      <c r="G850" s="24" t="n">
        <f aca="false">IF(E850&gt;0,D850/E850-1,"")</f>
        <v>0.488583771181327</v>
      </c>
      <c r="H850" s="3" t="str">
        <f aca="false">IF(MAX(D850,E850)&lt;Parametros!$B$16,"",IF(E850=0,"PIDE SIN FCST",IF(ABS(G850)&gt;Parametros!$B$14,IF(G850&gt;0,"SOBRE FCST","BAJO FCST"),"")))</f>
        <v>SOBRE FCST</v>
      </c>
    </row>
    <row r="851" customFormat="false" ht="15" hidden="false" customHeight="false" outlineLevel="0" collapsed="false">
      <c r="A851" s="3" t="n">
        <v>30000115</v>
      </c>
      <c r="B851" s="3" t="s">
        <v>283</v>
      </c>
      <c r="C851" s="3" t="s">
        <v>1378</v>
      </c>
      <c r="D851" s="23" t="n">
        <v>1344</v>
      </c>
      <c r="E851" s="23" t="n">
        <v>2289.49318898913</v>
      </c>
      <c r="F851" s="23" t="n">
        <f aca="false">D851-E851</f>
        <v>-945.493188989132</v>
      </c>
      <c r="G851" s="24" t="n">
        <f aca="false">IF(E851&gt;0,D851/E851-1,"")</f>
        <v>-0.412970518338423</v>
      </c>
      <c r="H851" s="3" t="str">
        <f aca="false">IF(MAX(D851,E851)&lt;Parametros!$B$16,"",IF(E851=0,"PIDE SIN FCST",IF(ABS(G851)&gt;Parametros!$B$14,IF(G851&gt;0,"SOBRE FCST","BAJO FCST"),"")))</f>
        <v>BAJO FCST</v>
      </c>
    </row>
    <row r="852" customFormat="false" ht="15" hidden="false" customHeight="false" outlineLevel="0" collapsed="false">
      <c r="A852" s="3" t="n">
        <v>30002183</v>
      </c>
      <c r="B852" s="3" t="s">
        <v>369</v>
      </c>
      <c r="C852" s="3" t="s">
        <v>1375</v>
      </c>
      <c r="D852" s="23" t="n">
        <v>3552</v>
      </c>
      <c r="E852" s="23" t="n">
        <v>2608.40744771036</v>
      </c>
      <c r="F852" s="23" t="n">
        <f aca="false">D852-E852</f>
        <v>943.592552289641</v>
      </c>
      <c r="G852" s="24" t="n">
        <f aca="false">IF(E852&gt;0,D852/E852-1,"")</f>
        <v>0.361750443979877</v>
      </c>
      <c r="H852" s="3" t="str">
        <f aca="false">IF(MAX(D852,E852)&lt;Parametros!$B$16,"",IF(E852=0,"PIDE SIN FCST",IF(ABS(G852)&gt;Parametros!$B$14,IF(G852&gt;0,"SOBRE FCST","BAJO FCST"),"")))</f>
        <v>SOBRE FCST</v>
      </c>
    </row>
    <row r="853" customFormat="false" ht="15" hidden="false" customHeight="false" outlineLevel="0" collapsed="false">
      <c r="A853" s="3" t="n">
        <v>30001051</v>
      </c>
      <c r="B853" s="3" t="s">
        <v>226</v>
      </c>
      <c r="C853" s="3" t="s">
        <v>1375</v>
      </c>
      <c r="D853" s="23" t="n">
        <v>13260</v>
      </c>
      <c r="E853" s="23" t="n">
        <v>12316.8183691028</v>
      </c>
      <c r="F853" s="23" t="n">
        <f aca="false">D853-E853</f>
        <v>943.181630897239</v>
      </c>
      <c r="G853" s="24" t="n">
        <f aca="false">IF(E853&gt;0,D853/E853-1,"")</f>
        <v>0.0765767264428652</v>
      </c>
      <c r="H853" s="3" t="str">
        <f aca="false">IF(MAX(D853,E853)&lt;Parametros!$B$16,"",IF(E853=0,"PIDE SIN FCST",IF(ABS(G853)&gt;Parametros!$B$14,IF(G853&gt;0,"SOBRE FCST","BAJO FCST"),"")))</f>
        <v/>
      </c>
    </row>
    <row r="854" customFormat="false" ht="15" hidden="false" customHeight="false" outlineLevel="0" collapsed="false">
      <c r="A854" s="3" t="n">
        <v>30000351</v>
      </c>
      <c r="B854" s="3" t="s">
        <v>393</v>
      </c>
      <c r="C854" s="3" t="s">
        <v>1373</v>
      </c>
      <c r="D854" s="23" t="n">
        <v>3984</v>
      </c>
      <c r="E854" s="23" t="n">
        <v>4924.34166666667</v>
      </c>
      <c r="F854" s="23" t="n">
        <f aca="false">D854-E854</f>
        <v>-940.341666666667</v>
      </c>
      <c r="G854" s="24" t="n">
        <f aca="false">IF(E854&gt;0,D854/E854-1,"")</f>
        <v>-0.190957843772687</v>
      </c>
      <c r="H854" s="3" t="str">
        <f aca="false">IF(MAX(D854,E854)&lt;Parametros!$B$16,"",IF(E854=0,"PIDE SIN FCST",IF(ABS(G854)&gt;Parametros!$B$14,IF(G854&gt;0,"SOBRE FCST","BAJO FCST"),"")))</f>
        <v/>
      </c>
    </row>
    <row r="855" customFormat="false" ht="15" hidden="false" customHeight="false" outlineLevel="0" collapsed="false">
      <c r="A855" s="3" t="n">
        <v>30000635</v>
      </c>
      <c r="B855" s="3" t="s">
        <v>558</v>
      </c>
      <c r="C855" s="3" t="s">
        <v>1376</v>
      </c>
      <c r="D855" s="23" t="n">
        <v>1339.2</v>
      </c>
      <c r="E855" s="23" t="n">
        <v>400</v>
      </c>
      <c r="F855" s="23" t="n">
        <f aca="false">D855-E855</f>
        <v>939.2</v>
      </c>
      <c r="G855" s="24" t="n">
        <f aca="false">IF(E855&gt;0,D855/E855-1,"")</f>
        <v>2.348</v>
      </c>
      <c r="H855" s="3" t="str">
        <f aca="false">IF(MAX(D855,E855)&lt;Parametros!$B$16,"",IF(E855=0,"PIDE SIN FCST",IF(ABS(G855)&gt;Parametros!$B$14,IF(G855&gt;0,"SOBRE FCST","BAJO FCST"),"")))</f>
        <v>SOBRE FCST</v>
      </c>
    </row>
    <row r="856" customFormat="false" ht="15" hidden="false" customHeight="false" outlineLevel="0" collapsed="false">
      <c r="A856" s="3" t="n">
        <v>30001490</v>
      </c>
      <c r="B856" s="3" t="s">
        <v>337</v>
      </c>
      <c r="C856" s="3" t="s">
        <v>1375</v>
      </c>
      <c r="D856" s="23" t="n">
        <v>3575.1</v>
      </c>
      <c r="E856" s="23" t="n">
        <v>4512.34581137457</v>
      </c>
      <c r="F856" s="23" t="n">
        <f aca="false">D856-E856</f>
        <v>-937.245811374571</v>
      </c>
      <c r="G856" s="24" t="n">
        <f aca="false">IF(E856&gt;0,D856/E856-1,"")</f>
        <v>-0.207706999984796</v>
      </c>
      <c r="H856" s="3" t="str">
        <f aca="false">IF(MAX(D856,E856)&lt;Parametros!$B$16,"",IF(E856=0,"PIDE SIN FCST",IF(ABS(G856)&gt;Parametros!$B$14,IF(G856&gt;0,"SOBRE FCST","BAJO FCST"),"")))</f>
        <v>BAJO FCST</v>
      </c>
    </row>
    <row r="857" customFormat="false" ht="15" hidden="false" customHeight="false" outlineLevel="0" collapsed="false">
      <c r="A857" s="3" t="n">
        <v>30002288</v>
      </c>
      <c r="B857" s="3" t="s">
        <v>455</v>
      </c>
      <c r="C857" s="3" t="s">
        <v>1375</v>
      </c>
      <c r="D857" s="23" t="n">
        <v>4912.32</v>
      </c>
      <c r="E857" s="23" t="n">
        <v>3979.52831969829</v>
      </c>
      <c r="F857" s="23" t="n">
        <f aca="false">D857-E857</f>
        <v>932.791680301716</v>
      </c>
      <c r="G857" s="24" t="n">
        <f aca="false">IF(E857&gt;0,D857/E857-1,"")</f>
        <v>0.234397547991928</v>
      </c>
      <c r="H857" s="3" t="str">
        <f aca="false">IF(MAX(D857,E857)&lt;Parametros!$B$16,"",IF(E857=0,"PIDE SIN FCST",IF(ABS(G857)&gt;Parametros!$B$14,IF(G857&gt;0,"SOBRE FCST","BAJO FCST"),"")))</f>
        <v>SOBRE FCST</v>
      </c>
    </row>
    <row r="858" customFormat="false" ht="15" hidden="false" customHeight="false" outlineLevel="0" collapsed="false">
      <c r="A858" s="3" t="n">
        <v>30001774</v>
      </c>
      <c r="B858" s="3" t="s">
        <v>284</v>
      </c>
      <c r="C858" s="3" t="s">
        <v>1379</v>
      </c>
      <c r="D858" s="23" t="n">
        <v>1300</v>
      </c>
      <c r="E858" s="23" t="n">
        <v>2232.06485754405</v>
      </c>
      <c r="F858" s="23" t="n">
        <f aca="false">D858-E858</f>
        <v>-932.064857544048</v>
      </c>
      <c r="G858" s="24" t="n">
        <f aca="false">IF(E858&gt;0,D858/E858-1,"")</f>
        <v>-0.417579648007901</v>
      </c>
      <c r="H858" s="3" t="str">
        <f aca="false">IF(MAX(D858,E858)&lt;Parametros!$B$16,"",IF(E858=0,"PIDE SIN FCST",IF(ABS(G858)&gt;Parametros!$B$14,IF(G858&gt;0,"SOBRE FCST","BAJO FCST"),"")))</f>
        <v>BAJO FCST</v>
      </c>
    </row>
    <row r="859" customFormat="false" ht="15" hidden="false" customHeight="false" outlineLevel="0" collapsed="false">
      <c r="A859" s="3" t="n">
        <v>30001780</v>
      </c>
      <c r="B859" s="3" t="s">
        <v>340</v>
      </c>
      <c r="C859" s="3" t="s">
        <v>1379</v>
      </c>
      <c r="D859" s="23" t="n">
        <v>2861.568</v>
      </c>
      <c r="E859" s="23" t="n">
        <v>1930.784</v>
      </c>
      <c r="F859" s="23" t="n">
        <f aca="false">D859-E859</f>
        <v>930.784</v>
      </c>
      <c r="G859" s="24" t="n">
        <f aca="false">IF(E859&gt;0,D859/E859-1,"")</f>
        <v>0.482075674958981</v>
      </c>
      <c r="H859" s="3" t="str">
        <f aca="false">IF(MAX(D859,E859)&lt;Parametros!$B$16,"",IF(E859=0,"PIDE SIN FCST",IF(ABS(G859)&gt;Parametros!$B$14,IF(G859&gt;0,"SOBRE FCST","BAJO FCST"),"")))</f>
        <v>SOBRE FCST</v>
      </c>
    </row>
    <row r="860" customFormat="false" ht="15" hidden="false" customHeight="false" outlineLevel="0" collapsed="false">
      <c r="A860" s="3" t="n">
        <v>30001411</v>
      </c>
      <c r="B860" s="3" t="s">
        <v>638</v>
      </c>
      <c r="C860" s="3" t="s">
        <v>1373</v>
      </c>
      <c r="D860" s="23" t="n">
        <v>3.6</v>
      </c>
      <c r="E860" s="23" t="n">
        <v>932.416666666667</v>
      </c>
      <c r="F860" s="23" t="n">
        <f aca="false">D860-E860</f>
        <v>-928.816666666667</v>
      </c>
      <c r="G860" s="24" t="n">
        <f aca="false">IF(E860&gt;0,D860/E860-1,"")</f>
        <v>-0.996139065153276</v>
      </c>
      <c r="H860" s="3" t="str">
        <f aca="false">IF(MAX(D860,E860)&lt;Parametros!$B$16,"",IF(E860=0,"PIDE SIN FCST",IF(ABS(G860)&gt;Parametros!$B$14,IF(G860&gt;0,"SOBRE FCST","BAJO FCST"),"")))</f>
        <v/>
      </c>
    </row>
    <row r="861" customFormat="false" ht="15" hidden="false" customHeight="false" outlineLevel="0" collapsed="false">
      <c r="A861" s="3" t="n">
        <v>30000207</v>
      </c>
      <c r="B861" s="3" t="s">
        <v>300</v>
      </c>
      <c r="C861" s="3" t="s">
        <v>1379</v>
      </c>
      <c r="D861" s="23" t="n">
        <v>3456</v>
      </c>
      <c r="E861" s="23" t="n">
        <v>4384.8152</v>
      </c>
      <c r="F861" s="23" t="n">
        <f aca="false">D861-E861</f>
        <v>-928.8152</v>
      </c>
      <c r="G861" s="24" t="n">
        <f aca="false">IF(E861&gt;0,D861/E861-1,"")</f>
        <v>-0.211825392322121</v>
      </c>
      <c r="H861" s="3" t="str">
        <f aca="false">IF(MAX(D861,E861)&lt;Parametros!$B$16,"",IF(E861=0,"PIDE SIN FCST",IF(ABS(G861)&gt;Parametros!$B$14,IF(G861&gt;0,"SOBRE FCST","BAJO FCST"),"")))</f>
        <v>BAJO FCST</v>
      </c>
    </row>
    <row r="862" customFormat="false" ht="15" hidden="false" customHeight="false" outlineLevel="0" collapsed="false">
      <c r="A862" s="3" t="n">
        <v>30001076</v>
      </c>
      <c r="B862" s="3" t="s">
        <v>457</v>
      </c>
      <c r="C862" s="3" t="s">
        <v>1380</v>
      </c>
      <c r="D862" s="23" t="n">
        <v>6969.6</v>
      </c>
      <c r="E862" s="23" t="n">
        <v>6042.79184535054</v>
      </c>
      <c r="F862" s="23" t="n">
        <f aca="false">D862-E862</f>
        <v>926.808154649465</v>
      </c>
      <c r="G862" s="24" t="n">
        <f aca="false">IF(E862&gt;0,D862/E862-1,"")</f>
        <v>0.153374165182038</v>
      </c>
      <c r="H862" s="3" t="str">
        <f aca="false">IF(MAX(D862,E862)&lt;Parametros!$B$16,"",IF(E862=0,"PIDE SIN FCST",IF(ABS(G862)&gt;Parametros!$B$14,IF(G862&gt;0,"SOBRE FCST","BAJO FCST"),"")))</f>
        <v/>
      </c>
    </row>
    <row r="863" customFormat="false" ht="15" hidden="false" customHeight="false" outlineLevel="0" collapsed="false">
      <c r="A863" s="3" t="n">
        <v>30001873</v>
      </c>
      <c r="B863" s="3" t="s">
        <v>299</v>
      </c>
      <c r="C863" s="3" t="s">
        <v>1380</v>
      </c>
      <c r="D863" s="23" t="n">
        <v>12630.6</v>
      </c>
      <c r="E863" s="23" t="n">
        <v>13555.4265365565</v>
      </c>
      <c r="F863" s="23" t="n">
        <f aca="false">D863-E863</f>
        <v>-924.82653655648</v>
      </c>
      <c r="G863" s="24" t="n">
        <f aca="false">IF(E863&gt;0,D863/E863-1,"")</f>
        <v>-0.0682255577913682</v>
      </c>
      <c r="H863" s="3" t="str">
        <f aca="false">IF(MAX(D863,E863)&lt;Parametros!$B$16,"",IF(E863=0,"PIDE SIN FCST",IF(ABS(G863)&gt;Parametros!$B$14,IF(G863&gt;0,"SOBRE FCST","BAJO FCST"),"")))</f>
        <v/>
      </c>
    </row>
    <row r="864" customFormat="false" ht="15" hidden="false" customHeight="false" outlineLevel="0" collapsed="false">
      <c r="A864" s="3" t="n">
        <v>30001901</v>
      </c>
      <c r="B864" s="3" t="s">
        <v>425</v>
      </c>
      <c r="C864" s="3" t="s">
        <v>1380</v>
      </c>
      <c r="D864" s="23" t="n">
        <v>2430</v>
      </c>
      <c r="E864" s="23" t="n">
        <v>3345.26097586203</v>
      </c>
      <c r="F864" s="23" t="n">
        <f aca="false">D864-E864</f>
        <v>-915.260975862031</v>
      </c>
      <c r="G864" s="24" t="n">
        <f aca="false">IF(E864&gt;0,D864/E864-1,"")</f>
        <v>-0.273599274456062</v>
      </c>
      <c r="H864" s="3" t="str">
        <f aca="false">IF(MAX(D864,E864)&lt;Parametros!$B$16,"",IF(E864=0,"PIDE SIN FCST",IF(ABS(G864)&gt;Parametros!$B$14,IF(G864&gt;0,"SOBRE FCST","BAJO FCST"),"")))</f>
        <v>BAJO FCST</v>
      </c>
    </row>
    <row r="865" customFormat="false" ht="15" hidden="false" customHeight="false" outlineLevel="0" collapsed="false">
      <c r="A865" s="3" t="n">
        <v>30000668</v>
      </c>
      <c r="B865" s="3" t="s">
        <v>280</v>
      </c>
      <c r="C865" s="3" t="s">
        <v>1379</v>
      </c>
      <c r="D865" s="23" t="n">
        <v>2827.2</v>
      </c>
      <c r="E865" s="23" t="n">
        <v>3741.6</v>
      </c>
      <c r="F865" s="23" t="n">
        <f aca="false">D865-E865</f>
        <v>-914.4</v>
      </c>
      <c r="G865" s="24" t="n">
        <f aca="false">IF(E865&gt;0,D865/E865-1,"")</f>
        <v>-0.244387427838358</v>
      </c>
      <c r="H865" s="3" t="str">
        <f aca="false">IF(MAX(D865,E865)&lt;Parametros!$B$16,"",IF(E865=0,"PIDE SIN FCST",IF(ABS(G865)&gt;Parametros!$B$14,IF(G865&gt;0,"SOBRE FCST","BAJO FCST"),"")))</f>
        <v>BAJO FCST</v>
      </c>
    </row>
    <row r="866" customFormat="false" ht="15" hidden="false" customHeight="false" outlineLevel="0" collapsed="false">
      <c r="A866" s="3" t="n">
        <v>30002165</v>
      </c>
      <c r="B866" s="3" t="s">
        <v>314</v>
      </c>
      <c r="C866" s="3" t="s">
        <v>1373</v>
      </c>
      <c r="D866" s="23" t="n">
        <v>1344</v>
      </c>
      <c r="E866" s="23" t="n">
        <v>431.287532747868</v>
      </c>
      <c r="F866" s="23" t="n">
        <f aca="false">D866-E866</f>
        <v>912.712467252132</v>
      </c>
      <c r="G866" s="24" t="n">
        <f aca="false">IF(E866&gt;0,D866/E866-1,"")</f>
        <v>2.116250524185</v>
      </c>
      <c r="H866" s="3" t="str">
        <f aca="false">IF(MAX(D866,E866)&lt;Parametros!$B$16,"",IF(E866=0,"PIDE SIN FCST",IF(ABS(G866)&gt;Parametros!$B$14,IF(G866&gt;0,"SOBRE FCST","BAJO FCST"),"")))</f>
        <v>SOBRE FCST</v>
      </c>
    </row>
    <row r="867" customFormat="false" ht="15" hidden="false" customHeight="false" outlineLevel="0" collapsed="false">
      <c r="A867" s="3" t="n">
        <v>30001895</v>
      </c>
      <c r="B867" s="3" t="s">
        <v>341</v>
      </c>
      <c r="C867" s="3" t="s">
        <v>1373</v>
      </c>
      <c r="D867" s="23" t="n">
        <v>1535.2</v>
      </c>
      <c r="E867" s="23" t="n">
        <v>2447.79</v>
      </c>
      <c r="F867" s="23" t="n">
        <f aca="false">D867-E867</f>
        <v>-912.59</v>
      </c>
      <c r="G867" s="24" t="n">
        <f aca="false">IF(E867&gt;0,D867/E867-1,"")</f>
        <v>-0.372822014960434</v>
      </c>
      <c r="H867" s="3" t="str">
        <f aca="false">IF(MAX(D867,E867)&lt;Parametros!$B$16,"",IF(E867=0,"PIDE SIN FCST",IF(ABS(G867)&gt;Parametros!$B$14,IF(G867&gt;0,"SOBRE FCST","BAJO FCST"),"")))</f>
        <v>BAJO FCST</v>
      </c>
    </row>
    <row r="868" customFormat="false" ht="15" hidden="false" customHeight="false" outlineLevel="0" collapsed="false">
      <c r="A868" s="3" t="n">
        <v>30000616</v>
      </c>
      <c r="B868" s="3" t="s">
        <v>372</v>
      </c>
      <c r="C868" s="3" t="s">
        <v>1377</v>
      </c>
      <c r="D868" s="23" t="n">
        <v>1497.6</v>
      </c>
      <c r="E868" s="23" t="n">
        <v>586.4</v>
      </c>
      <c r="F868" s="23" t="n">
        <f aca="false">D868-E868</f>
        <v>911.2</v>
      </c>
      <c r="G868" s="24" t="n">
        <f aca="false">IF(E868&gt;0,D868/E868-1,"")</f>
        <v>1.55388813096862</v>
      </c>
      <c r="H868" s="3" t="str">
        <f aca="false">IF(MAX(D868,E868)&lt;Parametros!$B$16,"",IF(E868=0,"PIDE SIN FCST",IF(ABS(G868)&gt;Parametros!$B$14,IF(G868&gt;0,"SOBRE FCST","BAJO FCST"),"")))</f>
        <v>SOBRE FCST</v>
      </c>
    </row>
    <row r="869" customFormat="false" ht="15" hidden="false" customHeight="false" outlineLevel="0" collapsed="false">
      <c r="A869" s="3" t="n">
        <v>30001405</v>
      </c>
      <c r="B869" s="3" t="s">
        <v>386</v>
      </c>
      <c r="C869" s="3" t="s">
        <v>1375</v>
      </c>
      <c r="D869" s="23" t="n">
        <v>3010.5</v>
      </c>
      <c r="E869" s="23" t="n">
        <v>2100</v>
      </c>
      <c r="F869" s="23" t="n">
        <f aca="false">D869-E869</f>
        <v>910.5</v>
      </c>
      <c r="G869" s="24" t="n">
        <f aca="false">IF(E869&gt;0,D869/E869-1,"")</f>
        <v>0.433571428571429</v>
      </c>
      <c r="H869" s="3" t="str">
        <f aca="false">IF(MAX(D869,E869)&lt;Parametros!$B$16,"",IF(E869=0,"PIDE SIN FCST",IF(ABS(G869)&gt;Parametros!$B$14,IF(G869&gt;0,"SOBRE FCST","BAJO FCST"),"")))</f>
        <v>SOBRE FCST</v>
      </c>
    </row>
    <row r="870" customFormat="false" ht="15" hidden="false" customHeight="false" outlineLevel="0" collapsed="false">
      <c r="A870" s="3" t="n">
        <v>30002126</v>
      </c>
      <c r="B870" s="3" t="s">
        <v>624</v>
      </c>
      <c r="C870" s="3" t="s">
        <v>1380</v>
      </c>
      <c r="D870" s="23" t="n">
        <v>386.4</v>
      </c>
      <c r="E870" s="23" t="n">
        <v>1293.86259824361</v>
      </c>
      <c r="F870" s="23" t="n">
        <f aca="false">D870-E870</f>
        <v>-907.462598243605</v>
      </c>
      <c r="G870" s="24" t="n">
        <f aca="false">IF(E870&gt;0,D870/E870-1,"")</f>
        <v>-0.701359324765604</v>
      </c>
      <c r="H870" s="3" t="str">
        <f aca="false">IF(MAX(D870,E870)&lt;Parametros!$B$16,"",IF(E870=0,"PIDE SIN FCST",IF(ABS(G870)&gt;Parametros!$B$14,IF(G870&gt;0,"SOBRE FCST","BAJO FCST"),"")))</f>
        <v>BAJO FCST</v>
      </c>
    </row>
    <row r="871" customFormat="false" ht="15" hidden="false" customHeight="false" outlineLevel="0" collapsed="false">
      <c r="A871" s="3" t="n">
        <v>30000466</v>
      </c>
      <c r="B871" s="3" t="s">
        <v>266</v>
      </c>
      <c r="C871" s="3" t="s">
        <v>1380</v>
      </c>
      <c r="D871" s="23" t="n">
        <v>6720</v>
      </c>
      <c r="E871" s="23" t="n">
        <v>5812.87532747868</v>
      </c>
      <c r="F871" s="23" t="n">
        <f aca="false">D871-E871</f>
        <v>907.124672521317</v>
      </c>
      <c r="G871" s="24" t="n">
        <f aca="false">IF(E871&gt;0,D871/E871-1,"")</f>
        <v>0.156054382971736</v>
      </c>
      <c r="H871" s="3" t="str">
        <f aca="false">IF(MAX(D871,E871)&lt;Parametros!$B$16,"",IF(E871=0,"PIDE SIN FCST",IF(ABS(G871)&gt;Parametros!$B$14,IF(G871&gt;0,"SOBRE FCST","BAJO FCST"),"")))</f>
        <v/>
      </c>
    </row>
    <row r="872" customFormat="false" ht="15" hidden="false" customHeight="false" outlineLevel="0" collapsed="false">
      <c r="A872" s="3" t="n">
        <v>30000301</v>
      </c>
      <c r="B872" s="3" t="s">
        <v>323</v>
      </c>
      <c r="C872" s="3" t="s">
        <v>1377</v>
      </c>
      <c r="D872" s="23" t="n">
        <v>1055</v>
      </c>
      <c r="E872" s="23" t="n">
        <v>1956.43766373934</v>
      </c>
      <c r="F872" s="23" t="n">
        <f aca="false">D872-E872</f>
        <v>-901.437663739341</v>
      </c>
      <c r="G872" s="24" t="n">
        <f aca="false">IF(E872&gt;0,D872/E872-1,"")</f>
        <v>-0.460754605396638</v>
      </c>
      <c r="H872" s="3" t="str">
        <f aca="false">IF(MAX(D872,E872)&lt;Parametros!$B$16,"",IF(E872=0,"PIDE SIN FCST",IF(ABS(G872)&gt;Parametros!$B$14,IF(G872&gt;0,"SOBRE FCST","BAJO FCST"),"")))</f>
        <v>BAJO FCST</v>
      </c>
    </row>
    <row r="873" customFormat="false" ht="15" hidden="false" customHeight="false" outlineLevel="0" collapsed="false">
      <c r="A873" s="3" t="n">
        <v>30002106</v>
      </c>
      <c r="B873" s="3" t="s">
        <v>568</v>
      </c>
      <c r="C873" s="3" t="s">
        <v>1377</v>
      </c>
      <c r="D873" s="23" t="n">
        <v>1710.72</v>
      </c>
      <c r="E873" s="23" t="n">
        <v>809.355281687614</v>
      </c>
      <c r="F873" s="23" t="n">
        <f aca="false">D873-E873</f>
        <v>901.364718312387</v>
      </c>
      <c r="G873" s="24" t="n">
        <f aca="false">IF(E873&gt;0,D873/E873-1,"")</f>
        <v>1.11368238239321</v>
      </c>
      <c r="H873" s="3" t="str">
        <f aca="false">IF(MAX(D873,E873)&lt;Parametros!$B$16,"",IF(E873=0,"PIDE SIN FCST",IF(ABS(G873)&gt;Parametros!$B$14,IF(G873&gt;0,"SOBRE FCST","BAJO FCST"),"")))</f>
        <v>SOBRE FCST</v>
      </c>
    </row>
    <row r="874" customFormat="false" ht="15" hidden="false" customHeight="false" outlineLevel="0" collapsed="false">
      <c r="A874" s="3" t="n">
        <v>30000321</v>
      </c>
      <c r="B874" s="3" t="s">
        <v>351</v>
      </c>
      <c r="C874" s="3" t="s">
        <v>1380</v>
      </c>
      <c r="D874" s="23" t="n">
        <v>7600</v>
      </c>
      <c r="E874" s="23" t="n">
        <v>6700</v>
      </c>
      <c r="F874" s="23" t="n">
        <f aca="false">D874-E874</f>
        <v>900</v>
      </c>
      <c r="G874" s="24" t="n">
        <f aca="false">IF(E874&gt;0,D874/E874-1,"")</f>
        <v>0.134328358208955</v>
      </c>
      <c r="H874" s="3" t="str">
        <f aca="false">IF(MAX(D874,E874)&lt;Parametros!$B$16,"",IF(E874=0,"PIDE SIN FCST",IF(ABS(G874)&gt;Parametros!$B$14,IF(G874&gt;0,"SOBRE FCST","BAJO FCST"),"")))</f>
        <v/>
      </c>
    </row>
    <row r="875" customFormat="false" ht="15" hidden="false" customHeight="false" outlineLevel="0" collapsed="false">
      <c r="A875" s="3" t="n">
        <v>30001046</v>
      </c>
      <c r="B875" s="3" t="s">
        <v>535</v>
      </c>
      <c r="C875" s="3" t="s">
        <v>1375</v>
      </c>
      <c r="D875" s="23" t="n">
        <v>894.24</v>
      </c>
      <c r="E875" s="23" t="n">
        <v>0</v>
      </c>
      <c r="F875" s="23" t="n">
        <f aca="false">D875-E875</f>
        <v>894.24</v>
      </c>
      <c r="G875" s="24" t="str">
        <f aca="false">IF(E875&gt;0,D875/E875-1,"")</f>
        <v/>
      </c>
      <c r="H875" s="3" t="str">
        <f aca="false">IF(MAX(D875,E875)&lt;Parametros!$B$16,"",IF(E875=0,"PIDE SIN FCST",IF(ABS(G875)&gt;Parametros!$B$14,IF(G875&gt;0,"SOBRE FCST","BAJO FCST"),"")))</f>
        <v/>
      </c>
    </row>
    <row r="876" customFormat="false" ht="15" hidden="false" customHeight="false" outlineLevel="0" collapsed="false">
      <c r="A876" s="3" t="n">
        <v>30001747</v>
      </c>
      <c r="B876" s="3" t="s">
        <v>381</v>
      </c>
      <c r="C876" s="3" t="s">
        <v>1372</v>
      </c>
      <c r="D876" s="23" t="n">
        <v>2530.44</v>
      </c>
      <c r="E876" s="23" t="n">
        <v>1642.24</v>
      </c>
      <c r="F876" s="23" t="n">
        <f aca="false">D876-E876</f>
        <v>888.2</v>
      </c>
      <c r="G876" s="24" t="n">
        <f aca="false">IF(E876&gt;0,D876/E876-1,"")</f>
        <v>0.540846648480125</v>
      </c>
      <c r="H876" s="3" t="str">
        <f aca="false">IF(MAX(D876,E876)&lt;Parametros!$B$16,"",IF(E876=0,"PIDE SIN FCST",IF(ABS(G876)&gt;Parametros!$B$14,IF(G876&gt;0,"SOBRE FCST","BAJO FCST"),"")))</f>
        <v>SOBRE FCST</v>
      </c>
    </row>
    <row r="877" customFormat="false" ht="15" hidden="false" customHeight="false" outlineLevel="0" collapsed="false">
      <c r="A877" s="3" t="n">
        <v>30001058</v>
      </c>
      <c r="B877" s="3" t="s">
        <v>288</v>
      </c>
      <c r="C877" s="3" t="s">
        <v>1378</v>
      </c>
      <c r="D877" s="23" t="n">
        <v>2768.64</v>
      </c>
      <c r="E877" s="23" t="n">
        <v>1880.63077908283</v>
      </c>
      <c r="F877" s="23" t="n">
        <f aca="false">D877-E877</f>
        <v>888.009220917168</v>
      </c>
      <c r="G877" s="24" t="n">
        <f aca="false">IF(E877&gt;0,D877/E877-1,"")</f>
        <v>0.47218690175338</v>
      </c>
      <c r="H877" s="3" t="str">
        <f aca="false">IF(MAX(D877,E877)&lt;Parametros!$B$16,"",IF(E877=0,"PIDE SIN FCST",IF(ABS(G877)&gt;Parametros!$B$14,IF(G877&gt;0,"SOBRE FCST","BAJO FCST"),"")))</f>
        <v>SOBRE FCST</v>
      </c>
    </row>
    <row r="878" customFormat="false" ht="15" hidden="false" customHeight="false" outlineLevel="0" collapsed="false">
      <c r="A878" s="3" t="n">
        <v>30000633</v>
      </c>
      <c r="B878" s="3" t="s">
        <v>492</v>
      </c>
      <c r="C878" s="3" t="s">
        <v>1375</v>
      </c>
      <c r="D878" s="23" t="n">
        <v>2112</v>
      </c>
      <c r="E878" s="23" t="n">
        <v>3000</v>
      </c>
      <c r="F878" s="23" t="n">
        <f aca="false">D878-E878</f>
        <v>-888</v>
      </c>
      <c r="G878" s="24" t="n">
        <f aca="false">IF(E878&gt;0,D878/E878-1,"")</f>
        <v>-0.296</v>
      </c>
      <c r="H878" s="3" t="str">
        <f aca="false">IF(MAX(D878,E878)&lt;Parametros!$B$16,"",IF(E878=0,"PIDE SIN FCST",IF(ABS(G878)&gt;Parametros!$B$14,IF(G878&gt;0,"SOBRE FCST","BAJO FCST"),"")))</f>
        <v>BAJO FCST</v>
      </c>
    </row>
    <row r="879" customFormat="false" ht="15" hidden="false" customHeight="false" outlineLevel="0" collapsed="false">
      <c r="A879" s="3" t="n">
        <v>30000630</v>
      </c>
      <c r="B879" s="3" t="s">
        <v>356</v>
      </c>
      <c r="C879" s="3" t="s">
        <v>1378</v>
      </c>
      <c r="D879" s="23" t="n">
        <v>16.32</v>
      </c>
      <c r="E879" s="23" t="n">
        <v>900</v>
      </c>
      <c r="F879" s="23" t="n">
        <f aca="false">D879-E879</f>
        <v>-883.68</v>
      </c>
      <c r="G879" s="24" t="n">
        <f aca="false">IF(E879&gt;0,D879/E879-1,"")</f>
        <v>-0.981866666666667</v>
      </c>
      <c r="H879" s="3" t="str">
        <f aca="false">IF(MAX(D879,E879)&lt;Parametros!$B$16,"",IF(E879=0,"PIDE SIN FCST",IF(ABS(G879)&gt;Parametros!$B$14,IF(G879&gt;0,"SOBRE FCST","BAJO FCST"),"")))</f>
        <v/>
      </c>
    </row>
    <row r="880" customFormat="false" ht="15" hidden="false" customHeight="false" outlineLevel="0" collapsed="false">
      <c r="A880" s="3" t="n">
        <v>30002105</v>
      </c>
      <c r="B880" s="3" t="s">
        <v>517</v>
      </c>
      <c r="C880" s="3" t="s">
        <v>1377</v>
      </c>
      <c r="D880" s="23" t="n">
        <v>2231.712</v>
      </c>
      <c r="E880" s="23" t="n">
        <v>1348.92546947936</v>
      </c>
      <c r="F880" s="23" t="n">
        <f aca="false">D880-E880</f>
        <v>882.786530520644</v>
      </c>
      <c r="G880" s="24" t="n">
        <f aca="false">IF(E880&gt;0,D880/E880-1,"")</f>
        <v>0.654436846582319</v>
      </c>
      <c r="H880" s="3" t="str">
        <f aca="false">IF(MAX(D880,E880)&lt;Parametros!$B$16,"",IF(E880=0,"PIDE SIN FCST",IF(ABS(G880)&gt;Parametros!$B$14,IF(G880&gt;0,"SOBRE FCST","BAJO FCST"),"")))</f>
        <v>SOBRE FCST</v>
      </c>
    </row>
    <row r="881" customFormat="false" ht="15" hidden="false" customHeight="false" outlineLevel="0" collapsed="false">
      <c r="A881" s="3" t="n">
        <v>30002269</v>
      </c>
      <c r="B881" s="3" t="s">
        <v>541</v>
      </c>
      <c r="C881" s="3" t="s">
        <v>1379</v>
      </c>
      <c r="D881" s="23" t="n">
        <v>1602</v>
      </c>
      <c r="E881" s="23" t="n">
        <v>720</v>
      </c>
      <c r="F881" s="23" t="n">
        <f aca="false">D881-E881</f>
        <v>882</v>
      </c>
      <c r="G881" s="24" t="n">
        <f aca="false">IF(E881&gt;0,D881/E881-1,"")</f>
        <v>1.225</v>
      </c>
      <c r="H881" s="3" t="str">
        <f aca="false">IF(MAX(D881,E881)&lt;Parametros!$B$16,"",IF(E881=0,"PIDE SIN FCST",IF(ABS(G881)&gt;Parametros!$B$14,IF(G881&gt;0,"SOBRE FCST","BAJO FCST"),"")))</f>
        <v>SOBRE FCST</v>
      </c>
    </row>
    <row r="882" customFormat="false" ht="15" hidden="false" customHeight="false" outlineLevel="0" collapsed="false">
      <c r="A882" s="3" t="n">
        <v>30001746</v>
      </c>
      <c r="B882" s="3" t="s">
        <v>375</v>
      </c>
      <c r="C882" s="3" t="s">
        <v>1372</v>
      </c>
      <c r="D882" s="23" t="n">
        <v>2523.96</v>
      </c>
      <c r="E882" s="23" t="n">
        <v>1642.24</v>
      </c>
      <c r="F882" s="23" t="n">
        <f aca="false">D882-E882</f>
        <v>881.72</v>
      </c>
      <c r="G882" s="24" t="n">
        <f aca="false">IF(E882&gt;0,D882/E882-1,"")</f>
        <v>0.536900818394388</v>
      </c>
      <c r="H882" s="3" t="str">
        <f aca="false">IF(MAX(D882,E882)&lt;Parametros!$B$16,"",IF(E882=0,"PIDE SIN FCST",IF(ABS(G882)&gt;Parametros!$B$14,IF(G882&gt;0,"SOBRE FCST","BAJO FCST"),"")))</f>
        <v>SOBRE FCST</v>
      </c>
    </row>
    <row r="883" customFormat="false" ht="15" hidden="false" customHeight="false" outlineLevel="0" collapsed="false">
      <c r="A883" s="3" t="n">
        <v>30000354</v>
      </c>
      <c r="B883" s="3" t="s">
        <v>378</v>
      </c>
      <c r="C883" s="3" t="s">
        <v>1380</v>
      </c>
      <c r="D883" s="23" t="n">
        <v>9504</v>
      </c>
      <c r="E883" s="23" t="n">
        <v>10384.4358443611</v>
      </c>
      <c r="F883" s="23" t="n">
        <f aca="false">D883-E883</f>
        <v>-880.435844361051</v>
      </c>
      <c r="G883" s="24" t="n">
        <f aca="false">IF(E883&gt;0,D883/E883-1,"")</f>
        <v>-0.0847841767773205</v>
      </c>
      <c r="H883" s="3" t="str">
        <f aca="false">IF(MAX(D883,E883)&lt;Parametros!$B$16,"",IF(E883=0,"PIDE SIN FCST",IF(ABS(G883)&gt;Parametros!$B$14,IF(G883&gt;0,"SOBRE FCST","BAJO FCST"),"")))</f>
        <v/>
      </c>
    </row>
    <row r="884" customFormat="false" ht="15" hidden="false" customHeight="false" outlineLevel="0" collapsed="false">
      <c r="A884" s="3" t="n">
        <v>30000354</v>
      </c>
      <c r="B884" s="3" t="s">
        <v>378</v>
      </c>
      <c r="C884" s="3" t="s">
        <v>1373</v>
      </c>
      <c r="D884" s="23" t="n">
        <v>1614</v>
      </c>
      <c r="E884" s="23" t="n">
        <v>2493.98333333333</v>
      </c>
      <c r="F884" s="23" t="n">
        <f aca="false">D884-E884</f>
        <v>-879.983333333334</v>
      </c>
      <c r="G884" s="24" t="n">
        <f aca="false">IF(E884&gt;0,D884/E884-1,"")</f>
        <v>-0.352842507635042</v>
      </c>
      <c r="H884" s="3" t="str">
        <f aca="false">IF(MAX(D884,E884)&lt;Parametros!$B$16,"",IF(E884=0,"PIDE SIN FCST",IF(ABS(G884)&gt;Parametros!$B$14,IF(G884&gt;0,"SOBRE FCST","BAJO FCST"),"")))</f>
        <v>BAJO FCST</v>
      </c>
    </row>
    <row r="885" customFormat="false" ht="15" hidden="false" customHeight="false" outlineLevel="0" collapsed="false">
      <c r="A885" s="3" t="n">
        <v>30000648</v>
      </c>
      <c r="B885" s="3" t="s">
        <v>487</v>
      </c>
      <c r="C885" s="3" t="s">
        <v>1380</v>
      </c>
      <c r="D885" s="23" t="n">
        <v>1641.6</v>
      </c>
      <c r="E885" s="23" t="n">
        <v>2520</v>
      </c>
      <c r="F885" s="23" t="n">
        <f aca="false">D885-E885</f>
        <v>-878.4</v>
      </c>
      <c r="G885" s="24" t="n">
        <f aca="false">IF(E885&gt;0,D885/E885-1,"")</f>
        <v>-0.348571428571429</v>
      </c>
      <c r="H885" s="3" t="str">
        <f aca="false">IF(MAX(D885,E885)&lt;Parametros!$B$16,"",IF(E885=0,"PIDE SIN FCST",IF(ABS(G885)&gt;Parametros!$B$14,IF(G885&gt;0,"SOBRE FCST","BAJO FCST"),"")))</f>
        <v>BAJO FCST</v>
      </c>
    </row>
    <row r="886" customFormat="false" ht="15" hidden="false" customHeight="false" outlineLevel="0" collapsed="false">
      <c r="A886" s="3" t="n">
        <v>30000421</v>
      </c>
      <c r="B886" s="3" t="s">
        <v>464</v>
      </c>
      <c r="C886" s="3" t="s">
        <v>1375</v>
      </c>
      <c r="D886" s="23" t="n">
        <v>2232</v>
      </c>
      <c r="E886" s="23" t="n">
        <v>1356.4</v>
      </c>
      <c r="F886" s="23" t="n">
        <f aca="false">D886-E886</f>
        <v>875.6</v>
      </c>
      <c r="G886" s="24" t="n">
        <f aca="false">IF(E886&gt;0,D886/E886-1,"")</f>
        <v>0.645532291359481</v>
      </c>
      <c r="H886" s="3" t="str">
        <f aca="false">IF(MAX(D886,E886)&lt;Parametros!$B$16,"",IF(E886=0,"PIDE SIN FCST",IF(ABS(G886)&gt;Parametros!$B$14,IF(G886&gt;0,"SOBRE FCST","BAJO FCST"),"")))</f>
        <v>SOBRE FCST</v>
      </c>
    </row>
    <row r="887" customFormat="false" ht="15" hidden="false" customHeight="false" outlineLevel="0" collapsed="false">
      <c r="A887" s="3" t="n">
        <v>30001092</v>
      </c>
      <c r="B887" s="3" t="s">
        <v>473</v>
      </c>
      <c r="C887" s="3" t="s">
        <v>1380</v>
      </c>
      <c r="D887" s="23" t="n">
        <v>1944</v>
      </c>
      <c r="E887" s="23" t="n">
        <v>2818.85339050827</v>
      </c>
      <c r="F887" s="23" t="n">
        <f aca="false">D887-E887</f>
        <v>-874.85339050827</v>
      </c>
      <c r="G887" s="24" t="n">
        <f aca="false">IF(E887&gt;0,D887/E887-1,"")</f>
        <v>-0.310357890003823</v>
      </c>
      <c r="H887" s="3" t="str">
        <f aca="false">IF(MAX(D887,E887)&lt;Parametros!$B$16,"",IF(E887=0,"PIDE SIN FCST",IF(ABS(G887)&gt;Parametros!$B$14,IF(G887&gt;0,"SOBRE FCST","BAJO FCST"),"")))</f>
        <v>BAJO FCST</v>
      </c>
    </row>
    <row r="888" customFormat="false" ht="15" hidden="false" customHeight="false" outlineLevel="0" collapsed="false">
      <c r="A888" s="3" t="n">
        <v>30001541</v>
      </c>
      <c r="B888" s="3" t="s">
        <v>591</v>
      </c>
      <c r="C888" s="3" t="s">
        <v>1372</v>
      </c>
      <c r="D888" s="23" t="n">
        <v>420</v>
      </c>
      <c r="E888" s="23" t="n">
        <v>1293.86259824361</v>
      </c>
      <c r="F888" s="23" t="n">
        <f aca="false">D888-E888</f>
        <v>-873.862598243605</v>
      </c>
      <c r="G888" s="24" t="n">
        <f aca="false">IF(E888&gt;0,D888/E888-1,"")</f>
        <v>-0.675390570397396</v>
      </c>
      <c r="H888" s="3" t="str">
        <f aca="false">IF(MAX(D888,E888)&lt;Parametros!$B$16,"",IF(E888=0,"PIDE SIN FCST",IF(ABS(G888)&gt;Parametros!$B$14,IF(G888&gt;0,"SOBRE FCST","BAJO FCST"),"")))</f>
        <v>BAJO FCST</v>
      </c>
    </row>
    <row r="889" customFormat="false" ht="15" hidden="false" customHeight="false" outlineLevel="0" collapsed="false">
      <c r="A889" s="3" t="n">
        <v>30000087</v>
      </c>
      <c r="B889" s="3" t="s">
        <v>594</v>
      </c>
      <c r="C889" s="3" t="s">
        <v>1373</v>
      </c>
      <c r="D889" s="23" t="n">
        <v>1735</v>
      </c>
      <c r="E889" s="23" t="n">
        <v>862.575065495737</v>
      </c>
      <c r="F889" s="23" t="n">
        <f aca="false">D889-E889</f>
        <v>872.424934504263</v>
      </c>
      <c r="G889" s="24" t="n">
        <f aca="false">IF(E889&gt;0,D889/E889-1,"")</f>
        <v>1.01141914414471</v>
      </c>
      <c r="H889" s="3" t="str">
        <f aca="false">IF(MAX(D889,E889)&lt;Parametros!$B$16,"",IF(E889=0,"PIDE SIN FCST",IF(ABS(G889)&gt;Parametros!$B$14,IF(G889&gt;0,"SOBRE FCST","BAJO FCST"),"")))</f>
        <v>SOBRE FCST</v>
      </c>
    </row>
    <row r="890" customFormat="false" ht="15" hidden="false" customHeight="false" outlineLevel="0" collapsed="false">
      <c r="A890" s="3" t="n">
        <v>30002077</v>
      </c>
      <c r="B890" s="3" t="s">
        <v>364</v>
      </c>
      <c r="C890" s="3" t="s">
        <v>1378</v>
      </c>
      <c r="D890" s="23" t="n">
        <v>1668</v>
      </c>
      <c r="E890" s="23" t="n">
        <v>801.642109246165</v>
      </c>
      <c r="F890" s="23" t="n">
        <f aca="false">D890-E890</f>
        <v>866.357890753835</v>
      </c>
      <c r="G890" s="24" t="n">
        <f aca="false">IF(E890&gt;0,D890/E890-1,"")</f>
        <v>1.0807290195478</v>
      </c>
      <c r="H890" s="3" t="str">
        <f aca="false">IF(MAX(D890,E890)&lt;Parametros!$B$16,"",IF(E890=0,"PIDE SIN FCST",IF(ABS(G890)&gt;Parametros!$B$14,IF(G890&gt;0,"SOBRE FCST","BAJO FCST"),"")))</f>
        <v>SOBRE FCST</v>
      </c>
    </row>
    <row r="891" customFormat="false" ht="15" hidden="false" customHeight="false" outlineLevel="0" collapsed="false">
      <c r="A891" s="3" t="n">
        <v>30001744</v>
      </c>
      <c r="B891" s="3" t="s">
        <v>437</v>
      </c>
      <c r="C891" s="3" t="s">
        <v>1372</v>
      </c>
      <c r="D891" s="23" t="n">
        <v>2122.2</v>
      </c>
      <c r="E891" s="23" t="n">
        <v>1256.68</v>
      </c>
      <c r="F891" s="23" t="n">
        <f aca="false">D891-E891</f>
        <v>865.52</v>
      </c>
      <c r="G891" s="24" t="n">
        <f aca="false">IF(E891&gt;0,D891/E891-1,"")</f>
        <v>0.688735398032912</v>
      </c>
      <c r="H891" s="3" t="str">
        <f aca="false">IF(MAX(D891,E891)&lt;Parametros!$B$16,"",IF(E891=0,"PIDE SIN FCST",IF(ABS(G891)&gt;Parametros!$B$14,IF(G891&gt;0,"SOBRE FCST","BAJO FCST"),"")))</f>
        <v>SOBRE FCST</v>
      </c>
    </row>
    <row r="892" customFormat="false" ht="15" hidden="false" customHeight="false" outlineLevel="0" collapsed="false">
      <c r="A892" s="3" t="n">
        <v>30001494</v>
      </c>
      <c r="B892" s="3" t="s">
        <v>411</v>
      </c>
      <c r="C892" s="3" t="s">
        <v>1372</v>
      </c>
      <c r="D892" s="23" t="n">
        <v>865.3</v>
      </c>
      <c r="E892" s="23" t="n">
        <v>0</v>
      </c>
      <c r="F892" s="23" t="n">
        <f aca="false">D892-E892</f>
        <v>865.3</v>
      </c>
      <c r="G892" s="24" t="str">
        <f aca="false">IF(E892&gt;0,D892/E892-1,"")</f>
        <v/>
      </c>
      <c r="H892" s="3" t="str">
        <f aca="false">IF(MAX(D892,E892)&lt;Parametros!$B$16,"",IF(E892=0,"PIDE SIN FCST",IF(ABS(G892)&gt;Parametros!$B$14,IF(G892&gt;0,"SOBRE FCST","BAJO FCST"),"")))</f>
        <v/>
      </c>
    </row>
    <row r="893" customFormat="false" ht="15" hidden="false" customHeight="false" outlineLevel="0" collapsed="false">
      <c r="A893" s="3" t="n">
        <v>30000308</v>
      </c>
      <c r="B893" s="3" t="s">
        <v>513</v>
      </c>
      <c r="C893" s="3" t="s">
        <v>1375</v>
      </c>
      <c r="D893" s="23" t="n">
        <v>864</v>
      </c>
      <c r="E893" s="23" t="n">
        <v>0</v>
      </c>
      <c r="F893" s="23" t="n">
        <f aca="false">D893-E893</f>
        <v>864</v>
      </c>
      <c r="G893" s="24" t="str">
        <f aca="false">IF(E893&gt;0,D893/E893-1,"")</f>
        <v/>
      </c>
      <c r="H893" s="3" t="str">
        <f aca="false">IF(MAX(D893,E893)&lt;Parametros!$B$16,"",IF(E893=0,"PIDE SIN FCST",IF(ABS(G893)&gt;Parametros!$B$14,IF(G893&gt;0,"SOBRE FCST","BAJO FCST"),"")))</f>
        <v/>
      </c>
    </row>
    <row r="894" customFormat="false" ht="15" hidden="false" customHeight="false" outlineLevel="0" collapsed="false">
      <c r="A894" s="3" t="n">
        <v>30000401</v>
      </c>
      <c r="B894" s="3" t="s">
        <v>234</v>
      </c>
      <c r="C894" s="3" t="s">
        <v>1375</v>
      </c>
      <c r="D894" s="23" t="n">
        <v>864</v>
      </c>
      <c r="E894" s="23" t="n">
        <v>0</v>
      </c>
      <c r="F894" s="23" t="n">
        <f aca="false">D894-E894</f>
        <v>864</v>
      </c>
      <c r="G894" s="24" t="str">
        <f aca="false">IF(E894&gt;0,D894/E894-1,"")</f>
        <v/>
      </c>
      <c r="H894" s="3" t="str">
        <f aca="false">IF(MAX(D894,E894)&lt;Parametros!$B$16,"",IF(E894=0,"PIDE SIN FCST",IF(ABS(G894)&gt;Parametros!$B$14,IF(G894&gt;0,"SOBRE FCST","BAJO FCST"),"")))</f>
        <v/>
      </c>
    </row>
    <row r="895" customFormat="false" ht="15" hidden="false" customHeight="false" outlineLevel="0" collapsed="false">
      <c r="A895" s="3" t="n">
        <v>30001474</v>
      </c>
      <c r="B895" s="3" t="s">
        <v>514</v>
      </c>
      <c r="C895" s="3" t="s">
        <v>1379</v>
      </c>
      <c r="D895" s="23" t="n">
        <v>2516.4</v>
      </c>
      <c r="E895" s="23" t="n">
        <v>1653.54966168763</v>
      </c>
      <c r="F895" s="23" t="n">
        <f aca="false">D895-E895</f>
        <v>862.850338312373</v>
      </c>
      <c r="G895" s="24" t="n">
        <f aca="false">IF(E895&gt;0,D895/E895-1,"")</f>
        <v>0.521817008768724</v>
      </c>
      <c r="H895" s="3" t="str">
        <f aca="false">IF(MAX(D895,E895)&lt;Parametros!$B$16,"",IF(E895=0,"PIDE SIN FCST",IF(ABS(G895)&gt;Parametros!$B$14,IF(G895&gt;0,"SOBRE FCST","BAJO FCST"),"")))</f>
        <v>SOBRE FCST</v>
      </c>
    </row>
    <row r="896" customFormat="false" ht="15" hidden="false" customHeight="false" outlineLevel="0" collapsed="false">
      <c r="A896" s="3" t="n">
        <v>30000464</v>
      </c>
      <c r="B896" s="3" t="s">
        <v>612</v>
      </c>
      <c r="C896" s="3" t="s">
        <v>1373</v>
      </c>
      <c r="D896" s="23" t="n">
        <v>0</v>
      </c>
      <c r="E896" s="23" t="n">
        <v>862.575065495737</v>
      </c>
      <c r="F896" s="23" t="n">
        <f aca="false">D896-E896</f>
        <v>-862.575065495737</v>
      </c>
      <c r="G896" s="24" t="n">
        <f aca="false">IF(E896&gt;0,D896/E896-1,"")</f>
        <v>-1</v>
      </c>
      <c r="H896" s="3" t="str">
        <f aca="false">IF(MAX(D896,E896)&lt;Parametros!$B$16,"",IF(E896=0,"PIDE SIN FCST",IF(ABS(G896)&gt;Parametros!$B$14,IF(G896&gt;0,"SOBRE FCST","BAJO FCST"),"")))</f>
        <v/>
      </c>
    </row>
    <row r="897" customFormat="false" ht="15" hidden="false" customHeight="false" outlineLevel="0" collapsed="false">
      <c r="A897" s="3" t="n">
        <v>30001982</v>
      </c>
      <c r="B897" s="3" t="s">
        <v>565</v>
      </c>
      <c r="C897" s="3" t="s">
        <v>1379</v>
      </c>
      <c r="D897" s="23" t="n">
        <v>0</v>
      </c>
      <c r="E897" s="23" t="n">
        <v>862.575065495737</v>
      </c>
      <c r="F897" s="23" t="n">
        <f aca="false">D897-E897</f>
        <v>-862.575065495737</v>
      </c>
      <c r="G897" s="24" t="n">
        <f aca="false">IF(E897&gt;0,D897/E897-1,"")</f>
        <v>-1</v>
      </c>
      <c r="H897" s="3" t="str">
        <f aca="false">IF(MAX(D897,E897)&lt;Parametros!$B$16,"",IF(E897=0,"PIDE SIN FCST",IF(ABS(G897)&gt;Parametros!$B$14,IF(G897&gt;0,"SOBRE FCST","BAJO FCST"),"")))</f>
        <v/>
      </c>
    </row>
    <row r="898" customFormat="false" ht="15" hidden="false" customHeight="false" outlineLevel="0" collapsed="false">
      <c r="A898" s="3" t="n">
        <v>30001055</v>
      </c>
      <c r="B898" s="3" t="s">
        <v>246</v>
      </c>
      <c r="C898" s="3" t="s">
        <v>1377</v>
      </c>
      <c r="D898" s="23" t="n">
        <v>2772</v>
      </c>
      <c r="E898" s="23" t="n">
        <v>1910.55366032707</v>
      </c>
      <c r="F898" s="23" t="n">
        <f aca="false">D898-E898</f>
        <v>861.446339672935</v>
      </c>
      <c r="G898" s="24" t="n">
        <f aca="false">IF(E898&gt;0,D898/E898-1,"")</f>
        <v>0.450888324971446</v>
      </c>
      <c r="H898" s="3" t="str">
        <f aca="false">IF(MAX(D898,E898)&lt;Parametros!$B$16,"",IF(E898=0,"PIDE SIN FCST",IF(ABS(G898)&gt;Parametros!$B$14,IF(G898&gt;0,"SOBRE FCST","BAJO FCST"),"")))</f>
        <v>SOBRE FCST</v>
      </c>
    </row>
    <row r="899" customFormat="false" ht="15" hidden="false" customHeight="false" outlineLevel="0" collapsed="false">
      <c r="A899" s="3" t="n">
        <v>30001745</v>
      </c>
      <c r="B899" s="3" t="s">
        <v>445</v>
      </c>
      <c r="C899" s="3" t="s">
        <v>1372</v>
      </c>
      <c r="D899" s="23" t="n">
        <v>2115.72</v>
      </c>
      <c r="E899" s="23" t="n">
        <v>1256.68</v>
      </c>
      <c r="F899" s="23" t="n">
        <f aca="false">D899-E899</f>
        <v>859.04</v>
      </c>
      <c r="G899" s="24" t="n">
        <f aca="false">IF(E899&gt;0,D899/E899-1,"")</f>
        <v>0.683578954069453</v>
      </c>
      <c r="H899" s="3" t="str">
        <f aca="false">IF(MAX(D899,E899)&lt;Parametros!$B$16,"",IF(E899=0,"PIDE SIN FCST",IF(ABS(G899)&gt;Parametros!$B$14,IF(G899&gt;0,"SOBRE FCST","BAJO FCST"),"")))</f>
        <v>SOBRE FCST</v>
      </c>
    </row>
    <row r="900" customFormat="false" ht="15" hidden="false" customHeight="false" outlineLevel="0" collapsed="false">
      <c r="A900" s="3" t="n">
        <v>30002297</v>
      </c>
      <c r="B900" s="3" t="s">
        <v>567</v>
      </c>
      <c r="C900" s="3" t="s">
        <v>1373</v>
      </c>
      <c r="D900" s="23" t="n">
        <v>1958.4</v>
      </c>
      <c r="E900" s="23" t="n">
        <v>1100</v>
      </c>
      <c r="F900" s="23" t="n">
        <f aca="false">D900-E900</f>
        <v>858.4</v>
      </c>
      <c r="G900" s="24" t="n">
        <f aca="false">IF(E900&gt;0,D900/E900-1,"")</f>
        <v>0.780363636363636</v>
      </c>
      <c r="H900" s="3" t="str">
        <f aca="false">IF(MAX(D900,E900)&lt;Parametros!$B$16,"",IF(E900=0,"PIDE SIN FCST",IF(ABS(G900)&gt;Parametros!$B$14,IF(G900&gt;0,"SOBRE FCST","BAJO FCST"),"")))</f>
        <v>SOBRE FCST</v>
      </c>
    </row>
    <row r="901" customFormat="false" ht="15" hidden="false" customHeight="false" outlineLevel="0" collapsed="false">
      <c r="A901" s="3" t="n">
        <v>30000401</v>
      </c>
      <c r="B901" s="3" t="s">
        <v>234</v>
      </c>
      <c r="C901" s="3" t="s">
        <v>1372</v>
      </c>
      <c r="D901" s="23" t="n">
        <v>4302</v>
      </c>
      <c r="E901" s="23" t="n">
        <v>3444.00362873861</v>
      </c>
      <c r="F901" s="23" t="n">
        <f aca="false">D901-E901</f>
        <v>857.99637126139</v>
      </c>
      <c r="G901" s="24" t="n">
        <f aca="false">IF(E901&gt;0,D901/E901-1,"")</f>
        <v>0.24912760372893</v>
      </c>
      <c r="H901" s="3" t="str">
        <f aca="false">IF(MAX(D901,E901)&lt;Parametros!$B$16,"",IF(E901=0,"PIDE SIN FCST",IF(ABS(G901)&gt;Parametros!$B$14,IF(G901&gt;0,"SOBRE FCST","BAJO FCST"),"")))</f>
        <v>SOBRE FCST</v>
      </c>
    </row>
    <row r="902" customFormat="false" ht="15" hidden="false" customHeight="false" outlineLevel="0" collapsed="false">
      <c r="A902" s="3" t="n">
        <v>30001479</v>
      </c>
      <c r="B902" s="3" t="s">
        <v>589</v>
      </c>
      <c r="C902" s="3" t="s">
        <v>1373</v>
      </c>
      <c r="D902" s="23" t="n">
        <v>142.56</v>
      </c>
      <c r="E902" s="23" t="n">
        <v>1000</v>
      </c>
      <c r="F902" s="23" t="n">
        <f aca="false">D902-E902</f>
        <v>-857.44</v>
      </c>
      <c r="G902" s="24" t="n">
        <f aca="false">IF(E902&gt;0,D902/E902-1,"")</f>
        <v>-0.85744</v>
      </c>
      <c r="H902" s="3" t="str">
        <f aca="false">IF(MAX(D902,E902)&lt;Parametros!$B$16,"",IF(E902=0,"PIDE SIN FCST",IF(ABS(G902)&gt;Parametros!$B$14,IF(G902&gt;0,"SOBRE FCST","BAJO FCST"),"")))</f>
        <v>BAJO FCST</v>
      </c>
    </row>
    <row r="903" customFormat="false" ht="15" hidden="false" customHeight="false" outlineLevel="0" collapsed="false">
      <c r="A903" s="3" t="n">
        <v>30001744</v>
      </c>
      <c r="B903" s="3" t="s">
        <v>437</v>
      </c>
      <c r="C903" s="3" t="s">
        <v>1378</v>
      </c>
      <c r="D903" s="23" t="n">
        <v>868.32</v>
      </c>
      <c r="E903" s="23" t="n">
        <v>1725.56</v>
      </c>
      <c r="F903" s="23" t="n">
        <f aca="false">D903-E903</f>
        <v>-857.24</v>
      </c>
      <c r="G903" s="24" t="n">
        <f aca="false">IF(E903&gt;0,D903/E903-1,"")</f>
        <v>-0.496789448063237</v>
      </c>
      <c r="H903" s="3" t="str">
        <f aca="false">IF(MAX(D903,E903)&lt;Parametros!$B$16,"",IF(E903=0,"PIDE SIN FCST",IF(ABS(G903)&gt;Parametros!$B$14,IF(G903&gt;0,"SOBRE FCST","BAJO FCST"),"")))</f>
        <v>BAJO FCST</v>
      </c>
    </row>
    <row r="904" customFormat="false" ht="15" hidden="false" customHeight="false" outlineLevel="0" collapsed="false">
      <c r="A904" s="3" t="n">
        <v>30001709</v>
      </c>
      <c r="B904" s="3" t="s">
        <v>343</v>
      </c>
      <c r="C904" s="3" t="s">
        <v>1377</v>
      </c>
      <c r="D904" s="23" t="n">
        <v>2187.36</v>
      </c>
      <c r="E904" s="23" t="n">
        <v>1330.19669277541</v>
      </c>
      <c r="F904" s="23" t="n">
        <f aca="false">D904-E904</f>
        <v>857.163307224589</v>
      </c>
      <c r="G904" s="24" t="n">
        <f aca="false">IF(E904&gt;0,D904/E904-1,"")</f>
        <v>0.644388391491296</v>
      </c>
      <c r="H904" s="3" t="str">
        <f aca="false">IF(MAX(D904,E904)&lt;Parametros!$B$16,"",IF(E904=0,"PIDE SIN FCST",IF(ABS(G904)&gt;Parametros!$B$14,IF(G904&gt;0,"SOBRE FCST","BAJO FCST"),"")))</f>
        <v>SOBRE FCST</v>
      </c>
    </row>
    <row r="905" customFormat="false" ht="15" hidden="false" customHeight="false" outlineLevel="0" collapsed="false">
      <c r="A905" s="3" t="n">
        <v>30001750</v>
      </c>
      <c r="B905" s="3" t="s">
        <v>298</v>
      </c>
      <c r="C905" s="3" t="s">
        <v>1375</v>
      </c>
      <c r="D905" s="23" t="n">
        <v>7857</v>
      </c>
      <c r="E905" s="23" t="n">
        <v>7000</v>
      </c>
      <c r="F905" s="23" t="n">
        <f aca="false">D905-E905</f>
        <v>857.000000000001</v>
      </c>
      <c r="G905" s="24" t="n">
        <f aca="false">IF(E905&gt;0,D905/E905-1,"")</f>
        <v>0.122428571428572</v>
      </c>
      <c r="H905" s="3" t="str">
        <f aca="false">IF(MAX(D905,E905)&lt;Parametros!$B$16,"",IF(E905=0,"PIDE SIN FCST",IF(ABS(G905)&gt;Parametros!$B$14,IF(G905&gt;0,"SOBRE FCST","BAJO FCST"),"")))</f>
        <v/>
      </c>
    </row>
    <row r="906" customFormat="false" ht="15" hidden="false" customHeight="false" outlineLevel="0" collapsed="false">
      <c r="A906" s="3" t="n">
        <v>30000250</v>
      </c>
      <c r="B906" s="3" t="s">
        <v>544</v>
      </c>
      <c r="C906" s="3" t="s">
        <v>1380</v>
      </c>
      <c r="D906" s="23" t="n">
        <v>2418</v>
      </c>
      <c r="E906" s="23" t="n">
        <v>1561.7228793635</v>
      </c>
      <c r="F906" s="23" t="n">
        <f aca="false">D906-E906</f>
        <v>856.277120636498</v>
      </c>
      <c r="G906" s="24" t="n">
        <f aca="false">IF(E906&gt;0,D906/E906-1,"")</f>
        <v>0.548290053217049</v>
      </c>
      <c r="H906" s="3" t="str">
        <f aca="false">IF(MAX(D906,E906)&lt;Parametros!$B$16,"",IF(E906=0,"PIDE SIN FCST",IF(ABS(G906)&gt;Parametros!$B$14,IF(G906&gt;0,"SOBRE FCST","BAJO FCST"),"")))</f>
        <v>SOBRE FCST</v>
      </c>
    </row>
    <row r="907" customFormat="false" ht="15" hidden="false" customHeight="false" outlineLevel="0" collapsed="false">
      <c r="A907" s="3" t="n">
        <v>30001708</v>
      </c>
      <c r="B907" s="3" t="s">
        <v>530</v>
      </c>
      <c r="C907" s="3" t="s">
        <v>1380</v>
      </c>
      <c r="D907" s="23" t="n">
        <v>1528.8</v>
      </c>
      <c r="E907" s="23" t="n">
        <v>2379.93734976813</v>
      </c>
      <c r="F907" s="23" t="n">
        <f aca="false">D907-E907</f>
        <v>-851.137349768129</v>
      </c>
      <c r="G907" s="24" t="n">
        <f aca="false">IF(E907&gt;0,D907/E907-1,"")</f>
        <v>-0.357630149319289</v>
      </c>
      <c r="H907" s="3" t="str">
        <f aca="false">IF(MAX(D907,E907)&lt;Parametros!$B$16,"",IF(E907=0,"PIDE SIN FCST",IF(ABS(G907)&gt;Parametros!$B$14,IF(G907&gt;0,"SOBRE FCST","BAJO FCST"),"")))</f>
        <v>BAJO FCST</v>
      </c>
    </row>
    <row r="908" customFormat="false" ht="15" hidden="false" customHeight="false" outlineLevel="0" collapsed="false">
      <c r="A908" s="3" t="n">
        <v>30001746</v>
      </c>
      <c r="B908" s="3" t="s">
        <v>375</v>
      </c>
      <c r="C908" s="3" t="s">
        <v>1378</v>
      </c>
      <c r="D908" s="23" t="n">
        <v>1645.92</v>
      </c>
      <c r="E908" s="23" t="n">
        <v>2496.68</v>
      </c>
      <c r="F908" s="23" t="n">
        <f aca="false">D908-E908</f>
        <v>-850.76</v>
      </c>
      <c r="G908" s="24" t="n">
        <f aca="false">IF(E908&gt;0,D908/E908-1,"")</f>
        <v>-0.340756524664755</v>
      </c>
      <c r="H908" s="3" t="str">
        <f aca="false">IF(MAX(D908,E908)&lt;Parametros!$B$16,"",IF(E908=0,"PIDE SIN FCST",IF(ABS(G908)&gt;Parametros!$B$14,IF(G908&gt;0,"SOBRE FCST","BAJO FCST"),"")))</f>
        <v>BAJO FCST</v>
      </c>
    </row>
    <row r="909" customFormat="false" ht="15" hidden="false" customHeight="false" outlineLevel="0" collapsed="false">
      <c r="A909" s="3" t="n">
        <v>30000351</v>
      </c>
      <c r="B909" s="3" t="s">
        <v>393</v>
      </c>
      <c r="C909" s="3" t="s">
        <v>1377</v>
      </c>
      <c r="D909" s="23" t="n">
        <v>1536</v>
      </c>
      <c r="E909" s="23" t="n">
        <v>2386.40084520818</v>
      </c>
      <c r="F909" s="23" t="n">
        <f aca="false">D909-E909</f>
        <v>-850.400845208178</v>
      </c>
      <c r="G909" s="24" t="n">
        <f aca="false">IF(E909&gt;0,D909/E909-1,"")</f>
        <v>-0.356352893067297</v>
      </c>
      <c r="H909" s="3" t="str">
        <f aca="false">IF(MAX(D909,E909)&lt;Parametros!$B$16,"",IF(E909=0,"PIDE SIN FCST",IF(ABS(G909)&gt;Parametros!$B$14,IF(G909&gt;0,"SOBRE FCST","BAJO FCST"),"")))</f>
        <v>BAJO FCST</v>
      </c>
    </row>
    <row r="910" customFormat="false" ht="15" hidden="false" customHeight="false" outlineLevel="0" collapsed="false">
      <c r="A910" s="3" t="n">
        <v>30000057</v>
      </c>
      <c r="B910" s="3" t="s">
        <v>554</v>
      </c>
      <c r="C910" s="3" t="s">
        <v>1373</v>
      </c>
      <c r="D910" s="23" t="n">
        <v>1850</v>
      </c>
      <c r="E910" s="23" t="n">
        <v>2700</v>
      </c>
      <c r="F910" s="23" t="n">
        <f aca="false">D910-E910</f>
        <v>-850</v>
      </c>
      <c r="G910" s="24" t="n">
        <f aca="false">IF(E910&gt;0,D910/E910-1,"")</f>
        <v>-0.314814814814815</v>
      </c>
      <c r="H910" s="3" t="str">
        <f aca="false">IF(MAX(D910,E910)&lt;Parametros!$B$16,"",IF(E910=0,"PIDE SIN FCST",IF(ABS(G910)&gt;Parametros!$B$14,IF(G910&gt;0,"SOBRE FCST","BAJO FCST"),"")))</f>
        <v>BAJO FCST</v>
      </c>
    </row>
    <row r="911" customFormat="false" ht="15" hidden="false" customHeight="false" outlineLevel="0" collapsed="false">
      <c r="A911" s="3" t="n">
        <v>30000054</v>
      </c>
      <c r="B911" s="3" t="s">
        <v>349</v>
      </c>
      <c r="C911" s="3" t="s">
        <v>1379</v>
      </c>
      <c r="D911" s="23" t="n">
        <v>2870.4</v>
      </c>
      <c r="E911" s="23" t="n">
        <v>2022.24</v>
      </c>
      <c r="F911" s="23" t="n">
        <f aca="false">D911-E911</f>
        <v>848.16</v>
      </c>
      <c r="G911" s="24" t="n">
        <f aca="false">IF(E911&gt;0,D911/E911-1,"")</f>
        <v>0.419416093045336</v>
      </c>
      <c r="H911" s="3" t="str">
        <f aca="false">IF(MAX(D911,E911)&lt;Parametros!$B$16,"",IF(E911=0,"PIDE SIN FCST",IF(ABS(G911)&gt;Parametros!$B$14,IF(G911&gt;0,"SOBRE FCST","BAJO FCST"),"")))</f>
        <v>SOBRE FCST</v>
      </c>
    </row>
    <row r="912" customFormat="false" ht="15" hidden="false" customHeight="false" outlineLevel="0" collapsed="false">
      <c r="A912" s="3" t="n">
        <v>30002176</v>
      </c>
      <c r="B912" s="3" t="s">
        <v>548</v>
      </c>
      <c r="C912" s="3" t="s">
        <v>1380</v>
      </c>
      <c r="D912" s="23" t="n">
        <v>2644.8</v>
      </c>
      <c r="E912" s="23" t="n">
        <v>1800</v>
      </c>
      <c r="F912" s="23" t="n">
        <f aca="false">D912-E912</f>
        <v>844.8</v>
      </c>
      <c r="G912" s="24" t="n">
        <f aca="false">IF(E912&gt;0,D912/E912-1,"")</f>
        <v>0.469333333333333</v>
      </c>
      <c r="H912" s="3" t="str">
        <f aca="false">IF(MAX(D912,E912)&lt;Parametros!$B$16,"",IF(E912=0,"PIDE SIN FCST",IF(ABS(G912)&gt;Parametros!$B$14,IF(G912&gt;0,"SOBRE FCST","BAJO FCST"),"")))</f>
        <v>SOBRE FCST</v>
      </c>
    </row>
    <row r="913" customFormat="false" ht="15" hidden="false" customHeight="false" outlineLevel="0" collapsed="false">
      <c r="A913" s="3" t="n">
        <v>30002285</v>
      </c>
      <c r="B913" s="3" t="s">
        <v>575</v>
      </c>
      <c r="C913" s="3" t="s">
        <v>1375</v>
      </c>
      <c r="D913" s="23" t="n">
        <v>2586</v>
      </c>
      <c r="E913" s="23" t="n">
        <v>1743.2</v>
      </c>
      <c r="F913" s="23" t="n">
        <f aca="false">D913-E913</f>
        <v>842.8</v>
      </c>
      <c r="G913" s="24" t="n">
        <f aca="false">IF(E913&gt;0,D913/E913-1,"")</f>
        <v>0.48347865993575</v>
      </c>
      <c r="H913" s="3" t="str">
        <f aca="false">IF(MAX(D913,E913)&lt;Parametros!$B$16,"",IF(E913=0,"PIDE SIN FCST",IF(ABS(G913)&gt;Parametros!$B$14,IF(G913&gt;0,"SOBRE FCST","BAJO FCST"),"")))</f>
        <v>SOBRE FCST</v>
      </c>
    </row>
    <row r="914" customFormat="false" ht="15" hidden="false" customHeight="false" outlineLevel="0" collapsed="false">
      <c r="A914" s="3" t="n">
        <v>30002064</v>
      </c>
      <c r="B914" s="3" t="s">
        <v>509</v>
      </c>
      <c r="C914" s="3" t="s">
        <v>1379</v>
      </c>
      <c r="D914" s="23" t="n">
        <v>1358.4</v>
      </c>
      <c r="E914" s="23" t="n">
        <v>2200</v>
      </c>
      <c r="F914" s="23" t="n">
        <f aca="false">D914-E914</f>
        <v>-841.6</v>
      </c>
      <c r="G914" s="24" t="n">
        <f aca="false">IF(E914&gt;0,D914/E914-1,"")</f>
        <v>-0.382545454545455</v>
      </c>
      <c r="H914" s="3" t="str">
        <f aca="false">IF(MAX(D914,E914)&lt;Parametros!$B$16,"",IF(E914=0,"PIDE SIN FCST",IF(ABS(G914)&gt;Parametros!$B$14,IF(G914&gt;0,"SOBRE FCST","BAJO FCST"),"")))</f>
        <v>BAJO FCST</v>
      </c>
    </row>
    <row r="915" customFormat="false" ht="15" hidden="false" customHeight="false" outlineLevel="0" collapsed="false">
      <c r="A915" s="3" t="n">
        <v>30000305</v>
      </c>
      <c r="B915" s="3" t="s">
        <v>254</v>
      </c>
      <c r="C915" s="3" t="s">
        <v>1376</v>
      </c>
      <c r="D915" s="23" t="n">
        <v>840</v>
      </c>
      <c r="E915" s="23" t="n">
        <v>0</v>
      </c>
      <c r="F915" s="23" t="n">
        <f aca="false">D915-E915</f>
        <v>840</v>
      </c>
      <c r="G915" s="24" t="str">
        <f aca="false">IF(E915&gt;0,D915/E915-1,"")</f>
        <v/>
      </c>
      <c r="H915" s="3" t="str">
        <f aca="false">IF(MAX(D915,E915)&lt;Parametros!$B$16,"",IF(E915=0,"PIDE SIN FCST",IF(ABS(G915)&gt;Parametros!$B$14,IF(G915&gt;0,"SOBRE FCST","BAJO FCST"),"")))</f>
        <v/>
      </c>
    </row>
    <row r="916" customFormat="false" ht="15" hidden="false" customHeight="false" outlineLevel="0" collapsed="false">
      <c r="A916" s="3" t="n">
        <v>30002066</v>
      </c>
      <c r="B916" s="3" t="s">
        <v>247</v>
      </c>
      <c r="C916" s="3" t="s">
        <v>1375</v>
      </c>
      <c r="D916" s="23" t="n">
        <v>840</v>
      </c>
      <c r="E916" s="23" t="n">
        <v>0</v>
      </c>
      <c r="F916" s="23" t="n">
        <f aca="false">D916-E916</f>
        <v>840</v>
      </c>
      <c r="G916" s="24" t="str">
        <f aca="false">IF(E916&gt;0,D916/E916-1,"")</f>
        <v/>
      </c>
      <c r="H916" s="3" t="str">
        <f aca="false">IF(MAX(D916,E916)&lt;Parametros!$B$16,"",IF(E916=0,"PIDE SIN FCST",IF(ABS(G916)&gt;Parametros!$B$14,IF(G916&gt;0,"SOBRE FCST","BAJO FCST"),"")))</f>
        <v/>
      </c>
    </row>
    <row r="917" customFormat="false" ht="15" hidden="false" customHeight="false" outlineLevel="0" collapsed="false">
      <c r="A917" s="3" t="n">
        <v>30000629</v>
      </c>
      <c r="B917" s="3" t="s">
        <v>347</v>
      </c>
      <c r="C917" s="3" t="s">
        <v>1379</v>
      </c>
      <c r="D917" s="23" t="n">
        <v>2736</v>
      </c>
      <c r="E917" s="23" t="n">
        <v>1900</v>
      </c>
      <c r="F917" s="23" t="n">
        <f aca="false">D917-E917</f>
        <v>836</v>
      </c>
      <c r="G917" s="24" t="n">
        <f aca="false">IF(E917&gt;0,D917/E917-1,"")</f>
        <v>0.44</v>
      </c>
      <c r="H917" s="3" t="str">
        <f aca="false">IF(MAX(D917,E917)&lt;Parametros!$B$16,"",IF(E917=0,"PIDE SIN FCST",IF(ABS(G917)&gt;Parametros!$B$14,IF(G917&gt;0,"SOBRE FCST","BAJO FCST"),"")))</f>
        <v>SOBRE FCST</v>
      </c>
    </row>
    <row r="918" customFormat="false" ht="15" hidden="false" customHeight="false" outlineLevel="0" collapsed="false">
      <c r="A918" s="3" t="n">
        <v>30001402</v>
      </c>
      <c r="B918" s="3" t="s">
        <v>460</v>
      </c>
      <c r="C918" s="3" t="s">
        <v>1372</v>
      </c>
      <c r="D918" s="23" t="n">
        <v>507.6</v>
      </c>
      <c r="E918" s="23" t="n">
        <v>1337.68325665114</v>
      </c>
      <c r="F918" s="23" t="n">
        <f aca="false">D918-E918</f>
        <v>-830.083256651142</v>
      </c>
      <c r="G918" s="24" t="n">
        <f aca="false">IF(E918&gt;0,D918/E918-1,"")</f>
        <v>-0.620537973039474</v>
      </c>
      <c r="H918" s="3" t="str">
        <f aca="false">IF(MAX(D918,E918)&lt;Parametros!$B$16,"",IF(E918=0,"PIDE SIN FCST",IF(ABS(G918)&gt;Parametros!$B$14,IF(G918&gt;0,"SOBRE FCST","BAJO FCST"),"")))</f>
        <v>BAJO FCST</v>
      </c>
    </row>
    <row r="919" customFormat="false" ht="15" hidden="false" customHeight="false" outlineLevel="0" collapsed="false">
      <c r="A919" s="3" t="n">
        <v>30000542</v>
      </c>
      <c r="B919" s="3" t="s">
        <v>616</v>
      </c>
      <c r="C919" s="3" t="s">
        <v>1380</v>
      </c>
      <c r="D919" s="23" t="n">
        <v>770</v>
      </c>
      <c r="E919" s="23" t="n">
        <v>1600</v>
      </c>
      <c r="F919" s="23" t="n">
        <f aca="false">D919-E919</f>
        <v>-830</v>
      </c>
      <c r="G919" s="24" t="n">
        <f aca="false">IF(E919&gt;0,D919/E919-1,"")</f>
        <v>-0.51875</v>
      </c>
      <c r="H919" s="3" t="str">
        <f aca="false">IF(MAX(D919,E919)&lt;Parametros!$B$16,"",IF(E919=0,"PIDE SIN FCST",IF(ABS(G919)&gt;Parametros!$B$14,IF(G919&gt;0,"SOBRE FCST","BAJO FCST"),"")))</f>
        <v>BAJO FCST</v>
      </c>
    </row>
    <row r="920" customFormat="false" ht="15" hidden="false" customHeight="false" outlineLevel="0" collapsed="false">
      <c r="A920" s="3" t="n">
        <v>30001049</v>
      </c>
      <c r="B920" s="3" t="s">
        <v>269</v>
      </c>
      <c r="C920" s="3" t="s">
        <v>1375</v>
      </c>
      <c r="D920" s="23" t="n">
        <v>10104</v>
      </c>
      <c r="E920" s="23" t="n">
        <v>9274.16866106121</v>
      </c>
      <c r="F920" s="23" t="n">
        <f aca="false">D920-E920</f>
        <v>829.831338938786</v>
      </c>
      <c r="G920" s="24" t="n">
        <f aca="false">IF(E920&gt;0,D920/E920-1,"")</f>
        <v>0.0894777062253502</v>
      </c>
      <c r="H920" s="3" t="str">
        <f aca="false">IF(MAX(D920,E920)&lt;Parametros!$B$16,"",IF(E920=0,"PIDE SIN FCST",IF(ABS(G920)&gt;Parametros!$B$14,IF(G920&gt;0,"SOBRE FCST","BAJO FCST"),"")))</f>
        <v/>
      </c>
    </row>
    <row r="921" customFormat="false" ht="15" hidden="false" customHeight="false" outlineLevel="0" collapsed="false">
      <c r="A921" s="3" t="n">
        <v>30000555</v>
      </c>
      <c r="B921" s="3" t="s">
        <v>570</v>
      </c>
      <c r="C921" s="3" t="s">
        <v>1379</v>
      </c>
      <c r="D921" s="23" t="n">
        <v>36</v>
      </c>
      <c r="E921" s="23" t="n">
        <v>862.575065495737</v>
      </c>
      <c r="F921" s="23" t="n">
        <f aca="false">D921-E921</f>
        <v>-826.575065495737</v>
      </c>
      <c r="G921" s="24" t="n">
        <f aca="false">IF(E921&gt;0,D921/E921-1,"")</f>
        <v>-0.958264501908237</v>
      </c>
      <c r="H921" s="3" t="str">
        <f aca="false">IF(MAX(D921,E921)&lt;Parametros!$B$16,"",IF(E921=0,"PIDE SIN FCST",IF(ABS(G921)&gt;Parametros!$B$14,IF(G921&gt;0,"SOBRE FCST","BAJO FCST"),"")))</f>
        <v/>
      </c>
    </row>
    <row r="922" customFormat="false" ht="15" hidden="false" customHeight="false" outlineLevel="0" collapsed="false">
      <c r="A922" s="3" t="n">
        <v>30001776</v>
      </c>
      <c r="B922" s="3" t="s">
        <v>605</v>
      </c>
      <c r="C922" s="3" t="s">
        <v>1373</v>
      </c>
      <c r="D922" s="23" t="n">
        <v>348</v>
      </c>
      <c r="E922" s="23" t="n">
        <v>1173.33333333333</v>
      </c>
      <c r="F922" s="23" t="n">
        <f aca="false">D922-E922</f>
        <v>-825.333333333333</v>
      </c>
      <c r="G922" s="24" t="n">
        <f aca="false">IF(E922&gt;0,D922/E922-1,"")</f>
        <v>-0.703409090909091</v>
      </c>
      <c r="H922" s="3" t="str">
        <f aca="false">IF(MAX(D922,E922)&lt;Parametros!$B$16,"",IF(E922=0,"PIDE SIN FCST",IF(ABS(G922)&gt;Parametros!$B$14,IF(G922&gt;0,"SOBRE FCST","BAJO FCST"),"")))</f>
        <v>BAJO FCST</v>
      </c>
    </row>
    <row r="923" customFormat="false" ht="15" hidden="false" customHeight="false" outlineLevel="0" collapsed="false">
      <c r="A923" s="3" t="n">
        <v>30001983</v>
      </c>
      <c r="B923" s="3" t="s">
        <v>458</v>
      </c>
      <c r="C923" s="3" t="s">
        <v>1380</v>
      </c>
      <c r="D923" s="23" t="n">
        <v>1840.32</v>
      </c>
      <c r="E923" s="23" t="n">
        <v>1016.29728985224</v>
      </c>
      <c r="F923" s="23" t="n">
        <f aca="false">D923-E923</f>
        <v>824.022710147756</v>
      </c>
      <c r="G923" s="24" t="n">
        <f aca="false">IF(E923&gt;0,D923/E923-1,"")</f>
        <v>0.810808725336223</v>
      </c>
      <c r="H923" s="3" t="str">
        <f aca="false">IF(MAX(D923,E923)&lt;Parametros!$B$16,"",IF(E923=0,"PIDE SIN FCST",IF(ABS(G923)&gt;Parametros!$B$14,IF(G923&gt;0,"SOBRE FCST","BAJO FCST"),"")))</f>
        <v>SOBRE FCST</v>
      </c>
    </row>
    <row r="924" customFormat="false" ht="15" hidden="false" customHeight="false" outlineLevel="0" collapsed="false">
      <c r="A924" s="3" t="n">
        <v>30001754</v>
      </c>
      <c r="B924" s="3" t="s">
        <v>296</v>
      </c>
      <c r="C924" s="3" t="s">
        <v>1375</v>
      </c>
      <c r="D924" s="23" t="n">
        <v>10422</v>
      </c>
      <c r="E924" s="23" t="n">
        <v>9600</v>
      </c>
      <c r="F924" s="23" t="n">
        <f aca="false">D924-E924</f>
        <v>822</v>
      </c>
      <c r="G924" s="24" t="n">
        <f aca="false">IF(E924&gt;0,D924/E924-1,"")</f>
        <v>0.0856250000000001</v>
      </c>
      <c r="H924" s="3" t="str">
        <f aca="false">IF(MAX(D924,E924)&lt;Parametros!$B$16,"",IF(E924=0,"PIDE SIN FCST",IF(ABS(G924)&gt;Parametros!$B$14,IF(G924&gt;0,"SOBRE FCST","BAJO FCST"),"")))</f>
        <v/>
      </c>
    </row>
    <row r="925" customFormat="false" ht="15" hidden="false" customHeight="false" outlineLevel="0" collapsed="false">
      <c r="A925" s="3" t="n">
        <v>30001745</v>
      </c>
      <c r="B925" s="3" t="s">
        <v>445</v>
      </c>
      <c r="C925" s="3" t="s">
        <v>1378</v>
      </c>
      <c r="D925" s="23" t="n">
        <v>903.96</v>
      </c>
      <c r="E925" s="23" t="n">
        <v>1725.56</v>
      </c>
      <c r="F925" s="23" t="n">
        <f aca="false">D925-E925</f>
        <v>-821.6</v>
      </c>
      <c r="G925" s="24" t="n">
        <f aca="false">IF(E925&gt;0,D925/E925-1,"")</f>
        <v>-0.476135283618072</v>
      </c>
      <c r="H925" s="3" t="str">
        <f aca="false">IF(MAX(D925,E925)&lt;Parametros!$B$16,"",IF(E925=0,"PIDE SIN FCST",IF(ABS(G925)&gt;Parametros!$B$14,IF(G925&gt;0,"SOBRE FCST","BAJO FCST"),"")))</f>
        <v>BAJO FCST</v>
      </c>
    </row>
    <row r="926" customFormat="false" ht="15" hidden="false" customHeight="false" outlineLevel="0" collapsed="false">
      <c r="A926" s="3" t="n">
        <v>30001508</v>
      </c>
      <c r="B926" s="3" t="s">
        <v>318</v>
      </c>
      <c r="C926" s="3" t="s">
        <v>1380</v>
      </c>
      <c r="D926" s="23" t="n">
        <v>6624</v>
      </c>
      <c r="E926" s="23" t="n">
        <v>5803.09513916632</v>
      </c>
      <c r="F926" s="23" t="n">
        <f aca="false">D926-E926</f>
        <v>820.904860833682</v>
      </c>
      <c r="G926" s="24" t="n">
        <f aca="false">IF(E926&gt;0,D926/E926-1,"")</f>
        <v>0.141459831546311</v>
      </c>
      <c r="H926" s="3" t="str">
        <f aca="false">IF(MAX(D926,E926)&lt;Parametros!$B$16,"",IF(E926=0,"PIDE SIN FCST",IF(ABS(G926)&gt;Parametros!$B$14,IF(G926&gt;0,"SOBRE FCST","BAJO FCST"),"")))</f>
        <v/>
      </c>
    </row>
    <row r="927" customFormat="false" ht="15" hidden="false" customHeight="false" outlineLevel="0" collapsed="false">
      <c r="A927" s="3" t="n">
        <v>30000494</v>
      </c>
      <c r="B927" s="3" t="s">
        <v>611</v>
      </c>
      <c r="C927" s="3" t="s">
        <v>1375</v>
      </c>
      <c r="D927" s="23" t="n">
        <v>0</v>
      </c>
      <c r="E927" s="23" t="n">
        <v>820.767669214588</v>
      </c>
      <c r="F927" s="23" t="n">
        <f aca="false">D927-E927</f>
        <v>-820.767669214588</v>
      </c>
      <c r="G927" s="24" t="n">
        <f aca="false">IF(E927&gt;0,D927/E927-1,"")</f>
        <v>-1</v>
      </c>
      <c r="H927" s="3" t="str">
        <f aca="false">IF(MAX(D927,E927)&lt;Parametros!$B$16,"",IF(E927=0,"PIDE SIN FCST",IF(ABS(G927)&gt;Parametros!$B$14,IF(G927&gt;0,"SOBRE FCST","BAJO FCST"),"")))</f>
        <v/>
      </c>
    </row>
    <row r="928" customFormat="false" ht="15" hidden="false" customHeight="false" outlineLevel="0" collapsed="false">
      <c r="A928" s="3" t="n">
        <v>30000010</v>
      </c>
      <c r="B928" s="3" t="s">
        <v>331</v>
      </c>
      <c r="C928" s="3" t="s">
        <v>1379</v>
      </c>
      <c r="D928" s="23" t="n">
        <v>3864</v>
      </c>
      <c r="E928" s="23" t="n">
        <v>3045.79478913434</v>
      </c>
      <c r="F928" s="23" t="n">
        <f aca="false">D928-E928</f>
        <v>818.205210865659</v>
      </c>
      <c r="G928" s="24" t="n">
        <f aca="false">IF(E928&gt;0,D928/E928-1,"")</f>
        <v>0.268634385279188</v>
      </c>
      <c r="H928" s="3" t="str">
        <f aca="false">IF(MAX(D928,E928)&lt;Parametros!$B$16,"",IF(E928=0,"PIDE SIN FCST",IF(ABS(G928)&gt;Parametros!$B$14,IF(G928&gt;0,"SOBRE FCST","BAJO FCST"),"")))</f>
        <v>SOBRE FCST</v>
      </c>
    </row>
    <row r="929" customFormat="false" ht="15" hidden="false" customHeight="false" outlineLevel="0" collapsed="false">
      <c r="A929" s="3" t="n">
        <v>30002155</v>
      </c>
      <c r="B929" s="3" t="s">
        <v>273</v>
      </c>
      <c r="C929" s="3" t="s">
        <v>1377</v>
      </c>
      <c r="D929" s="23" t="n">
        <v>6441.6</v>
      </c>
      <c r="E929" s="23" t="n">
        <v>5624.06096899265</v>
      </c>
      <c r="F929" s="23" t="n">
        <f aca="false">D929-E929</f>
        <v>817.539031007355</v>
      </c>
      <c r="G929" s="24" t="n">
        <f aca="false">IF(E929&gt;0,D929/E929-1,"")</f>
        <v>0.145364539167467</v>
      </c>
      <c r="H929" s="3" t="str">
        <f aca="false">IF(MAX(D929,E929)&lt;Parametros!$B$16,"",IF(E929=0,"PIDE SIN FCST",IF(ABS(G929)&gt;Parametros!$B$14,IF(G929&gt;0,"SOBRE FCST","BAJO FCST"),"")))</f>
        <v/>
      </c>
    </row>
    <row r="930" customFormat="false" ht="15" hidden="false" customHeight="false" outlineLevel="0" collapsed="false">
      <c r="A930" s="3" t="n">
        <v>30001018</v>
      </c>
      <c r="B930" s="3" t="s">
        <v>385</v>
      </c>
      <c r="C930" s="3" t="s">
        <v>1380</v>
      </c>
      <c r="D930" s="23" t="n">
        <v>5299.2</v>
      </c>
      <c r="E930" s="23" t="n">
        <v>6115.45163779894</v>
      </c>
      <c r="F930" s="23" t="n">
        <f aca="false">D930-E930</f>
        <v>-816.251637798935</v>
      </c>
      <c r="G930" s="24" t="n">
        <f aca="false">IF(E930&gt;0,D930/E930-1,"")</f>
        <v>-0.133473647760334</v>
      </c>
      <c r="H930" s="3" t="str">
        <f aca="false">IF(MAX(D930,E930)&lt;Parametros!$B$16,"",IF(E930=0,"PIDE SIN FCST",IF(ABS(G930)&gt;Parametros!$B$14,IF(G930&gt;0,"SOBRE FCST","BAJO FCST"),"")))</f>
        <v/>
      </c>
    </row>
    <row r="931" customFormat="false" ht="15" hidden="false" customHeight="false" outlineLevel="0" collapsed="false">
      <c r="A931" s="3" t="n">
        <v>30000086</v>
      </c>
      <c r="B931" s="3" t="s">
        <v>508</v>
      </c>
      <c r="C931" s="3" t="s">
        <v>1373</v>
      </c>
      <c r="D931" s="23" t="n">
        <v>480</v>
      </c>
      <c r="E931" s="23" t="n">
        <v>1293.86259824361</v>
      </c>
      <c r="F931" s="23" t="n">
        <f aca="false">D931-E931</f>
        <v>-813.862598243605</v>
      </c>
      <c r="G931" s="24" t="n">
        <f aca="false">IF(E931&gt;0,D931/E931-1,"")</f>
        <v>-0.629017794739881</v>
      </c>
      <c r="H931" s="3" t="str">
        <f aca="false">IF(MAX(D931,E931)&lt;Parametros!$B$16,"",IF(E931=0,"PIDE SIN FCST",IF(ABS(G931)&gt;Parametros!$B$14,IF(G931&gt;0,"SOBRE FCST","BAJO FCST"),"")))</f>
        <v>BAJO FCST</v>
      </c>
    </row>
    <row r="932" customFormat="false" ht="15" hidden="false" customHeight="false" outlineLevel="0" collapsed="false">
      <c r="A932" s="3" t="n">
        <v>30001883</v>
      </c>
      <c r="B932" s="3" t="s">
        <v>476</v>
      </c>
      <c r="C932" s="3" t="s">
        <v>1378</v>
      </c>
      <c r="D932" s="23" t="n">
        <v>1225.8</v>
      </c>
      <c r="E932" s="23" t="n">
        <v>412.635869565217</v>
      </c>
      <c r="F932" s="23" t="n">
        <f aca="false">D932-E932</f>
        <v>813.164130434783</v>
      </c>
      <c r="G932" s="24" t="n">
        <f aca="false">IF(E932&gt;0,D932/E932-1,"")</f>
        <v>1.97065788607178</v>
      </c>
      <c r="H932" s="3" t="str">
        <f aca="false">IF(MAX(D932,E932)&lt;Parametros!$B$16,"",IF(E932=0,"PIDE SIN FCST",IF(ABS(G932)&gt;Parametros!$B$14,IF(G932&gt;0,"SOBRE FCST","BAJO FCST"),"")))</f>
        <v>SOBRE FCST</v>
      </c>
    </row>
    <row r="933" customFormat="false" ht="15" hidden="false" customHeight="false" outlineLevel="0" collapsed="false">
      <c r="A933" s="3" t="n">
        <v>30001091</v>
      </c>
      <c r="B933" s="3" t="s">
        <v>303</v>
      </c>
      <c r="C933" s="3" t="s">
        <v>1379</v>
      </c>
      <c r="D933" s="23" t="n">
        <v>2656.8</v>
      </c>
      <c r="E933" s="23" t="n">
        <v>1843.83073031302</v>
      </c>
      <c r="F933" s="23" t="n">
        <f aca="false">D933-E933</f>
        <v>812.969269686981</v>
      </c>
      <c r="G933" s="24" t="n">
        <f aca="false">IF(E933&gt;0,D933/E933-1,"")</f>
        <v>0.440913179459248</v>
      </c>
      <c r="H933" s="3" t="str">
        <f aca="false">IF(MAX(D933,E933)&lt;Parametros!$B$16,"",IF(E933=0,"PIDE SIN FCST",IF(ABS(G933)&gt;Parametros!$B$14,IF(G933&gt;0,"SOBRE FCST","BAJO FCST"),"")))</f>
        <v>SOBRE FCST</v>
      </c>
    </row>
    <row r="934" customFormat="false" ht="15" hidden="false" customHeight="false" outlineLevel="0" collapsed="false">
      <c r="A934" s="3" t="n">
        <v>30000206</v>
      </c>
      <c r="B934" s="3" t="s">
        <v>287</v>
      </c>
      <c r="C934" s="3" t="s">
        <v>1377</v>
      </c>
      <c r="D934" s="23" t="n">
        <v>1518</v>
      </c>
      <c r="E934" s="23" t="n">
        <v>2329.1861685767</v>
      </c>
      <c r="F934" s="23" t="n">
        <f aca="false">D934-E934</f>
        <v>-811.186168576695</v>
      </c>
      <c r="G934" s="24" t="n">
        <f aca="false">IF(E934&gt;0,D934/E934-1,"")</f>
        <v>-0.348270215374149</v>
      </c>
      <c r="H934" s="3" t="str">
        <f aca="false">IF(MAX(D934,E934)&lt;Parametros!$B$16,"",IF(E934=0,"PIDE SIN FCST",IF(ABS(G934)&gt;Parametros!$B$14,IF(G934&gt;0,"SOBRE FCST","BAJO FCST"),"")))</f>
        <v>BAJO FCST</v>
      </c>
    </row>
    <row r="935" customFormat="false" ht="15" hidden="false" customHeight="false" outlineLevel="0" collapsed="false">
      <c r="A935" s="3" t="n">
        <v>30001902</v>
      </c>
      <c r="B935" s="3" t="s">
        <v>547</v>
      </c>
      <c r="C935" s="3" t="s">
        <v>1380</v>
      </c>
      <c r="D935" s="23" t="n">
        <v>1296</v>
      </c>
      <c r="E935" s="23" t="n">
        <v>484.820431284352</v>
      </c>
      <c r="F935" s="23" t="n">
        <f aca="false">D935-E935</f>
        <v>811.179568715648</v>
      </c>
      <c r="G935" s="24" t="n">
        <f aca="false">IF(E935&gt;0,D935/E935-1,"")</f>
        <v>1.67315467000169</v>
      </c>
      <c r="H935" s="3" t="str">
        <f aca="false">IF(MAX(D935,E935)&lt;Parametros!$B$16,"",IF(E935=0,"PIDE SIN FCST",IF(ABS(G935)&gt;Parametros!$B$14,IF(G935&gt;0,"SOBRE FCST","BAJO FCST"),"")))</f>
        <v>SOBRE FCST</v>
      </c>
    </row>
    <row r="936" customFormat="false" ht="15" hidden="false" customHeight="false" outlineLevel="0" collapsed="false">
      <c r="A936" s="3" t="n">
        <v>30002274</v>
      </c>
      <c r="B936" s="3" t="s">
        <v>576</v>
      </c>
      <c r="C936" s="3" t="s">
        <v>1378</v>
      </c>
      <c r="D936" s="23" t="n">
        <v>291.6</v>
      </c>
      <c r="E936" s="23" t="n">
        <v>1100.625</v>
      </c>
      <c r="F936" s="23" t="n">
        <f aca="false">D936-E936</f>
        <v>-809.025</v>
      </c>
      <c r="G936" s="24" t="n">
        <f aca="false">IF(E936&gt;0,D936/E936-1,"")</f>
        <v>-0.735059625212947</v>
      </c>
      <c r="H936" s="3" t="str">
        <f aca="false">IF(MAX(D936,E936)&lt;Parametros!$B$16,"",IF(E936=0,"PIDE SIN FCST",IF(ABS(G936)&gt;Parametros!$B$14,IF(G936&gt;0,"SOBRE FCST","BAJO FCST"),"")))</f>
        <v>BAJO FCST</v>
      </c>
    </row>
    <row r="937" customFormat="false" ht="15" hidden="false" customHeight="false" outlineLevel="0" collapsed="false">
      <c r="A937" s="3" t="n">
        <v>30001883</v>
      </c>
      <c r="B937" s="3" t="s">
        <v>476</v>
      </c>
      <c r="C937" s="3" t="s">
        <v>1380</v>
      </c>
      <c r="D937" s="23" t="n">
        <v>5292</v>
      </c>
      <c r="E937" s="23" t="n">
        <v>6100</v>
      </c>
      <c r="F937" s="23" t="n">
        <f aca="false">D937-E937</f>
        <v>-808</v>
      </c>
      <c r="G937" s="24" t="n">
        <f aca="false">IF(E937&gt;0,D937/E937-1,"")</f>
        <v>-0.132459016393443</v>
      </c>
      <c r="H937" s="3" t="str">
        <f aca="false">IF(MAX(D937,E937)&lt;Parametros!$B$16,"",IF(E937=0,"PIDE SIN FCST",IF(ABS(G937)&gt;Parametros!$B$14,IF(G937&gt;0,"SOBRE FCST","BAJO FCST"),"")))</f>
        <v/>
      </c>
    </row>
    <row r="938" customFormat="false" ht="15" hidden="false" customHeight="false" outlineLevel="0" collapsed="false">
      <c r="A938" s="3" t="n">
        <v>30001091</v>
      </c>
      <c r="B938" s="3" t="s">
        <v>303</v>
      </c>
      <c r="C938" s="3" t="s">
        <v>1372</v>
      </c>
      <c r="D938" s="23" t="n">
        <v>3506.4</v>
      </c>
      <c r="E938" s="23" t="n">
        <v>4312.87532747868</v>
      </c>
      <c r="F938" s="23" t="n">
        <f aca="false">D938-E938</f>
        <v>-806.475327478683</v>
      </c>
      <c r="G938" s="24" t="n">
        <f aca="false">IF(E938&gt;0,D938/E938-1,"")</f>
        <v>-0.186992497172449</v>
      </c>
      <c r="H938" s="3" t="str">
        <f aca="false">IF(MAX(D938,E938)&lt;Parametros!$B$16,"",IF(E938=0,"PIDE SIN FCST",IF(ABS(G938)&gt;Parametros!$B$14,IF(G938&gt;0,"SOBRE FCST","BAJO FCST"),"")))</f>
        <v/>
      </c>
    </row>
    <row r="939" customFormat="false" ht="15" hidden="false" customHeight="false" outlineLevel="0" collapsed="false">
      <c r="A939" s="3" t="n">
        <v>30001897</v>
      </c>
      <c r="B939" s="3" t="s">
        <v>409</v>
      </c>
      <c r="C939" s="3" t="s">
        <v>1380</v>
      </c>
      <c r="D939" s="23" t="n">
        <v>4468.8</v>
      </c>
      <c r="E939" s="23" t="n">
        <v>5274.65390674022</v>
      </c>
      <c r="F939" s="23" t="n">
        <f aca="false">D939-E939</f>
        <v>-805.853906740223</v>
      </c>
      <c r="G939" s="24" t="n">
        <f aca="false">IF(E939&gt;0,D939/E939-1,"")</f>
        <v>-0.152778536940682</v>
      </c>
      <c r="H939" s="3" t="str">
        <f aca="false">IF(MAX(D939,E939)&lt;Parametros!$B$16,"",IF(E939=0,"PIDE SIN FCST",IF(ABS(G939)&gt;Parametros!$B$14,IF(G939&gt;0,"SOBRE FCST","BAJO FCST"),"")))</f>
        <v/>
      </c>
    </row>
    <row r="940" customFormat="false" ht="15" hidden="false" customHeight="false" outlineLevel="0" collapsed="false">
      <c r="A940" s="3" t="n">
        <v>30000643</v>
      </c>
      <c r="B940" s="3" t="s">
        <v>240</v>
      </c>
      <c r="C940" s="3" t="s">
        <v>1372</v>
      </c>
      <c r="D940" s="23" t="n">
        <v>4164.8</v>
      </c>
      <c r="E940" s="23" t="n">
        <v>3361.36</v>
      </c>
      <c r="F940" s="23" t="n">
        <f aca="false">D940-E940</f>
        <v>803.44</v>
      </c>
      <c r="G940" s="24" t="n">
        <f aca="false">IF(E940&gt;0,D940/E940-1,"")</f>
        <v>0.239022300497418</v>
      </c>
      <c r="H940" s="3" t="str">
        <f aca="false">IF(MAX(D940,E940)&lt;Parametros!$B$16,"",IF(E940=0,"PIDE SIN FCST",IF(ABS(G940)&gt;Parametros!$B$14,IF(G940&gt;0,"SOBRE FCST","BAJO FCST"),"")))</f>
        <v>SOBRE FCST</v>
      </c>
    </row>
    <row r="941" customFormat="false" ht="15" hidden="false" customHeight="false" outlineLevel="0" collapsed="false">
      <c r="A941" s="3" t="n">
        <v>30001749</v>
      </c>
      <c r="B941" s="3" t="s">
        <v>307</v>
      </c>
      <c r="C941" s="3" t="s">
        <v>1379</v>
      </c>
      <c r="D941" s="23" t="n">
        <v>3402</v>
      </c>
      <c r="E941" s="23" t="n">
        <v>2600</v>
      </c>
      <c r="F941" s="23" t="n">
        <f aca="false">D941-E941</f>
        <v>802</v>
      </c>
      <c r="G941" s="24" t="n">
        <f aca="false">IF(E941&gt;0,D941/E941-1,"")</f>
        <v>0.308461538461539</v>
      </c>
      <c r="H941" s="3" t="str">
        <f aca="false">IF(MAX(D941,E941)&lt;Parametros!$B$16,"",IF(E941=0,"PIDE SIN FCST",IF(ABS(G941)&gt;Parametros!$B$14,IF(G941&gt;0,"SOBRE FCST","BAJO FCST"),"")))</f>
        <v>SOBRE FCST</v>
      </c>
    </row>
    <row r="942" customFormat="false" ht="15" hidden="false" customHeight="false" outlineLevel="0" collapsed="false">
      <c r="A942" s="3" t="n">
        <v>30000637</v>
      </c>
      <c r="B942" s="3" t="s">
        <v>232</v>
      </c>
      <c r="C942" s="3" t="s">
        <v>1379</v>
      </c>
      <c r="D942" s="23" t="n">
        <v>6201.6</v>
      </c>
      <c r="E942" s="23" t="n">
        <v>5400</v>
      </c>
      <c r="F942" s="23" t="n">
        <f aca="false">D942-E942</f>
        <v>801.6</v>
      </c>
      <c r="G942" s="24" t="n">
        <f aca="false">IF(E942&gt;0,D942/E942-1,"")</f>
        <v>0.148444444444444</v>
      </c>
      <c r="H942" s="3" t="str">
        <f aca="false">IF(MAX(D942,E942)&lt;Parametros!$B$16,"",IF(E942=0,"PIDE SIN FCST",IF(ABS(G942)&gt;Parametros!$B$14,IF(G942&gt;0,"SOBRE FCST","BAJO FCST"),"")))</f>
        <v/>
      </c>
    </row>
    <row r="943" customFormat="false" ht="15" hidden="false" customHeight="false" outlineLevel="0" collapsed="false">
      <c r="A943" s="3" t="n">
        <v>30002255</v>
      </c>
      <c r="B943" s="3" t="s">
        <v>538</v>
      </c>
      <c r="C943" s="3" t="s">
        <v>1380</v>
      </c>
      <c r="D943" s="23" t="n">
        <v>1918.2</v>
      </c>
      <c r="E943" s="23" t="n">
        <v>2718.79700874027</v>
      </c>
      <c r="F943" s="23" t="n">
        <f aca="false">D943-E943</f>
        <v>-800.597008740273</v>
      </c>
      <c r="G943" s="24" t="n">
        <f aca="false">IF(E943&gt;0,D943/E943-1,"")</f>
        <v>-0.294467371475895</v>
      </c>
      <c r="H943" s="3" t="str">
        <f aca="false">IF(MAX(D943,E943)&lt;Parametros!$B$16,"",IF(E943=0,"PIDE SIN FCST",IF(ABS(G943)&gt;Parametros!$B$14,IF(G943&gt;0,"SOBRE FCST","BAJO FCST"),"")))</f>
        <v>BAJO FCST</v>
      </c>
    </row>
    <row r="944" customFormat="false" ht="15" hidden="false" customHeight="false" outlineLevel="0" collapsed="false">
      <c r="A944" s="3" t="n">
        <v>30001142</v>
      </c>
      <c r="B944" s="3" t="s">
        <v>521</v>
      </c>
      <c r="C944" s="3" t="s">
        <v>1380</v>
      </c>
      <c r="D944" s="23" t="n">
        <v>1700</v>
      </c>
      <c r="E944" s="23" t="n">
        <v>900</v>
      </c>
      <c r="F944" s="23" t="n">
        <f aca="false">D944-E944</f>
        <v>800</v>
      </c>
      <c r="G944" s="24" t="n">
        <f aca="false">IF(E944&gt;0,D944/E944-1,"")</f>
        <v>0.888888888888889</v>
      </c>
      <c r="H944" s="3" t="str">
        <f aca="false">IF(MAX(D944,E944)&lt;Parametros!$B$16,"",IF(E944=0,"PIDE SIN FCST",IF(ABS(G944)&gt;Parametros!$B$14,IF(G944&gt;0,"SOBRE FCST","BAJO FCST"),"")))</f>
        <v>SOBRE FCST</v>
      </c>
    </row>
    <row r="945" customFormat="false" ht="15" hidden="false" customHeight="false" outlineLevel="0" collapsed="false">
      <c r="A945" s="3" t="n">
        <v>30001665</v>
      </c>
      <c r="B945" s="3" t="s">
        <v>572</v>
      </c>
      <c r="C945" s="3" t="s">
        <v>1380</v>
      </c>
      <c r="D945" s="23" t="n">
        <v>800</v>
      </c>
      <c r="E945" s="23" t="n">
        <v>1600</v>
      </c>
      <c r="F945" s="23" t="n">
        <f aca="false">D945-E945</f>
        <v>-800</v>
      </c>
      <c r="G945" s="24" t="n">
        <f aca="false">IF(E945&gt;0,D945/E945-1,"")</f>
        <v>-0.5</v>
      </c>
      <c r="H945" s="3" t="str">
        <f aca="false">IF(MAX(D945,E945)&lt;Parametros!$B$16,"",IF(E945=0,"PIDE SIN FCST",IF(ABS(G945)&gt;Parametros!$B$14,IF(G945&gt;0,"SOBRE FCST","BAJO FCST"),"")))</f>
        <v>BAJO FCST</v>
      </c>
    </row>
    <row r="946" customFormat="false" ht="15" hidden="false" customHeight="false" outlineLevel="0" collapsed="false">
      <c r="A946" s="3" t="n">
        <v>30000176</v>
      </c>
      <c r="B946" s="3" t="s">
        <v>366</v>
      </c>
      <c r="C946" s="3" t="s">
        <v>1378</v>
      </c>
      <c r="D946" s="23" t="n">
        <v>556.8</v>
      </c>
      <c r="E946" s="23" t="n">
        <v>1355.58691681886</v>
      </c>
      <c r="F946" s="23" t="n">
        <f aca="false">D946-E946</f>
        <v>-798.786916818861</v>
      </c>
      <c r="G946" s="24" t="n">
        <f aca="false">IF(E946&gt;0,D946/E946-1,"")</f>
        <v>-0.589255404362683</v>
      </c>
      <c r="H946" s="3" t="str">
        <f aca="false">IF(MAX(D946,E946)&lt;Parametros!$B$16,"",IF(E946=0,"PIDE SIN FCST",IF(ABS(G946)&gt;Parametros!$B$14,IF(G946&gt;0,"SOBRE FCST","BAJO FCST"),"")))</f>
        <v>BAJO FCST</v>
      </c>
    </row>
    <row r="947" customFormat="false" ht="15" hidden="false" customHeight="false" outlineLevel="0" collapsed="false">
      <c r="A947" s="3" t="n">
        <v>30001423</v>
      </c>
      <c r="B947" s="3" t="s">
        <v>328</v>
      </c>
      <c r="C947" s="3" t="s">
        <v>1380</v>
      </c>
      <c r="D947" s="23" t="n">
        <v>6804</v>
      </c>
      <c r="E947" s="23" t="n">
        <v>7600</v>
      </c>
      <c r="F947" s="23" t="n">
        <f aca="false">D947-E947</f>
        <v>-796</v>
      </c>
      <c r="G947" s="24" t="n">
        <f aca="false">IF(E947&gt;0,D947/E947-1,"")</f>
        <v>-0.104736842105263</v>
      </c>
      <c r="H947" s="3" t="str">
        <f aca="false">IF(MAX(D947,E947)&lt;Parametros!$B$16,"",IF(E947=0,"PIDE SIN FCST",IF(ABS(G947)&gt;Parametros!$B$14,IF(G947&gt;0,"SOBRE FCST","BAJO FCST"),"")))</f>
        <v/>
      </c>
    </row>
    <row r="948" customFormat="false" ht="15" hidden="false" customHeight="false" outlineLevel="0" collapsed="false">
      <c r="A948" s="3" t="n">
        <v>30000514</v>
      </c>
      <c r="B948" s="3" t="s">
        <v>252</v>
      </c>
      <c r="C948" s="3" t="s">
        <v>1372</v>
      </c>
      <c r="D948" s="23" t="n">
        <v>6120</v>
      </c>
      <c r="E948" s="23" t="n">
        <v>6915.53798296507</v>
      </c>
      <c r="F948" s="23" t="n">
        <f aca="false">D948-E948</f>
        <v>-795.537982965066</v>
      </c>
      <c r="G948" s="24" t="n">
        <f aca="false">IF(E948&gt;0,D948/E948-1,"")</f>
        <v>-0.115036311697615</v>
      </c>
      <c r="H948" s="3" t="str">
        <f aca="false">IF(MAX(D948,E948)&lt;Parametros!$B$16,"",IF(E948=0,"PIDE SIN FCST",IF(ABS(G948)&gt;Parametros!$B$14,IF(G948&gt;0,"SOBRE FCST","BAJO FCST"),"")))</f>
        <v/>
      </c>
    </row>
    <row r="949" customFormat="false" ht="15" hidden="false" customHeight="false" outlineLevel="0" collapsed="false">
      <c r="A949" s="3" t="n">
        <v>30001683</v>
      </c>
      <c r="B949" s="3" t="s">
        <v>466</v>
      </c>
      <c r="C949" s="3" t="s">
        <v>1378</v>
      </c>
      <c r="D949" s="23" t="n">
        <v>208</v>
      </c>
      <c r="E949" s="23" t="n">
        <v>1000</v>
      </c>
      <c r="F949" s="23" t="n">
        <f aca="false">D949-E949</f>
        <v>-792</v>
      </c>
      <c r="G949" s="24" t="n">
        <f aca="false">IF(E949&gt;0,D949/E949-1,"")</f>
        <v>-0.792</v>
      </c>
      <c r="H949" s="3" t="str">
        <f aca="false">IF(MAX(D949,E949)&lt;Parametros!$B$16,"",IF(E949=0,"PIDE SIN FCST",IF(ABS(G949)&gt;Parametros!$B$14,IF(G949&gt;0,"SOBRE FCST","BAJO FCST"),"")))</f>
        <v>BAJO FCST</v>
      </c>
    </row>
    <row r="950" customFormat="false" ht="15" hidden="false" customHeight="false" outlineLevel="0" collapsed="false">
      <c r="A950" s="3" t="n">
        <v>30000255</v>
      </c>
      <c r="B950" s="3" t="s">
        <v>221</v>
      </c>
      <c r="C950" s="3" t="s">
        <v>1376</v>
      </c>
      <c r="D950" s="23" t="n">
        <v>72</v>
      </c>
      <c r="E950" s="23" t="n">
        <v>864</v>
      </c>
      <c r="F950" s="23" t="n">
        <f aca="false">D950-E950</f>
        <v>-792</v>
      </c>
      <c r="G950" s="24" t="n">
        <f aca="false">IF(E950&gt;0,D950/E950-1,"")</f>
        <v>-0.916666666666667</v>
      </c>
      <c r="H950" s="3" t="str">
        <f aca="false">IF(MAX(D950,E950)&lt;Parametros!$B$16,"",IF(E950=0,"PIDE SIN FCST",IF(ABS(G950)&gt;Parametros!$B$14,IF(G950&gt;0,"SOBRE FCST","BAJO FCST"),"")))</f>
        <v/>
      </c>
    </row>
    <row r="951" customFormat="false" ht="15" hidden="false" customHeight="false" outlineLevel="0" collapsed="false">
      <c r="A951" s="3" t="n">
        <v>30001522</v>
      </c>
      <c r="B951" s="3" t="s">
        <v>453</v>
      </c>
      <c r="C951" s="3" t="s">
        <v>1373</v>
      </c>
      <c r="D951" s="23" t="n">
        <v>1690.24</v>
      </c>
      <c r="E951" s="23" t="n">
        <v>898.56</v>
      </c>
      <c r="F951" s="23" t="n">
        <f aca="false">D951-E951</f>
        <v>791.68</v>
      </c>
      <c r="G951" s="24" t="n">
        <f aca="false">IF(E951&gt;0,D951/E951-1,"")</f>
        <v>0.881054131054131</v>
      </c>
      <c r="H951" s="3" t="str">
        <f aca="false">IF(MAX(D951,E951)&lt;Parametros!$B$16,"",IF(E951=0,"PIDE SIN FCST",IF(ABS(G951)&gt;Parametros!$B$14,IF(G951&gt;0,"SOBRE FCST","BAJO FCST"),"")))</f>
        <v>SOBRE FCST</v>
      </c>
    </row>
    <row r="952" customFormat="false" ht="15" hidden="false" customHeight="false" outlineLevel="0" collapsed="false">
      <c r="A952" s="3" t="n">
        <v>30001851</v>
      </c>
      <c r="B952" s="3" t="s">
        <v>499</v>
      </c>
      <c r="C952" s="3" t="s">
        <v>1375</v>
      </c>
      <c r="D952" s="23" t="n">
        <v>2208.6</v>
      </c>
      <c r="E952" s="23" t="n">
        <v>2999.55743670341</v>
      </c>
      <c r="F952" s="23" t="n">
        <f aca="false">D952-E952</f>
        <v>-790.957436703414</v>
      </c>
      <c r="G952" s="24" t="n">
        <f aca="false">IF(E952&gt;0,D952/E952-1,"")</f>
        <v>-0.26369137894312</v>
      </c>
      <c r="H952" s="3" t="str">
        <f aca="false">IF(MAX(D952,E952)&lt;Parametros!$B$16,"",IF(E952=0,"PIDE SIN FCST",IF(ABS(G952)&gt;Parametros!$B$14,IF(G952&gt;0,"SOBRE FCST","BAJO FCST"),"")))</f>
        <v>BAJO FCST</v>
      </c>
    </row>
    <row r="953" customFormat="false" ht="15" hidden="false" customHeight="false" outlineLevel="0" collapsed="false">
      <c r="A953" s="3" t="n">
        <v>30002180</v>
      </c>
      <c r="B953" s="3" t="s">
        <v>426</v>
      </c>
      <c r="C953" s="3" t="s">
        <v>1380</v>
      </c>
      <c r="D953" s="23" t="n">
        <v>4924.8</v>
      </c>
      <c r="E953" s="23" t="n">
        <v>5710</v>
      </c>
      <c r="F953" s="23" t="n">
        <f aca="false">D953-E953</f>
        <v>-785.200000000001</v>
      </c>
      <c r="G953" s="24" t="n">
        <f aca="false">IF(E953&gt;0,D953/E953-1,"")</f>
        <v>-0.137513134851138</v>
      </c>
      <c r="H953" s="3" t="str">
        <f aca="false">IF(MAX(D953,E953)&lt;Parametros!$B$16,"",IF(E953=0,"PIDE SIN FCST",IF(ABS(G953)&gt;Parametros!$B$14,IF(G953&gt;0,"SOBRE FCST","BAJO FCST"),"")))</f>
        <v/>
      </c>
    </row>
    <row r="954" customFormat="false" ht="15" hidden="false" customHeight="false" outlineLevel="0" collapsed="false">
      <c r="A954" s="3" t="n">
        <v>30001058</v>
      </c>
      <c r="B954" s="3" t="s">
        <v>288</v>
      </c>
      <c r="C954" s="3" t="s">
        <v>1377</v>
      </c>
      <c r="D954" s="23" t="n">
        <v>2130.24</v>
      </c>
      <c r="E954" s="23" t="n">
        <v>1346.18470082438</v>
      </c>
      <c r="F954" s="23" t="n">
        <f aca="false">D954-E954</f>
        <v>784.055299175622</v>
      </c>
      <c r="G954" s="24" t="n">
        <f aca="false">IF(E954&gt;0,D954/E954-1,"")</f>
        <v>0.582427729787362</v>
      </c>
      <c r="H954" s="3" t="str">
        <f aca="false">IF(MAX(D954,E954)&lt;Parametros!$B$16,"",IF(E954=0,"PIDE SIN FCST",IF(ABS(G954)&gt;Parametros!$B$14,IF(G954&gt;0,"SOBRE FCST","BAJO FCST"),"")))</f>
        <v>SOBRE FCST</v>
      </c>
    </row>
    <row r="955" customFormat="false" ht="15" hidden="false" customHeight="false" outlineLevel="0" collapsed="false">
      <c r="A955" s="3" t="n">
        <v>30001887</v>
      </c>
      <c r="B955" s="3" t="s">
        <v>310</v>
      </c>
      <c r="C955" s="3" t="s">
        <v>1372</v>
      </c>
      <c r="D955" s="23" t="n">
        <v>784</v>
      </c>
      <c r="E955" s="23" t="n">
        <v>0</v>
      </c>
      <c r="F955" s="23" t="n">
        <f aca="false">D955-E955</f>
        <v>784</v>
      </c>
      <c r="G955" s="24" t="str">
        <f aca="false">IF(E955&gt;0,D955/E955-1,"")</f>
        <v/>
      </c>
      <c r="H955" s="3" t="str">
        <f aca="false">IF(MAX(D955,E955)&lt;Parametros!$B$16,"",IF(E955=0,"PIDE SIN FCST",IF(ABS(G955)&gt;Parametros!$B$14,IF(G955&gt;0,"SOBRE FCST","BAJO FCST"),"")))</f>
        <v/>
      </c>
    </row>
    <row r="956" customFormat="false" ht="15" hidden="false" customHeight="false" outlineLevel="0" collapsed="false">
      <c r="A956" s="3" t="n">
        <v>30001711</v>
      </c>
      <c r="B956" s="3" t="s">
        <v>309</v>
      </c>
      <c r="C956" s="3" t="s">
        <v>1375</v>
      </c>
      <c r="D956" s="23" t="n">
        <v>8652</v>
      </c>
      <c r="E956" s="23" t="n">
        <v>7872.55981269412</v>
      </c>
      <c r="F956" s="23" t="n">
        <f aca="false">D956-E956</f>
        <v>779.440187305876</v>
      </c>
      <c r="G956" s="24" t="n">
        <f aca="false">IF(E956&gt;0,D956/E956-1,"")</f>
        <v>0.0990072105961095</v>
      </c>
      <c r="H956" s="3" t="str">
        <f aca="false">IF(MAX(D956,E956)&lt;Parametros!$B$16,"",IF(E956=0,"PIDE SIN FCST",IF(ABS(G956)&gt;Parametros!$B$14,IF(G956&gt;0,"SOBRE FCST","BAJO FCST"),"")))</f>
        <v/>
      </c>
    </row>
    <row r="957" customFormat="false" ht="15" hidden="false" customHeight="false" outlineLevel="0" collapsed="false">
      <c r="A957" s="3" t="n">
        <v>30001711</v>
      </c>
      <c r="B957" s="3" t="s">
        <v>309</v>
      </c>
      <c r="C957" s="3" t="s">
        <v>1378</v>
      </c>
      <c r="D957" s="23" t="n">
        <v>2704.8</v>
      </c>
      <c r="E957" s="23" t="n">
        <v>1931.69844455286</v>
      </c>
      <c r="F957" s="23" t="n">
        <f aca="false">D957-E957</f>
        <v>773.10155544714</v>
      </c>
      <c r="G957" s="24" t="n">
        <f aca="false">IF(E957&gt;0,D957/E957-1,"")</f>
        <v>0.400218552552644</v>
      </c>
      <c r="H957" s="3" t="str">
        <f aca="false">IF(MAX(D957,E957)&lt;Parametros!$B$16,"",IF(E957=0,"PIDE SIN FCST",IF(ABS(G957)&gt;Parametros!$B$14,IF(G957&gt;0,"SOBRE FCST","BAJO FCST"),"")))</f>
        <v>SOBRE FCST</v>
      </c>
    </row>
    <row r="958" customFormat="false" ht="15" hidden="false" customHeight="false" outlineLevel="0" collapsed="false">
      <c r="A958" s="3" t="n">
        <v>30001046</v>
      </c>
      <c r="B958" s="3" t="s">
        <v>535</v>
      </c>
      <c r="C958" s="3" t="s">
        <v>1373</v>
      </c>
      <c r="D958" s="23" t="n">
        <v>2881.44</v>
      </c>
      <c r="E958" s="23" t="n">
        <v>2108.79294606357</v>
      </c>
      <c r="F958" s="23" t="n">
        <f aca="false">D958-E958</f>
        <v>772.64705393643</v>
      </c>
      <c r="G958" s="24" t="n">
        <f aca="false">IF(E958&gt;0,D958/E958-1,"")</f>
        <v>0.366393037959801</v>
      </c>
      <c r="H958" s="3" t="str">
        <f aca="false">IF(MAX(D958,E958)&lt;Parametros!$B$16,"",IF(E958=0,"PIDE SIN FCST",IF(ABS(G958)&gt;Parametros!$B$14,IF(G958&gt;0,"SOBRE FCST","BAJO FCST"),"")))</f>
        <v>SOBRE FCST</v>
      </c>
    </row>
    <row r="959" customFormat="false" ht="15" hidden="false" customHeight="false" outlineLevel="0" collapsed="false">
      <c r="A959" s="3" t="n">
        <v>30000302</v>
      </c>
      <c r="B959" s="3" t="s">
        <v>251</v>
      </c>
      <c r="C959" s="3" t="s">
        <v>1379</v>
      </c>
      <c r="D959" s="23" t="n">
        <v>6355</v>
      </c>
      <c r="E959" s="23" t="n">
        <v>7126.2173213034</v>
      </c>
      <c r="F959" s="23" t="n">
        <f aca="false">D959-E959</f>
        <v>-771.217321303401</v>
      </c>
      <c r="G959" s="24" t="n">
        <f aca="false">IF(E959&gt;0,D959/E959-1,"")</f>
        <v>-0.108222537502174</v>
      </c>
      <c r="H959" s="3" t="str">
        <f aca="false">IF(MAX(D959,E959)&lt;Parametros!$B$16,"",IF(E959=0,"PIDE SIN FCST",IF(ABS(G959)&gt;Parametros!$B$14,IF(G959&gt;0,"SOBRE FCST","BAJO FCST"),"")))</f>
        <v/>
      </c>
    </row>
    <row r="960" customFormat="false" ht="15" hidden="false" customHeight="false" outlineLevel="0" collapsed="false">
      <c r="A960" s="3" t="n">
        <v>30000305</v>
      </c>
      <c r="B960" s="3" t="s">
        <v>254</v>
      </c>
      <c r="C960" s="3" t="s">
        <v>1380</v>
      </c>
      <c r="D960" s="23" t="n">
        <v>23760</v>
      </c>
      <c r="E960" s="23" t="n">
        <v>24530.956180575</v>
      </c>
      <c r="F960" s="23" t="n">
        <f aca="false">D960-E960</f>
        <v>-770.956180575031</v>
      </c>
      <c r="G960" s="24" t="n">
        <f aca="false">IF(E960&gt;0,D960/E960-1,"")</f>
        <v>-0.031427889516411</v>
      </c>
      <c r="H960" s="3" t="str">
        <f aca="false">IF(MAX(D960,E960)&lt;Parametros!$B$16,"",IF(E960=0,"PIDE SIN FCST",IF(ABS(G960)&gt;Parametros!$B$14,IF(G960&gt;0,"SOBRE FCST","BAJO FCST"),"")))</f>
        <v/>
      </c>
    </row>
    <row r="961" customFormat="false" ht="15" hidden="false" customHeight="false" outlineLevel="0" collapsed="false">
      <c r="A961" s="3" t="n">
        <v>30001765</v>
      </c>
      <c r="B961" s="3" t="s">
        <v>438</v>
      </c>
      <c r="C961" s="3" t="s">
        <v>1372</v>
      </c>
      <c r="D961" s="23" t="n">
        <v>2170.8</v>
      </c>
      <c r="E961" s="23" t="n">
        <v>1400</v>
      </c>
      <c r="F961" s="23" t="n">
        <f aca="false">D961-E961</f>
        <v>770.8</v>
      </c>
      <c r="G961" s="24" t="n">
        <f aca="false">IF(E961&gt;0,D961/E961-1,"")</f>
        <v>0.550571428571429</v>
      </c>
      <c r="H961" s="3" t="str">
        <f aca="false">IF(MAX(D961,E961)&lt;Parametros!$B$16,"",IF(E961=0,"PIDE SIN FCST",IF(ABS(G961)&gt;Parametros!$B$14,IF(G961&gt;0,"SOBRE FCST","BAJO FCST"),"")))</f>
        <v>SOBRE FCST</v>
      </c>
    </row>
    <row r="962" customFormat="false" ht="15" hidden="false" customHeight="false" outlineLevel="0" collapsed="false">
      <c r="A962" s="3" t="n">
        <v>30001045</v>
      </c>
      <c r="B962" s="3" t="s">
        <v>361</v>
      </c>
      <c r="C962" s="3" t="s">
        <v>1377</v>
      </c>
      <c r="D962" s="23" t="n">
        <v>3516.48</v>
      </c>
      <c r="E962" s="23" t="n">
        <v>2747.76007653544</v>
      </c>
      <c r="F962" s="23" t="n">
        <f aca="false">D962-E962</f>
        <v>768.71992346456</v>
      </c>
      <c r="G962" s="24" t="n">
        <f aca="false">IF(E962&gt;0,D962/E962-1,"")</f>
        <v>0.279762389019719</v>
      </c>
      <c r="H962" s="3" t="str">
        <f aca="false">IF(MAX(D962,E962)&lt;Parametros!$B$16,"",IF(E962=0,"PIDE SIN FCST",IF(ABS(G962)&gt;Parametros!$B$14,IF(G962&gt;0,"SOBRE FCST","BAJO FCST"),"")))</f>
        <v>SOBRE FCST</v>
      </c>
    </row>
    <row r="963" customFormat="false" ht="15" hidden="false" customHeight="false" outlineLevel="0" collapsed="false">
      <c r="A963" s="3" t="n">
        <v>30001056</v>
      </c>
      <c r="B963" s="3" t="s">
        <v>259</v>
      </c>
      <c r="C963" s="3" t="s">
        <v>1373</v>
      </c>
      <c r="D963" s="23" t="n">
        <v>3864</v>
      </c>
      <c r="E963" s="23" t="n">
        <v>3095.64626297419</v>
      </c>
      <c r="F963" s="23" t="n">
        <f aca="false">D963-E963</f>
        <v>768.353737025813</v>
      </c>
      <c r="G963" s="24" t="n">
        <f aca="false">IF(E963&gt;0,D963/E963-1,"")</f>
        <v>0.248204630553494</v>
      </c>
      <c r="H963" s="3" t="str">
        <f aca="false">IF(MAX(D963,E963)&lt;Parametros!$B$16,"",IF(E963=0,"PIDE SIN FCST",IF(ABS(G963)&gt;Parametros!$B$14,IF(G963&gt;0,"SOBRE FCST","BAJO FCST"),"")))</f>
        <v>SOBRE FCST</v>
      </c>
    </row>
    <row r="964" customFormat="false" ht="15" hidden="false" customHeight="false" outlineLevel="0" collapsed="false">
      <c r="A964" s="3" t="n">
        <v>30001075</v>
      </c>
      <c r="B964" s="3" t="s">
        <v>297</v>
      </c>
      <c r="C964" s="3" t="s">
        <v>1375</v>
      </c>
      <c r="D964" s="23" t="n">
        <v>10491.36</v>
      </c>
      <c r="E964" s="23" t="n">
        <v>9724.07748684702</v>
      </c>
      <c r="F964" s="23" t="n">
        <f aca="false">D964-E964</f>
        <v>767.282513152981</v>
      </c>
      <c r="G964" s="24" t="n">
        <f aca="false">IF(E964&gt;0,D964/E964-1,"")</f>
        <v>0.0789054297634735</v>
      </c>
      <c r="H964" s="3" t="str">
        <f aca="false">IF(MAX(D964,E964)&lt;Parametros!$B$16,"",IF(E964=0,"PIDE SIN FCST",IF(ABS(G964)&gt;Parametros!$B$14,IF(G964&gt;0,"SOBRE FCST","BAJO FCST"),"")))</f>
        <v/>
      </c>
    </row>
    <row r="965" customFormat="false" ht="15" hidden="false" customHeight="false" outlineLevel="0" collapsed="false">
      <c r="A965" s="3" t="n">
        <v>30000543</v>
      </c>
      <c r="B965" s="3" t="s">
        <v>422</v>
      </c>
      <c r="C965" s="3" t="s">
        <v>1378</v>
      </c>
      <c r="D965" s="23" t="n">
        <v>954</v>
      </c>
      <c r="E965" s="23" t="n">
        <v>1715.55640919632</v>
      </c>
      <c r="F965" s="23" t="n">
        <f aca="false">D965-E965</f>
        <v>-761.556409196319</v>
      </c>
      <c r="G965" s="24" t="n">
        <f aca="false">IF(E965&gt;0,D965/E965-1,"")</f>
        <v>-0.443912193801358</v>
      </c>
      <c r="H965" s="3" t="str">
        <f aca="false">IF(MAX(D965,E965)&lt;Parametros!$B$16,"",IF(E965=0,"PIDE SIN FCST",IF(ABS(G965)&gt;Parametros!$B$14,IF(G965&gt;0,"SOBRE FCST","BAJO FCST"),"")))</f>
        <v>BAJO FCST</v>
      </c>
    </row>
    <row r="966" customFormat="false" ht="15" hidden="false" customHeight="false" outlineLevel="0" collapsed="false">
      <c r="A966" s="3" t="n">
        <v>30001710</v>
      </c>
      <c r="B966" s="3" t="s">
        <v>335</v>
      </c>
      <c r="C966" s="3" t="s">
        <v>1372</v>
      </c>
      <c r="D966" s="23" t="n">
        <v>1273.44</v>
      </c>
      <c r="E966" s="23" t="n">
        <v>511.963647532011</v>
      </c>
      <c r="F966" s="23" t="n">
        <f aca="false">D966-E966</f>
        <v>761.476352467989</v>
      </c>
      <c r="G966" s="24" t="n">
        <f aca="false">IF(E966&gt;0,D966/E966-1,"")</f>
        <v>1.48736410512502</v>
      </c>
      <c r="H966" s="3" t="str">
        <f aca="false">IF(MAX(D966,E966)&lt;Parametros!$B$16,"",IF(E966=0,"PIDE SIN FCST",IF(ABS(G966)&gt;Parametros!$B$14,IF(G966&gt;0,"SOBRE FCST","BAJO FCST"),"")))</f>
        <v>SOBRE FCST</v>
      </c>
    </row>
    <row r="967" customFormat="false" ht="15" hidden="false" customHeight="false" outlineLevel="0" collapsed="false">
      <c r="A967" s="3" t="n">
        <v>30002091</v>
      </c>
      <c r="B967" s="3" t="s">
        <v>325</v>
      </c>
      <c r="C967" s="3" t="s">
        <v>1379</v>
      </c>
      <c r="D967" s="23" t="n">
        <v>2484</v>
      </c>
      <c r="E967" s="23" t="n">
        <v>1723.28703590047</v>
      </c>
      <c r="F967" s="23" t="n">
        <f aca="false">D967-E967</f>
        <v>760.712964099531</v>
      </c>
      <c r="G967" s="24" t="n">
        <f aca="false">IF(E967&gt;0,D967/E967-1,"")</f>
        <v>0.441431374026461</v>
      </c>
      <c r="H967" s="3" t="str">
        <f aca="false">IF(MAX(D967,E967)&lt;Parametros!$B$16,"",IF(E967=0,"PIDE SIN FCST",IF(ABS(G967)&gt;Parametros!$B$14,IF(G967&gt;0,"SOBRE FCST","BAJO FCST"),"")))</f>
        <v>SOBRE FCST</v>
      </c>
    </row>
    <row r="968" customFormat="false" ht="15" hidden="false" customHeight="false" outlineLevel="0" collapsed="false">
      <c r="A968" s="3" t="n">
        <v>30001060</v>
      </c>
      <c r="B968" s="3" t="s">
        <v>474</v>
      </c>
      <c r="C968" s="3" t="s">
        <v>1380</v>
      </c>
      <c r="D968" s="23" t="n">
        <v>4233.6</v>
      </c>
      <c r="E968" s="23" t="n">
        <v>4994.00753100148</v>
      </c>
      <c r="F968" s="23" t="n">
        <f aca="false">D968-E968</f>
        <v>-760.407531001478</v>
      </c>
      <c r="G968" s="24" t="n">
        <f aca="false">IF(E968&gt;0,D968/E968-1,"")</f>
        <v>-0.152263993652606</v>
      </c>
      <c r="H968" s="3" t="str">
        <f aca="false">IF(MAX(D968,E968)&lt;Parametros!$B$16,"",IF(E968=0,"PIDE SIN FCST",IF(ABS(G968)&gt;Parametros!$B$14,IF(G968&gt;0,"SOBRE FCST","BAJO FCST"),"")))</f>
        <v/>
      </c>
    </row>
    <row r="969" customFormat="false" ht="15" hidden="false" customHeight="false" outlineLevel="0" collapsed="false">
      <c r="A969" s="3" t="n">
        <v>30002286</v>
      </c>
      <c r="B969" s="3" t="s">
        <v>320</v>
      </c>
      <c r="C969" s="3" t="s">
        <v>1373</v>
      </c>
      <c r="D969" s="23" t="n">
        <v>9059.976</v>
      </c>
      <c r="E969" s="23" t="n">
        <v>8300</v>
      </c>
      <c r="F969" s="23" t="n">
        <f aca="false">D969-E969</f>
        <v>759.976000000001</v>
      </c>
      <c r="G969" s="24" t="n">
        <f aca="false">IF(E969&gt;0,D969/E969-1,"")</f>
        <v>0.091563373493976</v>
      </c>
      <c r="H969" s="3" t="str">
        <f aca="false">IF(MAX(D969,E969)&lt;Parametros!$B$16,"",IF(E969=0,"PIDE SIN FCST",IF(ABS(G969)&gt;Parametros!$B$14,IF(G969&gt;0,"SOBRE FCST","BAJO FCST"),"")))</f>
        <v/>
      </c>
    </row>
    <row r="970" customFormat="false" ht="15" hidden="false" customHeight="false" outlineLevel="0" collapsed="false">
      <c r="A970" s="3" t="n">
        <v>30001747</v>
      </c>
      <c r="B970" s="3" t="s">
        <v>381</v>
      </c>
      <c r="C970" s="3" t="s">
        <v>1377</v>
      </c>
      <c r="D970" s="23" t="n">
        <v>1458</v>
      </c>
      <c r="E970" s="23" t="n">
        <v>700</v>
      </c>
      <c r="F970" s="23" t="n">
        <f aca="false">D970-E970</f>
        <v>758</v>
      </c>
      <c r="G970" s="24" t="n">
        <f aca="false">IF(E970&gt;0,D970/E970-1,"")</f>
        <v>1.08285714285714</v>
      </c>
      <c r="H970" s="3" t="str">
        <f aca="false">IF(MAX(D970,E970)&lt;Parametros!$B$16,"",IF(E970=0,"PIDE SIN FCST",IF(ABS(G970)&gt;Parametros!$B$14,IF(G970&gt;0,"SOBRE FCST","BAJO FCST"),"")))</f>
        <v>SOBRE FCST</v>
      </c>
    </row>
    <row r="971" customFormat="false" ht="15" hidden="false" customHeight="false" outlineLevel="0" collapsed="false">
      <c r="A971" s="3" t="n">
        <v>30001508</v>
      </c>
      <c r="B971" s="3" t="s">
        <v>318</v>
      </c>
      <c r="C971" s="3" t="s">
        <v>1378</v>
      </c>
      <c r="D971" s="23" t="n">
        <v>2559.9</v>
      </c>
      <c r="E971" s="23" t="n">
        <v>1804.01660295778</v>
      </c>
      <c r="F971" s="23" t="n">
        <f aca="false">D971-E971</f>
        <v>755.883397042218</v>
      </c>
      <c r="G971" s="24" t="n">
        <f aca="false">IF(E971&gt;0,D971/E971-1,"")</f>
        <v>0.419000244123533</v>
      </c>
      <c r="H971" s="3" t="str">
        <f aca="false">IF(MAX(D971,E971)&lt;Parametros!$B$16,"",IF(E971=0,"PIDE SIN FCST",IF(ABS(G971)&gt;Parametros!$B$14,IF(G971&gt;0,"SOBRE FCST","BAJO FCST"),"")))</f>
        <v>SOBRE FCST</v>
      </c>
    </row>
    <row r="972" customFormat="false" ht="15" hidden="false" customHeight="false" outlineLevel="0" collapsed="false">
      <c r="A972" s="3" t="n">
        <v>30000398</v>
      </c>
      <c r="B972" s="3" t="s">
        <v>295</v>
      </c>
      <c r="C972" s="3" t="s">
        <v>1373</v>
      </c>
      <c r="D972" s="23" t="n">
        <v>4584</v>
      </c>
      <c r="E972" s="23" t="n">
        <v>5336.33333333333</v>
      </c>
      <c r="F972" s="23" t="n">
        <f aca="false">D972-E972</f>
        <v>-752.333333333334</v>
      </c>
      <c r="G972" s="24" t="n">
        <f aca="false">IF(E972&gt;0,D972/E972-1,"")</f>
        <v>-0.140983196951715</v>
      </c>
      <c r="H972" s="3" t="str">
        <f aca="false">IF(MAX(D972,E972)&lt;Parametros!$B$16,"",IF(E972=0,"PIDE SIN FCST",IF(ABS(G972)&gt;Parametros!$B$14,IF(G972&gt;0,"SOBRE FCST","BAJO FCST"),"")))</f>
        <v/>
      </c>
    </row>
    <row r="973" customFormat="false" ht="15" hidden="false" customHeight="false" outlineLevel="0" collapsed="false">
      <c r="A973" s="3" t="n">
        <v>30002171</v>
      </c>
      <c r="B973" s="3" t="s">
        <v>564</v>
      </c>
      <c r="C973" s="3" t="s">
        <v>1375</v>
      </c>
      <c r="D973" s="23" t="n">
        <v>0</v>
      </c>
      <c r="E973" s="23" t="n">
        <v>750.415428588118</v>
      </c>
      <c r="F973" s="23" t="n">
        <f aca="false">D973-E973</f>
        <v>-750.415428588118</v>
      </c>
      <c r="G973" s="24" t="n">
        <f aca="false">IF(E973&gt;0,D973/E973-1,"")</f>
        <v>-1</v>
      </c>
      <c r="H973" s="3" t="str">
        <f aca="false">IF(MAX(D973,E973)&lt;Parametros!$B$16,"",IF(E973=0,"PIDE SIN FCST",IF(ABS(G973)&gt;Parametros!$B$14,IF(G973&gt;0,"SOBRE FCST","BAJO FCST"),"")))</f>
        <v/>
      </c>
    </row>
    <row r="974" customFormat="false" ht="15" hidden="false" customHeight="false" outlineLevel="0" collapsed="false">
      <c r="A974" s="3" t="n">
        <v>30001365</v>
      </c>
      <c r="B974" s="3" t="s">
        <v>302</v>
      </c>
      <c r="C974" s="3" t="s">
        <v>1378</v>
      </c>
      <c r="D974" s="23" t="n">
        <v>2039.65</v>
      </c>
      <c r="E974" s="23" t="n">
        <v>1290.45</v>
      </c>
      <c r="F974" s="23" t="n">
        <f aca="false">D974-E974</f>
        <v>749.2</v>
      </c>
      <c r="G974" s="24" t="n">
        <f aca="false">IF(E974&gt;0,D974/E974-1,"")</f>
        <v>0.580572668448991</v>
      </c>
      <c r="H974" s="3" t="str">
        <f aca="false">IF(MAX(D974,E974)&lt;Parametros!$B$16,"",IF(E974=0,"PIDE SIN FCST",IF(ABS(G974)&gt;Parametros!$B$14,IF(G974&gt;0,"SOBRE FCST","BAJO FCST"),"")))</f>
        <v>SOBRE FCST</v>
      </c>
    </row>
    <row r="975" customFormat="false" ht="15" hidden="false" customHeight="false" outlineLevel="0" collapsed="false">
      <c r="A975" s="3" t="n">
        <v>30001506</v>
      </c>
      <c r="B975" s="3" t="s">
        <v>352</v>
      </c>
      <c r="C975" s="3" t="s">
        <v>1375</v>
      </c>
      <c r="D975" s="23" t="n">
        <v>5382</v>
      </c>
      <c r="E975" s="23" t="n">
        <v>6130.7690992977</v>
      </c>
      <c r="F975" s="23" t="n">
        <f aca="false">D975-E975</f>
        <v>-748.769099297702</v>
      </c>
      <c r="G975" s="24" t="n">
        <f aca="false">IF(E975&gt;0,D975/E975-1,"")</f>
        <v>-0.12213297991984</v>
      </c>
      <c r="H975" s="3" t="str">
        <f aca="false">IF(MAX(D975,E975)&lt;Parametros!$B$16,"",IF(E975=0,"PIDE SIN FCST",IF(ABS(G975)&gt;Parametros!$B$14,IF(G975&gt;0,"SOBRE FCST","BAJO FCST"),"")))</f>
        <v/>
      </c>
    </row>
    <row r="976" customFormat="false" ht="15" hidden="false" customHeight="false" outlineLevel="0" collapsed="false">
      <c r="A976" s="3" t="n">
        <v>30001042</v>
      </c>
      <c r="B976" s="3" t="s">
        <v>257</v>
      </c>
      <c r="C976" s="3" t="s">
        <v>1372</v>
      </c>
      <c r="D976" s="23" t="n">
        <v>6478.56</v>
      </c>
      <c r="E976" s="23" t="n">
        <v>5731.13885751115</v>
      </c>
      <c r="F976" s="23" t="n">
        <f aca="false">D976-E976</f>
        <v>747.421142488852</v>
      </c>
      <c r="G976" s="24" t="n">
        <f aca="false">IF(E976&gt;0,D976/E976-1,"")</f>
        <v>0.130414069711344</v>
      </c>
      <c r="H976" s="3" t="str">
        <f aca="false">IF(MAX(D976,E976)&lt;Parametros!$B$16,"",IF(E976=0,"PIDE SIN FCST",IF(ABS(G976)&gt;Parametros!$B$14,IF(G976&gt;0,"SOBRE FCST","BAJO FCST"),"")))</f>
        <v/>
      </c>
    </row>
    <row r="977" customFormat="false" ht="15" hidden="false" customHeight="false" outlineLevel="0" collapsed="false">
      <c r="A977" s="3" t="n">
        <v>30001656</v>
      </c>
      <c r="B977" s="3" t="s">
        <v>350</v>
      </c>
      <c r="C977" s="3" t="s">
        <v>1373</v>
      </c>
      <c r="D977" s="23" t="n">
        <v>2484</v>
      </c>
      <c r="E977" s="23" t="n">
        <v>1740.64</v>
      </c>
      <c r="F977" s="23" t="n">
        <f aca="false">D977-E977</f>
        <v>743.36</v>
      </c>
      <c r="G977" s="24" t="n">
        <f aca="false">IF(E977&gt;0,D977/E977-1,"")</f>
        <v>0.427061310782241</v>
      </c>
      <c r="H977" s="3" t="str">
        <f aca="false">IF(MAX(D977,E977)&lt;Parametros!$B$16,"",IF(E977=0,"PIDE SIN FCST",IF(ABS(G977)&gt;Parametros!$B$14,IF(G977&gt;0,"SOBRE FCST","BAJO FCST"),"")))</f>
        <v>SOBRE FCST</v>
      </c>
    </row>
    <row r="978" customFormat="false" ht="15" hidden="false" customHeight="false" outlineLevel="0" collapsed="false">
      <c r="A978" s="3" t="n">
        <v>30000305</v>
      </c>
      <c r="B978" s="3" t="s">
        <v>254</v>
      </c>
      <c r="C978" s="3" t="s">
        <v>1373</v>
      </c>
      <c r="D978" s="23" t="n">
        <v>28314</v>
      </c>
      <c r="E978" s="23" t="n">
        <v>29057.1</v>
      </c>
      <c r="F978" s="23" t="n">
        <f aca="false">D978-E978</f>
        <v>-743.099999999999</v>
      </c>
      <c r="G978" s="24" t="n">
        <f aca="false">IF(E978&gt;0,D978/E978-1,"")</f>
        <v>-0.0255737840321298</v>
      </c>
      <c r="H978" s="3" t="str">
        <f aca="false">IF(MAX(D978,E978)&lt;Parametros!$B$16,"",IF(E978=0,"PIDE SIN FCST",IF(ABS(G978)&gt;Parametros!$B$14,IF(G978&gt;0,"SOBRE FCST","BAJO FCST"),"")))</f>
        <v/>
      </c>
    </row>
    <row r="979" customFormat="false" ht="15" hidden="false" customHeight="false" outlineLevel="0" collapsed="false">
      <c r="A979" s="3" t="n">
        <v>30001487</v>
      </c>
      <c r="B979" s="3" t="s">
        <v>353</v>
      </c>
      <c r="C979" s="3" t="s">
        <v>1375</v>
      </c>
      <c r="D979" s="23" t="n">
        <v>7758</v>
      </c>
      <c r="E979" s="23" t="n">
        <v>8500</v>
      </c>
      <c r="F979" s="23" t="n">
        <f aca="false">D979-E979</f>
        <v>-742</v>
      </c>
      <c r="G979" s="24" t="n">
        <f aca="false">IF(E979&gt;0,D979/E979-1,"")</f>
        <v>-0.0872941176470589</v>
      </c>
      <c r="H979" s="3" t="str">
        <f aca="false">IF(MAX(D979,E979)&lt;Parametros!$B$16,"",IF(E979=0,"PIDE SIN FCST",IF(ABS(G979)&gt;Parametros!$B$14,IF(G979&gt;0,"SOBRE FCST","BAJO FCST"),"")))</f>
        <v/>
      </c>
    </row>
    <row r="980" customFormat="false" ht="15" hidden="false" customHeight="false" outlineLevel="0" collapsed="false">
      <c r="A980" s="3" t="n">
        <v>30000674</v>
      </c>
      <c r="B980" s="3" t="s">
        <v>480</v>
      </c>
      <c r="C980" s="3" t="s">
        <v>1379</v>
      </c>
      <c r="D980" s="23" t="n">
        <v>3888</v>
      </c>
      <c r="E980" s="23" t="n">
        <v>3148</v>
      </c>
      <c r="F980" s="23" t="n">
        <f aca="false">D980-E980</f>
        <v>740</v>
      </c>
      <c r="G980" s="24" t="n">
        <f aca="false">IF(E980&gt;0,D980/E980-1,"")</f>
        <v>0.235069885641677</v>
      </c>
      <c r="H980" s="3" t="str">
        <f aca="false">IF(MAX(D980,E980)&lt;Parametros!$B$16,"",IF(E980=0,"PIDE SIN FCST",IF(ABS(G980)&gt;Parametros!$B$14,IF(G980&gt;0,"SOBRE FCST","BAJO FCST"),"")))</f>
        <v>SOBRE FCST</v>
      </c>
    </row>
    <row r="981" customFormat="false" ht="15" hidden="false" customHeight="false" outlineLevel="0" collapsed="false">
      <c r="A981" s="3" t="n">
        <v>30001883</v>
      </c>
      <c r="B981" s="3" t="s">
        <v>476</v>
      </c>
      <c r="C981" s="3" t="s">
        <v>1379</v>
      </c>
      <c r="D981" s="23" t="n">
        <v>561.6</v>
      </c>
      <c r="E981" s="23" t="n">
        <v>1300</v>
      </c>
      <c r="F981" s="23" t="n">
        <f aca="false">D981-E981</f>
        <v>-738.4</v>
      </c>
      <c r="G981" s="24" t="n">
        <f aca="false">IF(E981&gt;0,D981/E981-1,"")</f>
        <v>-0.568</v>
      </c>
      <c r="H981" s="3" t="str">
        <f aca="false">IF(MAX(D981,E981)&lt;Parametros!$B$16,"",IF(E981=0,"PIDE SIN FCST",IF(ABS(G981)&gt;Parametros!$B$14,IF(G981&gt;0,"SOBRE FCST","BAJO FCST"),"")))</f>
        <v>BAJO FCST</v>
      </c>
    </row>
    <row r="982" customFormat="false" ht="15" hidden="false" customHeight="false" outlineLevel="0" collapsed="false">
      <c r="A982" s="3" t="n">
        <v>30000090</v>
      </c>
      <c r="B982" s="3" t="s">
        <v>518</v>
      </c>
      <c r="C982" s="3" t="s">
        <v>1377</v>
      </c>
      <c r="D982" s="23" t="n">
        <v>648</v>
      </c>
      <c r="E982" s="23" t="n">
        <v>1383.82386025405</v>
      </c>
      <c r="F982" s="23" t="n">
        <f aca="false">D982-E982</f>
        <v>-735.823860254054</v>
      </c>
      <c r="G982" s="24" t="n">
        <f aca="false">IF(E982&gt;0,D982/E982-1,"")</f>
        <v>-0.531732311740141</v>
      </c>
      <c r="H982" s="3" t="str">
        <f aca="false">IF(MAX(D982,E982)&lt;Parametros!$B$16,"",IF(E982=0,"PIDE SIN FCST",IF(ABS(G982)&gt;Parametros!$B$14,IF(G982&gt;0,"SOBRE FCST","BAJO FCST"),"")))</f>
        <v>BAJO FCST</v>
      </c>
    </row>
    <row r="983" customFormat="false" ht="15" hidden="false" customHeight="false" outlineLevel="0" collapsed="false">
      <c r="A983" s="3" t="n">
        <v>30000119</v>
      </c>
      <c r="B983" s="3" t="s">
        <v>528</v>
      </c>
      <c r="C983" s="3" t="s">
        <v>1380</v>
      </c>
      <c r="D983" s="23" t="n">
        <v>1468.8</v>
      </c>
      <c r="E983" s="23" t="n">
        <v>734.027948640469</v>
      </c>
      <c r="F983" s="23" t="n">
        <f aca="false">D983-E983</f>
        <v>734.772051359531</v>
      </c>
      <c r="G983" s="24" t="n">
        <f aca="false">IF(E983&gt;0,D983/E983-1,"")</f>
        <v>1.00101372532264</v>
      </c>
      <c r="H983" s="3" t="str">
        <f aca="false">IF(MAX(D983,E983)&lt;Parametros!$B$16,"",IF(E983=0,"PIDE SIN FCST",IF(ABS(G983)&gt;Parametros!$B$14,IF(G983&gt;0,"SOBRE FCST","BAJO FCST"),"")))</f>
        <v>SOBRE FCST</v>
      </c>
    </row>
    <row r="984" customFormat="false" ht="15" hidden="false" customHeight="false" outlineLevel="0" collapsed="false">
      <c r="A984" s="3" t="n">
        <v>30000644</v>
      </c>
      <c r="B984" s="3" t="s">
        <v>261</v>
      </c>
      <c r="C984" s="3" t="s">
        <v>1377</v>
      </c>
      <c r="D984" s="23" t="n">
        <v>4032</v>
      </c>
      <c r="E984" s="23" t="n">
        <v>3300</v>
      </c>
      <c r="F984" s="23" t="n">
        <f aca="false">D984-E984</f>
        <v>732</v>
      </c>
      <c r="G984" s="24" t="n">
        <f aca="false">IF(E984&gt;0,D984/E984-1,"")</f>
        <v>0.221818181818182</v>
      </c>
      <c r="H984" s="3" t="str">
        <f aca="false">IF(MAX(D984,E984)&lt;Parametros!$B$16,"",IF(E984=0,"PIDE SIN FCST",IF(ABS(G984)&gt;Parametros!$B$14,IF(G984&gt;0,"SOBRE FCST","BAJO FCST"),"")))</f>
        <v>SOBRE FCST</v>
      </c>
    </row>
    <row r="985" customFormat="false" ht="15" hidden="false" customHeight="false" outlineLevel="0" collapsed="false">
      <c r="A985" s="3" t="n">
        <v>30001079</v>
      </c>
      <c r="B985" s="3" t="s">
        <v>282</v>
      </c>
      <c r="C985" s="3" t="s">
        <v>1373</v>
      </c>
      <c r="D985" s="23" t="n">
        <v>2439.36</v>
      </c>
      <c r="E985" s="23" t="n">
        <v>1707.655411655</v>
      </c>
      <c r="F985" s="23" t="n">
        <f aca="false">D985-E985</f>
        <v>731.704588345003</v>
      </c>
      <c r="G985" s="24" t="n">
        <f aca="false">IF(E985&gt;0,D985/E985-1,"")</f>
        <v>0.428484917595794</v>
      </c>
      <c r="H985" s="3" t="str">
        <f aca="false">IF(MAX(D985,E985)&lt;Parametros!$B$16,"",IF(E985=0,"PIDE SIN FCST",IF(ABS(G985)&gt;Parametros!$B$14,IF(G985&gt;0,"SOBRE FCST","BAJO FCST"),"")))</f>
        <v>SOBRE FCST</v>
      </c>
    </row>
    <row r="986" customFormat="false" ht="15" hidden="false" customHeight="false" outlineLevel="0" collapsed="false">
      <c r="A986" s="3" t="n">
        <v>30002091</v>
      </c>
      <c r="B986" s="3" t="s">
        <v>325</v>
      </c>
      <c r="C986" s="3" t="s">
        <v>1377</v>
      </c>
      <c r="D986" s="23" t="n">
        <v>968.4</v>
      </c>
      <c r="E986" s="23" t="n">
        <v>238.94891124988</v>
      </c>
      <c r="F986" s="23" t="n">
        <f aca="false">D986-E986</f>
        <v>729.45108875012</v>
      </c>
      <c r="G986" s="24" t="n">
        <f aca="false">IF(E986&gt;0,D986/E986-1,"")</f>
        <v>3.05274916271663</v>
      </c>
      <c r="H986" s="3" t="str">
        <f aca="false">IF(MAX(D986,E986)&lt;Parametros!$B$16,"",IF(E986=0,"PIDE SIN FCST",IF(ABS(G986)&gt;Parametros!$B$14,IF(G986&gt;0,"SOBRE FCST","BAJO FCST"),"")))</f>
        <v/>
      </c>
    </row>
    <row r="987" customFormat="false" ht="15" hidden="false" customHeight="false" outlineLevel="0" collapsed="false">
      <c r="A987" s="3" t="n">
        <v>30001092</v>
      </c>
      <c r="B987" s="3" t="s">
        <v>473</v>
      </c>
      <c r="C987" s="3" t="s">
        <v>1377</v>
      </c>
      <c r="D987" s="23" t="n">
        <v>1598.4</v>
      </c>
      <c r="E987" s="23" t="n">
        <v>2324.56871527288</v>
      </c>
      <c r="F987" s="23" t="n">
        <f aca="false">D987-E987</f>
        <v>-726.168715272884</v>
      </c>
      <c r="G987" s="24" t="n">
        <f aca="false">IF(E987&gt;0,D987/E987-1,"")</f>
        <v>-0.312388577933536</v>
      </c>
      <c r="H987" s="3" t="str">
        <f aca="false">IF(MAX(D987,E987)&lt;Parametros!$B$16,"",IF(E987=0,"PIDE SIN FCST",IF(ABS(G987)&gt;Parametros!$B$14,IF(G987&gt;0,"SOBRE FCST","BAJO FCST"),"")))</f>
        <v>BAJO FCST</v>
      </c>
    </row>
    <row r="988" customFormat="false" ht="15" hidden="false" customHeight="false" outlineLevel="0" collapsed="false">
      <c r="A988" s="3" t="n">
        <v>30002292</v>
      </c>
      <c r="B988" s="3" t="s">
        <v>443</v>
      </c>
      <c r="C988" s="3" t="s">
        <v>1375</v>
      </c>
      <c r="D988" s="23" t="n">
        <v>8106</v>
      </c>
      <c r="E988" s="23" t="n">
        <v>7382.74721744423</v>
      </c>
      <c r="F988" s="23" t="n">
        <f aca="false">D988-E988</f>
        <v>723.252782555775</v>
      </c>
      <c r="G988" s="24" t="n">
        <f aca="false">IF(E988&gt;0,D988/E988-1,"")</f>
        <v>0.0979652643187956</v>
      </c>
      <c r="H988" s="3" t="str">
        <f aca="false">IF(MAX(D988,E988)&lt;Parametros!$B$16,"",IF(E988=0,"PIDE SIN FCST",IF(ABS(G988)&gt;Parametros!$B$14,IF(G988&gt;0,"SOBRE FCST","BAJO FCST"),"")))</f>
        <v/>
      </c>
    </row>
    <row r="989" customFormat="false" ht="15" hidden="false" customHeight="false" outlineLevel="0" collapsed="false">
      <c r="A989" s="3" t="n">
        <v>30000347</v>
      </c>
      <c r="B989" s="3" t="s">
        <v>319</v>
      </c>
      <c r="C989" s="3" t="s">
        <v>1375</v>
      </c>
      <c r="D989" s="23" t="n">
        <v>2778</v>
      </c>
      <c r="E989" s="23" t="n">
        <v>3500</v>
      </c>
      <c r="F989" s="23" t="n">
        <f aca="false">D989-E989</f>
        <v>-722</v>
      </c>
      <c r="G989" s="24" t="n">
        <f aca="false">IF(E989&gt;0,D989/E989-1,"")</f>
        <v>-0.206285714285714</v>
      </c>
      <c r="H989" s="3" t="str">
        <f aca="false">IF(MAX(D989,E989)&lt;Parametros!$B$16,"",IF(E989=0,"PIDE SIN FCST",IF(ABS(G989)&gt;Parametros!$B$14,IF(G989&gt;0,"SOBRE FCST","BAJO FCST"),"")))</f>
        <v>BAJO FCST</v>
      </c>
    </row>
    <row r="990" customFormat="false" ht="15" hidden="false" customHeight="false" outlineLevel="0" collapsed="false">
      <c r="A990" s="3" t="n">
        <v>30001901</v>
      </c>
      <c r="B990" s="3" t="s">
        <v>425</v>
      </c>
      <c r="C990" s="3" t="s">
        <v>1375</v>
      </c>
      <c r="D990" s="23" t="n">
        <v>3358.8</v>
      </c>
      <c r="E990" s="23" t="n">
        <v>2637.49394223114</v>
      </c>
      <c r="F990" s="23" t="n">
        <f aca="false">D990-E990</f>
        <v>721.306057768866</v>
      </c>
      <c r="G990" s="24" t="n">
        <f aca="false">IF(E990&gt;0,D990/E990-1,"")</f>
        <v>0.273481597898455</v>
      </c>
      <c r="H990" s="3" t="str">
        <f aca="false">IF(MAX(D990,E990)&lt;Parametros!$B$16,"",IF(E990=0,"PIDE SIN FCST",IF(ABS(G990)&gt;Parametros!$B$14,IF(G990&gt;0,"SOBRE FCST","BAJO FCST"),"")))</f>
        <v>SOBRE FCST</v>
      </c>
    </row>
    <row r="991" customFormat="false" ht="15" hidden="false" customHeight="false" outlineLevel="0" collapsed="false">
      <c r="A991" s="3" t="n">
        <v>30000383</v>
      </c>
      <c r="B991" s="3" t="s">
        <v>578</v>
      </c>
      <c r="C991" s="3" t="s">
        <v>1373</v>
      </c>
      <c r="D991" s="23" t="n">
        <v>204</v>
      </c>
      <c r="E991" s="23" t="n">
        <v>924.379166666667</v>
      </c>
      <c r="F991" s="23" t="n">
        <f aca="false">D991-E991</f>
        <v>-720.379166666667</v>
      </c>
      <c r="G991" s="24" t="n">
        <f aca="false">IF(E991&gt;0,D991/E991-1,"")</f>
        <v>-0.77931133959279</v>
      </c>
      <c r="H991" s="3" t="str">
        <f aca="false">IF(MAX(D991,E991)&lt;Parametros!$B$16,"",IF(E991=0,"PIDE SIN FCST",IF(ABS(G991)&gt;Parametros!$B$14,IF(G991&gt;0,"SOBRE FCST","BAJO FCST"),"")))</f>
        <v/>
      </c>
    </row>
    <row r="992" customFormat="false" ht="15" hidden="false" customHeight="false" outlineLevel="0" collapsed="false">
      <c r="A992" s="3" t="n">
        <v>30002282</v>
      </c>
      <c r="B992" s="3" t="s">
        <v>593</v>
      </c>
      <c r="C992" s="3" t="s">
        <v>1373</v>
      </c>
      <c r="D992" s="23" t="n">
        <v>294</v>
      </c>
      <c r="E992" s="23" t="n">
        <v>1013.21666666667</v>
      </c>
      <c r="F992" s="23" t="n">
        <f aca="false">D992-E992</f>
        <v>-719.216666666667</v>
      </c>
      <c r="G992" s="24" t="n">
        <f aca="false">IF(E992&gt;0,D992/E992-1,"")</f>
        <v>-0.709835013899627</v>
      </c>
      <c r="H992" s="3" t="str">
        <f aca="false">IF(MAX(D992,E992)&lt;Parametros!$B$16,"",IF(E992=0,"PIDE SIN FCST",IF(ABS(G992)&gt;Parametros!$B$14,IF(G992&gt;0,"SOBRE FCST","BAJO FCST"),"")))</f>
        <v>BAJO FCST</v>
      </c>
    </row>
    <row r="993" customFormat="false" ht="15" hidden="false" customHeight="false" outlineLevel="0" collapsed="false">
      <c r="A993" s="3" t="n">
        <v>30001508</v>
      </c>
      <c r="B993" s="3" t="s">
        <v>318</v>
      </c>
      <c r="C993" s="3" t="s">
        <v>1372</v>
      </c>
      <c r="D993" s="23" t="n">
        <v>2021.7</v>
      </c>
      <c r="E993" s="23" t="n">
        <v>2739.53721659495</v>
      </c>
      <c r="F993" s="23" t="n">
        <f aca="false">D993-E993</f>
        <v>-717.837216594951</v>
      </c>
      <c r="G993" s="24" t="n">
        <f aca="false">IF(E993&gt;0,D993/E993-1,"")</f>
        <v>-0.262028642008073</v>
      </c>
      <c r="H993" s="3" t="str">
        <f aca="false">IF(MAX(D993,E993)&lt;Parametros!$B$16,"",IF(E993=0,"PIDE SIN FCST",IF(ABS(G993)&gt;Parametros!$B$14,IF(G993&gt;0,"SOBRE FCST","BAJO FCST"),"")))</f>
        <v>BAJO FCST</v>
      </c>
    </row>
    <row r="994" customFormat="false" ht="15" hidden="false" customHeight="false" outlineLevel="0" collapsed="false">
      <c r="A994" s="3" t="n">
        <v>30001888</v>
      </c>
      <c r="B994" s="3" t="s">
        <v>497</v>
      </c>
      <c r="C994" s="3" t="s">
        <v>1377</v>
      </c>
      <c r="D994" s="23" t="n">
        <v>716</v>
      </c>
      <c r="E994" s="23" t="n">
        <v>0</v>
      </c>
      <c r="F994" s="23" t="n">
        <f aca="false">D994-E994</f>
        <v>716</v>
      </c>
      <c r="G994" s="24" t="str">
        <f aca="false">IF(E994&gt;0,D994/E994-1,"")</f>
        <v/>
      </c>
      <c r="H994" s="3" t="str">
        <f aca="false">IF(MAX(D994,E994)&lt;Parametros!$B$16,"",IF(E994=0,"PIDE SIN FCST",IF(ABS(G994)&gt;Parametros!$B$14,IF(G994&gt;0,"SOBRE FCST","BAJO FCST"),"")))</f>
        <v/>
      </c>
    </row>
    <row r="995" customFormat="false" ht="15" hidden="false" customHeight="false" outlineLevel="0" collapsed="false">
      <c r="A995" s="3" t="n">
        <v>30000353</v>
      </c>
      <c r="B995" s="3" t="s">
        <v>219</v>
      </c>
      <c r="C995" s="3" t="s">
        <v>1377</v>
      </c>
      <c r="D995" s="23" t="n">
        <v>5328</v>
      </c>
      <c r="E995" s="23" t="n">
        <v>4613.80184892119</v>
      </c>
      <c r="F995" s="23" t="n">
        <f aca="false">D995-E995</f>
        <v>714.198151078808</v>
      </c>
      <c r="G995" s="24" t="n">
        <f aca="false">IF(E995&gt;0,D995/E995-1,"")</f>
        <v>0.154796017355146</v>
      </c>
      <c r="H995" s="3" t="str">
        <f aca="false">IF(MAX(D995,E995)&lt;Parametros!$B$16,"",IF(E995=0,"PIDE SIN FCST",IF(ABS(G995)&gt;Parametros!$B$14,IF(G995&gt;0,"SOBRE FCST","BAJO FCST"),"")))</f>
        <v/>
      </c>
    </row>
    <row r="996" customFormat="false" ht="15" hidden="false" customHeight="false" outlineLevel="0" collapsed="false">
      <c r="A996" s="3" t="n">
        <v>30002093</v>
      </c>
      <c r="B996" s="3" t="s">
        <v>488</v>
      </c>
      <c r="C996" s="3" t="s">
        <v>1372</v>
      </c>
      <c r="D996" s="23" t="n">
        <v>969.408</v>
      </c>
      <c r="E996" s="23" t="n">
        <v>255.577797183922</v>
      </c>
      <c r="F996" s="23" t="n">
        <f aca="false">D996-E996</f>
        <v>713.830202816078</v>
      </c>
      <c r="G996" s="24" t="n">
        <f aca="false">IF(E996&gt;0,D996/E996-1,"")</f>
        <v>2.79300553757564</v>
      </c>
      <c r="H996" s="3" t="str">
        <f aca="false">IF(MAX(D996,E996)&lt;Parametros!$B$16,"",IF(E996=0,"PIDE SIN FCST",IF(ABS(G996)&gt;Parametros!$B$14,IF(G996&gt;0,"SOBRE FCST","BAJO FCST"),"")))</f>
        <v/>
      </c>
    </row>
    <row r="997" customFormat="false" ht="15" hidden="false" customHeight="false" outlineLevel="0" collapsed="false">
      <c r="A997" s="3" t="n">
        <v>30002090</v>
      </c>
      <c r="B997" s="3" t="s">
        <v>317</v>
      </c>
      <c r="C997" s="3" t="s">
        <v>1377</v>
      </c>
      <c r="D997" s="23" t="n">
        <v>952.2</v>
      </c>
      <c r="E997" s="23" t="n">
        <v>238.94891124988</v>
      </c>
      <c r="F997" s="23" t="n">
        <f aca="false">D997-E997</f>
        <v>713.25108875012</v>
      </c>
      <c r="G997" s="24" t="n">
        <f aca="false">IF(E997&gt;0,D997/E997-1,"")</f>
        <v>2.98495224363772</v>
      </c>
      <c r="H997" s="3" t="str">
        <f aca="false">IF(MAX(D997,E997)&lt;Parametros!$B$16,"",IF(E997=0,"PIDE SIN FCST",IF(ABS(G997)&gt;Parametros!$B$14,IF(G997&gt;0,"SOBRE FCST","BAJO FCST"),"")))</f>
        <v/>
      </c>
    </row>
    <row r="998" customFormat="false" ht="15" hidden="false" customHeight="false" outlineLevel="0" collapsed="false">
      <c r="A998" s="3" t="n">
        <v>30001481</v>
      </c>
      <c r="B998" s="3" t="s">
        <v>588</v>
      </c>
      <c r="C998" s="3" t="s">
        <v>1373</v>
      </c>
      <c r="D998" s="23" t="n">
        <v>90.72</v>
      </c>
      <c r="E998" s="23" t="n">
        <v>800</v>
      </c>
      <c r="F998" s="23" t="n">
        <f aca="false">D998-E998</f>
        <v>-709.28</v>
      </c>
      <c r="G998" s="24" t="n">
        <f aca="false">IF(E998&gt;0,D998/E998-1,"")</f>
        <v>-0.8866</v>
      </c>
      <c r="H998" s="3" t="str">
        <f aca="false">IF(MAX(D998,E998)&lt;Parametros!$B$16,"",IF(E998=0,"PIDE SIN FCST",IF(ABS(G998)&gt;Parametros!$B$14,IF(G998&gt;0,"SOBRE FCST","BAJO FCST"),"")))</f>
        <v/>
      </c>
    </row>
    <row r="999" customFormat="false" ht="15" hidden="false" customHeight="false" outlineLevel="0" collapsed="false">
      <c r="A999" s="3" t="n">
        <v>30000401</v>
      </c>
      <c r="B999" s="3" t="s">
        <v>234</v>
      </c>
      <c r="C999" s="3" t="s">
        <v>1380</v>
      </c>
      <c r="D999" s="23" t="n">
        <v>8640</v>
      </c>
      <c r="E999" s="23" t="n">
        <v>9348.2</v>
      </c>
      <c r="F999" s="23" t="n">
        <f aca="false">D999-E999</f>
        <v>-708.200000000001</v>
      </c>
      <c r="G999" s="24" t="n">
        <f aca="false">IF(E999&gt;0,D999/E999-1,"")</f>
        <v>-0.0757578999165616</v>
      </c>
      <c r="H999" s="3" t="str">
        <f aca="false">IF(MAX(D999,E999)&lt;Parametros!$B$16,"",IF(E999=0,"PIDE SIN FCST",IF(ABS(G999)&gt;Parametros!$B$14,IF(G999&gt;0,"SOBRE FCST","BAJO FCST"),"")))</f>
        <v/>
      </c>
    </row>
    <row r="1000" customFormat="false" ht="15" hidden="false" customHeight="false" outlineLevel="0" collapsed="false">
      <c r="A1000" s="3" t="n">
        <v>30001684</v>
      </c>
      <c r="B1000" s="3" t="s">
        <v>274</v>
      </c>
      <c r="C1000" s="3" t="s">
        <v>1376</v>
      </c>
      <c r="D1000" s="23" t="n">
        <v>708</v>
      </c>
      <c r="E1000" s="23" t="n">
        <v>0</v>
      </c>
      <c r="F1000" s="23" t="n">
        <f aca="false">D1000-E1000</f>
        <v>708</v>
      </c>
      <c r="G1000" s="24" t="str">
        <f aca="false">IF(E1000&gt;0,D1000/E1000-1,"")</f>
        <v/>
      </c>
      <c r="H1000" s="3" t="str">
        <f aca="false">IF(MAX(D1000,E1000)&lt;Parametros!$B$16,"",IF(E1000=0,"PIDE SIN FCST",IF(ABS(G1000)&gt;Parametros!$B$14,IF(G1000&gt;0,"SOBRE FCST","BAJO FCST"),"")))</f>
        <v/>
      </c>
    </row>
    <row r="1001" customFormat="false" ht="15" hidden="false" customHeight="false" outlineLevel="0" collapsed="false">
      <c r="A1001" s="3" t="n">
        <v>30001043</v>
      </c>
      <c r="B1001" s="3" t="s">
        <v>290</v>
      </c>
      <c r="C1001" s="3" t="s">
        <v>1379</v>
      </c>
      <c r="D1001" s="23" t="n">
        <v>1921.92</v>
      </c>
      <c r="E1001" s="23" t="n">
        <v>1214.66754671749</v>
      </c>
      <c r="F1001" s="23" t="n">
        <f aca="false">D1001-E1001</f>
        <v>707.252453282515</v>
      </c>
      <c r="G1001" s="24" t="n">
        <f aca="false">IF(E1001&gt;0,D1001/E1001-1,"")</f>
        <v>0.582260104992344</v>
      </c>
      <c r="H1001" s="3" t="str">
        <f aca="false">IF(MAX(D1001,E1001)&lt;Parametros!$B$16,"",IF(E1001=0,"PIDE SIN FCST",IF(ABS(G1001)&gt;Parametros!$B$14,IF(G1001&gt;0,"SOBRE FCST","BAJO FCST"),"")))</f>
        <v>SOBRE FCST</v>
      </c>
    </row>
    <row r="1002" customFormat="false" ht="15" hidden="false" customHeight="false" outlineLevel="0" collapsed="false">
      <c r="A1002" s="3" t="n">
        <v>30001709</v>
      </c>
      <c r="B1002" s="3" t="s">
        <v>343</v>
      </c>
      <c r="C1002" s="3" t="s">
        <v>1379</v>
      </c>
      <c r="D1002" s="23" t="n">
        <v>2960.16</v>
      </c>
      <c r="E1002" s="23" t="n">
        <v>2254.89747944018</v>
      </c>
      <c r="F1002" s="23" t="n">
        <f aca="false">D1002-E1002</f>
        <v>705.262520559819</v>
      </c>
      <c r="G1002" s="24" t="n">
        <f aca="false">IF(E1002&gt;0,D1002/E1002-1,"")</f>
        <v>0.312769217665236</v>
      </c>
      <c r="H1002" s="3" t="str">
        <f aca="false">IF(MAX(D1002,E1002)&lt;Parametros!$B$16,"",IF(E1002=0,"PIDE SIN FCST",IF(ABS(G1002)&gt;Parametros!$B$14,IF(G1002&gt;0,"SOBRE FCST","BAJO FCST"),"")))</f>
        <v>SOBRE FCST</v>
      </c>
    </row>
    <row r="1003" customFormat="false" ht="15" hidden="false" customHeight="false" outlineLevel="0" collapsed="false">
      <c r="A1003" s="3" t="n">
        <v>30000188</v>
      </c>
      <c r="B1003" s="3" t="s">
        <v>418</v>
      </c>
      <c r="C1003" s="3" t="s">
        <v>1377</v>
      </c>
      <c r="D1003" s="23" t="n">
        <v>1884</v>
      </c>
      <c r="E1003" s="23" t="n">
        <v>2588</v>
      </c>
      <c r="F1003" s="23" t="n">
        <f aca="false">D1003-E1003</f>
        <v>-704</v>
      </c>
      <c r="G1003" s="24" t="n">
        <f aca="false">IF(E1003&gt;0,D1003/E1003-1,"")</f>
        <v>-0.272024729520866</v>
      </c>
      <c r="H1003" s="3" t="str">
        <f aca="false">IF(MAX(D1003,E1003)&lt;Parametros!$B$16,"",IF(E1003=0,"PIDE SIN FCST",IF(ABS(G1003)&gt;Parametros!$B$14,IF(G1003&gt;0,"SOBRE FCST","BAJO FCST"),"")))</f>
        <v>BAJO FCST</v>
      </c>
    </row>
    <row r="1004" customFormat="false" ht="15" hidden="false" customHeight="false" outlineLevel="0" collapsed="false">
      <c r="A1004" s="3" t="n">
        <v>30002286</v>
      </c>
      <c r="B1004" s="3" t="s">
        <v>320</v>
      </c>
      <c r="C1004" s="3" t="s">
        <v>1378</v>
      </c>
      <c r="D1004" s="23" t="n">
        <v>1659.312</v>
      </c>
      <c r="E1004" s="23" t="n">
        <v>955.50520994886</v>
      </c>
      <c r="F1004" s="23" t="n">
        <f aca="false">D1004-E1004</f>
        <v>703.80679005114</v>
      </c>
      <c r="G1004" s="24" t="n">
        <f aca="false">IF(E1004&gt;0,D1004/E1004-1,"")</f>
        <v>0.736580798014496</v>
      </c>
      <c r="H1004" s="3" t="str">
        <f aca="false">IF(MAX(D1004,E1004)&lt;Parametros!$B$16,"",IF(E1004=0,"PIDE SIN FCST",IF(ABS(G1004)&gt;Parametros!$B$14,IF(G1004&gt;0,"SOBRE FCST","BAJO FCST"),"")))</f>
        <v>SOBRE FCST</v>
      </c>
    </row>
    <row r="1005" customFormat="false" ht="15" hidden="false" customHeight="false" outlineLevel="0" collapsed="false">
      <c r="A1005" s="3" t="n">
        <v>30000488</v>
      </c>
      <c r="B1005" s="3" t="s">
        <v>448</v>
      </c>
      <c r="C1005" s="3" t="s">
        <v>1379</v>
      </c>
      <c r="D1005" s="23" t="n">
        <v>702</v>
      </c>
      <c r="E1005" s="23" t="n">
        <v>0</v>
      </c>
      <c r="F1005" s="23" t="n">
        <f aca="false">D1005-E1005</f>
        <v>702</v>
      </c>
      <c r="G1005" s="24" t="str">
        <f aca="false">IF(E1005&gt;0,D1005/E1005-1,"")</f>
        <v/>
      </c>
      <c r="H1005" s="3" t="str">
        <f aca="false">IF(MAX(D1005,E1005)&lt;Parametros!$B$16,"",IF(E1005=0,"PIDE SIN FCST",IF(ABS(G1005)&gt;Parametros!$B$14,IF(G1005&gt;0,"SOBRE FCST","BAJO FCST"),"")))</f>
        <v/>
      </c>
    </row>
    <row r="1006" customFormat="false" ht="15" hidden="false" customHeight="false" outlineLevel="0" collapsed="false">
      <c r="A1006" s="3" t="n">
        <v>30001753</v>
      </c>
      <c r="B1006" s="3" t="s">
        <v>255</v>
      </c>
      <c r="C1006" s="3" t="s">
        <v>1373</v>
      </c>
      <c r="D1006" s="23" t="n">
        <v>11496.6</v>
      </c>
      <c r="E1006" s="23" t="n">
        <v>10796.4</v>
      </c>
      <c r="F1006" s="23" t="n">
        <f aca="false">D1006-E1006</f>
        <v>700.200000000001</v>
      </c>
      <c r="G1006" s="24" t="n">
        <f aca="false">IF(E1006&gt;0,D1006/E1006-1,"")</f>
        <v>0.0648549516505503</v>
      </c>
      <c r="H1006" s="3" t="str">
        <f aca="false">IF(MAX(D1006,E1006)&lt;Parametros!$B$16,"",IF(E1006=0,"PIDE SIN FCST",IF(ABS(G1006)&gt;Parametros!$B$14,IF(G1006&gt;0,"SOBRE FCST","BAJO FCST"),"")))</f>
        <v/>
      </c>
    </row>
    <row r="1007" customFormat="false" ht="15" hidden="false" customHeight="false" outlineLevel="0" collapsed="false">
      <c r="A1007" s="3" t="n">
        <v>30001526</v>
      </c>
      <c r="B1007" s="3" t="s">
        <v>569</v>
      </c>
      <c r="C1007" s="3" t="s">
        <v>1378</v>
      </c>
      <c r="D1007" s="23" t="n">
        <v>0</v>
      </c>
      <c r="E1007" s="23" t="n">
        <v>700</v>
      </c>
      <c r="F1007" s="23" t="n">
        <f aca="false">D1007-E1007</f>
        <v>-700</v>
      </c>
      <c r="G1007" s="24" t="n">
        <f aca="false">IF(E1007&gt;0,D1007/E1007-1,"")</f>
        <v>-1</v>
      </c>
      <c r="H1007" s="3" t="str">
        <f aca="false">IF(MAX(D1007,E1007)&lt;Parametros!$B$16,"",IF(E1007=0,"PIDE SIN FCST",IF(ABS(G1007)&gt;Parametros!$B$14,IF(G1007&gt;0,"SOBRE FCST","BAJO FCST"),"")))</f>
        <v/>
      </c>
    </row>
    <row r="1008" customFormat="false" ht="15" hidden="false" customHeight="false" outlineLevel="0" collapsed="false">
      <c r="A1008" s="3" t="n">
        <v>30002105</v>
      </c>
      <c r="B1008" s="3" t="s">
        <v>517</v>
      </c>
      <c r="C1008" s="3" t="s">
        <v>1380</v>
      </c>
      <c r="D1008" s="23" t="n">
        <v>559.872</v>
      </c>
      <c r="E1008" s="23" t="n">
        <v>1259.70457234397</v>
      </c>
      <c r="F1008" s="23" t="n">
        <f aca="false">D1008-E1008</f>
        <v>-699.832572343972</v>
      </c>
      <c r="G1008" s="24" t="n">
        <f aca="false">IF(E1008&gt;0,D1008/E1008-1,"")</f>
        <v>-0.555552934956624</v>
      </c>
      <c r="H1008" s="3" t="str">
        <f aca="false">IF(MAX(D1008,E1008)&lt;Parametros!$B$16,"",IF(E1008=0,"PIDE SIN FCST",IF(ABS(G1008)&gt;Parametros!$B$14,IF(G1008&gt;0,"SOBRE FCST","BAJO FCST"),"")))</f>
        <v>BAJO FCST</v>
      </c>
    </row>
    <row r="1009" customFormat="false" ht="15" hidden="false" customHeight="false" outlineLevel="0" collapsed="false">
      <c r="A1009" s="3" t="n">
        <v>30000665</v>
      </c>
      <c r="B1009" s="3" t="s">
        <v>617</v>
      </c>
      <c r="C1009" s="3" t="s">
        <v>1380</v>
      </c>
      <c r="D1009" s="23" t="n">
        <v>1398.4</v>
      </c>
      <c r="E1009" s="23" t="n">
        <v>700</v>
      </c>
      <c r="F1009" s="23" t="n">
        <f aca="false">D1009-E1009</f>
        <v>698.4</v>
      </c>
      <c r="G1009" s="24" t="n">
        <f aca="false">IF(E1009&gt;0,D1009/E1009-1,"")</f>
        <v>0.997714285714286</v>
      </c>
      <c r="H1009" s="3" t="str">
        <f aca="false">IF(MAX(D1009,E1009)&lt;Parametros!$B$16,"",IF(E1009=0,"PIDE SIN FCST",IF(ABS(G1009)&gt;Parametros!$B$14,IF(G1009&gt;0,"SOBRE FCST","BAJO FCST"),"")))</f>
        <v>SOBRE FCST</v>
      </c>
    </row>
    <row r="1010" customFormat="false" ht="15" hidden="false" customHeight="false" outlineLevel="0" collapsed="false">
      <c r="A1010" s="3" t="n">
        <v>30001886</v>
      </c>
      <c r="B1010" s="3" t="s">
        <v>500</v>
      </c>
      <c r="C1010" s="3" t="s">
        <v>1379</v>
      </c>
      <c r="D1010" s="23" t="n">
        <v>501.6</v>
      </c>
      <c r="E1010" s="23" t="n">
        <v>1200</v>
      </c>
      <c r="F1010" s="23" t="n">
        <f aca="false">D1010-E1010</f>
        <v>-698.4</v>
      </c>
      <c r="G1010" s="24" t="n">
        <f aca="false">IF(E1010&gt;0,D1010/E1010-1,"")</f>
        <v>-0.582</v>
      </c>
      <c r="H1010" s="3" t="str">
        <f aca="false">IF(MAX(D1010,E1010)&lt;Parametros!$B$16,"",IF(E1010=0,"PIDE SIN FCST",IF(ABS(G1010)&gt;Parametros!$B$14,IF(G1010&gt;0,"SOBRE FCST","BAJO FCST"),"")))</f>
        <v>BAJO FCST</v>
      </c>
    </row>
    <row r="1011" customFormat="false" ht="15" hidden="false" customHeight="false" outlineLevel="0" collapsed="false">
      <c r="A1011" s="3" t="n">
        <v>30002169</v>
      </c>
      <c r="B1011" s="3" t="s">
        <v>377</v>
      </c>
      <c r="C1011" s="3" t="s">
        <v>1378</v>
      </c>
      <c r="D1011" s="23" t="n">
        <v>1474.2</v>
      </c>
      <c r="E1011" s="23" t="n">
        <v>776.317558946163</v>
      </c>
      <c r="F1011" s="23" t="n">
        <f aca="false">D1011-E1011</f>
        <v>697.882441053837</v>
      </c>
      <c r="G1011" s="24" t="n">
        <f aca="false">IF(E1011&gt;0,D1011/E1011-1,"")</f>
        <v>0.898965163175234</v>
      </c>
      <c r="H1011" s="3" t="str">
        <f aca="false">IF(MAX(D1011,E1011)&lt;Parametros!$B$16,"",IF(E1011=0,"PIDE SIN FCST",IF(ABS(G1011)&gt;Parametros!$B$14,IF(G1011&gt;0,"SOBRE FCST","BAJO FCST"),"")))</f>
        <v>SOBRE FCST</v>
      </c>
    </row>
    <row r="1012" customFormat="false" ht="15" hidden="false" customHeight="false" outlineLevel="0" collapsed="false">
      <c r="A1012" s="3" t="n">
        <v>30000328</v>
      </c>
      <c r="B1012" s="3" t="s">
        <v>367</v>
      </c>
      <c r="C1012" s="3" t="s">
        <v>1375</v>
      </c>
      <c r="D1012" s="23" t="n">
        <v>5724</v>
      </c>
      <c r="E1012" s="23" t="n">
        <v>6419.94</v>
      </c>
      <c r="F1012" s="23" t="n">
        <f aca="false">D1012-E1012</f>
        <v>-695.94</v>
      </c>
      <c r="G1012" s="24" t="n">
        <f aca="false">IF(E1012&gt;0,D1012/E1012-1,"")</f>
        <v>-0.108402882269928</v>
      </c>
      <c r="H1012" s="3" t="str">
        <f aca="false">IF(MAX(D1012,E1012)&lt;Parametros!$B$16,"",IF(E1012=0,"PIDE SIN FCST",IF(ABS(G1012)&gt;Parametros!$B$14,IF(G1012&gt;0,"SOBRE FCST","BAJO FCST"),"")))</f>
        <v/>
      </c>
    </row>
    <row r="1013" customFormat="false" ht="15" hidden="false" customHeight="false" outlineLevel="0" collapsed="false">
      <c r="A1013" s="3" t="n">
        <v>30000006</v>
      </c>
      <c r="B1013" s="3" t="s">
        <v>402</v>
      </c>
      <c r="C1013" s="3" t="s">
        <v>1373</v>
      </c>
      <c r="D1013" s="23" t="n">
        <v>1056</v>
      </c>
      <c r="E1013" s="23" t="n">
        <v>1751.70833333333</v>
      </c>
      <c r="F1013" s="23" t="n">
        <f aca="false">D1013-E1013</f>
        <v>-695.708333333334</v>
      </c>
      <c r="G1013" s="24" t="n">
        <f aca="false">IF(E1013&gt;0,D1013/E1013-1,"")</f>
        <v>-0.397159915320759</v>
      </c>
      <c r="H1013" s="3" t="str">
        <f aca="false">IF(MAX(D1013,E1013)&lt;Parametros!$B$16,"",IF(E1013=0,"PIDE SIN FCST",IF(ABS(G1013)&gt;Parametros!$B$14,IF(G1013&gt;0,"SOBRE FCST","BAJO FCST"),"")))</f>
        <v>BAJO FCST</v>
      </c>
    </row>
    <row r="1014" customFormat="false" ht="15" hidden="false" customHeight="false" outlineLevel="0" collapsed="false">
      <c r="A1014" s="3" t="n">
        <v>30001020</v>
      </c>
      <c r="B1014" s="3" t="s">
        <v>461</v>
      </c>
      <c r="C1014" s="3" t="s">
        <v>1373</v>
      </c>
      <c r="D1014" s="23" t="n">
        <v>739.68</v>
      </c>
      <c r="E1014" s="23" t="n">
        <v>1435.17727708363</v>
      </c>
      <c r="F1014" s="23" t="n">
        <f aca="false">D1014-E1014</f>
        <v>-695.497277083628</v>
      </c>
      <c r="G1014" s="24" t="n">
        <f aca="false">IF(E1014&gt;0,D1014/E1014-1,"")</f>
        <v>-0.484607224618915</v>
      </c>
      <c r="H1014" s="3" t="str">
        <f aca="false">IF(MAX(D1014,E1014)&lt;Parametros!$B$16,"",IF(E1014=0,"PIDE SIN FCST",IF(ABS(G1014)&gt;Parametros!$B$14,IF(G1014&gt;0,"SOBRE FCST","BAJO FCST"),"")))</f>
        <v>BAJO FCST</v>
      </c>
    </row>
    <row r="1015" customFormat="false" ht="15" hidden="false" customHeight="false" outlineLevel="0" collapsed="false">
      <c r="A1015" s="3" t="n">
        <v>30001996</v>
      </c>
      <c r="B1015" s="3" t="s">
        <v>394</v>
      </c>
      <c r="C1015" s="3" t="s">
        <v>1375</v>
      </c>
      <c r="D1015" s="23" t="n">
        <v>6201</v>
      </c>
      <c r="E1015" s="23" t="n">
        <v>5505.79829039832</v>
      </c>
      <c r="F1015" s="23" t="n">
        <f aca="false">D1015-E1015</f>
        <v>695.201709601682</v>
      </c>
      <c r="G1015" s="24" t="n">
        <f aca="false">IF(E1015&gt;0,D1015/E1015-1,"")</f>
        <v>0.126267195587978</v>
      </c>
      <c r="H1015" s="3" t="str">
        <f aca="false">IF(MAX(D1015,E1015)&lt;Parametros!$B$16,"",IF(E1015=0,"PIDE SIN FCST",IF(ABS(G1015)&gt;Parametros!$B$14,IF(G1015&gt;0,"SOBRE FCST","BAJO FCST"),"")))</f>
        <v/>
      </c>
    </row>
    <row r="1016" customFormat="false" ht="15" hidden="false" customHeight="false" outlineLevel="0" collapsed="false">
      <c r="A1016" s="3" t="n">
        <v>30000634</v>
      </c>
      <c r="B1016" s="3" t="s">
        <v>471</v>
      </c>
      <c r="C1016" s="3" t="s">
        <v>1373</v>
      </c>
      <c r="D1016" s="23" t="n">
        <v>2928</v>
      </c>
      <c r="E1016" s="23" t="n">
        <v>2232.8</v>
      </c>
      <c r="F1016" s="23" t="n">
        <f aca="false">D1016-E1016</f>
        <v>695.2</v>
      </c>
      <c r="G1016" s="24" t="n">
        <f aca="false">IF(E1016&gt;0,D1016/E1016-1,"")</f>
        <v>0.311357936223576</v>
      </c>
      <c r="H1016" s="3" t="str">
        <f aca="false">IF(MAX(D1016,E1016)&lt;Parametros!$B$16,"",IF(E1016=0,"PIDE SIN FCST",IF(ABS(G1016)&gt;Parametros!$B$14,IF(G1016&gt;0,"SOBRE FCST","BAJO FCST"),"")))</f>
        <v>SOBRE FCST</v>
      </c>
    </row>
    <row r="1017" customFormat="false" ht="15" hidden="false" customHeight="false" outlineLevel="0" collapsed="false">
      <c r="A1017" s="3" t="n">
        <v>30002155</v>
      </c>
      <c r="B1017" s="3" t="s">
        <v>273</v>
      </c>
      <c r="C1017" s="3" t="s">
        <v>1378</v>
      </c>
      <c r="D1017" s="23" t="n">
        <v>2259.84</v>
      </c>
      <c r="E1017" s="23" t="n">
        <v>1566.38394987333</v>
      </c>
      <c r="F1017" s="23" t="n">
        <f aca="false">D1017-E1017</f>
        <v>693.456050126672</v>
      </c>
      <c r="G1017" s="24" t="n">
        <f aca="false">IF(E1017&gt;0,D1017/E1017-1,"")</f>
        <v>0.442711411964322</v>
      </c>
      <c r="H1017" s="3" t="str">
        <f aca="false">IF(MAX(D1017,E1017)&lt;Parametros!$B$16,"",IF(E1017=0,"PIDE SIN FCST",IF(ABS(G1017)&gt;Parametros!$B$14,IF(G1017&gt;0,"SOBRE FCST","BAJO FCST"),"")))</f>
        <v>SOBRE FCST</v>
      </c>
    </row>
    <row r="1018" customFormat="false" ht="15" hidden="false" customHeight="false" outlineLevel="0" collapsed="false">
      <c r="A1018" s="3" t="n">
        <v>30001052</v>
      </c>
      <c r="B1018" s="3" t="s">
        <v>243</v>
      </c>
      <c r="C1018" s="3" t="s">
        <v>1375</v>
      </c>
      <c r="D1018" s="23" t="n">
        <v>11244</v>
      </c>
      <c r="E1018" s="23" t="n">
        <v>10550.6016568629</v>
      </c>
      <c r="F1018" s="23" t="n">
        <f aca="false">D1018-E1018</f>
        <v>693.39834313708</v>
      </c>
      <c r="G1018" s="24" t="n">
        <f aca="false">IF(E1018&gt;0,D1018/E1018-1,"")</f>
        <v>0.0657212134140275</v>
      </c>
      <c r="H1018" s="3" t="str">
        <f aca="false">IF(MAX(D1018,E1018)&lt;Parametros!$B$16,"",IF(E1018=0,"PIDE SIN FCST",IF(ABS(G1018)&gt;Parametros!$B$14,IF(G1018&gt;0,"SOBRE FCST","BAJO FCST"),"")))</f>
        <v/>
      </c>
    </row>
    <row r="1019" customFormat="false" ht="15" hidden="false" customHeight="false" outlineLevel="0" collapsed="false">
      <c r="A1019" s="3" t="n">
        <v>30001405</v>
      </c>
      <c r="B1019" s="3" t="s">
        <v>386</v>
      </c>
      <c r="C1019" s="3" t="s">
        <v>1378</v>
      </c>
      <c r="D1019" s="23" t="n">
        <v>1755</v>
      </c>
      <c r="E1019" s="23" t="n">
        <v>1062.08094663187</v>
      </c>
      <c r="F1019" s="23" t="n">
        <f aca="false">D1019-E1019</f>
        <v>692.919053368135</v>
      </c>
      <c r="G1019" s="24" t="n">
        <f aca="false">IF(E1019&gt;0,D1019/E1019-1,"")</f>
        <v>0.652416424158217</v>
      </c>
      <c r="H1019" s="3" t="str">
        <f aca="false">IF(MAX(D1019,E1019)&lt;Parametros!$B$16,"",IF(E1019=0,"PIDE SIN FCST",IF(ABS(G1019)&gt;Parametros!$B$14,IF(G1019&gt;0,"SOBRE FCST","BAJO FCST"),"")))</f>
        <v>SOBRE FCST</v>
      </c>
    </row>
    <row r="1020" customFormat="false" ht="15" hidden="false" customHeight="false" outlineLevel="0" collapsed="false">
      <c r="A1020" s="3" t="n">
        <v>30001856</v>
      </c>
      <c r="B1020" s="3" t="s">
        <v>472</v>
      </c>
      <c r="C1020" s="3" t="s">
        <v>1377</v>
      </c>
      <c r="D1020" s="23" t="n">
        <v>1387.68</v>
      </c>
      <c r="E1020" s="23" t="n">
        <v>695.261808741144</v>
      </c>
      <c r="F1020" s="23" t="n">
        <f aca="false">D1020-E1020</f>
        <v>692.418191258856</v>
      </c>
      <c r="G1020" s="24" t="n">
        <f aca="false">IF(E1020&gt;0,D1020/E1020-1,"")</f>
        <v>0.995910004768655</v>
      </c>
      <c r="H1020" s="3" t="str">
        <f aca="false">IF(MAX(D1020,E1020)&lt;Parametros!$B$16,"",IF(E1020=0,"PIDE SIN FCST",IF(ABS(G1020)&gt;Parametros!$B$14,IF(G1020&gt;0,"SOBRE FCST","BAJO FCST"),"")))</f>
        <v>SOBRE FCST</v>
      </c>
    </row>
    <row r="1021" customFormat="false" ht="15" hidden="false" customHeight="false" outlineLevel="0" collapsed="false">
      <c r="A1021" s="3" t="n">
        <v>30002359</v>
      </c>
      <c r="B1021" s="3" t="s">
        <v>401</v>
      </c>
      <c r="C1021" s="3" t="s">
        <v>1375</v>
      </c>
      <c r="D1021" s="23" t="n">
        <v>6210</v>
      </c>
      <c r="E1021" s="23" t="n">
        <v>5518</v>
      </c>
      <c r="F1021" s="23" t="n">
        <f aca="false">D1021-E1021</f>
        <v>692</v>
      </c>
      <c r="G1021" s="24" t="n">
        <f aca="false">IF(E1021&gt;0,D1021/E1021-1,"")</f>
        <v>0.12540775643349</v>
      </c>
      <c r="H1021" s="3" t="str">
        <f aca="false">IF(MAX(D1021,E1021)&lt;Parametros!$B$16,"",IF(E1021=0,"PIDE SIN FCST",IF(ABS(G1021)&gt;Parametros!$B$14,IF(G1021&gt;0,"SOBRE FCST","BAJO FCST"),"")))</f>
        <v/>
      </c>
    </row>
    <row r="1022" customFormat="false" ht="15" hidden="false" customHeight="false" outlineLevel="0" collapsed="false">
      <c r="A1022" s="3" t="n">
        <v>30001852</v>
      </c>
      <c r="B1022" s="3" t="s">
        <v>482</v>
      </c>
      <c r="C1022" s="3" t="s">
        <v>1377</v>
      </c>
      <c r="D1022" s="23" t="n">
        <v>1367.52</v>
      </c>
      <c r="E1022" s="23" t="n">
        <v>675.58475954148</v>
      </c>
      <c r="F1022" s="23" t="n">
        <f aca="false">D1022-E1022</f>
        <v>691.93524045852</v>
      </c>
      <c r="G1022" s="24" t="n">
        <f aca="false">IF(E1022&gt;0,D1022/E1022-1,"")</f>
        <v>1.02420196827433</v>
      </c>
      <c r="H1022" s="3" t="str">
        <f aca="false">IF(MAX(D1022,E1022)&lt;Parametros!$B$16,"",IF(E1022=0,"PIDE SIN FCST",IF(ABS(G1022)&gt;Parametros!$B$14,IF(G1022&gt;0,"SOBRE FCST","BAJO FCST"),"")))</f>
        <v>SOBRE FCST</v>
      </c>
    </row>
    <row r="1023" customFormat="false" ht="15" hidden="false" customHeight="false" outlineLevel="0" collapsed="false">
      <c r="A1023" s="3" t="n">
        <v>30001707</v>
      </c>
      <c r="B1023" s="3" t="s">
        <v>549</v>
      </c>
      <c r="C1023" s="3" t="s">
        <v>1380</v>
      </c>
      <c r="D1023" s="23" t="n">
        <v>1367.52</v>
      </c>
      <c r="E1023" s="23" t="n">
        <v>2059.31216562203</v>
      </c>
      <c r="F1023" s="23" t="n">
        <f aca="false">D1023-E1023</f>
        <v>-691.792165622033</v>
      </c>
      <c r="G1023" s="24" t="n">
        <f aca="false">IF(E1023&gt;0,D1023/E1023-1,"")</f>
        <v>-0.335933607915666</v>
      </c>
      <c r="H1023" s="3" t="str">
        <f aca="false">IF(MAX(D1023,E1023)&lt;Parametros!$B$16,"",IF(E1023=0,"PIDE SIN FCST",IF(ABS(G1023)&gt;Parametros!$B$14,IF(G1023&gt;0,"SOBRE FCST","BAJO FCST"),"")))</f>
        <v>BAJO FCST</v>
      </c>
    </row>
    <row r="1024" customFormat="false" ht="15" hidden="false" customHeight="false" outlineLevel="0" collapsed="false">
      <c r="A1024" s="3" t="n">
        <v>30001656</v>
      </c>
      <c r="B1024" s="3" t="s">
        <v>350</v>
      </c>
      <c r="C1024" s="3" t="s">
        <v>1378</v>
      </c>
      <c r="D1024" s="23" t="n">
        <v>786.24</v>
      </c>
      <c r="E1024" s="23" t="n">
        <v>1477.6</v>
      </c>
      <c r="F1024" s="23" t="n">
        <f aca="false">D1024-E1024</f>
        <v>-691.36</v>
      </c>
      <c r="G1024" s="24" t="n">
        <f aca="false">IF(E1024&gt;0,D1024/E1024-1,"")</f>
        <v>-0.467893881970763</v>
      </c>
      <c r="H1024" s="3" t="str">
        <f aca="false">IF(MAX(D1024,E1024)&lt;Parametros!$B$16,"",IF(E1024=0,"PIDE SIN FCST",IF(ABS(G1024)&gt;Parametros!$B$14,IF(G1024&gt;0,"SOBRE FCST","BAJO FCST"),"")))</f>
        <v>BAJO FCST</v>
      </c>
    </row>
    <row r="1025" customFormat="false" ht="15" hidden="false" customHeight="false" outlineLevel="0" collapsed="false">
      <c r="A1025" s="3" t="n">
        <v>30002292</v>
      </c>
      <c r="B1025" s="3" t="s">
        <v>443</v>
      </c>
      <c r="C1025" s="3" t="s">
        <v>1378</v>
      </c>
      <c r="D1025" s="23" t="n">
        <v>690</v>
      </c>
      <c r="E1025" s="23" t="n">
        <v>0</v>
      </c>
      <c r="F1025" s="23" t="n">
        <f aca="false">D1025-E1025</f>
        <v>690</v>
      </c>
      <c r="G1025" s="24" t="str">
        <f aca="false">IF(E1025&gt;0,D1025/E1025-1,"")</f>
        <v/>
      </c>
      <c r="H1025" s="3" t="str">
        <f aca="false">IF(MAX(D1025,E1025)&lt;Parametros!$B$16,"",IF(E1025=0,"PIDE SIN FCST",IF(ABS(G1025)&gt;Parametros!$B$14,IF(G1025&gt;0,"SOBRE FCST","BAJO FCST"),"")))</f>
        <v/>
      </c>
    </row>
    <row r="1026" customFormat="false" ht="15" hidden="false" customHeight="false" outlineLevel="0" collapsed="false">
      <c r="A1026" s="3" t="n">
        <v>30001944</v>
      </c>
      <c r="B1026" s="3" t="s">
        <v>336</v>
      </c>
      <c r="C1026" s="3" t="s">
        <v>1373</v>
      </c>
      <c r="D1026" s="23" t="n">
        <v>604.8</v>
      </c>
      <c r="E1026" s="23" t="n">
        <v>1293.86259824361</v>
      </c>
      <c r="F1026" s="23" t="n">
        <f aca="false">D1026-E1026</f>
        <v>-689.062598243605</v>
      </c>
      <c r="G1026" s="24" t="n">
        <f aca="false">IF(E1026&gt;0,D1026/E1026-1,"")</f>
        <v>-0.53256242137225</v>
      </c>
      <c r="H1026" s="3" t="str">
        <f aca="false">IF(MAX(D1026,E1026)&lt;Parametros!$B$16,"",IF(E1026=0,"PIDE SIN FCST",IF(ABS(G1026)&gt;Parametros!$B$14,IF(G1026&gt;0,"SOBRE FCST","BAJO FCST"),"")))</f>
        <v>BAJO FCST</v>
      </c>
    </row>
    <row r="1027" customFormat="false" ht="15" hidden="false" customHeight="false" outlineLevel="0" collapsed="false">
      <c r="A1027" s="3" t="n">
        <v>30002106</v>
      </c>
      <c r="B1027" s="3" t="s">
        <v>568</v>
      </c>
      <c r="C1027" s="3" t="s">
        <v>1373</v>
      </c>
      <c r="D1027" s="23" t="n">
        <v>1228.608</v>
      </c>
      <c r="E1027" s="23" t="n">
        <v>539.570187791743</v>
      </c>
      <c r="F1027" s="23" t="n">
        <f aca="false">D1027-E1027</f>
        <v>689.037812208258</v>
      </c>
      <c r="G1027" s="24" t="n">
        <f aca="false">IF(E1027&gt;0,D1027/E1027-1,"")</f>
        <v>1.27701238466905</v>
      </c>
      <c r="H1027" s="3" t="str">
        <f aca="false">IF(MAX(D1027,E1027)&lt;Parametros!$B$16,"",IF(E1027=0,"PIDE SIN FCST",IF(ABS(G1027)&gt;Parametros!$B$14,IF(G1027&gt;0,"SOBRE FCST","BAJO FCST"),"")))</f>
        <v>SOBRE FCST</v>
      </c>
    </row>
    <row r="1028" customFormat="false" ht="15" hidden="false" customHeight="false" outlineLevel="0" collapsed="false">
      <c r="A1028" s="3" t="n">
        <v>30000599</v>
      </c>
      <c r="B1028" s="3" t="s">
        <v>333</v>
      </c>
      <c r="C1028" s="3" t="s">
        <v>1380</v>
      </c>
      <c r="D1028" s="23" t="n">
        <v>311.52</v>
      </c>
      <c r="E1028" s="23" t="n">
        <v>1000</v>
      </c>
      <c r="F1028" s="23" t="n">
        <f aca="false">D1028-E1028</f>
        <v>-688.48</v>
      </c>
      <c r="G1028" s="24" t="n">
        <f aca="false">IF(E1028&gt;0,D1028/E1028-1,"")</f>
        <v>-0.68848</v>
      </c>
      <c r="H1028" s="3" t="str">
        <f aca="false">IF(MAX(D1028,E1028)&lt;Parametros!$B$16,"",IF(E1028=0,"PIDE SIN FCST",IF(ABS(G1028)&gt;Parametros!$B$14,IF(G1028&gt;0,"SOBRE FCST","BAJO FCST"),"")))</f>
        <v>BAJO FCST</v>
      </c>
    </row>
    <row r="1029" customFormat="false" ht="15" hidden="false" customHeight="false" outlineLevel="0" collapsed="false">
      <c r="A1029" s="3" t="n">
        <v>30001744</v>
      </c>
      <c r="B1029" s="3" t="s">
        <v>437</v>
      </c>
      <c r="C1029" s="3" t="s">
        <v>1377</v>
      </c>
      <c r="D1029" s="23" t="n">
        <v>1237.68</v>
      </c>
      <c r="E1029" s="23" t="n">
        <v>550</v>
      </c>
      <c r="F1029" s="23" t="n">
        <f aca="false">D1029-E1029</f>
        <v>687.68</v>
      </c>
      <c r="G1029" s="24" t="n">
        <f aca="false">IF(E1029&gt;0,D1029/E1029-1,"")</f>
        <v>1.25032727272727</v>
      </c>
      <c r="H1029" s="3" t="str">
        <f aca="false">IF(MAX(D1029,E1029)&lt;Parametros!$B$16,"",IF(E1029=0,"PIDE SIN FCST",IF(ABS(G1029)&gt;Parametros!$B$14,IF(G1029&gt;0,"SOBRE FCST","BAJO FCST"),"")))</f>
        <v>SOBRE FCST</v>
      </c>
    </row>
    <row r="1030" customFormat="false" ht="15" hidden="false" customHeight="false" outlineLevel="0" collapsed="false">
      <c r="A1030" s="3" t="n">
        <v>30000628</v>
      </c>
      <c r="B1030" s="3" t="s">
        <v>574</v>
      </c>
      <c r="C1030" s="3" t="s">
        <v>1373</v>
      </c>
      <c r="D1030" s="23" t="n">
        <v>1936.64</v>
      </c>
      <c r="E1030" s="23" t="n">
        <v>1250</v>
      </c>
      <c r="F1030" s="23" t="n">
        <f aca="false">D1030-E1030</f>
        <v>686.64</v>
      </c>
      <c r="G1030" s="24" t="n">
        <f aca="false">IF(E1030&gt;0,D1030/E1030-1,"")</f>
        <v>0.549312</v>
      </c>
      <c r="H1030" s="3" t="str">
        <f aca="false">IF(MAX(D1030,E1030)&lt;Parametros!$B$16,"",IF(E1030=0,"PIDE SIN FCST",IF(ABS(G1030)&gt;Parametros!$B$14,IF(G1030&gt;0,"SOBRE FCST","BAJO FCST"),"")))</f>
        <v>SOBRE FCST</v>
      </c>
    </row>
    <row r="1031" customFormat="false" ht="15" hidden="false" customHeight="false" outlineLevel="0" collapsed="false">
      <c r="A1031" s="3" t="n">
        <v>30001711</v>
      </c>
      <c r="B1031" s="3" t="s">
        <v>309</v>
      </c>
      <c r="C1031" s="3" t="s">
        <v>1377</v>
      </c>
      <c r="D1031" s="23" t="n">
        <v>2257.92</v>
      </c>
      <c r="E1031" s="23" t="n">
        <v>1575.84533353474</v>
      </c>
      <c r="F1031" s="23" t="n">
        <f aca="false">D1031-E1031</f>
        <v>682.074666465265</v>
      </c>
      <c r="G1031" s="24" t="n">
        <f aca="false">IF(E1031&gt;0,D1031/E1031-1,"")</f>
        <v>0.432830971384306</v>
      </c>
      <c r="H1031" s="3" t="str">
        <f aca="false">IF(MAX(D1031,E1031)&lt;Parametros!$B$16,"",IF(E1031=0,"PIDE SIN FCST",IF(ABS(G1031)&gt;Parametros!$B$14,IF(G1031&gt;0,"SOBRE FCST","BAJO FCST"),"")))</f>
        <v>SOBRE FCST</v>
      </c>
    </row>
    <row r="1032" customFormat="false" ht="15" hidden="false" customHeight="false" outlineLevel="0" collapsed="false">
      <c r="A1032" s="3" t="n">
        <v>30000351</v>
      </c>
      <c r="B1032" s="3" t="s">
        <v>393</v>
      </c>
      <c r="C1032" s="3" t="s">
        <v>1376</v>
      </c>
      <c r="D1032" s="23" t="n">
        <v>3318</v>
      </c>
      <c r="E1032" s="23" t="n">
        <v>4000</v>
      </c>
      <c r="F1032" s="23" t="n">
        <f aca="false">D1032-E1032</f>
        <v>-682</v>
      </c>
      <c r="G1032" s="24" t="n">
        <f aca="false">IF(E1032&gt;0,D1032/E1032-1,"")</f>
        <v>-0.1705</v>
      </c>
      <c r="H1032" s="3" t="str">
        <f aca="false">IF(MAX(D1032,E1032)&lt;Parametros!$B$16,"",IF(E1032=0,"PIDE SIN FCST",IF(ABS(G1032)&gt;Parametros!$B$14,IF(G1032&gt;0,"SOBRE FCST","BAJO FCST"),"")))</f>
        <v/>
      </c>
    </row>
    <row r="1033" customFormat="false" ht="15" hidden="false" customHeight="false" outlineLevel="0" collapsed="false">
      <c r="A1033" s="3" t="n">
        <v>30000207</v>
      </c>
      <c r="B1033" s="3" t="s">
        <v>300</v>
      </c>
      <c r="C1033" s="3" t="s">
        <v>1380</v>
      </c>
      <c r="D1033" s="23" t="n">
        <v>3156</v>
      </c>
      <c r="E1033" s="23" t="n">
        <v>2474.17804145766</v>
      </c>
      <c r="F1033" s="23" t="n">
        <f aca="false">D1033-E1033</f>
        <v>681.821958542343</v>
      </c>
      <c r="G1033" s="24" t="n">
        <f aca="false">IF(E1033&gt;0,D1033/E1033-1,"")</f>
        <v>0.275575139346338</v>
      </c>
      <c r="H1033" s="3" t="str">
        <f aca="false">IF(MAX(D1033,E1033)&lt;Parametros!$B$16,"",IF(E1033=0,"PIDE SIN FCST",IF(ABS(G1033)&gt;Parametros!$B$14,IF(G1033&gt;0,"SOBRE FCST","BAJO FCST"),"")))</f>
        <v>SOBRE FCST</v>
      </c>
    </row>
    <row r="1034" customFormat="false" ht="15" hidden="false" customHeight="false" outlineLevel="0" collapsed="false">
      <c r="A1034" s="3" t="n">
        <v>30001750</v>
      </c>
      <c r="B1034" s="3" t="s">
        <v>298</v>
      </c>
      <c r="C1034" s="3" t="s">
        <v>1372</v>
      </c>
      <c r="D1034" s="23" t="n">
        <v>2710.8</v>
      </c>
      <c r="E1034" s="23" t="n">
        <v>2029.2</v>
      </c>
      <c r="F1034" s="23" t="n">
        <f aca="false">D1034-E1034</f>
        <v>681.6</v>
      </c>
      <c r="G1034" s="24" t="n">
        <f aca="false">IF(E1034&gt;0,D1034/E1034-1,"")</f>
        <v>0.335895919574217</v>
      </c>
      <c r="H1034" s="3" t="str">
        <f aca="false">IF(MAX(D1034,E1034)&lt;Parametros!$B$16,"",IF(E1034=0,"PIDE SIN FCST",IF(ABS(G1034)&gt;Parametros!$B$14,IF(G1034&gt;0,"SOBRE FCST","BAJO FCST"),"")))</f>
        <v>SOBRE FCST</v>
      </c>
    </row>
    <row r="1035" customFormat="false" ht="15" hidden="false" customHeight="false" outlineLevel="0" collapsed="false">
      <c r="A1035" s="3" t="n">
        <v>30001018</v>
      </c>
      <c r="B1035" s="3" t="s">
        <v>385</v>
      </c>
      <c r="C1035" s="3" t="s">
        <v>1379</v>
      </c>
      <c r="D1035" s="23" t="n">
        <v>756.24</v>
      </c>
      <c r="E1035" s="23" t="n">
        <v>1437.62510915956</v>
      </c>
      <c r="F1035" s="23" t="n">
        <f aca="false">D1035-E1035</f>
        <v>-681.385109159561</v>
      </c>
      <c r="G1035" s="24" t="n">
        <f aca="false">IF(E1035&gt;0,D1035/E1035-1,"")</f>
        <v>-0.473965782051414</v>
      </c>
      <c r="H1035" s="3" t="str">
        <f aca="false">IF(MAX(D1035,E1035)&lt;Parametros!$B$16,"",IF(E1035=0,"PIDE SIN FCST",IF(ABS(G1035)&gt;Parametros!$B$14,IF(G1035&gt;0,"SOBRE FCST","BAJO FCST"),"")))</f>
        <v>BAJO FCST</v>
      </c>
    </row>
    <row r="1036" customFormat="false" ht="15" hidden="false" customHeight="false" outlineLevel="0" collapsed="false">
      <c r="A1036" s="3" t="n">
        <v>30002091</v>
      </c>
      <c r="B1036" s="3" t="s">
        <v>325</v>
      </c>
      <c r="C1036" s="3" t="s">
        <v>1372</v>
      </c>
      <c r="D1036" s="23" t="n">
        <v>678.6</v>
      </c>
      <c r="E1036" s="23" t="n">
        <v>0</v>
      </c>
      <c r="F1036" s="23" t="n">
        <f aca="false">D1036-E1036</f>
        <v>678.6</v>
      </c>
      <c r="G1036" s="24" t="str">
        <f aca="false">IF(E1036&gt;0,D1036/E1036-1,"")</f>
        <v/>
      </c>
      <c r="H1036" s="3" t="str">
        <f aca="false">IF(MAX(D1036,E1036)&lt;Parametros!$B$16,"",IF(E1036=0,"PIDE SIN FCST",IF(ABS(G1036)&gt;Parametros!$B$14,IF(G1036&gt;0,"SOBRE FCST","BAJO FCST"),"")))</f>
        <v/>
      </c>
    </row>
    <row r="1037" customFormat="false" ht="15" hidden="false" customHeight="false" outlineLevel="0" collapsed="false">
      <c r="A1037" s="3" t="n">
        <v>30001862</v>
      </c>
      <c r="B1037" s="3" t="s">
        <v>239</v>
      </c>
      <c r="C1037" s="3" t="s">
        <v>1378</v>
      </c>
      <c r="D1037" s="23" t="n">
        <v>5616</v>
      </c>
      <c r="E1037" s="23" t="n">
        <v>6294.00753100148</v>
      </c>
      <c r="F1037" s="23" t="n">
        <f aca="false">D1037-E1037</f>
        <v>-678.007531001478</v>
      </c>
      <c r="G1037" s="24" t="n">
        <f aca="false">IF(E1037&gt;0,D1037/E1037-1,"")</f>
        <v>-0.107722707299271</v>
      </c>
      <c r="H1037" s="3" t="str">
        <f aca="false">IF(MAX(D1037,E1037)&lt;Parametros!$B$16,"",IF(E1037=0,"PIDE SIN FCST",IF(ABS(G1037)&gt;Parametros!$B$14,IF(G1037&gt;0,"SOBRE FCST","BAJO FCST"),"")))</f>
        <v/>
      </c>
    </row>
    <row r="1038" customFormat="false" ht="15" hidden="false" customHeight="false" outlineLevel="0" collapsed="false">
      <c r="A1038" s="3" t="n">
        <v>30002315</v>
      </c>
      <c r="B1038" s="3" t="s">
        <v>260</v>
      </c>
      <c r="C1038" s="3" t="s">
        <v>1373</v>
      </c>
      <c r="D1038" s="23" t="n">
        <v>2676</v>
      </c>
      <c r="E1038" s="23" t="n">
        <v>1998.04166666667</v>
      </c>
      <c r="F1038" s="23" t="n">
        <f aca="false">D1038-E1038</f>
        <v>677.958333333333</v>
      </c>
      <c r="G1038" s="24" t="n">
        <f aca="false">IF(E1038&gt;0,D1038/E1038-1,"")</f>
        <v>0.339311409088065</v>
      </c>
      <c r="H1038" s="3" t="str">
        <f aca="false">IF(MAX(D1038,E1038)&lt;Parametros!$B$16,"",IF(E1038=0,"PIDE SIN FCST",IF(ABS(G1038)&gt;Parametros!$B$14,IF(G1038&gt;0,"SOBRE FCST","BAJO FCST"),"")))</f>
        <v>SOBRE FCST</v>
      </c>
    </row>
    <row r="1039" customFormat="false" ht="15" hidden="false" customHeight="false" outlineLevel="0" collapsed="false">
      <c r="A1039" s="3" t="n">
        <v>30002253</v>
      </c>
      <c r="B1039" s="3" t="s">
        <v>555</v>
      </c>
      <c r="C1039" s="3" t="s">
        <v>1379</v>
      </c>
      <c r="D1039" s="23" t="n">
        <v>0</v>
      </c>
      <c r="E1039" s="23" t="n">
        <v>677.830169471581</v>
      </c>
      <c r="F1039" s="23" t="n">
        <f aca="false">D1039-E1039</f>
        <v>-677.830169471581</v>
      </c>
      <c r="G1039" s="24" t="n">
        <f aca="false">IF(E1039&gt;0,D1039/E1039-1,"")</f>
        <v>-1</v>
      </c>
      <c r="H1039" s="3" t="str">
        <f aca="false">IF(MAX(D1039,E1039)&lt;Parametros!$B$16,"",IF(E1039=0,"PIDE SIN FCST",IF(ABS(G1039)&gt;Parametros!$B$14,IF(G1039&gt;0,"SOBRE FCST","BAJO FCST"),"")))</f>
        <v/>
      </c>
    </row>
    <row r="1040" customFormat="false" ht="15" hidden="false" customHeight="false" outlineLevel="0" collapsed="false">
      <c r="A1040" s="3" t="n">
        <v>30000660</v>
      </c>
      <c r="B1040" s="3" t="s">
        <v>388</v>
      </c>
      <c r="C1040" s="3" t="s">
        <v>1378</v>
      </c>
      <c r="D1040" s="23" t="n">
        <v>420</v>
      </c>
      <c r="E1040" s="23" t="n">
        <v>1092.47826386244</v>
      </c>
      <c r="F1040" s="23" t="n">
        <f aca="false">D1040-E1040</f>
        <v>-672.478263862438</v>
      </c>
      <c r="G1040" s="24" t="n">
        <f aca="false">IF(E1040&gt;0,D1040/E1040-1,"")</f>
        <v>-0.615552991859905</v>
      </c>
      <c r="H1040" s="3" t="str">
        <f aca="false">IF(MAX(D1040,E1040)&lt;Parametros!$B$16,"",IF(E1040=0,"PIDE SIN FCST",IF(ABS(G1040)&gt;Parametros!$B$14,IF(G1040&gt;0,"SOBRE FCST","BAJO FCST"),"")))</f>
        <v>BAJO FCST</v>
      </c>
    </row>
    <row r="1041" customFormat="false" ht="15" hidden="false" customHeight="false" outlineLevel="0" collapsed="false">
      <c r="A1041" s="3" t="n">
        <v>30002081</v>
      </c>
      <c r="B1041" s="3" t="s">
        <v>579</v>
      </c>
      <c r="C1041" s="3" t="s">
        <v>1379</v>
      </c>
      <c r="D1041" s="23" t="n">
        <v>729.6</v>
      </c>
      <c r="E1041" s="23" t="n">
        <v>1400</v>
      </c>
      <c r="F1041" s="23" t="n">
        <f aca="false">D1041-E1041</f>
        <v>-670.4</v>
      </c>
      <c r="G1041" s="24" t="n">
        <f aca="false">IF(E1041&gt;0,D1041/E1041-1,"")</f>
        <v>-0.478857142857143</v>
      </c>
      <c r="H1041" s="3" t="str">
        <f aca="false">IF(MAX(D1041,E1041)&lt;Parametros!$B$16,"",IF(E1041=0,"PIDE SIN FCST",IF(ABS(G1041)&gt;Parametros!$B$14,IF(G1041&gt;0,"SOBRE FCST","BAJO FCST"),"")))</f>
        <v>BAJO FCST</v>
      </c>
    </row>
    <row r="1042" customFormat="false" ht="15" hidden="false" customHeight="false" outlineLevel="0" collapsed="false">
      <c r="A1042" s="3" t="n">
        <v>30002106</v>
      </c>
      <c r="B1042" s="3" t="s">
        <v>568</v>
      </c>
      <c r="C1042" s="3" t="s">
        <v>1380</v>
      </c>
      <c r="D1042" s="23" t="n">
        <v>373.248</v>
      </c>
      <c r="E1042" s="23" t="n">
        <v>1042.24890210433</v>
      </c>
      <c r="F1042" s="23" t="n">
        <f aca="false">D1042-E1042</f>
        <v>-669.00090210433</v>
      </c>
      <c r="G1042" s="24" t="n">
        <f aca="false">IF(E1042&gt;0,D1042/E1042-1,"")</f>
        <v>-0.641882088581334</v>
      </c>
      <c r="H1042" s="3" t="str">
        <f aca="false">IF(MAX(D1042,E1042)&lt;Parametros!$B$16,"",IF(E1042=0,"PIDE SIN FCST",IF(ABS(G1042)&gt;Parametros!$B$14,IF(G1042&gt;0,"SOBRE FCST","BAJO FCST"),"")))</f>
        <v>BAJO FCST</v>
      </c>
    </row>
    <row r="1043" customFormat="false" ht="15" hidden="false" customHeight="false" outlineLevel="0" collapsed="false">
      <c r="A1043" s="3" t="n">
        <v>30000097</v>
      </c>
      <c r="B1043" s="3" t="s">
        <v>354</v>
      </c>
      <c r="C1043" s="3" t="s">
        <v>1373</v>
      </c>
      <c r="D1043" s="23" t="n">
        <v>3213</v>
      </c>
      <c r="E1043" s="23" t="n">
        <v>3881.58779473081</v>
      </c>
      <c r="F1043" s="23" t="n">
        <f aca="false">D1043-E1043</f>
        <v>-668.587794730814</v>
      </c>
      <c r="G1043" s="24" t="n">
        <f aca="false">IF(E1043&gt;0,D1043/E1043-1,"")</f>
        <v>-0.172245954513359</v>
      </c>
      <c r="H1043" s="3" t="str">
        <f aca="false">IF(MAX(D1043,E1043)&lt;Parametros!$B$16,"",IF(E1043=0,"PIDE SIN FCST",IF(ABS(G1043)&gt;Parametros!$B$14,IF(G1043&gt;0,"SOBRE FCST","BAJO FCST"),"")))</f>
        <v/>
      </c>
    </row>
    <row r="1044" customFormat="false" ht="15" hidden="false" customHeight="false" outlineLevel="0" collapsed="false">
      <c r="A1044" s="3" t="n">
        <v>30000600</v>
      </c>
      <c r="B1044" s="3" t="s">
        <v>338</v>
      </c>
      <c r="C1044" s="3" t="s">
        <v>1378</v>
      </c>
      <c r="D1044" s="23" t="n">
        <v>212.4</v>
      </c>
      <c r="E1044" s="23" t="n">
        <v>879.68</v>
      </c>
      <c r="F1044" s="23" t="n">
        <f aca="false">D1044-E1044</f>
        <v>-667.28</v>
      </c>
      <c r="G1044" s="24" t="n">
        <f aca="false">IF(E1044&gt;0,D1044/E1044-1,"")</f>
        <v>-0.75854856311386</v>
      </c>
      <c r="H1044" s="3" t="str">
        <f aca="false">IF(MAX(D1044,E1044)&lt;Parametros!$B$16,"",IF(E1044=0,"PIDE SIN FCST",IF(ABS(G1044)&gt;Parametros!$B$14,IF(G1044&gt;0,"SOBRE FCST","BAJO FCST"),"")))</f>
        <v/>
      </c>
    </row>
    <row r="1045" customFormat="false" ht="15" hidden="false" customHeight="false" outlineLevel="0" collapsed="false">
      <c r="A1045" s="3" t="n">
        <v>30001019</v>
      </c>
      <c r="B1045" s="3" t="s">
        <v>355</v>
      </c>
      <c r="C1045" s="3" t="s">
        <v>1379</v>
      </c>
      <c r="D1045" s="23" t="n">
        <v>1098.48</v>
      </c>
      <c r="E1045" s="23" t="n">
        <v>431.287532747868</v>
      </c>
      <c r="F1045" s="23" t="n">
        <f aca="false">D1045-E1045</f>
        <v>667.192467252132</v>
      </c>
      <c r="G1045" s="24" t="n">
        <f aca="false">IF(E1045&gt;0,D1045/E1045-1,"")</f>
        <v>1.54697833021335</v>
      </c>
      <c r="H1045" s="3" t="str">
        <f aca="false">IF(MAX(D1045,E1045)&lt;Parametros!$B$16,"",IF(E1045=0,"PIDE SIN FCST",IF(ABS(G1045)&gt;Parametros!$B$14,IF(G1045&gt;0,"SOBRE FCST","BAJO FCST"),"")))</f>
        <v>SOBRE FCST</v>
      </c>
    </row>
    <row r="1046" customFormat="false" ht="15" hidden="false" customHeight="false" outlineLevel="0" collapsed="false">
      <c r="A1046" s="3" t="n">
        <v>30001853</v>
      </c>
      <c r="B1046" s="3" t="s">
        <v>511</v>
      </c>
      <c r="C1046" s="3" t="s">
        <v>1380</v>
      </c>
      <c r="D1046" s="23" t="n">
        <v>4233.6</v>
      </c>
      <c r="E1046" s="23" t="n">
        <v>3567.06523705292</v>
      </c>
      <c r="F1046" s="23" t="n">
        <f aca="false">D1046-E1046</f>
        <v>666.534762947078</v>
      </c>
      <c r="G1046" s="24" t="n">
        <f aca="false">IF(E1046&gt;0,D1046/E1046-1,"")</f>
        <v>0.186858024356674</v>
      </c>
      <c r="H1046" s="3" t="str">
        <f aca="false">IF(MAX(D1046,E1046)&lt;Parametros!$B$16,"",IF(E1046=0,"PIDE SIN FCST",IF(ABS(G1046)&gt;Parametros!$B$14,IF(G1046&gt;0,"SOBRE FCST","BAJO FCST"),"")))</f>
        <v/>
      </c>
    </row>
    <row r="1047" customFormat="false" ht="15" hidden="false" customHeight="false" outlineLevel="0" collapsed="false">
      <c r="A1047" s="3" t="n">
        <v>30000639</v>
      </c>
      <c r="B1047" s="3" t="s">
        <v>244</v>
      </c>
      <c r="C1047" s="3" t="s">
        <v>1372</v>
      </c>
      <c r="D1047" s="23" t="n">
        <v>2754.24</v>
      </c>
      <c r="E1047" s="23" t="n">
        <v>2090.4</v>
      </c>
      <c r="F1047" s="23" t="n">
        <f aca="false">D1047-E1047</f>
        <v>663.84</v>
      </c>
      <c r="G1047" s="24" t="n">
        <f aca="false">IF(E1047&gt;0,D1047/E1047-1,"")</f>
        <v>0.317566016073479</v>
      </c>
      <c r="H1047" s="3" t="str">
        <f aca="false">IF(MAX(D1047,E1047)&lt;Parametros!$B$16,"",IF(E1047=0,"PIDE SIN FCST",IF(ABS(G1047)&gt;Parametros!$B$14,IF(G1047&gt;0,"SOBRE FCST","BAJO FCST"),"")))</f>
        <v>SOBRE FCST</v>
      </c>
    </row>
    <row r="1048" customFormat="false" ht="15" hidden="false" customHeight="false" outlineLevel="0" collapsed="false">
      <c r="A1048" s="3" t="n">
        <v>30000327</v>
      </c>
      <c r="B1048" s="3" t="s">
        <v>423</v>
      </c>
      <c r="C1048" s="3" t="s">
        <v>1373</v>
      </c>
      <c r="D1048" s="23" t="n">
        <v>864</v>
      </c>
      <c r="E1048" s="23" t="n">
        <v>1524.70833333333</v>
      </c>
      <c r="F1048" s="23" t="n">
        <f aca="false">D1048-E1048</f>
        <v>-660.708333333333</v>
      </c>
      <c r="G1048" s="24" t="n">
        <f aca="false">IF(E1048&gt;0,D1048/E1048-1,"")</f>
        <v>-0.433334244254366</v>
      </c>
      <c r="H1048" s="3" t="str">
        <f aca="false">IF(MAX(D1048,E1048)&lt;Parametros!$B$16,"",IF(E1048=0,"PIDE SIN FCST",IF(ABS(G1048)&gt;Parametros!$B$14,IF(G1048&gt;0,"SOBRE FCST","BAJO FCST"),"")))</f>
        <v>BAJO FCST</v>
      </c>
    </row>
    <row r="1049" customFormat="false" ht="15" hidden="false" customHeight="false" outlineLevel="0" collapsed="false">
      <c r="A1049" s="3" t="n">
        <v>30002198</v>
      </c>
      <c r="B1049" s="3" t="s">
        <v>362</v>
      </c>
      <c r="C1049" s="3" t="s">
        <v>1378</v>
      </c>
      <c r="D1049" s="23" t="n">
        <v>633.6</v>
      </c>
      <c r="E1049" s="23" t="n">
        <v>1293.86259824361</v>
      </c>
      <c r="F1049" s="23" t="n">
        <f aca="false">D1049-E1049</f>
        <v>-660.262598243605</v>
      </c>
      <c r="G1049" s="24" t="n">
        <f aca="false">IF(E1049&gt;0,D1049/E1049-1,"")</f>
        <v>-0.510303489056643</v>
      </c>
      <c r="H1049" s="3" t="str">
        <f aca="false">IF(MAX(D1049,E1049)&lt;Parametros!$B$16,"",IF(E1049=0,"PIDE SIN FCST",IF(ABS(G1049)&gt;Parametros!$B$14,IF(G1049&gt;0,"SOBRE FCST","BAJO FCST"),"")))</f>
        <v>BAJO FCST</v>
      </c>
    </row>
    <row r="1050" customFormat="false" ht="15" hidden="false" customHeight="false" outlineLevel="0" collapsed="false">
      <c r="A1050" s="3" t="n">
        <v>30000500</v>
      </c>
      <c r="B1050" s="3" t="s">
        <v>526</v>
      </c>
      <c r="C1050" s="3" t="s">
        <v>1375</v>
      </c>
      <c r="D1050" s="23" t="n">
        <v>10.8</v>
      </c>
      <c r="E1050" s="23" t="n">
        <v>668.597611731433</v>
      </c>
      <c r="F1050" s="23" t="n">
        <f aca="false">D1050-E1050</f>
        <v>-657.797611731433</v>
      </c>
      <c r="G1050" s="24" t="n">
        <f aca="false">IF(E1050&gt;0,D1050/E1050-1,"")</f>
        <v>-0.983846786451971</v>
      </c>
      <c r="H1050" s="3" t="str">
        <f aca="false">IF(MAX(D1050,E1050)&lt;Parametros!$B$16,"",IF(E1050=0,"PIDE SIN FCST",IF(ABS(G1050)&gt;Parametros!$B$14,IF(G1050&gt;0,"SOBRE FCST","BAJO FCST"),"")))</f>
        <v/>
      </c>
    </row>
    <row r="1051" customFormat="false" ht="15" hidden="false" customHeight="false" outlineLevel="0" collapsed="false">
      <c r="A1051" s="3" t="n">
        <v>30002087</v>
      </c>
      <c r="B1051" s="3" t="s">
        <v>595</v>
      </c>
      <c r="C1051" s="3" t="s">
        <v>1375</v>
      </c>
      <c r="D1051" s="23" t="n">
        <v>1280.16</v>
      </c>
      <c r="E1051" s="23" t="n">
        <v>623.49336123508</v>
      </c>
      <c r="F1051" s="23" t="n">
        <f aca="false">D1051-E1051</f>
        <v>656.66663876492</v>
      </c>
      <c r="G1051" s="24" t="n">
        <f aca="false">IF(E1051&gt;0,D1051/E1051-1,"")</f>
        <v>1.05320550240363</v>
      </c>
      <c r="H1051" s="3" t="str">
        <f aca="false">IF(MAX(D1051,E1051)&lt;Parametros!$B$16,"",IF(E1051=0,"PIDE SIN FCST",IF(ABS(G1051)&gt;Parametros!$B$14,IF(G1051&gt;0,"SOBRE FCST","BAJO FCST"),"")))</f>
        <v>SOBRE FCST</v>
      </c>
    </row>
    <row r="1052" customFormat="false" ht="15" hidden="false" customHeight="false" outlineLevel="0" collapsed="false">
      <c r="A1052" s="3" t="n">
        <v>30001341</v>
      </c>
      <c r="B1052" s="3" t="s">
        <v>540</v>
      </c>
      <c r="C1052" s="3" t="s">
        <v>1373</v>
      </c>
      <c r="D1052" s="23" t="n">
        <v>1814.4</v>
      </c>
      <c r="E1052" s="23" t="n">
        <v>1158.15396754922</v>
      </c>
      <c r="F1052" s="23" t="n">
        <f aca="false">D1052-E1052</f>
        <v>656.246032450783</v>
      </c>
      <c r="G1052" s="24" t="n">
        <f aca="false">IF(E1052&gt;0,D1052/E1052-1,"")</f>
        <v>0.566631079146992</v>
      </c>
      <c r="H1052" s="3" t="str">
        <f aca="false">IF(MAX(D1052,E1052)&lt;Parametros!$B$16,"",IF(E1052=0,"PIDE SIN FCST",IF(ABS(G1052)&gt;Parametros!$B$14,IF(G1052&gt;0,"SOBRE FCST","BAJO FCST"),"")))</f>
        <v>SOBRE FCST</v>
      </c>
    </row>
    <row r="1053" customFormat="false" ht="15" hidden="false" customHeight="false" outlineLevel="0" collapsed="false">
      <c r="A1053" s="3" t="n">
        <v>30000302</v>
      </c>
      <c r="B1053" s="3" t="s">
        <v>251</v>
      </c>
      <c r="C1053" s="3" t="s">
        <v>1377</v>
      </c>
      <c r="D1053" s="23" t="n">
        <v>5135</v>
      </c>
      <c r="E1053" s="23" t="n">
        <v>4478.75514776633</v>
      </c>
      <c r="F1053" s="23" t="n">
        <f aca="false">D1053-E1053</f>
        <v>656.244852233674</v>
      </c>
      <c r="G1053" s="24" t="n">
        <f aca="false">IF(E1053&gt;0,D1053/E1053-1,"")</f>
        <v>0.146523940376817</v>
      </c>
      <c r="H1053" s="3" t="str">
        <f aca="false">IF(MAX(D1053,E1053)&lt;Parametros!$B$16,"",IF(E1053=0,"PIDE SIN FCST",IF(ABS(G1053)&gt;Parametros!$B$14,IF(G1053&gt;0,"SOBRE FCST","BAJO FCST"),"")))</f>
        <v/>
      </c>
    </row>
    <row r="1054" customFormat="false" ht="15" hidden="false" customHeight="false" outlineLevel="0" collapsed="false">
      <c r="A1054" s="3" t="n">
        <v>30001048</v>
      </c>
      <c r="B1054" s="3" t="s">
        <v>456</v>
      </c>
      <c r="C1054" s="3" t="s">
        <v>1377</v>
      </c>
      <c r="D1054" s="23" t="n">
        <v>2898.72</v>
      </c>
      <c r="E1054" s="23" t="n">
        <v>2243.11097830232</v>
      </c>
      <c r="F1054" s="23" t="n">
        <f aca="false">D1054-E1054</f>
        <v>655.609021697679</v>
      </c>
      <c r="G1054" s="24" t="n">
        <f aca="false">IF(E1054&gt;0,D1054/E1054-1,"")</f>
        <v>0.292276676472722</v>
      </c>
      <c r="H1054" s="3" t="str">
        <f aca="false">IF(MAX(D1054,E1054)&lt;Parametros!$B$16,"",IF(E1054=0,"PIDE SIN FCST",IF(ABS(G1054)&gt;Parametros!$B$14,IF(G1054&gt;0,"SOBRE FCST","BAJO FCST"),"")))</f>
        <v>SOBRE FCST</v>
      </c>
    </row>
    <row r="1055" customFormat="false" ht="15" hidden="false" customHeight="false" outlineLevel="0" collapsed="false">
      <c r="A1055" s="3" t="n">
        <v>30002183</v>
      </c>
      <c r="B1055" s="3" t="s">
        <v>369</v>
      </c>
      <c r="C1055" s="3" t="s">
        <v>1379</v>
      </c>
      <c r="D1055" s="23" t="n">
        <v>0</v>
      </c>
      <c r="E1055" s="23" t="n">
        <v>654.313010068277</v>
      </c>
      <c r="F1055" s="23" t="n">
        <f aca="false">D1055-E1055</f>
        <v>-654.313010068277</v>
      </c>
      <c r="G1055" s="24" t="n">
        <f aca="false">IF(E1055&gt;0,D1055/E1055-1,"")</f>
        <v>-1</v>
      </c>
      <c r="H1055" s="3" t="str">
        <f aca="false">IF(MAX(D1055,E1055)&lt;Parametros!$B$16,"",IF(E1055=0,"PIDE SIN FCST",IF(ABS(G1055)&gt;Parametros!$B$14,IF(G1055&gt;0,"SOBRE FCST","BAJO FCST"),"")))</f>
        <v/>
      </c>
    </row>
    <row r="1056" customFormat="false" ht="15" hidden="false" customHeight="false" outlineLevel="0" collapsed="false">
      <c r="A1056" s="3" t="n">
        <v>30002090</v>
      </c>
      <c r="B1056" s="3" t="s">
        <v>317</v>
      </c>
      <c r="C1056" s="3" t="s">
        <v>1372</v>
      </c>
      <c r="D1056" s="23" t="n">
        <v>653.4</v>
      </c>
      <c r="E1056" s="23" t="n">
        <v>0</v>
      </c>
      <c r="F1056" s="23" t="n">
        <f aca="false">D1056-E1056</f>
        <v>653.4</v>
      </c>
      <c r="G1056" s="24" t="str">
        <f aca="false">IF(E1056&gt;0,D1056/E1056-1,"")</f>
        <v/>
      </c>
      <c r="H1056" s="3" t="str">
        <f aca="false">IF(MAX(D1056,E1056)&lt;Parametros!$B$16,"",IF(E1056=0,"PIDE SIN FCST",IF(ABS(G1056)&gt;Parametros!$B$14,IF(G1056&gt;0,"SOBRE FCST","BAJO FCST"),"")))</f>
        <v/>
      </c>
    </row>
    <row r="1057" customFormat="false" ht="15" hidden="false" customHeight="false" outlineLevel="0" collapsed="false">
      <c r="A1057" s="3" t="n">
        <v>30002282</v>
      </c>
      <c r="B1057" s="3" t="s">
        <v>593</v>
      </c>
      <c r="C1057" s="3" t="s">
        <v>1375</v>
      </c>
      <c r="D1057" s="23" t="n">
        <v>2310</v>
      </c>
      <c r="E1057" s="23" t="n">
        <v>1656.8</v>
      </c>
      <c r="F1057" s="23" t="n">
        <f aca="false">D1057-E1057</f>
        <v>653.2</v>
      </c>
      <c r="G1057" s="24" t="n">
        <f aca="false">IF(E1057&gt;0,D1057/E1057-1,"")</f>
        <v>0.39425398358281</v>
      </c>
      <c r="H1057" s="3" t="str">
        <f aca="false">IF(MAX(D1057,E1057)&lt;Parametros!$B$16,"",IF(E1057=0,"PIDE SIN FCST",IF(ABS(G1057)&gt;Parametros!$B$14,IF(G1057&gt;0,"SOBRE FCST","BAJO FCST"),"")))</f>
        <v>SOBRE FCST</v>
      </c>
    </row>
    <row r="1058" customFormat="false" ht="15" hidden="false" customHeight="false" outlineLevel="0" collapsed="false">
      <c r="A1058" s="3" t="n">
        <v>30001760</v>
      </c>
      <c r="B1058" s="3" t="s">
        <v>301</v>
      </c>
      <c r="C1058" s="3" t="s">
        <v>1375</v>
      </c>
      <c r="D1058" s="23" t="n">
        <v>7252.2</v>
      </c>
      <c r="E1058" s="23" t="n">
        <v>6600</v>
      </c>
      <c r="F1058" s="23" t="n">
        <f aca="false">D1058-E1058</f>
        <v>652.2</v>
      </c>
      <c r="G1058" s="24" t="n">
        <f aca="false">IF(E1058&gt;0,D1058/E1058-1,"")</f>
        <v>0.0988181818181817</v>
      </c>
      <c r="H1058" s="3" t="str">
        <f aca="false">IF(MAX(D1058,E1058)&lt;Parametros!$B$16,"",IF(E1058=0,"PIDE SIN FCST",IF(ABS(G1058)&gt;Parametros!$B$14,IF(G1058&gt;0,"SOBRE FCST","BAJO FCST"),"")))</f>
        <v/>
      </c>
    </row>
    <row r="1059" customFormat="false" ht="15" hidden="false" customHeight="false" outlineLevel="0" collapsed="false">
      <c r="A1059" s="3" t="n">
        <v>30002135</v>
      </c>
      <c r="B1059" s="3" t="s">
        <v>446</v>
      </c>
      <c r="C1059" s="3" t="s">
        <v>1375</v>
      </c>
      <c r="D1059" s="23" t="n">
        <v>7420.8</v>
      </c>
      <c r="E1059" s="23" t="n">
        <v>6769.31299121802</v>
      </c>
      <c r="F1059" s="23" t="n">
        <f aca="false">D1059-E1059</f>
        <v>651.487008781976</v>
      </c>
      <c r="G1059" s="24" t="n">
        <f aca="false">IF(E1059&gt;0,D1059/E1059-1,"")</f>
        <v>0.0962412300372526</v>
      </c>
      <c r="H1059" s="3" t="str">
        <f aca="false">IF(MAX(D1059,E1059)&lt;Parametros!$B$16,"",IF(E1059=0,"PIDE SIN FCST",IF(ABS(G1059)&gt;Parametros!$B$14,IF(G1059&gt;0,"SOBRE FCST","BAJO FCST"),"")))</f>
        <v/>
      </c>
    </row>
    <row r="1060" customFormat="false" ht="15" hidden="false" customHeight="false" outlineLevel="0" collapsed="false">
      <c r="A1060" s="3" t="n">
        <v>30001946</v>
      </c>
      <c r="B1060" s="3" t="s">
        <v>400</v>
      </c>
      <c r="C1060" s="3" t="s">
        <v>1373</v>
      </c>
      <c r="D1060" s="23" t="n">
        <v>211.2</v>
      </c>
      <c r="E1060" s="23" t="n">
        <v>862.575065495737</v>
      </c>
      <c r="F1060" s="23" t="n">
        <f aca="false">D1060-E1060</f>
        <v>-651.375065495737</v>
      </c>
      <c r="G1060" s="24" t="n">
        <f aca="false">IF(E1060&gt;0,D1060/E1060-1,"")</f>
        <v>-0.755151744528322</v>
      </c>
      <c r="H1060" s="3" t="str">
        <f aca="false">IF(MAX(D1060,E1060)&lt;Parametros!$B$16,"",IF(E1060=0,"PIDE SIN FCST",IF(ABS(G1060)&gt;Parametros!$B$14,IF(G1060&gt;0,"SOBRE FCST","BAJO FCST"),"")))</f>
        <v/>
      </c>
    </row>
    <row r="1061" customFormat="false" ht="15" hidden="false" customHeight="false" outlineLevel="0" collapsed="false">
      <c r="A1061" s="3" t="n">
        <v>30000552</v>
      </c>
      <c r="B1061" s="3" t="s">
        <v>587</v>
      </c>
      <c r="C1061" s="3" t="s">
        <v>1378</v>
      </c>
      <c r="D1061" s="23" t="n">
        <v>212.04</v>
      </c>
      <c r="E1061" s="23" t="n">
        <v>862.575065495737</v>
      </c>
      <c r="F1061" s="23" t="n">
        <f aca="false">D1061-E1061</f>
        <v>-650.535065495737</v>
      </c>
      <c r="G1061" s="24" t="n">
        <f aca="false">IF(E1061&gt;0,D1061/E1061-1,"")</f>
        <v>-0.754177916239514</v>
      </c>
      <c r="H1061" s="3" t="str">
        <f aca="false">IF(MAX(D1061,E1061)&lt;Parametros!$B$16,"",IF(E1061=0,"PIDE SIN FCST",IF(ABS(G1061)&gt;Parametros!$B$14,IF(G1061&gt;0,"SOBRE FCST","BAJO FCST"),"")))</f>
        <v/>
      </c>
    </row>
    <row r="1062" customFormat="false" ht="15" hidden="false" customHeight="false" outlineLevel="0" collapsed="false">
      <c r="A1062" s="3" t="n">
        <v>30001710</v>
      </c>
      <c r="B1062" s="3" t="s">
        <v>335</v>
      </c>
      <c r="C1062" s="3" t="s">
        <v>1379</v>
      </c>
      <c r="D1062" s="23" t="n">
        <v>4314.24</v>
      </c>
      <c r="E1062" s="23" t="n">
        <v>3664.40120169516</v>
      </c>
      <c r="F1062" s="23" t="n">
        <f aca="false">D1062-E1062</f>
        <v>649.838798304841</v>
      </c>
      <c r="G1062" s="24" t="n">
        <f aca="false">IF(E1062&gt;0,D1062/E1062-1,"")</f>
        <v>0.17733833238681</v>
      </c>
      <c r="H1062" s="3" t="str">
        <f aca="false">IF(MAX(D1062,E1062)&lt;Parametros!$B$16,"",IF(E1062=0,"PIDE SIN FCST",IF(ABS(G1062)&gt;Parametros!$B$14,IF(G1062&gt;0,"SOBRE FCST","BAJO FCST"),"")))</f>
        <v/>
      </c>
    </row>
    <row r="1063" customFormat="false" ht="15" hidden="false" customHeight="false" outlineLevel="0" collapsed="false">
      <c r="A1063" s="3" t="n">
        <v>30001656</v>
      </c>
      <c r="B1063" s="3" t="s">
        <v>350</v>
      </c>
      <c r="C1063" s="3" t="s">
        <v>1379</v>
      </c>
      <c r="D1063" s="23" t="n">
        <v>2099.52</v>
      </c>
      <c r="E1063" s="23" t="n">
        <v>1450</v>
      </c>
      <c r="F1063" s="23" t="n">
        <f aca="false">D1063-E1063</f>
        <v>649.52</v>
      </c>
      <c r="G1063" s="24" t="n">
        <f aca="false">IF(E1063&gt;0,D1063/E1063-1,"")</f>
        <v>0.447944827586207</v>
      </c>
      <c r="H1063" s="3" t="str">
        <f aca="false">IF(MAX(D1063,E1063)&lt;Parametros!$B$16,"",IF(E1063=0,"PIDE SIN FCST",IF(ABS(G1063)&gt;Parametros!$B$14,IF(G1063&gt;0,"SOBRE FCST","BAJO FCST"),"")))</f>
        <v>SOBRE FCST</v>
      </c>
    </row>
    <row r="1064" customFormat="false" ht="15" hidden="false" customHeight="false" outlineLevel="0" collapsed="false">
      <c r="A1064" s="3" t="n">
        <v>30002253</v>
      </c>
      <c r="B1064" s="3" t="s">
        <v>555</v>
      </c>
      <c r="C1064" s="3" t="s">
        <v>1378</v>
      </c>
      <c r="D1064" s="23" t="n">
        <v>367.2</v>
      </c>
      <c r="E1064" s="23" t="n">
        <v>1016.03242877202</v>
      </c>
      <c r="F1064" s="23" t="n">
        <f aca="false">D1064-E1064</f>
        <v>-648.832428772024</v>
      </c>
      <c r="G1064" s="24" t="n">
        <f aca="false">IF(E1064&gt;0,D1064/E1064-1,"")</f>
        <v>-0.638594212545167</v>
      </c>
      <c r="H1064" s="3" t="str">
        <f aca="false">IF(MAX(D1064,E1064)&lt;Parametros!$B$16,"",IF(E1064=0,"PIDE SIN FCST",IF(ABS(G1064)&gt;Parametros!$B$14,IF(G1064&gt;0,"SOBRE FCST","BAJO FCST"),"")))</f>
        <v>BAJO FCST</v>
      </c>
    </row>
    <row r="1065" customFormat="false" ht="15" hidden="false" customHeight="false" outlineLevel="0" collapsed="false">
      <c r="A1065" s="3" t="n">
        <v>30001149</v>
      </c>
      <c r="B1065" s="3" t="s">
        <v>536</v>
      </c>
      <c r="C1065" s="3" t="s">
        <v>1380</v>
      </c>
      <c r="D1065" s="23" t="n">
        <v>2040</v>
      </c>
      <c r="E1065" s="23" t="n">
        <v>2686.65865897464</v>
      </c>
      <c r="F1065" s="23" t="n">
        <f aca="false">D1065-E1065</f>
        <v>-646.658658974638</v>
      </c>
      <c r="G1065" s="24" t="n">
        <f aca="false">IF(E1065&gt;0,D1065/E1065-1,"")</f>
        <v>-0.240692525942776</v>
      </c>
      <c r="H1065" s="3" t="str">
        <f aca="false">IF(MAX(D1065,E1065)&lt;Parametros!$B$16,"",IF(E1065=0,"PIDE SIN FCST",IF(ABS(G1065)&gt;Parametros!$B$14,IF(G1065&gt;0,"SOBRE FCST","BAJO FCST"),"")))</f>
        <v>BAJO FCST</v>
      </c>
    </row>
    <row r="1066" customFormat="false" ht="15" hidden="false" customHeight="false" outlineLevel="0" collapsed="false">
      <c r="A1066" s="3" t="n">
        <v>30000188</v>
      </c>
      <c r="B1066" s="3" t="s">
        <v>418</v>
      </c>
      <c r="C1066" s="3" t="s">
        <v>1378</v>
      </c>
      <c r="D1066" s="23" t="n">
        <v>1074</v>
      </c>
      <c r="E1066" s="23" t="n">
        <v>1720</v>
      </c>
      <c r="F1066" s="23" t="n">
        <f aca="false">D1066-E1066</f>
        <v>-646</v>
      </c>
      <c r="G1066" s="24" t="n">
        <f aca="false">IF(E1066&gt;0,D1066/E1066-1,"")</f>
        <v>-0.375581395348837</v>
      </c>
      <c r="H1066" s="3" t="str">
        <f aca="false">IF(MAX(D1066,E1066)&lt;Parametros!$B$16,"",IF(E1066=0,"PIDE SIN FCST",IF(ABS(G1066)&gt;Parametros!$B$14,IF(G1066&gt;0,"SOBRE FCST","BAJO FCST"),"")))</f>
        <v>BAJO FCST</v>
      </c>
    </row>
    <row r="1067" customFormat="false" ht="15" hidden="false" customHeight="false" outlineLevel="0" collapsed="false">
      <c r="A1067" s="3" t="n">
        <v>30001052</v>
      </c>
      <c r="B1067" s="3" t="s">
        <v>243</v>
      </c>
      <c r="C1067" s="3" t="s">
        <v>1378</v>
      </c>
      <c r="D1067" s="23" t="n">
        <v>3720</v>
      </c>
      <c r="E1067" s="23" t="n">
        <v>3074.80639953079</v>
      </c>
      <c r="F1067" s="23" t="n">
        <f aca="false">D1067-E1067</f>
        <v>645.193600469211</v>
      </c>
      <c r="G1067" s="24" t="n">
        <f aca="false">IF(E1067&gt;0,D1067/E1067-1,"")</f>
        <v>0.209832267998293</v>
      </c>
      <c r="H1067" s="3" t="str">
        <f aca="false">IF(MAX(D1067,E1067)&lt;Parametros!$B$16,"",IF(E1067=0,"PIDE SIN FCST",IF(ABS(G1067)&gt;Parametros!$B$14,IF(G1067&gt;0,"SOBRE FCST","BAJO FCST"),"")))</f>
        <v>SOBRE FCST</v>
      </c>
    </row>
    <row r="1068" customFormat="false" ht="15" hidden="false" customHeight="false" outlineLevel="0" collapsed="false">
      <c r="A1068" s="3" t="n">
        <v>30000551</v>
      </c>
      <c r="B1068" s="3" t="s">
        <v>245</v>
      </c>
      <c r="C1068" s="3" t="s">
        <v>1372</v>
      </c>
      <c r="D1068" s="23" t="n">
        <v>1937.6</v>
      </c>
      <c r="E1068" s="23" t="n">
        <v>1293.86259824361</v>
      </c>
      <c r="F1068" s="23" t="n">
        <f aca="false">D1068-E1068</f>
        <v>643.737401756395</v>
      </c>
      <c r="G1068" s="24" t="n">
        <f aca="false">IF(E1068&gt;0,D1068/E1068-1,"")</f>
        <v>0.497531501900014</v>
      </c>
      <c r="H1068" s="3" t="str">
        <f aca="false">IF(MAX(D1068,E1068)&lt;Parametros!$B$16,"",IF(E1068=0,"PIDE SIN FCST",IF(ABS(G1068)&gt;Parametros!$B$14,IF(G1068&gt;0,"SOBRE FCST","BAJO FCST"),"")))</f>
        <v>SOBRE FCST</v>
      </c>
    </row>
    <row r="1069" customFormat="false" ht="15" hidden="false" customHeight="false" outlineLevel="0" collapsed="false">
      <c r="A1069" s="3" t="n">
        <v>30002176</v>
      </c>
      <c r="B1069" s="3" t="s">
        <v>548</v>
      </c>
      <c r="C1069" s="3" t="s">
        <v>1375</v>
      </c>
      <c r="D1069" s="23" t="n">
        <v>1592.96</v>
      </c>
      <c r="E1069" s="23" t="n">
        <v>950</v>
      </c>
      <c r="F1069" s="23" t="n">
        <f aca="false">D1069-E1069</f>
        <v>642.96</v>
      </c>
      <c r="G1069" s="24" t="n">
        <f aca="false">IF(E1069&gt;0,D1069/E1069-1,"")</f>
        <v>0.6768</v>
      </c>
      <c r="H1069" s="3" t="str">
        <f aca="false">IF(MAX(D1069,E1069)&lt;Parametros!$B$16,"",IF(E1069=0,"PIDE SIN FCST",IF(ABS(G1069)&gt;Parametros!$B$14,IF(G1069&gt;0,"SOBRE FCST","BAJO FCST"),"")))</f>
        <v>SOBRE FCST</v>
      </c>
    </row>
    <row r="1070" customFormat="false" ht="15" hidden="false" customHeight="false" outlineLevel="0" collapsed="false">
      <c r="A1070" s="3" t="n">
        <v>30000671</v>
      </c>
      <c r="B1070" s="3" t="s">
        <v>552</v>
      </c>
      <c r="C1070" s="3" t="s">
        <v>1380</v>
      </c>
      <c r="D1070" s="23" t="n">
        <v>1057.92</v>
      </c>
      <c r="E1070" s="23" t="n">
        <v>1700</v>
      </c>
      <c r="F1070" s="23" t="n">
        <f aca="false">D1070-E1070</f>
        <v>-642.08</v>
      </c>
      <c r="G1070" s="24" t="n">
        <f aca="false">IF(E1070&gt;0,D1070/E1070-1,"")</f>
        <v>-0.377694117647059</v>
      </c>
      <c r="H1070" s="3" t="str">
        <f aca="false">IF(MAX(D1070,E1070)&lt;Parametros!$B$16,"",IF(E1070=0,"PIDE SIN FCST",IF(ABS(G1070)&gt;Parametros!$B$14,IF(G1070&gt;0,"SOBRE FCST","BAJO FCST"),"")))</f>
        <v>BAJO FCST</v>
      </c>
    </row>
    <row r="1071" customFormat="false" ht="15" hidden="false" customHeight="false" outlineLevel="0" collapsed="false">
      <c r="A1071" s="3" t="n">
        <v>30001057</v>
      </c>
      <c r="B1071" s="3" t="s">
        <v>294</v>
      </c>
      <c r="C1071" s="3" t="s">
        <v>1372</v>
      </c>
      <c r="D1071" s="23" t="n">
        <v>2224.32</v>
      </c>
      <c r="E1071" s="23" t="n">
        <v>1583.45359446646</v>
      </c>
      <c r="F1071" s="23" t="n">
        <f aca="false">D1071-E1071</f>
        <v>640.866405533536</v>
      </c>
      <c r="G1071" s="24" t="n">
        <f aca="false">IF(E1071&gt;0,D1071/E1071-1,"")</f>
        <v>0.404726989015092</v>
      </c>
      <c r="H1071" s="3" t="str">
        <f aca="false">IF(MAX(D1071,E1071)&lt;Parametros!$B$16,"",IF(E1071=0,"PIDE SIN FCST",IF(ABS(G1071)&gt;Parametros!$B$14,IF(G1071&gt;0,"SOBRE FCST","BAJO FCST"),"")))</f>
        <v>SOBRE FCST</v>
      </c>
    </row>
    <row r="1072" customFormat="false" ht="15" hidden="false" customHeight="false" outlineLevel="0" collapsed="false">
      <c r="A1072" s="3" t="n">
        <v>30001716</v>
      </c>
      <c r="B1072" s="3" t="s">
        <v>609</v>
      </c>
      <c r="C1072" s="3" t="s">
        <v>1373</v>
      </c>
      <c r="D1072" s="23" t="n">
        <v>36</v>
      </c>
      <c r="E1072" s="23" t="n">
        <v>676.552083333333</v>
      </c>
      <c r="F1072" s="23" t="n">
        <f aca="false">D1072-E1072</f>
        <v>-640.552083333333</v>
      </c>
      <c r="G1072" s="24" t="n">
        <f aca="false">IF(E1072&gt;0,D1072/E1072-1,"")</f>
        <v>-0.946789019076506</v>
      </c>
      <c r="H1072" s="3" t="str">
        <f aca="false">IF(MAX(D1072,E1072)&lt;Parametros!$B$16,"",IF(E1072=0,"PIDE SIN FCST",IF(ABS(G1072)&gt;Parametros!$B$14,IF(G1072&gt;0,"SOBRE FCST","BAJO FCST"),"")))</f>
        <v/>
      </c>
    </row>
    <row r="1073" customFormat="false" ht="15" hidden="false" customHeight="false" outlineLevel="0" collapsed="false">
      <c r="A1073" s="3" t="n">
        <v>30001364</v>
      </c>
      <c r="B1073" s="3" t="s">
        <v>248</v>
      </c>
      <c r="C1073" s="3" t="s">
        <v>1377</v>
      </c>
      <c r="D1073" s="23" t="n">
        <v>9.94</v>
      </c>
      <c r="E1073" s="23" t="n">
        <v>650</v>
      </c>
      <c r="F1073" s="23" t="n">
        <f aca="false">D1073-E1073</f>
        <v>-640.06</v>
      </c>
      <c r="G1073" s="24" t="n">
        <f aca="false">IF(E1073&gt;0,D1073/E1073-1,"")</f>
        <v>-0.984707692307692</v>
      </c>
      <c r="H1073" s="3" t="str">
        <f aca="false">IF(MAX(D1073,E1073)&lt;Parametros!$B$16,"",IF(E1073=0,"PIDE SIN FCST",IF(ABS(G1073)&gt;Parametros!$B$14,IF(G1073&gt;0,"SOBRE FCST","BAJO FCST"),"")))</f>
        <v/>
      </c>
    </row>
    <row r="1074" customFormat="false" ht="15" hidden="false" customHeight="false" outlineLevel="0" collapsed="false">
      <c r="A1074" s="3" t="n">
        <v>30001079</v>
      </c>
      <c r="B1074" s="3" t="s">
        <v>282</v>
      </c>
      <c r="C1074" s="3" t="s">
        <v>1377</v>
      </c>
      <c r="D1074" s="23" t="n">
        <v>2001.12</v>
      </c>
      <c r="E1074" s="23" t="n">
        <v>1366.124329324</v>
      </c>
      <c r="F1074" s="23" t="n">
        <f aca="false">D1074-E1074</f>
        <v>634.995670676002</v>
      </c>
      <c r="G1074" s="24" t="n">
        <f aca="false">IF(E1074&gt;0,D1074/E1074-1,"")</f>
        <v>0.464815432274907</v>
      </c>
      <c r="H1074" s="3" t="str">
        <f aca="false">IF(MAX(D1074,E1074)&lt;Parametros!$B$16,"",IF(E1074=0,"PIDE SIN FCST",IF(ABS(G1074)&gt;Parametros!$B$14,IF(G1074&gt;0,"SOBRE FCST","BAJO FCST"),"")))</f>
        <v>SOBRE FCST</v>
      </c>
    </row>
    <row r="1075" customFormat="false" ht="15" hidden="false" customHeight="false" outlineLevel="0" collapsed="false">
      <c r="A1075" s="3" t="n">
        <v>30001017</v>
      </c>
      <c r="B1075" s="3" t="s">
        <v>360</v>
      </c>
      <c r="C1075" s="3" t="s">
        <v>1379</v>
      </c>
      <c r="D1075" s="23" t="n">
        <v>805.92</v>
      </c>
      <c r="E1075" s="23" t="n">
        <v>1437.62510915956</v>
      </c>
      <c r="F1075" s="23" t="n">
        <f aca="false">D1075-E1075</f>
        <v>-631.705109159561</v>
      </c>
      <c r="G1075" s="24" t="n">
        <f aca="false">IF(E1075&gt;0,D1075/E1075-1,"")</f>
        <v>-0.439408789631434</v>
      </c>
      <c r="H1075" s="3" t="str">
        <f aca="false">IF(MAX(D1075,E1075)&lt;Parametros!$B$16,"",IF(E1075=0,"PIDE SIN FCST",IF(ABS(G1075)&gt;Parametros!$B$14,IF(G1075&gt;0,"SOBRE FCST","BAJO FCST"),"")))</f>
        <v>BAJO FCST</v>
      </c>
    </row>
    <row r="1076" customFormat="false" ht="15" hidden="false" customHeight="false" outlineLevel="0" collapsed="false">
      <c r="A1076" s="3" t="n">
        <v>30001925</v>
      </c>
      <c r="B1076" s="3" t="s">
        <v>551</v>
      </c>
      <c r="C1076" s="3" t="s">
        <v>1373</v>
      </c>
      <c r="D1076" s="23" t="n">
        <v>631.35</v>
      </c>
      <c r="E1076" s="23" t="n">
        <v>0</v>
      </c>
      <c r="F1076" s="23" t="n">
        <f aca="false">D1076-E1076</f>
        <v>631.35</v>
      </c>
      <c r="G1076" s="24" t="str">
        <f aca="false">IF(E1076&gt;0,D1076/E1076-1,"")</f>
        <v/>
      </c>
      <c r="H1076" s="3" t="str">
        <f aca="false">IF(MAX(D1076,E1076)&lt;Parametros!$B$16,"",IF(E1076=0,"PIDE SIN FCST",IF(ABS(G1076)&gt;Parametros!$B$14,IF(G1076&gt;0,"SOBRE FCST","BAJO FCST"),"")))</f>
        <v/>
      </c>
    </row>
    <row r="1077" customFormat="false" ht="15" hidden="false" customHeight="false" outlineLevel="0" collapsed="false">
      <c r="A1077" s="3" t="n">
        <v>30001854</v>
      </c>
      <c r="B1077" s="3" t="s">
        <v>420</v>
      </c>
      <c r="C1077" s="3" t="s">
        <v>1377</v>
      </c>
      <c r="D1077" s="23" t="n">
        <v>1428</v>
      </c>
      <c r="E1077" s="23" t="n">
        <v>797.618312460376</v>
      </c>
      <c r="F1077" s="23" t="n">
        <f aca="false">D1077-E1077</f>
        <v>630.381687539624</v>
      </c>
      <c r="G1077" s="24" t="n">
        <f aca="false">IF(E1077&gt;0,D1077/E1077-1,"")</f>
        <v>0.790330008340851</v>
      </c>
      <c r="H1077" s="3" t="str">
        <f aca="false">IF(MAX(D1077,E1077)&lt;Parametros!$B$16,"",IF(E1077=0,"PIDE SIN FCST",IF(ABS(G1077)&gt;Parametros!$B$14,IF(G1077&gt;0,"SOBRE FCST","BAJO FCST"),"")))</f>
        <v>SOBRE FCST</v>
      </c>
    </row>
    <row r="1078" customFormat="false" ht="15" hidden="false" customHeight="false" outlineLevel="0" collapsed="false">
      <c r="A1078" s="3" t="n">
        <v>30000097</v>
      </c>
      <c r="B1078" s="3" t="s">
        <v>354</v>
      </c>
      <c r="C1078" s="3" t="s">
        <v>1378</v>
      </c>
      <c r="D1078" s="23" t="n">
        <v>420</v>
      </c>
      <c r="E1078" s="23" t="n">
        <v>1050</v>
      </c>
      <c r="F1078" s="23" t="n">
        <f aca="false">D1078-E1078</f>
        <v>-630</v>
      </c>
      <c r="G1078" s="24" t="n">
        <f aca="false">IF(E1078&gt;0,D1078/E1078-1,"")</f>
        <v>-0.6</v>
      </c>
      <c r="H1078" s="3" t="str">
        <f aca="false">IF(MAX(D1078,E1078)&lt;Parametros!$B$16,"",IF(E1078=0,"PIDE SIN FCST",IF(ABS(G1078)&gt;Parametros!$B$14,IF(G1078&gt;0,"SOBRE FCST","BAJO FCST"),"")))</f>
        <v>BAJO FCST</v>
      </c>
    </row>
    <row r="1079" customFormat="false" ht="15" hidden="false" customHeight="false" outlineLevel="0" collapsed="false">
      <c r="A1079" s="3" t="n">
        <v>30002200</v>
      </c>
      <c r="B1079" s="3" t="s">
        <v>357</v>
      </c>
      <c r="C1079" s="3" t="s">
        <v>1373</v>
      </c>
      <c r="D1079" s="23" t="n">
        <v>628.8</v>
      </c>
      <c r="E1079" s="23" t="n">
        <v>0</v>
      </c>
      <c r="F1079" s="23" t="n">
        <f aca="false">D1079-E1079</f>
        <v>628.8</v>
      </c>
      <c r="G1079" s="24" t="str">
        <f aca="false">IF(E1079&gt;0,D1079/E1079-1,"")</f>
        <v/>
      </c>
      <c r="H1079" s="3" t="str">
        <f aca="false">IF(MAX(D1079,E1079)&lt;Parametros!$B$16,"",IF(E1079=0,"PIDE SIN FCST",IF(ABS(G1079)&gt;Parametros!$B$14,IF(G1079&gt;0,"SOBRE FCST","BAJO FCST"),"")))</f>
        <v/>
      </c>
    </row>
    <row r="1080" customFormat="false" ht="15" hidden="false" customHeight="false" outlineLevel="0" collapsed="false">
      <c r="A1080" s="3" t="n">
        <v>30000441</v>
      </c>
      <c r="B1080" s="3" t="s">
        <v>229</v>
      </c>
      <c r="C1080" s="3" t="s">
        <v>1378</v>
      </c>
      <c r="D1080" s="23" t="n">
        <v>1110</v>
      </c>
      <c r="E1080" s="23" t="n">
        <v>1738.20225930044</v>
      </c>
      <c r="F1080" s="23" t="n">
        <f aca="false">D1080-E1080</f>
        <v>-628.202259300444</v>
      </c>
      <c r="G1080" s="24" t="n">
        <f aca="false">IF(E1080&gt;0,D1080/E1080-1,"")</f>
        <v>-0.361409183505071</v>
      </c>
      <c r="H1080" s="3" t="str">
        <f aca="false">IF(MAX(D1080,E1080)&lt;Parametros!$B$16,"",IF(E1080=0,"PIDE SIN FCST",IF(ABS(G1080)&gt;Parametros!$B$14,IF(G1080&gt;0,"SOBRE FCST","BAJO FCST"),"")))</f>
        <v>BAJO FCST</v>
      </c>
    </row>
    <row r="1081" customFormat="false" ht="15" hidden="false" customHeight="false" outlineLevel="0" collapsed="false">
      <c r="A1081" s="3" t="n">
        <v>30001048</v>
      </c>
      <c r="B1081" s="3" t="s">
        <v>456</v>
      </c>
      <c r="C1081" s="3" t="s">
        <v>1375</v>
      </c>
      <c r="D1081" s="23" t="n">
        <v>989.28</v>
      </c>
      <c r="E1081" s="23" t="n">
        <v>366.315148452093</v>
      </c>
      <c r="F1081" s="23" t="n">
        <f aca="false">D1081-E1081</f>
        <v>622.964851547907</v>
      </c>
      <c r="G1081" s="24" t="n">
        <f aca="false">IF(E1081&gt;0,D1081/E1081-1,"")</f>
        <v>1.70062541552081</v>
      </c>
      <c r="H1081" s="3" t="str">
        <f aca="false">IF(MAX(D1081,E1081)&lt;Parametros!$B$16,"",IF(E1081=0,"PIDE SIN FCST",IF(ABS(G1081)&gt;Parametros!$B$14,IF(G1081&gt;0,"SOBRE FCST","BAJO FCST"),"")))</f>
        <v/>
      </c>
    </row>
    <row r="1082" customFormat="false" ht="15" hidden="false" customHeight="false" outlineLevel="0" collapsed="false">
      <c r="A1082" s="3" t="n">
        <v>30001942</v>
      </c>
      <c r="B1082" s="3" t="s">
        <v>342</v>
      </c>
      <c r="C1082" s="3" t="s">
        <v>1373</v>
      </c>
      <c r="D1082" s="23" t="n">
        <v>240</v>
      </c>
      <c r="E1082" s="23" t="n">
        <v>862.575065495737</v>
      </c>
      <c r="F1082" s="23" t="n">
        <f aca="false">D1082-E1082</f>
        <v>-622.575065495737</v>
      </c>
      <c r="G1082" s="24" t="n">
        <f aca="false">IF(E1082&gt;0,D1082/E1082-1,"")</f>
        <v>-0.721763346054911</v>
      </c>
      <c r="H1082" s="3" t="str">
        <f aca="false">IF(MAX(D1082,E1082)&lt;Parametros!$B$16,"",IF(E1082=0,"PIDE SIN FCST",IF(ABS(G1082)&gt;Parametros!$B$14,IF(G1082&gt;0,"SOBRE FCST","BAJO FCST"),"")))</f>
        <v/>
      </c>
    </row>
    <row r="1083" customFormat="false" ht="15" hidden="false" customHeight="false" outlineLevel="0" collapsed="false">
      <c r="A1083" s="3" t="n">
        <v>30000177</v>
      </c>
      <c r="B1083" s="3" t="s">
        <v>439</v>
      </c>
      <c r="C1083" s="3" t="s">
        <v>1373</v>
      </c>
      <c r="D1083" s="23" t="n">
        <v>2577.6</v>
      </c>
      <c r="E1083" s="23" t="n">
        <v>3200</v>
      </c>
      <c r="F1083" s="23" t="n">
        <f aca="false">D1083-E1083</f>
        <v>-622.4</v>
      </c>
      <c r="G1083" s="24" t="n">
        <f aca="false">IF(E1083&gt;0,D1083/E1083-1,"")</f>
        <v>-0.1945</v>
      </c>
      <c r="H1083" s="3" t="str">
        <f aca="false">IF(MAX(D1083,E1083)&lt;Parametros!$B$16,"",IF(E1083=0,"PIDE SIN FCST",IF(ABS(G1083)&gt;Parametros!$B$14,IF(G1083&gt;0,"SOBRE FCST","BAJO FCST"),"")))</f>
        <v/>
      </c>
    </row>
    <row r="1084" customFormat="false" ht="15" hidden="false" customHeight="false" outlineLevel="0" collapsed="false">
      <c r="A1084" s="3" t="n">
        <v>30001092</v>
      </c>
      <c r="B1084" s="3" t="s">
        <v>473</v>
      </c>
      <c r="C1084" s="3" t="s">
        <v>1373</v>
      </c>
      <c r="D1084" s="23" t="n">
        <v>3319.2</v>
      </c>
      <c r="E1084" s="23" t="n">
        <v>3940.09066899277</v>
      </c>
      <c r="F1084" s="23" t="n">
        <f aca="false">D1084-E1084</f>
        <v>-620.890668992773</v>
      </c>
      <c r="G1084" s="24" t="n">
        <f aca="false">IF(E1084&gt;0,D1084/E1084-1,"")</f>
        <v>-0.157582837846596</v>
      </c>
      <c r="H1084" s="3" t="str">
        <f aca="false">IF(MAX(D1084,E1084)&lt;Parametros!$B$16,"",IF(E1084=0,"PIDE SIN FCST",IF(ABS(G1084)&gt;Parametros!$B$14,IF(G1084&gt;0,"SOBRE FCST","BAJO FCST"),"")))</f>
        <v/>
      </c>
    </row>
    <row r="1085" customFormat="false" ht="15" hidden="false" customHeight="false" outlineLevel="0" collapsed="false">
      <c r="A1085" s="3" t="n">
        <v>30001490</v>
      </c>
      <c r="B1085" s="3" t="s">
        <v>337</v>
      </c>
      <c r="C1085" s="3" t="s">
        <v>1378</v>
      </c>
      <c r="D1085" s="23" t="n">
        <v>673.2</v>
      </c>
      <c r="E1085" s="23" t="n">
        <v>1293.86259824361</v>
      </c>
      <c r="F1085" s="23" t="n">
        <f aca="false">D1085-E1085</f>
        <v>-620.662598243605</v>
      </c>
      <c r="G1085" s="24" t="n">
        <f aca="false">IF(E1085&gt;0,D1085/E1085-1,"")</f>
        <v>-0.479697457122683</v>
      </c>
      <c r="H1085" s="3" t="str">
        <f aca="false">IF(MAX(D1085,E1085)&lt;Parametros!$B$16,"",IF(E1085=0,"PIDE SIN FCST",IF(ABS(G1085)&gt;Parametros!$B$14,IF(G1085&gt;0,"SOBRE FCST","BAJO FCST"),"")))</f>
        <v>BAJO FCST</v>
      </c>
    </row>
    <row r="1086" customFormat="false" ht="15" hidden="false" customHeight="false" outlineLevel="0" collapsed="false">
      <c r="A1086" s="3" t="n">
        <v>30001152</v>
      </c>
      <c r="B1086" s="3" t="s">
        <v>577</v>
      </c>
      <c r="C1086" s="3" t="s">
        <v>1375</v>
      </c>
      <c r="D1086" s="23" t="n">
        <v>1817.92</v>
      </c>
      <c r="E1086" s="23" t="n">
        <v>1200</v>
      </c>
      <c r="F1086" s="23" t="n">
        <f aca="false">D1086-E1086</f>
        <v>617.92</v>
      </c>
      <c r="G1086" s="24" t="n">
        <f aca="false">IF(E1086&gt;0,D1086/E1086-1,"")</f>
        <v>0.514933333333334</v>
      </c>
      <c r="H1086" s="3" t="str">
        <f aca="false">IF(MAX(D1086,E1086)&lt;Parametros!$B$16,"",IF(E1086=0,"PIDE SIN FCST",IF(ABS(G1086)&gt;Parametros!$B$14,IF(G1086&gt;0,"SOBRE FCST","BAJO FCST"),"")))</f>
        <v>SOBRE FCST</v>
      </c>
    </row>
    <row r="1087" customFormat="false" ht="15" hidden="false" customHeight="false" outlineLevel="0" collapsed="false">
      <c r="A1087" s="3" t="n">
        <v>30000479</v>
      </c>
      <c r="B1087" s="3" t="s">
        <v>581</v>
      </c>
      <c r="C1087" s="3" t="s">
        <v>1380</v>
      </c>
      <c r="D1087" s="23" t="n">
        <v>1044</v>
      </c>
      <c r="E1087" s="23" t="n">
        <v>1661.12512460353</v>
      </c>
      <c r="F1087" s="23" t="n">
        <f aca="false">D1087-E1087</f>
        <v>-617.125124603534</v>
      </c>
      <c r="G1087" s="24" t="n">
        <f aca="false">IF(E1087&gt;0,D1087/E1087-1,"")</f>
        <v>-0.371510318797222</v>
      </c>
      <c r="H1087" s="3" t="str">
        <f aca="false">IF(MAX(D1087,E1087)&lt;Parametros!$B$16,"",IF(E1087=0,"PIDE SIN FCST",IF(ABS(G1087)&gt;Parametros!$B$14,IF(G1087&gt;0,"SOBRE FCST","BAJO FCST"),"")))</f>
        <v>BAJO FCST</v>
      </c>
    </row>
    <row r="1088" customFormat="false" ht="15" hidden="false" customHeight="false" outlineLevel="0" collapsed="false">
      <c r="A1088" s="3" t="n">
        <v>30001750</v>
      </c>
      <c r="B1088" s="3" t="s">
        <v>298</v>
      </c>
      <c r="C1088" s="3" t="s">
        <v>1373</v>
      </c>
      <c r="D1088" s="23" t="n">
        <v>8483.4</v>
      </c>
      <c r="E1088" s="23" t="n">
        <v>9100</v>
      </c>
      <c r="F1088" s="23" t="n">
        <f aca="false">D1088-E1088</f>
        <v>-616.599999999999</v>
      </c>
      <c r="G1088" s="24" t="n">
        <f aca="false">IF(E1088&gt;0,D1088/E1088-1,"")</f>
        <v>-0.0677582417582416</v>
      </c>
      <c r="H1088" s="3" t="str">
        <f aca="false">IF(MAX(D1088,E1088)&lt;Parametros!$B$16,"",IF(E1088=0,"PIDE SIN FCST",IF(ABS(G1088)&gt;Parametros!$B$14,IF(G1088&gt;0,"SOBRE FCST","BAJO FCST"),"")))</f>
        <v/>
      </c>
    </row>
    <row r="1089" customFormat="false" ht="15" hidden="false" customHeight="false" outlineLevel="0" collapsed="false">
      <c r="A1089" s="3" t="n">
        <v>30000543</v>
      </c>
      <c r="B1089" s="3" t="s">
        <v>422</v>
      </c>
      <c r="C1089" s="3" t="s">
        <v>1379</v>
      </c>
      <c r="D1089" s="23" t="n">
        <v>5394</v>
      </c>
      <c r="E1089" s="23" t="n">
        <v>4777.98</v>
      </c>
      <c r="F1089" s="23" t="n">
        <f aca="false">D1089-E1089</f>
        <v>616.02</v>
      </c>
      <c r="G1089" s="24" t="n">
        <f aca="false">IF(E1089&gt;0,D1089/E1089-1,"")</f>
        <v>0.128928961611392</v>
      </c>
      <c r="H1089" s="3" t="str">
        <f aca="false">IF(MAX(D1089,E1089)&lt;Parametros!$B$16,"",IF(E1089=0,"PIDE SIN FCST",IF(ABS(G1089)&gt;Parametros!$B$14,IF(G1089&gt;0,"SOBRE FCST","BAJO FCST"),"")))</f>
        <v/>
      </c>
    </row>
    <row r="1090" customFormat="false" ht="15" hidden="false" customHeight="false" outlineLevel="0" collapsed="false">
      <c r="A1090" s="3" t="n">
        <v>30001597</v>
      </c>
      <c r="B1090" s="3" t="s">
        <v>265</v>
      </c>
      <c r="C1090" s="3" t="s">
        <v>1378</v>
      </c>
      <c r="D1090" s="23" t="n">
        <v>784</v>
      </c>
      <c r="E1090" s="23" t="n">
        <v>1400</v>
      </c>
      <c r="F1090" s="23" t="n">
        <f aca="false">D1090-E1090</f>
        <v>-616</v>
      </c>
      <c r="G1090" s="24" t="n">
        <f aca="false">IF(E1090&gt;0,D1090/E1090-1,"")</f>
        <v>-0.44</v>
      </c>
      <c r="H1090" s="3" t="str">
        <f aca="false">IF(MAX(D1090,E1090)&lt;Parametros!$B$16,"",IF(E1090=0,"PIDE SIN FCST",IF(ABS(G1090)&gt;Parametros!$B$14,IF(G1090&gt;0,"SOBRE FCST","BAJO FCST"),"")))</f>
        <v>BAJO FCST</v>
      </c>
    </row>
    <row r="1091" customFormat="false" ht="15" hidden="false" customHeight="false" outlineLevel="0" collapsed="false">
      <c r="A1091" s="3" t="n">
        <v>30001983</v>
      </c>
      <c r="B1091" s="3" t="s">
        <v>458</v>
      </c>
      <c r="C1091" s="3" t="s">
        <v>1375</v>
      </c>
      <c r="D1091" s="23" t="n">
        <v>3537.504</v>
      </c>
      <c r="E1091" s="23" t="n">
        <v>2921.8547083252</v>
      </c>
      <c r="F1091" s="23" t="n">
        <f aca="false">D1091-E1091</f>
        <v>615.649291674797</v>
      </c>
      <c r="G1091" s="24" t="n">
        <f aca="false">IF(E1091&gt;0,D1091/E1091-1,"")</f>
        <v>0.21070496418615</v>
      </c>
      <c r="H1091" s="3" t="str">
        <f aca="false">IF(MAX(D1091,E1091)&lt;Parametros!$B$16,"",IF(E1091=0,"PIDE SIN FCST",IF(ABS(G1091)&gt;Parametros!$B$14,IF(G1091&gt;0,"SOBRE FCST","BAJO FCST"),"")))</f>
        <v>SOBRE FCST</v>
      </c>
    </row>
    <row r="1092" customFormat="false" ht="15" hidden="false" customHeight="false" outlineLevel="0" collapsed="false">
      <c r="A1092" s="3" t="n">
        <v>30001760</v>
      </c>
      <c r="B1092" s="3" t="s">
        <v>301</v>
      </c>
      <c r="C1092" s="3" t="s">
        <v>1373</v>
      </c>
      <c r="D1092" s="23" t="n">
        <v>4282.2</v>
      </c>
      <c r="E1092" s="23" t="n">
        <v>4897.2</v>
      </c>
      <c r="F1092" s="23" t="n">
        <f aca="false">D1092-E1092</f>
        <v>-615.000000000001</v>
      </c>
      <c r="G1092" s="24" t="n">
        <f aca="false">IF(E1092&gt;0,D1092/E1092-1,"")</f>
        <v>-0.125581965204607</v>
      </c>
      <c r="H1092" s="3" t="str">
        <f aca="false">IF(MAX(D1092,E1092)&lt;Parametros!$B$16,"",IF(E1092=0,"PIDE SIN FCST",IF(ABS(G1092)&gt;Parametros!$B$14,IF(G1092&gt;0,"SOBRE FCST","BAJO FCST"),"")))</f>
        <v/>
      </c>
    </row>
    <row r="1093" customFormat="false" ht="15" hidden="false" customHeight="false" outlineLevel="0" collapsed="false">
      <c r="A1093" s="3" t="n">
        <v>30002093</v>
      </c>
      <c r="B1093" s="3" t="s">
        <v>488</v>
      </c>
      <c r="C1093" s="3" t="s">
        <v>1375</v>
      </c>
      <c r="D1093" s="23" t="n">
        <v>1941.984</v>
      </c>
      <c r="E1093" s="23" t="n">
        <v>2555.77797183922</v>
      </c>
      <c r="F1093" s="23" t="n">
        <f aca="false">D1093-E1093</f>
        <v>-613.79397183922</v>
      </c>
      <c r="G1093" s="24" t="n">
        <f aca="false">IF(E1093&gt;0,D1093/E1093-1,"")</f>
        <v>-0.240159348191547</v>
      </c>
      <c r="H1093" s="3" t="str">
        <f aca="false">IF(MAX(D1093,E1093)&lt;Parametros!$B$16,"",IF(E1093=0,"PIDE SIN FCST",IF(ABS(G1093)&gt;Parametros!$B$14,IF(G1093&gt;0,"SOBRE FCST","BAJO FCST"),"")))</f>
        <v>BAJO FCST</v>
      </c>
    </row>
    <row r="1094" customFormat="false" ht="15" hidden="false" customHeight="false" outlineLevel="0" collapsed="false">
      <c r="A1094" s="3" t="n">
        <v>30002183</v>
      </c>
      <c r="B1094" s="3" t="s">
        <v>369</v>
      </c>
      <c r="C1094" s="3" t="s">
        <v>1373</v>
      </c>
      <c r="D1094" s="23" t="n">
        <v>364.8</v>
      </c>
      <c r="E1094" s="23" t="n">
        <v>978.152792891384</v>
      </c>
      <c r="F1094" s="23" t="n">
        <f aca="false">D1094-E1094</f>
        <v>-613.352792891384</v>
      </c>
      <c r="G1094" s="24" t="n">
        <f aca="false">IF(E1094&gt;0,D1094/E1094-1,"")</f>
        <v>-0.627052130657763</v>
      </c>
      <c r="H1094" s="3" t="str">
        <f aca="false">IF(MAX(D1094,E1094)&lt;Parametros!$B$16,"",IF(E1094=0,"PIDE SIN FCST",IF(ABS(G1094)&gt;Parametros!$B$14,IF(G1094&gt;0,"SOBRE FCST","BAJO FCST"),"")))</f>
        <v/>
      </c>
    </row>
    <row r="1095" customFormat="false" ht="15" hidden="false" customHeight="false" outlineLevel="0" collapsed="false">
      <c r="A1095" s="3" t="n">
        <v>30001828</v>
      </c>
      <c r="B1095" s="3" t="s">
        <v>510</v>
      </c>
      <c r="C1095" s="3" t="s">
        <v>1380</v>
      </c>
      <c r="D1095" s="23" t="n">
        <v>4305.6</v>
      </c>
      <c r="E1095" s="23" t="n">
        <v>3693.06738435958</v>
      </c>
      <c r="F1095" s="23" t="n">
        <f aca="false">D1095-E1095</f>
        <v>612.532615640419</v>
      </c>
      <c r="G1095" s="24" t="n">
        <f aca="false">IF(E1095&gt;0,D1095/E1095-1,"")</f>
        <v>0.165860124360184</v>
      </c>
      <c r="H1095" s="3" t="str">
        <f aca="false">IF(MAX(D1095,E1095)&lt;Parametros!$B$16,"",IF(E1095=0,"PIDE SIN FCST",IF(ABS(G1095)&gt;Parametros!$B$14,IF(G1095&gt;0,"SOBRE FCST","BAJO FCST"),"")))</f>
        <v/>
      </c>
    </row>
    <row r="1096" customFormat="false" ht="15" hidden="false" customHeight="false" outlineLevel="0" collapsed="false">
      <c r="A1096" s="3" t="n">
        <v>30000351</v>
      </c>
      <c r="B1096" s="3" t="s">
        <v>393</v>
      </c>
      <c r="C1096" s="3" t="s">
        <v>1378</v>
      </c>
      <c r="D1096" s="23" t="n">
        <v>1830</v>
      </c>
      <c r="E1096" s="23" t="n">
        <v>1223.12027807961</v>
      </c>
      <c r="F1096" s="23" t="n">
        <f aca="false">D1096-E1096</f>
        <v>606.879721920393</v>
      </c>
      <c r="G1096" s="24" t="n">
        <f aca="false">IF(E1096&gt;0,D1096/E1096-1,"")</f>
        <v>0.496173379508711</v>
      </c>
      <c r="H1096" s="3" t="str">
        <f aca="false">IF(MAX(D1096,E1096)&lt;Parametros!$B$16,"",IF(E1096=0,"PIDE SIN FCST",IF(ABS(G1096)&gt;Parametros!$B$14,IF(G1096&gt;0,"SOBRE FCST","BAJO FCST"),"")))</f>
        <v>SOBRE FCST</v>
      </c>
    </row>
    <row r="1097" customFormat="false" ht="15" hidden="false" customHeight="false" outlineLevel="0" collapsed="false">
      <c r="A1097" s="3" t="n">
        <v>30001745</v>
      </c>
      <c r="B1097" s="3" t="s">
        <v>445</v>
      </c>
      <c r="C1097" s="3" t="s">
        <v>1377</v>
      </c>
      <c r="D1097" s="23" t="n">
        <v>1156.68</v>
      </c>
      <c r="E1097" s="23" t="n">
        <v>550</v>
      </c>
      <c r="F1097" s="23" t="n">
        <f aca="false">D1097-E1097</f>
        <v>606.68</v>
      </c>
      <c r="G1097" s="24" t="n">
        <f aca="false">IF(E1097&gt;0,D1097/E1097-1,"")</f>
        <v>1.10305454545455</v>
      </c>
      <c r="H1097" s="3" t="str">
        <f aca="false">IF(MAX(D1097,E1097)&lt;Parametros!$B$16,"",IF(E1097=0,"PIDE SIN FCST",IF(ABS(G1097)&gt;Parametros!$B$14,IF(G1097&gt;0,"SOBRE FCST","BAJO FCST"),"")))</f>
        <v>SOBRE FCST</v>
      </c>
    </row>
    <row r="1098" customFormat="false" ht="15" hidden="false" customHeight="false" outlineLevel="0" collapsed="false">
      <c r="A1098" s="3" t="n">
        <v>30001409</v>
      </c>
      <c r="B1098" s="3" t="s">
        <v>270</v>
      </c>
      <c r="C1098" s="3" t="s">
        <v>1377</v>
      </c>
      <c r="D1098" s="23" t="n">
        <v>5814</v>
      </c>
      <c r="E1098" s="23" t="n">
        <v>5208.13769095989</v>
      </c>
      <c r="F1098" s="23" t="n">
        <f aca="false">D1098-E1098</f>
        <v>605.862309040111</v>
      </c>
      <c r="G1098" s="24" t="n">
        <f aca="false">IF(E1098&gt;0,D1098/E1098-1,"")</f>
        <v>0.116329933076029</v>
      </c>
      <c r="H1098" s="3" t="str">
        <f aca="false">IF(MAX(D1098,E1098)&lt;Parametros!$B$16,"",IF(E1098=0,"PIDE SIN FCST",IF(ABS(G1098)&gt;Parametros!$B$14,IF(G1098&gt;0,"SOBRE FCST","BAJO FCST"),"")))</f>
        <v/>
      </c>
    </row>
    <row r="1099" customFormat="false" ht="15" hidden="false" customHeight="false" outlineLevel="0" collapsed="false">
      <c r="A1099" s="3" t="n">
        <v>30002085</v>
      </c>
      <c r="B1099" s="3" t="s">
        <v>607</v>
      </c>
      <c r="C1099" s="3" t="s">
        <v>1375</v>
      </c>
      <c r="D1099" s="23" t="n">
        <v>3.36</v>
      </c>
      <c r="E1099" s="23" t="n">
        <v>607.653479422374</v>
      </c>
      <c r="F1099" s="23" t="n">
        <f aca="false">D1099-E1099</f>
        <v>-604.293479422374</v>
      </c>
      <c r="G1099" s="24" t="n">
        <f aca="false">IF(E1099&gt;0,D1099/E1099-1,"")</f>
        <v>-0.994470532772734</v>
      </c>
      <c r="H1099" s="3" t="str">
        <f aca="false">IF(MAX(D1099,E1099)&lt;Parametros!$B$16,"",IF(E1099=0,"PIDE SIN FCST",IF(ABS(G1099)&gt;Parametros!$B$14,IF(G1099&gt;0,"SOBRE FCST","BAJO FCST"),"")))</f>
        <v/>
      </c>
    </row>
    <row r="1100" customFormat="false" ht="15" hidden="false" customHeight="false" outlineLevel="0" collapsed="false">
      <c r="A1100" s="3" t="n">
        <v>30001494</v>
      </c>
      <c r="B1100" s="3" t="s">
        <v>411</v>
      </c>
      <c r="C1100" s="3" t="s">
        <v>1373</v>
      </c>
      <c r="D1100" s="23" t="n">
        <v>2653.7</v>
      </c>
      <c r="E1100" s="23" t="n">
        <v>2051.52988550337</v>
      </c>
      <c r="F1100" s="23" t="n">
        <f aca="false">D1100-E1100</f>
        <v>602.170114496626</v>
      </c>
      <c r="G1100" s="24" t="n">
        <f aca="false">IF(E1100&gt;0,D1100/E1100-1,"")</f>
        <v>0.2935224676724</v>
      </c>
      <c r="H1100" s="3" t="str">
        <f aca="false">IF(MAX(D1100,E1100)&lt;Parametros!$B$16,"",IF(E1100=0,"PIDE SIN FCST",IF(ABS(G1100)&gt;Parametros!$B$14,IF(G1100&gt;0,"SOBRE FCST","BAJO FCST"),"")))</f>
        <v>SOBRE FCST</v>
      </c>
    </row>
    <row r="1101" customFormat="false" ht="15" hidden="false" customHeight="false" outlineLevel="0" collapsed="false">
      <c r="A1101" s="3" t="n">
        <v>30002303</v>
      </c>
      <c r="B1101" s="3" t="s">
        <v>637</v>
      </c>
      <c r="C1101" s="3" t="s">
        <v>1378</v>
      </c>
      <c r="D1101" s="23" t="n">
        <v>0</v>
      </c>
      <c r="E1101" s="23" t="n">
        <v>600</v>
      </c>
      <c r="F1101" s="23" t="n">
        <f aca="false">D1101-E1101</f>
        <v>-600</v>
      </c>
      <c r="G1101" s="24" t="n">
        <f aca="false">IF(E1101&gt;0,D1101/E1101-1,"")</f>
        <v>-1</v>
      </c>
      <c r="H1101" s="3" t="str">
        <f aca="false">IF(MAX(D1101,E1101)&lt;Parametros!$B$16,"",IF(E1101=0,"PIDE SIN FCST",IF(ABS(G1101)&gt;Parametros!$B$14,IF(G1101&gt;0,"SOBRE FCST","BAJO FCST"),"")))</f>
        <v/>
      </c>
    </row>
    <row r="1102" customFormat="false" ht="15" hidden="false" customHeight="false" outlineLevel="0" collapsed="false">
      <c r="A1102" s="3" t="n">
        <v>30000171</v>
      </c>
      <c r="B1102" s="3" t="s">
        <v>502</v>
      </c>
      <c r="C1102" s="3" t="s">
        <v>1378</v>
      </c>
      <c r="D1102" s="23" t="n">
        <v>390.6</v>
      </c>
      <c r="E1102" s="23" t="n">
        <v>990.6</v>
      </c>
      <c r="F1102" s="23" t="n">
        <f aca="false">D1102-E1102</f>
        <v>-600</v>
      </c>
      <c r="G1102" s="24" t="n">
        <f aca="false">IF(E1102&gt;0,D1102/E1102-1,"")</f>
        <v>-0.605693519079346</v>
      </c>
      <c r="H1102" s="3" t="str">
        <f aca="false">IF(MAX(D1102,E1102)&lt;Parametros!$B$16,"",IF(E1102=0,"PIDE SIN FCST",IF(ABS(G1102)&gt;Parametros!$B$14,IF(G1102&gt;0,"SOBRE FCST","BAJO FCST"),"")))</f>
        <v/>
      </c>
    </row>
    <row r="1103" customFormat="false" ht="15" hidden="false" customHeight="false" outlineLevel="0" collapsed="false">
      <c r="A1103" s="3" t="n">
        <v>30002302</v>
      </c>
      <c r="B1103" s="3" t="s">
        <v>634</v>
      </c>
      <c r="C1103" s="3" t="s">
        <v>1378</v>
      </c>
      <c r="D1103" s="23" t="n">
        <v>0</v>
      </c>
      <c r="E1103" s="23" t="n">
        <v>600</v>
      </c>
      <c r="F1103" s="23" t="n">
        <f aca="false">D1103-E1103</f>
        <v>-600</v>
      </c>
      <c r="G1103" s="24" t="n">
        <f aca="false">IF(E1103&gt;0,D1103/E1103-1,"")</f>
        <v>-1</v>
      </c>
      <c r="H1103" s="3" t="str">
        <f aca="false">IF(MAX(D1103,E1103)&lt;Parametros!$B$16,"",IF(E1103=0,"PIDE SIN FCST",IF(ABS(G1103)&gt;Parametros!$B$14,IF(G1103&gt;0,"SOBRE FCST","BAJO FCST"),"")))</f>
        <v/>
      </c>
    </row>
    <row r="1104" customFormat="false" ht="15" hidden="false" customHeight="false" outlineLevel="0" collapsed="false">
      <c r="A1104" s="3" t="n">
        <v>30001661</v>
      </c>
      <c r="B1104" s="3" t="s">
        <v>431</v>
      </c>
      <c r="C1104" s="3" t="s">
        <v>1378</v>
      </c>
      <c r="D1104" s="23" t="n">
        <v>777.6</v>
      </c>
      <c r="E1104" s="23" t="n">
        <v>1377.6</v>
      </c>
      <c r="F1104" s="23" t="n">
        <f aca="false">D1104-E1104</f>
        <v>-600</v>
      </c>
      <c r="G1104" s="24" t="n">
        <f aca="false">IF(E1104&gt;0,D1104/E1104-1,"")</f>
        <v>-0.435540069686411</v>
      </c>
      <c r="H1104" s="3" t="str">
        <f aca="false">IF(MAX(D1104,E1104)&lt;Parametros!$B$16,"",IF(E1104=0,"PIDE SIN FCST",IF(ABS(G1104)&gt;Parametros!$B$14,IF(G1104&gt;0,"SOBRE FCST","BAJO FCST"),"")))</f>
        <v>BAJO FCST</v>
      </c>
    </row>
    <row r="1105" customFormat="false" ht="15" hidden="false" customHeight="false" outlineLevel="0" collapsed="false">
      <c r="A1105" s="3" t="n">
        <v>30002113</v>
      </c>
      <c r="B1105" s="3" t="s">
        <v>498</v>
      </c>
      <c r="C1105" s="3" t="s">
        <v>1379</v>
      </c>
      <c r="D1105" s="23" t="n">
        <v>1800</v>
      </c>
      <c r="E1105" s="23" t="n">
        <v>2400</v>
      </c>
      <c r="F1105" s="23" t="n">
        <f aca="false">D1105-E1105</f>
        <v>-600</v>
      </c>
      <c r="G1105" s="24" t="n">
        <f aca="false">IF(E1105&gt;0,D1105/E1105-1,"")</f>
        <v>-0.25</v>
      </c>
      <c r="H1105" s="3" t="str">
        <f aca="false">IF(MAX(D1105,E1105)&lt;Parametros!$B$16,"",IF(E1105=0,"PIDE SIN FCST",IF(ABS(G1105)&gt;Parametros!$B$14,IF(G1105&gt;0,"SOBRE FCST","BAJO FCST"),"")))</f>
        <v>BAJO FCST</v>
      </c>
    </row>
    <row r="1106" customFormat="false" ht="15" hidden="false" customHeight="false" outlineLevel="0" collapsed="false">
      <c r="A1106" s="3" t="n">
        <v>30000305</v>
      </c>
      <c r="B1106" s="3" t="s">
        <v>254</v>
      </c>
      <c r="C1106" s="3" t="s">
        <v>1377</v>
      </c>
      <c r="D1106" s="23" t="n">
        <v>2934</v>
      </c>
      <c r="E1106" s="23" t="n">
        <v>3532.69304325994</v>
      </c>
      <c r="F1106" s="23" t="n">
        <f aca="false">D1106-E1106</f>
        <v>-598.693043259944</v>
      </c>
      <c r="G1106" s="24" t="n">
        <f aca="false">IF(E1106&gt;0,D1106/E1106-1,"")</f>
        <v>-0.169472138090853</v>
      </c>
      <c r="H1106" s="3" t="str">
        <f aca="false">IF(MAX(D1106,E1106)&lt;Parametros!$B$16,"",IF(E1106=0,"PIDE SIN FCST",IF(ABS(G1106)&gt;Parametros!$B$14,IF(G1106&gt;0,"SOBRE FCST","BAJO FCST"),"")))</f>
        <v/>
      </c>
    </row>
    <row r="1107" customFormat="false" ht="15" hidden="false" customHeight="false" outlineLevel="0" collapsed="false">
      <c r="A1107" s="3" t="n">
        <v>30000555</v>
      </c>
      <c r="B1107" s="3" t="s">
        <v>570</v>
      </c>
      <c r="C1107" s="3" t="s">
        <v>1373</v>
      </c>
      <c r="D1107" s="23" t="n">
        <v>264</v>
      </c>
      <c r="E1107" s="23" t="n">
        <v>862.575065495737</v>
      </c>
      <c r="F1107" s="23" t="n">
        <f aca="false">D1107-E1107</f>
        <v>-598.575065495737</v>
      </c>
      <c r="G1107" s="24" t="n">
        <f aca="false">IF(E1107&gt;0,D1107/E1107-1,"")</f>
        <v>-0.693939680660402</v>
      </c>
      <c r="H1107" s="3" t="str">
        <f aca="false">IF(MAX(D1107,E1107)&lt;Parametros!$B$16,"",IF(E1107=0,"PIDE SIN FCST",IF(ABS(G1107)&gt;Parametros!$B$14,IF(G1107&gt;0,"SOBRE FCST","BAJO FCST"),"")))</f>
        <v/>
      </c>
    </row>
    <row r="1108" customFormat="false" ht="15" hidden="false" customHeight="false" outlineLevel="0" collapsed="false">
      <c r="A1108" s="3" t="n">
        <v>30001766</v>
      </c>
      <c r="B1108" s="3" t="s">
        <v>414</v>
      </c>
      <c r="C1108" s="3" t="s">
        <v>1373</v>
      </c>
      <c r="D1108" s="23" t="n">
        <v>9693</v>
      </c>
      <c r="E1108" s="23" t="n">
        <v>10289.6</v>
      </c>
      <c r="F1108" s="23" t="n">
        <f aca="false">D1108-E1108</f>
        <v>-596.599999999999</v>
      </c>
      <c r="G1108" s="24" t="n">
        <f aca="false">IF(E1108&gt;0,D1108/E1108-1,"")</f>
        <v>-0.0579808738920851</v>
      </c>
      <c r="H1108" s="3" t="str">
        <f aca="false">IF(MAX(D1108,E1108)&lt;Parametros!$B$16,"",IF(E1108=0,"PIDE SIN FCST",IF(ABS(G1108)&gt;Parametros!$B$14,IF(G1108&gt;0,"SOBRE FCST","BAJO FCST"),"")))</f>
        <v/>
      </c>
    </row>
    <row r="1109" customFormat="false" ht="15" hidden="false" customHeight="false" outlineLevel="0" collapsed="false">
      <c r="A1109" s="3" t="n">
        <v>30000493</v>
      </c>
      <c r="B1109" s="3" t="s">
        <v>557</v>
      </c>
      <c r="C1109" s="3" t="s">
        <v>1375</v>
      </c>
      <c r="D1109" s="23" t="n">
        <v>1668.6</v>
      </c>
      <c r="E1109" s="23" t="n">
        <v>1072.46570146216</v>
      </c>
      <c r="F1109" s="23" t="n">
        <f aca="false">D1109-E1109</f>
        <v>596.134298537842</v>
      </c>
      <c r="G1109" s="24" t="n">
        <f aca="false">IF(E1109&gt;0,D1109/E1109-1,"")</f>
        <v>0.555853951995943</v>
      </c>
      <c r="H1109" s="3" t="str">
        <f aca="false">IF(MAX(D1109,E1109)&lt;Parametros!$B$16,"",IF(E1109=0,"PIDE SIN FCST",IF(ABS(G1109)&gt;Parametros!$B$14,IF(G1109&gt;0,"SOBRE FCST","BAJO FCST"),"")))</f>
        <v>SOBRE FCST</v>
      </c>
    </row>
    <row r="1110" customFormat="false" ht="15" hidden="false" customHeight="false" outlineLevel="0" collapsed="false">
      <c r="A1110" s="3" t="n">
        <v>30000088</v>
      </c>
      <c r="B1110" s="3" t="s">
        <v>485</v>
      </c>
      <c r="C1110" s="3" t="s">
        <v>1373</v>
      </c>
      <c r="D1110" s="23" t="n">
        <v>1458</v>
      </c>
      <c r="E1110" s="23" t="n">
        <v>862.575065495737</v>
      </c>
      <c r="F1110" s="23" t="n">
        <f aca="false">D1110-E1110</f>
        <v>595.424934504263</v>
      </c>
      <c r="G1110" s="24" t="n">
        <f aca="false">IF(E1110&gt;0,D1110/E1110-1,"")</f>
        <v>0.690287672716418</v>
      </c>
      <c r="H1110" s="3" t="str">
        <f aca="false">IF(MAX(D1110,E1110)&lt;Parametros!$B$16,"",IF(E1110=0,"PIDE SIN FCST",IF(ABS(G1110)&gt;Parametros!$B$14,IF(G1110&gt;0,"SOBRE FCST","BAJO FCST"),"")))</f>
        <v>SOBRE FCST</v>
      </c>
    </row>
    <row r="1111" customFormat="false" ht="15" hidden="false" customHeight="false" outlineLevel="0" collapsed="false">
      <c r="A1111" s="3" t="n">
        <v>30001048</v>
      </c>
      <c r="B1111" s="3" t="s">
        <v>456</v>
      </c>
      <c r="C1111" s="3" t="s">
        <v>1378</v>
      </c>
      <c r="D1111" s="23" t="n">
        <v>1175.04</v>
      </c>
      <c r="E1111" s="23" t="n">
        <v>583.673707228416</v>
      </c>
      <c r="F1111" s="23" t="n">
        <f aca="false">D1111-E1111</f>
        <v>591.366292771584</v>
      </c>
      <c r="G1111" s="24" t="n">
        <f aca="false">IF(E1111&gt;0,D1111/E1111-1,"")</f>
        <v>1.01317959923139</v>
      </c>
      <c r="H1111" s="3" t="str">
        <f aca="false">IF(MAX(D1111,E1111)&lt;Parametros!$B$16,"",IF(E1111=0,"PIDE SIN FCST",IF(ABS(G1111)&gt;Parametros!$B$14,IF(G1111&gt;0,"SOBRE FCST","BAJO FCST"),"")))</f>
        <v>SOBRE FCST</v>
      </c>
    </row>
    <row r="1112" customFormat="false" ht="15" hidden="false" customHeight="false" outlineLevel="0" collapsed="false">
      <c r="A1112" s="3" t="n">
        <v>30002325</v>
      </c>
      <c r="B1112" s="3" t="s">
        <v>505</v>
      </c>
      <c r="C1112" s="3" t="s">
        <v>1380</v>
      </c>
      <c r="D1112" s="23" t="n">
        <v>9</v>
      </c>
      <c r="E1112" s="23" t="n">
        <v>600</v>
      </c>
      <c r="F1112" s="23" t="n">
        <f aca="false">D1112-E1112</f>
        <v>-591</v>
      </c>
      <c r="G1112" s="24" t="n">
        <f aca="false">IF(E1112&gt;0,D1112/E1112-1,"")</f>
        <v>-0.985</v>
      </c>
      <c r="H1112" s="3" t="str">
        <f aca="false">IF(MAX(D1112,E1112)&lt;Parametros!$B$16,"",IF(E1112=0,"PIDE SIN FCST",IF(ABS(G1112)&gt;Parametros!$B$14,IF(G1112&gt;0,"SOBRE FCST","BAJO FCST"),"")))</f>
        <v/>
      </c>
    </row>
    <row r="1113" customFormat="false" ht="15" hidden="false" customHeight="false" outlineLevel="0" collapsed="false">
      <c r="A1113" s="3" t="n">
        <v>30000318</v>
      </c>
      <c r="B1113" s="3" t="s">
        <v>306</v>
      </c>
      <c r="C1113" s="3" t="s">
        <v>1378</v>
      </c>
      <c r="D1113" s="23" t="n">
        <v>1836</v>
      </c>
      <c r="E1113" s="23" t="n">
        <v>1245.10467583613</v>
      </c>
      <c r="F1113" s="23" t="n">
        <f aca="false">D1113-E1113</f>
        <v>590.895324163875</v>
      </c>
      <c r="G1113" s="24" t="n">
        <f aca="false">IF(E1113&gt;0,D1113/E1113-1,"")</f>
        <v>0.474574817388001</v>
      </c>
      <c r="H1113" s="3" t="str">
        <f aca="false">IF(MAX(D1113,E1113)&lt;Parametros!$B$16,"",IF(E1113=0,"PIDE SIN FCST",IF(ABS(G1113)&gt;Parametros!$B$14,IF(G1113&gt;0,"SOBRE FCST","BAJO FCST"),"")))</f>
        <v>SOBRE FCST</v>
      </c>
    </row>
    <row r="1114" customFormat="false" ht="15" hidden="false" customHeight="false" outlineLevel="0" collapsed="false">
      <c r="A1114" s="3" t="n">
        <v>30001780</v>
      </c>
      <c r="B1114" s="3" t="s">
        <v>340</v>
      </c>
      <c r="C1114" s="3" t="s">
        <v>1378</v>
      </c>
      <c r="D1114" s="23" t="n">
        <v>1540.08</v>
      </c>
      <c r="E1114" s="23" t="n">
        <v>2130.784</v>
      </c>
      <c r="F1114" s="23" t="n">
        <f aca="false">D1114-E1114</f>
        <v>-590.704</v>
      </c>
      <c r="G1114" s="24" t="n">
        <f aca="false">IF(E1114&gt;0,D1114/E1114-1,"")</f>
        <v>-0.277223782419992</v>
      </c>
      <c r="H1114" s="3" t="str">
        <f aca="false">IF(MAX(D1114,E1114)&lt;Parametros!$B$16,"",IF(E1114=0,"PIDE SIN FCST",IF(ABS(G1114)&gt;Parametros!$B$14,IF(G1114&gt;0,"SOBRE FCST","BAJO FCST"),"")))</f>
        <v>BAJO FCST</v>
      </c>
    </row>
    <row r="1115" customFormat="false" ht="15" hidden="false" customHeight="false" outlineLevel="0" collapsed="false">
      <c r="A1115" s="3" t="n">
        <v>30000629</v>
      </c>
      <c r="B1115" s="3" t="s">
        <v>347</v>
      </c>
      <c r="C1115" s="3" t="s">
        <v>1376</v>
      </c>
      <c r="D1115" s="23" t="n">
        <v>2590.08</v>
      </c>
      <c r="E1115" s="23" t="n">
        <v>2000</v>
      </c>
      <c r="F1115" s="23" t="n">
        <f aca="false">D1115-E1115</f>
        <v>590.08</v>
      </c>
      <c r="G1115" s="24" t="n">
        <f aca="false">IF(E1115&gt;0,D1115/E1115-1,"")</f>
        <v>0.29504</v>
      </c>
      <c r="H1115" s="3" t="str">
        <f aca="false">IF(MAX(D1115,E1115)&lt;Parametros!$B$16,"",IF(E1115=0,"PIDE SIN FCST",IF(ABS(G1115)&gt;Parametros!$B$14,IF(G1115&gt;0,"SOBRE FCST","BAJO FCST"),"")))</f>
        <v>SOBRE FCST</v>
      </c>
    </row>
    <row r="1116" customFormat="false" ht="15" hidden="false" customHeight="false" outlineLevel="0" collapsed="false">
      <c r="A1116" s="3" t="n">
        <v>30002061</v>
      </c>
      <c r="B1116" s="3" t="s">
        <v>516</v>
      </c>
      <c r="C1116" s="3" t="s">
        <v>1377</v>
      </c>
      <c r="D1116" s="23" t="n">
        <v>589.9</v>
      </c>
      <c r="E1116" s="23" t="n">
        <v>0</v>
      </c>
      <c r="F1116" s="23" t="n">
        <f aca="false">D1116-E1116</f>
        <v>589.9</v>
      </c>
      <c r="G1116" s="24" t="str">
        <f aca="false">IF(E1116&gt;0,D1116/E1116-1,"")</f>
        <v/>
      </c>
      <c r="H1116" s="3" t="str">
        <f aca="false">IF(MAX(D1116,E1116)&lt;Parametros!$B$16,"",IF(E1116=0,"PIDE SIN FCST",IF(ABS(G1116)&gt;Parametros!$B$14,IF(G1116&gt;0,"SOBRE FCST","BAJO FCST"),"")))</f>
        <v/>
      </c>
    </row>
    <row r="1117" customFormat="false" ht="15" hidden="false" customHeight="false" outlineLevel="0" collapsed="false">
      <c r="A1117" s="3" t="n">
        <v>30000300</v>
      </c>
      <c r="B1117" s="3" t="s">
        <v>291</v>
      </c>
      <c r="C1117" s="3" t="s">
        <v>1373</v>
      </c>
      <c r="D1117" s="23" t="n">
        <v>6252</v>
      </c>
      <c r="E1117" s="23" t="n">
        <v>6839.79166666667</v>
      </c>
      <c r="F1117" s="23" t="n">
        <f aca="false">D1117-E1117</f>
        <v>-587.791666666666</v>
      </c>
      <c r="G1117" s="24" t="n">
        <f aca="false">IF(E1117&gt;0,D1117/E1117-1,"")</f>
        <v>-0.0859370716700678</v>
      </c>
      <c r="H1117" s="3" t="str">
        <f aca="false">IF(MAX(D1117,E1117)&lt;Parametros!$B$16,"",IF(E1117=0,"PIDE SIN FCST",IF(ABS(G1117)&gt;Parametros!$B$14,IF(G1117&gt;0,"SOBRE FCST","BAJO FCST"),"")))</f>
        <v/>
      </c>
    </row>
    <row r="1118" customFormat="false" ht="15" hidden="false" customHeight="false" outlineLevel="0" collapsed="false">
      <c r="A1118" s="3" t="n">
        <v>30000253</v>
      </c>
      <c r="B1118" s="3" t="s">
        <v>542</v>
      </c>
      <c r="C1118" s="3" t="s">
        <v>1373</v>
      </c>
      <c r="D1118" s="23" t="n">
        <v>312</v>
      </c>
      <c r="E1118" s="23" t="n">
        <v>899.384663914498</v>
      </c>
      <c r="F1118" s="23" t="n">
        <f aca="false">D1118-E1118</f>
        <v>-587.384663914498</v>
      </c>
      <c r="G1118" s="24" t="n">
        <f aca="false">IF(E1118&gt;0,D1118/E1118-1,"")</f>
        <v>-0.653096152827372</v>
      </c>
      <c r="H1118" s="3" t="str">
        <f aca="false">IF(MAX(D1118,E1118)&lt;Parametros!$B$16,"",IF(E1118=0,"PIDE SIN FCST",IF(ABS(G1118)&gt;Parametros!$B$14,IF(G1118&gt;0,"SOBRE FCST","BAJO FCST"),"")))</f>
        <v/>
      </c>
    </row>
    <row r="1119" customFormat="false" ht="15" hidden="false" customHeight="false" outlineLevel="0" collapsed="false">
      <c r="A1119" s="3" t="n">
        <v>30000238</v>
      </c>
      <c r="B1119" s="3" t="s">
        <v>408</v>
      </c>
      <c r="C1119" s="3" t="s">
        <v>1375</v>
      </c>
      <c r="D1119" s="23" t="n">
        <v>4590</v>
      </c>
      <c r="E1119" s="23" t="n">
        <v>5175.45039297442</v>
      </c>
      <c r="F1119" s="23" t="n">
        <f aca="false">D1119-E1119</f>
        <v>-585.450392974419</v>
      </c>
      <c r="G1119" s="24" t="n">
        <f aca="false">IF(E1119&gt;0,D1119/E1119-1,"")</f>
        <v>-0.113120665550028</v>
      </c>
      <c r="H1119" s="3" t="str">
        <f aca="false">IF(MAX(D1119,E1119)&lt;Parametros!$B$16,"",IF(E1119=0,"PIDE SIN FCST",IF(ABS(G1119)&gt;Parametros!$B$14,IF(G1119&gt;0,"SOBRE FCST","BAJO FCST"),"")))</f>
        <v/>
      </c>
    </row>
    <row r="1120" customFormat="false" ht="15" hidden="false" customHeight="false" outlineLevel="0" collapsed="false">
      <c r="A1120" s="3" t="n">
        <v>30000066</v>
      </c>
      <c r="B1120" s="3" t="s">
        <v>442</v>
      </c>
      <c r="C1120" s="3" t="s">
        <v>1377</v>
      </c>
      <c r="D1120" s="23" t="n">
        <v>1015.2</v>
      </c>
      <c r="E1120" s="23" t="n">
        <v>431.287532747868</v>
      </c>
      <c r="F1120" s="23" t="n">
        <f aca="false">D1120-E1120</f>
        <v>583.912467252132</v>
      </c>
      <c r="G1120" s="24" t="n">
        <f aca="false">IF(E1120&gt;0,D1120/E1120-1,"")</f>
        <v>1.35388209237546</v>
      </c>
      <c r="H1120" s="3" t="str">
        <f aca="false">IF(MAX(D1120,E1120)&lt;Parametros!$B$16,"",IF(E1120=0,"PIDE SIN FCST",IF(ABS(G1120)&gt;Parametros!$B$14,IF(G1120&gt;0,"SOBRE FCST","BAJO FCST"),"")))</f>
        <v>SOBRE FCST</v>
      </c>
    </row>
    <row r="1121" customFormat="false" ht="15" hidden="false" customHeight="false" outlineLevel="0" collapsed="false">
      <c r="A1121" s="3" t="n">
        <v>30001939</v>
      </c>
      <c r="B1121" s="3" t="s">
        <v>312</v>
      </c>
      <c r="C1121" s="3" t="s">
        <v>1379</v>
      </c>
      <c r="D1121" s="23" t="n">
        <v>4032</v>
      </c>
      <c r="E1121" s="23" t="n">
        <v>3450.30026198295</v>
      </c>
      <c r="F1121" s="23" t="n">
        <f aca="false">D1121-E1121</f>
        <v>581.699738017053</v>
      </c>
      <c r="G1121" s="24" t="n">
        <f aca="false">IF(E1121&gt;0,D1121/E1121-1,"")</f>
        <v>0.168593946569375</v>
      </c>
      <c r="H1121" s="3" t="str">
        <f aca="false">IF(MAX(D1121,E1121)&lt;Parametros!$B$16,"",IF(E1121=0,"PIDE SIN FCST",IF(ABS(G1121)&gt;Parametros!$B$14,IF(G1121&gt;0,"SOBRE FCST","BAJO FCST"),"")))</f>
        <v/>
      </c>
    </row>
    <row r="1122" customFormat="false" ht="15" hidden="false" customHeight="false" outlineLevel="0" collapsed="false">
      <c r="A1122" s="3" t="n">
        <v>30002256</v>
      </c>
      <c r="B1122" s="3" t="s">
        <v>534</v>
      </c>
      <c r="C1122" s="3" t="s">
        <v>1379</v>
      </c>
      <c r="D1122" s="23" t="n">
        <v>2280</v>
      </c>
      <c r="E1122" s="23" t="n">
        <v>1700</v>
      </c>
      <c r="F1122" s="23" t="n">
        <f aca="false">D1122-E1122</f>
        <v>580</v>
      </c>
      <c r="G1122" s="24" t="n">
        <f aca="false">IF(E1122&gt;0,D1122/E1122-1,"")</f>
        <v>0.341176470588235</v>
      </c>
      <c r="H1122" s="3" t="str">
        <f aca="false">IF(MAX(D1122,E1122)&lt;Parametros!$B$16,"",IF(E1122=0,"PIDE SIN FCST",IF(ABS(G1122)&gt;Parametros!$B$14,IF(G1122&gt;0,"SOBRE FCST","BAJO FCST"),"")))</f>
        <v>SOBRE FCST</v>
      </c>
    </row>
    <row r="1123" customFormat="false" ht="15" hidden="false" customHeight="false" outlineLevel="0" collapsed="false">
      <c r="A1123" s="3" t="n">
        <v>30000010</v>
      </c>
      <c r="B1123" s="3" t="s">
        <v>331</v>
      </c>
      <c r="C1123" s="3" t="s">
        <v>1375</v>
      </c>
      <c r="D1123" s="23" t="n">
        <v>7020</v>
      </c>
      <c r="E1123" s="23" t="n">
        <v>7600</v>
      </c>
      <c r="F1123" s="23" t="n">
        <f aca="false">D1123-E1123</f>
        <v>-580</v>
      </c>
      <c r="G1123" s="24" t="n">
        <f aca="false">IF(E1123&gt;0,D1123/E1123-1,"")</f>
        <v>-0.0763157894736842</v>
      </c>
      <c r="H1123" s="3" t="str">
        <f aca="false">IF(MAX(D1123,E1123)&lt;Parametros!$B$16,"",IF(E1123=0,"PIDE SIN FCST",IF(ABS(G1123)&gt;Parametros!$B$14,IF(G1123&gt;0,"SOBRE FCST","BAJO FCST"),"")))</f>
        <v/>
      </c>
    </row>
    <row r="1124" customFormat="false" ht="15" hidden="false" customHeight="false" outlineLevel="0" collapsed="false">
      <c r="A1124" s="3" t="n">
        <v>30001657</v>
      </c>
      <c r="B1124" s="3" t="s">
        <v>395</v>
      </c>
      <c r="C1124" s="3" t="s">
        <v>1378</v>
      </c>
      <c r="D1124" s="23" t="n">
        <v>803.52</v>
      </c>
      <c r="E1124" s="23" t="n">
        <v>1377.6</v>
      </c>
      <c r="F1124" s="23" t="n">
        <f aca="false">D1124-E1124</f>
        <v>-574.08</v>
      </c>
      <c r="G1124" s="24" t="n">
        <f aca="false">IF(E1124&gt;0,D1124/E1124-1,"")</f>
        <v>-0.416724738675958</v>
      </c>
      <c r="H1124" s="3" t="str">
        <f aca="false">IF(MAX(D1124,E1124)&lt;Parametros!$B$16,"",IF(E1124=0,"PIDE SIN FCST",IF(ABS(G1124)&gt;Parametros!$B$14,IF(G1124&gt;0,"SOBRE FCST","BAJO FCST"),"")))</f>
        <v>BAJO FCST</v>
      </c>
    </row>
    <row r="1125" customFormat="false" ht="15" hidden="false" customHeight="false" outlineLevel="0" collapsed="false">
      <c r="A1125" s="3" t="n">
        <v>30002330</v>
      </c>
      <c r="B1125" s="3" t="s">
        <v>275</v>
      </c>
      <c r="C1125" s="3" t="s">
        <v>1379</v>
      </c>
      <c r="D1125" s="23" t="n">
        <v>1326</v>
      </c>
      <c r="E1125" s="23" t="n">
        <v>1900</v>
      </c>
      <c r="F1125" s="23" t="n">
        <f aca="false">D1125-E1125</f>
        <v>-574</v>
      </c>
      <c r="G1125" s="24" t="n">
        <f aca="false">IF(E1125&gt;0,D1125/E1125-1,"")</f>
        <v>-0.302105263157895</v>
      </c>
      <c r="H1125" s="3" t="str">
        <f aca="false">IF(MAX(D1125,E1125)&lt;Parametros!$B$16,"",IF(E1125=0,"PIDE SIN FCST",IF(ABS(G1125)&gt;Parametros!$B$14,IF(G1125&gt;0,"SOBRE FCST","BAJO FCST"),"")))</f>
        <v>BAJO FCST</v>
      </c>
    </row>
    <row r="1126" customFormat="false" ht="15" hidden="false" customHeight="false" outlineLevel="0" collapsed="false">
      <c r="A1126" s="3" t="n">
        <v>30000489</v>
      </c>
      <c r="B1126" s="3" t="s">
        <v>415</v>
      </c>
      <c r="C1126" s="3" t="s">
        <v>1379</v>
      </c>
      <c r="D1126" s="23" t="n">
        <v>572.4</v>
      </c>
      <c r="E1126" s="23" t="n">
        <v>0</v>
      </c>
      <c r="F1126" s="23" t="n">
        <f aca="false">D1126-E1126</f>
        <v>572.4</v>
      </c>
      <c r="G1126" s="24" t="str">
        <f aca="false">IF(E1126&gt;0,D1126/E1126-1,"")</f>
        <v/>
      </c>
      <c r="H1126" s="3" t="str">
        <f aca="false">IF(MAX(D1126,E1126)&lt;Parametros!$B$16,"",IF(E1126=0,"PIDE SIN FCST",IF(ABS(G1126)&gt;Parametros!$B$14,IF(G1126&gt;0,"SOBRE FCST","BAJO FCST"),"")))</f>
        <v/>
      </c>
    </row>
    <row r="1127" customFormat="false" ht="15" hidden="false" customHeight="false" outlineLevel="0" collapsed="false">
      <c r="A1127" s="3" t="n">
        <v>30000347</v>
      </c>
      <c r="B1127" s="3" t="s">
        <v>319</v>
      </c>
      <c r="C1127" s="3" t="s">
        <v>1372</v>
      </c>
      <c r="D1127" s="23" t="n">
        <v>1494</v>
      </c>
      <c r="E1127" s="23" t="n">
        <v>921.753256914831</v>
      </c>
      <c r="F1127" s="23" t="n">
        <f aca="false">D1127-E1127</f>
        <v>572.246743085169</v>
      </c>
      <c r="G1127" s="24" t="n">
        <f aca="false">IF(E1127&gt;0,D1127/E1127-1,"")</f>
        <v>0.620824216016894</v>
      </c>
      <c r="H1127" s="3" t="str">
        <f aca="false">IF(MAX(D1127,E1127)&lt;Parametros!$B$16,"",IF(E1127=0,"PIDE SIN FCST",IF(ABS(G1127)&gt;Parametros!$B$14,IF(G1127&gt;0,"SOBRE FCST","BAJO FCST"),"")))</f>
        <v>SOBRE FCST</v>
      </c>
    </row>
    <row r="1128" customFormat="false" ht="15" hidden="false" customHeight="false" outlineLevel="0" collapsed="false">
      <c r="A1128" s="3" t="n">
        <v>30001898</v>
      </c>
      <c r="B1128" s="3" t="s">
        <v>486</v>
      </c>
      <c r="C1128" s="3" t="s">
        <v>1380</v>
      </c>
      <c r="D1128" s="23" t="n">
        <v>2587.2</v>
      </c>
      <c r="E1128" s="23" t="n">
        <v>3158.55841333172</v>
      </c>
      <c r="F1128" s="23" t="n">
        <f aca="false">D1128-E1128</f>
        <v>-571.358413331722</v>
      </c>
      <c r="G1128" s="24" t="n">
        <f aca="false">IF(E1128&gt;0,D1128/E1128-1,"")</f>
        <v>-0.180892147164389</v>
      </c>
      <c r="H1128" s="3" t="str">
        <f aca="false">IF(MAX(D1128,E1128)&lt;Parametros!$B$16,"",IF(E1128=0,"PIDE SIN FCST",IF(ABS(G1128)&gt;Parametros!$B$14,IF(G1128&gt;0,"SOBRE FCST","BAJO FCST"),"")))</f>
        <v/>
      </c>
    </row>
    <row r="1129" customFormat="false" ht="15" hidden="false" customHeight="false" outlineLevel="0" collapsed="false">
      <c r="A1129" s="3" t="n">
        <v>30002336</v>
      </c>
      <c r="B1129" s="3" t="s">
        <v>286</v>
      </c>
      <c r="C1129" s="3" t="s">
        <v>1379</v>
      </c>
      <c r="D1129" s="23" t="n">
        <v>1431</v>
      </c>
      <c r="E1129" s="23" t="n">
        <v>2000</v>
      </c>
      <c r="F1129" s="23" t="n">
        <f aca="false">D1129-E1129</f>
        <v>-569</v>
      </c>
      <c r="G1129" s="24" t="n">
        <f aca="false">IF(E1129&gt;0,D1129/E1129-1,"")</f>
        <v>-0.2845</v>
      </c>
      <c r="H1129" s="3" t="str">
        <f aca="false">IF(MAX(D1129,E1129)&lt;Parametros!$B$16,"",IF(E1129=0,"PIDE SIN FCST",IF(ABS(G1129)&gt;Parametros!$B$14,IF(G1129&gt;0,"SOBRE FCST","BAJO FCST"),"")))</f>
        <v>BAJO FCST</v>
      </c>
    </row>
    <row r="1130" customFormat="false" ht="15" hidden="false" customHeight="false" outlineLevel="0" collapsed="false">
      <c r="A1130" s="3" t="n">
        <v>30000490</v>
      </c>
      <c r="B1130" s="3" t="s">
        <v>396</v>
      </c>
      <c r="C1130" s="3" t="s">
        <v>1380</v>
      </c>
      <c r="D1130" s="23" t="n">
        <v>6480</v>
      </c>
      <c r="E1130" s="23" t="n">
        <v>5911.61054340207</v>
      </c>
      <c r="F1130" s="23" t="n">
        <f aca="false">D1130-E1130</f>
        <v>568.38945659793</v>
      </c>
      <c r="G1130" s="24" t="n">
        <f aca="false">IF(E1130&gt;0,D1130/E1130-1,"")</f>
        <v>0.0961479874942552</v>
      </c>
      <c r="H1130" s="3" t="str">
        <f aca="false">IF(MAX(D1130,E1130)&lt;Parametros!$B$16,"",IF(E1130=0,"PIDE SIN FCST",IF(ABS(G1130)&gt;Parametros!$B$14,IF(G1130&gt;0,"SOBRE FCST","BAJO FCST"),"")))</f>
        <v/>
      </c>
    </row>
    <row r="1131" customFormat="false" ht="15" hidden="false" customHeight="false" outlineLevel="0" collapsed="false">
      <c r="A1131" s="3" t="n">
        <v>30001598</v>
      </c>
      <c r="B1131" s="3" t="s">
        <v>383</v>
      </c>
      <c r="C1131" s="3" t="s">
        <v>1377</v>
      </c>
      <c r="D1131" s="23" t="n">
        <v>1568</v>
      </c>
      <c r="E1131" s="23" t="n">
        <v>1000</v>
      </c>
      <c r="F1131" s="23" t="n">
        <f aca="false">D1131-E1131</f>
        <v>568</v>
      </c>
      <c r="G1131" s="24" t="n">
        <f aca="false">IF(E1131&gt;0,D1131/E1131-1,"")</f>
        <v>0.568</v>
      </c>
      <c r="H1131" s="3" t="str">
        <f aca="false">IF(MAX(D1131,E1131)&lt;Parametros!$B$16,"",IF(E1131=0,"PIDE SIN FCST",IF(ABS(G1131)&gt;Parametros!$B$14,IF(G1131&gt;0,"SOBRE FCST","BAJO FCST"),"")))</f>
        <v>SOBRE FCST</v>
      </c>
    </row>
    <row r="1132" customFormat="false" ht="15" hidden="false" customHeight="false" outlineLevel="0" collapsed="false">
      <c r="A1132" s="3" t="n">
        <v>30001754</v>
      </c>
      <c r="B1132" s="3" t="s">
        <v>296</v>
      </c>
      <c r="C1132" s="3" t="s">
        <v>1373</v>
      </c>
      <c r="D1132" s="23" t="n">
        <v>9666</v>
      </c>
      <c r="E1132" s="23" t="n">
        <v>9100</v>
      </c>
      <c r="F1132" s="23" t="n">
        <f aca="false">D1132-E1132</f>
        <v>566.000000000002</v>
      </c>
      <c r="G1132" s="24" t="n">
        <f aca="false">IF(E1132&gt;0,D1132/E1132-1,"")</f>
        <v>0.0621978021978025</v>
      </c>
      <c r="H1132" s="3" t="str">
        <f aca="false">IF(MAX(D1132,E1132)&lt;Parametros!$B$16,"",IF(E1132=0,"PIDE SIN FCST",IF(ABS(G1132)&gt;Parametros!$B$14,IF(G1132&gt;0,"SOBRE FCST","BAJO FCST"),"")))</f>
        <v/>
      </c>
    </row>
    <row r="1133" customFormat="false" ht="15" hidden="false" customHeight="false" outlineLevel="0" collapsed="false">
      <c r="A1133" s="3" t="n">
        <v>30001980</v>
      </c>
      <c r="B1133" s="3" t="s">
        <v>389</v>
      </c>
      <c r="C1133" s="3" t="s">
        <v>1380</v>
      </c>
      <c r="D1133" s="23" t="n">
        <v>8766</v>
      </c>
      <c r="E1133" s="23" t="n">
        <v>8200</v>
      </c>
      <c r="F1133" s="23" t="n">
        <f aca="false">D1133-E1133</f>
        <v>566</v>
      </c>
      <c r="G1133" s="24" t="n">
        <f aca="false">IF(E1133&gt;0,D1133/E1133-1,"")</f>
        <v>0.0690243902439025</v>
      </c>
      <c r="H1133" s="3" t="str">
        <f aca="false">IF(MAX(D1133,E1133)&lt;Parametros!$B$16,"",IF(E1133=0,"PIDE SIN FCST",IF(ABS(G1133)&gt;Parametros!$B$14,IF(G1133&gt;0,"SOBRE FCST","BAJO FCST"),"")))</f>
        <v/>
      </c>
    </row>
    <row r="1134" customFormat="false" ht="15" hidden="false" customHeight="false" outlineLevel="0" collapsed="false">
      <c r="A1134" s="3" t="n">
        <v>30001746</v>
      </c>
      <c r="B1134" s="3" t="s">
        <v>375</v>
      </c>
      <c r="C1134" s="3" t="s">
        <v>1377</v>
      </c>
      <c r="D1134" s="23" t="n">
        <v>1415.88</v>
      </c>
      <c r="E1134" s="23" t="n">
        <v>850</v>
      </c>
      <c r="F1134" s="23" t="n">
        <f aca="false">D1134-E1134</f>
        <v>565.88</v>
      </c>
      <c r="G1134" s="24" t="n">
        <f aca="false">IF(E1134&gt;0,D1134/E1134-1,"")</f>
        <v>0.665741176470588</v>
      </c>
      <c r="H1134" s="3" t="str">
        <f aca="false">IF(MAX(D1134,E1134)&lt;Parametros!$B$16,"",IF(E1134=0,"PIDE SIN FCST",IF(ABS(G1134)&gt;Parametros!$B$14,IF(G1134&gt;0,"SOBRE FCST","BAJO FCST"),"")))</f>
        <v>SOBRE FCST</v>
      </c>
    </row>
    <row r="1135" customFormat="false" ht="15" hidden="false" customHeight="false" outlineLevel="0" collapsed="false">
      <c r="A1135" s="3" t="n">
        <v>30001362</v>
      </c>
      <c r="B1135" s="3" t="s">
        <v>293</v>
      </c>
      <c r="C1135" s="3" t="s">
        <v>1373</v>
      </c>
      <c r="D1135" s="23" t="n">
        <v>2014.8</v>
      </c>
      <c r="E1135" s="23" t="n">
        <v>1450</v>
      </c>
      <c r="F1135" s="23" t="n">
        <f aca="false">D1135-E1135</f>
        <v>564.8</v>
      </c>
      <c r="G1135" s="24" t="n">
        <f aca="false">IF(E1135&gt;0,D1135/E1135-1,"")</f>
        <v>0.38951724137931</v>
      </c>
      <c r="H1135" s="3" t="str">
        <f aca="false">IF(MAX(D1135,E1135)&lt;Parametros!$B$16,"",IF(E1135=0,"PIDE SIN FCST",IF(ABS(G1135)&gt;Parametros!$B$14,IF(G1135&gt;0,"SOBRE FCST","BAJO FCST"),"")))</f>
        <v>SOBRE FCST</v>
      </c>
    </row>
    <row r="1136" customFormat="false" ht="15" hidden="false" customHeight="false" outlineLevel="0" collapsed="false">
      <c r="A1136" s="3" t="n">
        <v>30002137</v>
      </c>
      <c r="B1136" s="3" t="s">
        <v>627</v>
      </c>
      <c r="C1136" s="3" t="s">
        <v>1373</v>
      </c>
      <c r="D1136" s="23" t="n">
        <v>298.2</v>
      </c>
      <c r="E1136" s="23" t="n">
        <v>862.575065495737</v>
      </c>
      <c r="F1136" s="23" t="n">
        <f aca="false">D1136-E1136</f>
        <v>-564.375065495737</v>
      </c>
      <c r="G1136" s="24" t="n">
        <f aca="false">IF(E1136&gt;0,D1136/E1136-1,"")</f>
        <v>-0.654290957473227</v>
      </c>
      <c r="H1136" s="3" t="str">
        <f aca="false">IF(MAX(D1136,E1136)&lt;Parametros!$B$16,"",IF(E1136=0,"PIDE SIN FCST",IF(ABS(G1136)&gt;Parametros!$B$14,IF(G1136&gt;0,"SOBRE FCST","BAJO FCST"),"")))</f>
        <v/>
      </c>
    </row>
    <row r="1137" customFormat="false" ht="15" hidden="false" customHeight="false" outlineLevel="0" collapsed="false">
      <c r="A1137" s="3" t="n">
        <v>30001899</v>
      </c>
      <c r="B1137" s="3" t="s">
        <v>582</v>
      </c>
      <c r="C1137" s="3" t="s">
        <v>1380</v>
      </c>
      <c r="D1137" s="23" t="n">
        <v>2764.8</v>
      </c>
      <c r="E1137" s="23" t="n">
        <v>2201.05550394564</v>
      </c>
      <c r="F1137" s="23" t="n">
        <f aca="false">D1137-E1137</f>
        <v>563.744496054357</v>
      </c>
      <c r="G1137" s="24" t="n">
        <f aca="false">IF(E1137&gt;0,D1137/E1137-1,"")</f>
        <v>0.256124616141565</v>
      </c>
      <c r="H1137" s="3" t="str">
        <f aca="false">IF(MAX(D1137,E1137)&lt;Parametros!$B$16,"",IF(E1137=0,"PIDE SIN FCST",IF(ABS(G1137)&gt;Parametros!$B$14,IF(G1137&gt;0,"SOBRE FCST","BAJO FCST"),"")))</f>
        <v>SOBRE FCST</v>
      </c>
    </row>
    <row r="1138" customFormat="false" ht="15" hidden="false" customHeight="false" outlineLevel="0" collapsed="false">
      <c r="A1138" s="3" t="n">
        <v>30000384</v>
      </c>
      <c r="B1138" s="3" t="s">
        <v>262</v>
      </c>
      <c r="C1138" s="3" t="s">
        <v>1372</v>
      </c>
      <c r="D1138" s="23" t="n">
        <v>2958</v>
      </c>
      <c r="E1138" s="23" t="n">
        <v>2394.68606411489</v>
      </c>
      <c r="F1138" s="23" t="n">
        <f aca="false">D1138-E1138</f>
        <v>563.313935885109</v>
      </c>
      <c r="G1138" s="24" t="n">
        <f aca="false">IF(E1138&gt;0,D1138/E1138-1,"")</f>
        <v>0.235234983126407</v>
      </c>
      <c r="H1138" s="3" t="str">
        <f aca="false">IF(MAX(D1138,E1138)&lt;Parametros!$B$16,"",IF(E1138=0,"PIDE SIN FCST",IF(ABS(G1138)&gt;Parametros!$B$14,IF(G1138&gt;0,"SOBRE FCST","BAJO FCST"),"")))</f>
        <v>SOBRE FCST</v>
      </c>
    </row>
    <row r="1139" customFormat="false" ht="15" hidden="false" customHeight="false" outlineLevel="0" collapsed="false">
      <c r="A1139" s="3" t="n">
        <v>30002198</v>
      </c>
      <c r="B1139" s="3" t="s">
        <v>362</v>
      </c>
      <c r="C1139" s="3" t="s">
        <v>1377</v>
      </c>
      <c r="D1139" s="23" t="n">
        <v>580.8</v>
      </c>
      <c r="E1139" s="23" t="n">
        <v>1143.68832569088</v>
      </c>
      <c r="F1139" s="23" t="n">
        <f aca="false">D1139-E1139</f>
        <v>-562.888325690881</v>
      </c>
      <c r="G1139" s="24" t="n">
        <f aca="false">IF(E1139&gt;0,D1139/E1139-1,"")</f>
        <v>-0.492169337612894</v>
      </c>
      <c r="H1139" s="3" t="str">
        <f aca="false">IF(MAX(D1139,E1139)&lt;Parametros!$B$16,"",IF(E1139=0,"PIDE SIN FCST",IF(ABS(G1139)&gt;Parametros!$B$14,IF(G1139&gt;0,"SOBRE FCST","BAJO FCST"),"")))</f>
        <v>BAJO FCST</v>
      </c>
    </row>
    <row r="1140" customFormat="false" ht="15" hidden="false" customHeight="false" outlineLevel="0" collapsed="false">
      <c r="A1140" s="3" t="n">
        <v>30001508</v>
      </c>
      <c r="B1140" s="3" t="s">
        <v>318</v>
      </c>
      <c r="C1140" s="3" t="s">
        <v>1379</v>
      </c>
      <c r="D1140" s="23" t="n">
        <v>6234.15</v>
      </c>
      <c r="E1140" s="23" t="n">
        <v>5671.30780194977</v>
      </c>
      <c r="F1140" s="23" t="n">
        <f aca="false">D1140-E1140</f>
        <v>562.842198050226</v>
      </c>
      <c r="G1140" s="24" t="n">
        <f aca="false">IF(E1140&gt;0,D1140/E1140-1,"")</f>
        <v>0.0992438107232909</v>
      </c>
      <c r="H1140" s="3" t="str">
        <f aca="false">IF(MAX(D1140,E1140)&lt;Parametros!$B$16,"",IF(E1140=0,"PIDE SIN FCST",IF(ABS(G1140)&gt;Parametros!$B$14,IF(G1140&gt;0,"SOBRE FCST","BAJO FCST"),"")))</f>
        <v/>
      </c>
    </row>
    <row r="1141" customFormat="false" ht="15" hidden="false" customHeight="false" outlineLevel="0" collapsed="false">
      <c r="A1141" s="3" t="n">
        <v>30001017</v>
      </c>
      <c r="B1141" s="3" t="s">
        <v>360</v>
      </c>
      <c r="C1141" s="3" t="s">
        <v>1373</v>
      </c>
      <c r="D1141" s="23" t="n">
        <v>1755.36</v>
      </c>
      <c r="E1141" s="23" t="n">
        <v>2317.41750872939</v>
      </c>
      <c r="F1141" s="23" t="n">
        <f aca="false">D1141-E1141</f>
        <v>-562.05750872939</v>
      </c>
      <c r="G1141" s="24" t="n">
        <f aca="false">IF(E1141&gt;0,D1141/E1141-1,"")</f>
        <v>-0.242536144916571</v>
      </c>
      <c r="H1141" s="3" t="str">
        <f aca="false">IF(MAX(D1141,E1141)&lt;Parametros!$B$16,"",IF(E1141=0,"PIDE SIN FCST",IF(ABS(G1141)&gt;Parametros!$B$14,IF(G1141&gt;0,"SOBRE FCST","BAJO FCST"),"")))</f>
        <v>BAJO FCST</v>
      </c>
    </row>
    <row r="1142" customFormat="false" ht="15" hidden="false" customHeight="false" outlineLevel="0" collapsed="false">
      <c r="A1142" s="3" t="n">
        <v>30001862</v>
      </c>
      <c r="B1142" s="3" t="s">
        <v>239</v>
      </c>
      <c r="C1142" s="3" t="s">
        <v>1376</v>
      </c>
      <c r="D1142" s="23" t="n">
        <v>2286</v>
      </c>
      <c r="E1142" s="23" t="n">
        <v>1725.15013099147</v>
      </c>
      <c r="F1142" s="23" t="n">
        <f aca="false">D1142-E1142</f>
        <v>560.849869008527</v>
      </c>
      <c r="G1142" s="24" t="n">
        <f aca="false">IF(E1142&gt;0,D1142/E1142-1,"")</f>
        <v>0.325102064413488</v>
      </c>
      <c r="H1142" s="3" t="str">
        <f aca="false">IF(MAX(D1142,E1142)&lt;Parametros!$B$16,"",IF(E1142=0,"PIDE SIN FCST",IF(ABS(G1142)&gt;Parametros!$B$14,IF(G1142&gt;0,"SOBRE FCST","BAJO FCST"),"")))</f>
        <v>SOBRE FCST</v>
      </c>
    </row>
    <row r="1143" customFormat="false" ht="15" hidden="false" customHeight="false" outlineLevel="0" collapsed="false">
      <c r="A1143" s="3" t="n">
        <v>30001882</v>
      </c>
      <c r="B1143" s="3" t="s">
        <v>376</v>
      </c>
      <c r="C1143" s="3" t="s">
        <v>1380</v>
      </c>
      <c r="D1143" s="23" t="n">
        <v>7560</v>
      </c>
      <c r="E1143" s="23" t="n">
        <v>7000</v>
      </c>
      <c r="F1143" s="23" t="n">
        <f aca="false">D1143-E1143</f>
        <v>560</v>
      </c>
      <c r="G1143" s="24" t="n">
        <f aca="false">IF(E1143&gt;0,D1143/E1143-1,"")</f>
        <v>0.0800000000000001</v>
      </c>
      <c r="H1143" s="3" t="str">
        <f aca="false">IF(MAX(D1143,E1143)&lt;Parametros!$B$16,"",IF(E1143=0,"PIDE SIN FCST",IF(ABS(G1143)&gt;Parametros!$B$14,IF(G1143&gt;0,"SOBRE FCST","BAJO FCST"),"")))</f>
        <v/>
      </c>
    </row>
    <row r="1144" customFormat="false" ht="15" hidden="false" customHeight="false" outlineLevel="0" collapsed="false">
      <c r="A1144" s="3" t="n">
        <v>30001853</v>
      </c>
      <c r="B1144" s="3" t="s">
        <v>511</v>
      </c>
      <c r="C1144" s="3" t="s">
        <v>1375</v>
      </c>
      <c r="D1144" s="23" t="n">
        <v>2247.84</v>
      </c>
      <c r="E1144" s="23" t="n">
        <v>2807.67927214069</v>
      </c>
      <c r="F1144" s="23" t="n">
        <f aca="false">D1144-E1144</f>
        <v>-559.839272140685</v>
      </c>
      <c r="G1144" s="24" t="n">
        <f aca="false">IF(E1144&gt;0,D1144/E1144-1,"")</f>
        <v>-0.199395735009947</v>
      </c>
      <c r="H1144" s="3" t="str">
        <f aca="false">IF(MAX(D1144,E1144)&lt;Parametros!$B$16,"",IF(E1144=0,"PIDE SIN FCST",IF(ABS(G1144)&gt;Parametros!$B$14,IF(G1144&gt;0,"SOBRE FCST","BAJO FCST"),"")))</f>
        <v/>
      </c>
    </row>
    <row r="1145" customFormat="false" ht="15" hidden="false" customHeight="false" outlineLevel="0" collapsed="false">
      <c r="A1145" s="3" t="n">
        <v>30000117</v>
      </c>
      <c r="B1145" s="3" t="s">
        <v>553</v>
      </c>
      <c r="C1145" s="3" t="s">
        <v>1380</v>
      </c>
      <c r="D1145" s="23" t="n">
        <v>624</v>
      </c>
      <c r="E1145" s="23" t="n">
        <v>1183.82386025405</v>
      </c>
      <c r="F1145" s="23" t="n">
        <f aca="false">D1145-E1145</f>
        <v>-559.823860254054</v>
      </c>
      <c r="G1145" s="24" t="n">
        <f aca="false">IF(E1145&gt;0,D1145/E1145-1,"")</f>
        <v>-0.472894557247658</v>
      </c>
      <c r="H1145" s="3" t="str">
        <f aca="false">IF(MAX(D1145,E1145)&lt;Parametros!$B$16,"",IF(E1145=0,"PIDE SIN FCST",IF(ABS(G1145)&gt;Parametros!$B$14,IF(G1145&gt;0,"SOBRE FCST","BAJO FCST"),"")))</f>
        <v>BAJO FCST</v>
      </c>
    </row>
    <row r="1146" customFormat="false" ht="15" hidden="false" customHeight="false" outlineLevel="0" collapsed="false">
      <c r="A1146" s="3" t="n">
        <v>30000073</v>
      </c>
      <c r="B1146" s="3" t="s">
        <v>496</v>
      </c>
      <c r="C1146" s="3" t="s">
        <v>1373</v>
      </c>
      <c r="D1146" s="23" t="n">
        <v>5910</v>
      </c>
      <c r="E1146" s="23" t="n">
        <v>6469.31299121802</v>
      </c>
      <c r="F1146" s="23" t="n">
        <f aca="false">D1146-E1146</f>
        <v>-559.312991218024</v>
      </c>
      <c r="G1146" s="24" t="n">
        <f aca="false">IF(E1146&gt;0,D1146/E1146-1,"")</f>
        <v>-0.0864563195469568</v>
      </c>
      <c r="H1146" s="3" t="str">
        <f aca="false">IF(MAX(D1146,E1146)&lt;Parametros!$B$16,"",IF(E1146=0,"PIDE SIN FCST",IF(ABS(G1146)&gt;Parametros!$B$14,IF(G1146&gt;0,"SOBRE FCST","BAJO FCST"),"")))</f>
        <v/>
      </c>
    </row>
    <row r="1147" customFormat="false" ht="15" hidden="false" customHeight="false" outlineLevel="0" collapsed="false">
      <c r="A1147" s="3" t="n">
        <v>30000306</v>
      </c>
      <c r="B1147" s="3" t="s">
        <v>329</v>
      </c>
      <c r="C1147" s="3" t="s">
        <v>1377</v>
      </c>
      <c r="D1147" s="23" t="n">
        <v>1440</v>
      </c>
      <c r="E1147" s="23" t="n">
        <v>1997.70070127228</v>
      </c>
      <c r="F1147" s="23" t="n">
        <f aca="false">D1147-E1147</f>
        <v>-557.700701272277</v>
      </c>
      <c r="G1147" s="24" t="n">
        <f aca="false">IF(E1147&gt;0,D1147/E1147-1,"")</f>
        <v>-0.279171299743297</v>
      </c>
      <c r="H1147" s="3" t="str">
        <f aca="false">IF(MAX(D1147,E1147)&lt;Parametros!$B$16,"",IF(E1147=0,"PIDE SIN FCST",IF(ABS(G1147)&gt;Parametros!$B$14,IF(G1147&gt;0,"SOBRE FCST","BAJO FCST"),"")))</f>
        <v>BAJO FCST</v>
      </c>
    </row>
    <row r="1148" customFormat="false" ht="15" hidden="false" customHeight="false" outlineLevel="0" collapsed="false">
      <c r="A1148" s="3" t="n">
        <v>30000674</v>
      </c>
      <c r="B1148" s="3" t="s">
        <v>480</v>
      </c>
      <c r="C1148" s="3" t="s">
        <v>1373</v>
      </c>
      <c r="D1148" s="23" t="n">
        <v>5457.6</v>
      </c>
      <c r="E1148" s="23" t="n">
        <v>4900</v>
      </c>
      <c r="F1148" s="23" t="n">
        <f aca="false">D1148-E1148</f>
        <v>557.6</v>
      </c>
      <c r="G1148" s="24" t="n">
        <f aca="false">IF(E1148&gt;0,D1148/E1148-1,"")</f>
        <v>0.113795918367347</v>
      </c>
      <c r="H1148" s="3" t="str">
        <f aca="false">IF(MAX(D1148,E1148)&lt;Parametros!$B$16,"",IF(E1148=0,"PIDE SIN FCST",IF(ABS(G1148)&gt;Parametros!$B$14,IF(G1148&gt;0,"SOBRE FCST","BAJO FCST"),"")))</f>
        <v/>
      </c>
    </row>
    <row r="1149" customFormat="false" ht="15" hidden="false" customHeight="false" outlineLevel="0" collapsed="false">
      <c r="A1149" s="3" t="n">
        <v>30001715</v>
      </c>
      <c r="B1149" s="3" t="s">
        <v>321</v>
      </c>
      <c r="C1149" s="3" t="s">
        <v>1377</v>
      </c>
      <c r="D1149" s="23" t="n">
        <v>2166</v>
      </c>
      <c r="E1149" s="23" t="n">
        <v>1610.87970400948</v>
      </c>
      <c r="F1149" s="23" t="n">
        <f aca="false">D1149-E1149</f>
        <v>555.120295990525</v>
      </c>
      <c r="G1149" s="24" t="n">
        <f aca="false">IF(E1149&gt;0,D1149/E1149-1,"")</f>
        <v>0.344606921676915</v>
      </c>
      <c r="H1149" s="3" t="str">
        <f aca="false">IF(MAX(D1149,E1149)&lt;Parametros!$B$16,"",IF(E1149=0,"PIDE SIN FCST",IF(ABS(G1149)&gt;Parametros!$B$14,IF(G1149&gt;0,"SOBRE FCST","BAJO FCST"),"")))</f>
        <v>SOBRE FCST</v>
      </c>
    </row>
    <row r="1150" customFormat="false" ht="15" hidden="false" customHeight="false" outlineLevel="0" collapsed="false">
      <c r="A1150" s="3" t="n">
        <v>30001489</v>
      </c>
      <c r="B1150" s="3" t="s">
        <v>289</v>
      </c>
      <c r="C1150" s="3" t="s">
        <v>1373</v>
      </c>
      <c r="D1150" s="23" t="n">
        <v>12817.488</v>
      </c>
      <c r="E1150" s="23" t="n">
        <v>13369.9135151839</v>
      </c>
      <c r="F1150" s="23" t="n">
        <f aca="false">D1150-E1150</f>
        <v>-552.42551518391</v>
      </c>
      <c r="G1150" s="24" t="n">
        <f aca="false">IF(E1150&gt;0,D1150/E1150-1,"")</f>
        <v>-0.0413185556179202</v>
      </c>
      <c r="H1150" s="3" t="str">
        <f aca="false">IF(MAX(D1150,E1150)&lt;Parametros!$B$16,"",IF(E1150=0,"PIDE SIN FCST",IF(ABS(G1150)&gt;Parametros!$B$14,IF(G1150&gt;0,"SOBRE FCST","BAJO FCST"),"")))</f>
        <v/>
      </c>
    </row>
    <row r="1151" customFormat="false" ht="15" hidden="false" customHeight="false" outlineLevel="0" collapsed="false">
      <c r="A1151" s="3" t="n">
        <v>30002137</v>
      </c>
      <c r="B1151" s="3" t="s">
        <v>627</v>
      </c>
      <c r="C1151" s="3" t="s">
        <v>1379</v>
      </c>
      <c r="D1151" s="23" t="n">
        <v>310.8</v>
      </c>
      <c r="E1151" s="23" t="n">
        <v>862.575065495737</v>
      </c>
      <c r="F1151" s="23" t="n">
        <f aca="false">D1151-E1151</f>
        <v>-551.775065495737</v>
      </c>
      <c r="G1151" s="24" t="n">
        <f aca="false">IF(E1151&gt;0,D1151/E1151-1,"")</f>
        <v>-0.639683533141109</v>
      </c>
      <c r="H1151" s="3" t="str">
        <f aca="false">IF(MAX(D1151,E1151)&lt;Parametros!$B$16,"",IF(E1151=0,"PIDE SIN FCST",IF(ABS(G1151)&gt;Parametros!$B$14,IF(G1151&gt;0,"SOBRE FCST","BAJO FCST"),"")))</f>
        <v/>
      </c>
    </row>
    <row r="1152" customFormat="false" ht="15" hidden="false" customHeight="false" outlineLevel="0" collapsed="false">
      <c r="A1152" s="3" t="n">
        <v>30001075</v>
      </c>
      <c r="B1152" s="3" t="s">
        <v>297</v>
      </c>
      <c r="C1152" s="3" t="s">
        <v>1377</v>
      </c>
      <c r="D1152" s="23" t="n">
        <v>2629.44</v>
      </c>
      <c r="E1152" s="23" t="n">
        <v>2077.7024346856</v>
      </c>
      <c r="F1152" s="23" t="n">
        <f aca="false">D1152-E1152</f>
        <v>551.737565314402</v>
      </c>
      <c r="G1152" s="24" t="n">
        <f aca="false">IF(E1152&gt;0,D1152/E1152-1,"")</f>
        <v>0.26555177300829</v>
      </c>
      <c r="H1152" s="3" t="str">
        <f aca="false">IF(MAX(D1152,E1152)&lt;Parametros!$B$16,"",IF(E1152=0,"PIDE SIN FCST",IF(ABS(G1152)&gt;Parametros!$B$14,IF(G1152&gt;0,"SOBRE FCST","BAJO FCST"),"")))</f>
        <v>SOBRE FCST</v>
      </c>
    </row>
    <row r="1153" customFormat="false" ht="15" hidden="false" customHeight="false" outlineLevel="0" collapsed="false">
      <c r="A1153" s="3" t="n">
        <v>30000089</v>
      </c>
      <c r="B1153" s="3" t="s">
        <v>467</v>
      </c>
      <c r="C1153" s="3" t="s">
        <v>1378</v>
      </c>
      <c r="D1153" s="23" t="n">
        <v>1488</v>
      </c>
      <c r="E1153" s="23" t="n">
        <v>2039.70643375676</v>
      </c>
      <c r="F1153" s="23" t="n">
        <f aca="false">D1153-E1153</f>
        <v>-551.706433756756</v>
      </c>
      <c r="G1153" s="24" t="n">
        <f aca="false">IF(E1153&gt;0,D1153/E1153-1,"")</f>
        <v>-0.270483254171345</v>
      </c>
      <c r="H1153" s="3" t="str">
        <f aca="false">IF(MAX(D1153,E1153)&lt;Parametros!$B$16,"",IF(E1153=0,"PIDE SIN FCST",IF(ABS(G1153)&gt;Parametros!$B$14,IF(G1153&gt;0,"SOBRE FCST","BAJO FCST"),"")))</f>
        <v>BAJO FCST</v>
      </c>
    </row>
    <row r="1154" customFormat="false" ht="15" hidden="false" customHeight="false" outlineLevel="0" collapsed="false">
      <c r="A1154" s="3" t="n">
        <v>30000318</v>
      </c>
      <c r="B1154" s="3" t="s">
        <v>306</v>
      </c>
      <c r="C1154" s="3" t="s">
        <v>1377</v>
      </c>
      <c r="D1154" s="23" t="n">
        <v>1866</v>
      </c>
      <c r="E1154" s="23" t="n">
        <v>2415.74882599685</v>
      </c>
      <c r="F1154" s="23" t="n">
        <f aca="false">D1154-E1154</f>
        <v>-549.748825996846</v>
      </c>
      <c r="G1154" s="24" t="n">
        <f aca="false">IF(E1154&gt;0,D1154/E1154-1,"")</f>
        <v>-0.227568702540917</v>
      </c>
      <c r="H1154" s="3" t="str">
        <f aca="false">IF(MAX(D1154,E1154)&lt;Parametros!$B$16,"",IF(E1154=0,"PIDE SIN FCST",IF(ABS(G1154)&gt;Parametros!$B$14,IF(G1154&gt;0,"SOBRE FCST","BAJO FCST"),"")))</f>
        <v>BAJO FCST</v>
      </c>
    </row>
    <row r="1155" customFormat="false" ht="15" hidden="false" customHeight="false" outlineLevel="0" collapsed="false">
      <c r="A1155" s="3" t="n">
        <v>30001899</v>
      </c>
      <c r="B1155" s="3" t="s">
        <v>582</v>
      </c>
      <c r="C1155" s="3" t="s">
        <v>1379</v>
      </c>
      <c r="D1155" s="23" t="n">
        <v>0</v>
      </c>
      <c r="E1155" s="23" t="n">
        <v>548.911405315469</v>
      </c>
      <c r="F1155" s="23" t="n">
        <f aca="false">D1155-E1155</f>
        <v>-548.911405315469</v>
      </c>
      <c r="G1155" s="24" t="n">
        <f aca="false">IF(E1155&gt;0,D1155/E1155-1,"")</f>
        <v>-1</v>
      </c>
      <c r="H1155" s="3" t="str">
        <f aca="false">IF(MAX(D1155,E1155)&lt;Parametros!$B$16,"",IF(E1155=0,"PIDE SIN FCST",IF(ABS(G1155)&gt;Parametros!$B$14,IF(G1155&gt;0,"SOBRE FCST","BAJO FCST"),"")))</f>
        <v/>
      </c>
    </row>
    <row r="1156" customFormat="false" ht="15" hidden="false" customHeight="false" outlineLevel="0" collapsed="false">
      <c r="A1156" s="3" t="n">
        <v>30000079</v>
      </c>
      <c r="B1156" s="3" t="s">
        <v>435</v>
      </c>
      <c r="C1156" s="3" t="s">
        <v>1375</v>
      </c>
      <c r="D1156" s="23" t="n">
        <v>4848</v>
      </c>
      <c r="E1156" s="23" t="n">
        <v>4300</v>
      </c>
      <c r="F1156" s="23" t="n">
        <f aca="false">D1156-E1156</f>
        <v>548</v>
      </c>
      <c r="G1156" s="24" t="n">
        <f aca="false">IF(E1156&gt;0,D1156/E1156-1,"")</f>
        <v>0.127441860465116</v>
      </c>
      <c r="H1156" s="3" t="str">
        <f aca="false">IF(MAX(D1156,E1156)&lt;Parametros!$B$16,"",IF(E1156=0,"PIDE SIN FCST",IF(ABS(G1156)&gt;Parametros!$B$14,IF(G1156&gt;0,"SOBRE FCST","BAJO FCST"),"")))</f>
        <v/>
      </c>
    </row>
    <row r="1157" customFormat="false" ht="15" hidden="false" customHeight="false" outlineLevel="0" collapsed="false">
      <c r="A1157" s="3" t="n">
        <v>30001753</v>
      </c>
      <c r="B1157" s="3" t="s">
        <v>255</v>
      </c>
      <c r="C1157" s="3" t="s">
        <v>1377</v>
      </c>
      <c r="D1157" s="23" t="n">
        <v>3650.4</v>
      </c>
      <c r="E1157" s="23" t="n">
        <v>4197.6</v>
      </c>
      <c r="F1157" s="23" t="n">
        <f aca="false">D1157-E1157</f>
        <v>-547.2</v>
      </c>
      <c r="G1157" s="24" t="n">
        <f aca="false">IF(E1157&gt;0,D1157/E1157-1,"")</f>
        <v>-0.130360205831904</v>
      </c>
      <c r="H1157" s="3" t="str">
        <f aca="false">IF(MAX(D1157,E1157)&lt;Parametros!$B$16,"",IF(E1157=0,"PIDE SIN FCST",IF(ABS(G1157)&gt;Parametros!$B$14,IF(G1157&gt;0,"SOBRE FCST","BAJO FCST"),"")))</f>
        <v/>
      </c>
    </row>
    <row r="1158" customFormat="false" ht="15" hidden="false" customHeight="false" outlineLevel="0" collapsed="false">
      <c r="A1158" s="3" t="n">
        <v>30001487</v>
      </c>
      <c r="B1158" s="3" t="s">
        <v>353</v>
      </c>
      <c r="C1158" s="3" t="s">
        <v>1378</v>
      </c>
      <c r="D1158" s="23" t="n">
        <v>2274</v>
      </c>
      <c r="E1158" s="23" t="n">
        <v>2819.6</v>
      </c>
      <c r="F1158" s="23" t="n">
        <f aca="false">D1158-E1158</f>
        <v>-545.6</v>
      </c>
      <c r="G1158" s="24" t="n">
        <f aca="false">IF(E1158&gt;0,D1158/E1158-1,"")</f>
        <v>-0.193502624485743</v>
      </c>
      <c r="H1158" s="3" t="str">
        <f aca="false">IF(MAX(D1158,E1158)&lt;Parametros!$B$16,"",IF(E1158=0,"PIDE SIN FCST",IF(ABS(G1158)&gt;Parametros!$B$14,IF(G1158&gt;0,"SOBRE FCST","BAJO FCST"),"")))</f>
        <v/>
      </c>
    </row>
    <row r="1159" customFormat="false" ht="15" hidden="false" customHeight="false" outlineLevel="0" collapsed="false">
      <c r="A1159" s="3" t="n">
        <v>30001094</v>
      </c>
      <c r="B1159" s="3" t="s">
        <v>326</v>
      </c>
      <c r="C1159" s="3" t="s">
        <v>1377</v>
      </c>
      <c r="D1159" s="23" t="n">
        <v>1965.6</v>
      </c>
      <c r="E1159" s="23" t="n">
        <v>1422.43201636761</v>
      </c>
      <c r="F1159" s="23" t="n">
        <f aca="false">D1159-E1159</f>
        <v>543.167983632391</v>
      </c>
      <c r="G1159" s="24" t="n">
        <f aca="false">IF(E1159&gt;0,D1159/E1159-1,"")</f>
        <v>0.381858659944572</v>
      </c>
      <c r="H1159" s="3" t="str">
        <f aca="false">IF(MAX(D1159,E1159)&lt;Parametros!$B$16,"",IF(E1159=0,"PIDE SIN FCST",IF(ABS(G1159)&gt;Parametros!$B$14,IF(G1159&gt;0,"SOBRE FCST","BAJO FCST"),"")))</f>
        <v>SOBRE FCST</v>
      </c>
    </row>
    <row r="1160" customFormat="false" ht="15" hidden="false" customHeight="false" outlineLevel="0" collapsed="false">
      <c r="A1160" s="3" t="n">
        <v>30000658</v>
      </c>
      <c r="B1160" s="3" t="s">
        <v>322</v>
      </c>
      <c r="C1160" s="3" t="s">
        <v>1372</v>
      </c>
      <c r="D1160" s="23" t="n">
        <v>0</v>
      </c>
      <c r="E1160" s="23" t="n">
        <v>542.949512426189</v>
      </c>
      <c r="F1160" s="23" t="n">
        <f aca="false">D1160-E1160</f>
        <v>-542.949512426189</v>
      </c>
      <c r="G1160" s="24" t="n">
        <f aca="false">IF(E1160&gt;0,D1160/E1160-1,"")</f>
        <v>-1</v>
      </c>
      <c r="H1160" s="3" t="str">
        <f aca="false">IF(MAX(D1160,E1160)&lt;Parametros!$B$16,"",IF(E1160=0,"PIDE SIN FCST",IF(ABS(G1160)&gt;Parametros!$B$14,IF(G1160&gt;0,"SOBRE FCST","BAJO FCST"),"")))</f>
        <v/>
      </c>
    </row>
    <row r="1161" customFormat="false" ht="15" hidden="false" customHeight="false" outlineLevel="0" collapsed="false">
      <c r="A1161" s="3" t="n">
        <v>30001954</v>
      </c>
      <c r="B1161" s="3" t="s">
        <v>470</v>
      </c>
      <c r="C1161" s="3" t="s">
        <v>1378</v>
      </c>
      <c r="D1161" s="23" t="n">
        <v>384</v>
      </c>
      <c r="E1161" s="23" t="n">
        <v>925</v>
      </c>
      <c r="F1161" s="23" t="n">
        <f aca="false">D1161-E1161</f>
        <v>-541</v>
      </c>
      <c r="G1161" s="24" t="n">
        <f aca="false">IF(E1161&gt;0,D1161/E1161-1,"")</f>
        <v>-0.584864864864865</v>
      </c>
      <c r="H1161" s="3" t="str">
        <f aca="false">IF(MAX(D1161,E1161)&lt;Parametros!$B$16,"",IF(E1161=0,"PIDE SIN FCST",IF(ABS(G1161)&gt;Parametros!$B$14,IF(G1161&gt;0,"SOBRE FCST","BAJO FCST"),"")))</f>
        <v/>
      </c>
    </row>
    <row r="1162" customFormat="false" ht="15" hidden="false" customHeight="false" outlineLevel="0" collapsed="false">
      <c r="A1162" s="3" t="n">
        <v>30001665</v>
      </c>
      <c r="B1162" s="3" t="s">
        <v>572</v>
      </c>
      <c r="C1162" s="3" t="s">
        <v>1373</v>
      </c>
      <c r="D1162" s="23" t="n">
        <v>1216</v>
      </c>
      <c r="E1162" s="23" t="n">
        <v>675.066666666667</v>
      </c>
      <c r="F1162" s="23" t="n">
        <f aca="false">D1162-E1162</f>
        <v>540.933333333333</v>
      </c>
      <c r="G1162" s="24" t="n">
        <f aca="false">IF(E1162&gt;0,D1162/E1162-1,"")</f>
        <v>0.80130357495556</v>
      </c>
      <c r="H1162" s="3" t="str">
        <f aca="false">IF(MAX(D1162,E1162)&lt;Parametros!$B$16,"",IF(E1162=0,"PIDE SIN FCST",IF(ABS(G1162)&gt;Parametros!$B$14,IF(G1162&gt;0,"SOBRE FCST","BAJO FCST"),"")))</f>
        <v>SOBRE FCST</v>
      </c>
    </row>
    <row r="1163" customFormat="false" ht="15" hidden="false" customHeight="false" outlineLevel="0" collapsed="false">
      <c r="A1163" s="3" t="n">
        <v>30000258</v>
      </c>
      <c r="B1163" s="3" t="s">
        <v>227</v>
      </c>
      <c r="C1163" s="3" t="s">
        <v>1373</v>
      </c>
      <c r="D1163" s="23" t="n">
        <v>25110</v>
      </c>
      <c r="E1163" s="23" t="n">
        <v>24569.6692666667</v>
      </c>
      <c r="F1163" s="23" t="n">
        <f aca="false">D1163-E1163</f>
        <v>540.330733333329</v>
      </c>
      <c r="G1163" s="24" t="n">
        <f aca="false">IF(E1163&gt;0,D1163/E1163-1,"")</f>
        <v>0.0219917788664086</v>
      </c>
      <c r="H1163" s="3" t="str">
        <f aca="false">IF(MAX(D1163,E1163)&lt;Parametros!$B$16,"",IF(E1163=0,"PIDE SIN FCST",IF(ABS(G1163)&gt;Parametros!$B$14,IF(G1163&gt;0,"SOBRE FCST","BAJO FCST"),"")))</f>
        <v/>
      </c>
    </row>
    <row r="1164" customFormat="false" ht="15" hidden="false" customHeight="false" outlineLevel="0" collapsed="false">
      <c r="A1164" s="3" t="n">
        <v>30000097</v>
      </c>
      <c r="B1164" s="3" t="s">
        <v>354</v>
      </c>
      <c r="C1164" s="3" t="s">
        <v>1377</v>
      </c>
      <c r="D1164" s="23" t="n">
        <v>1617</v>
      </c>
      <c r="E1164" s="23" t="n">
        <v>2156.43766373934</v>
      </c>
      <c r="F1164" s="23" t="n">
        <f aca="false">D1164-E1164</f>
        <v>-539.437663739341</v>
      </c>
      <c r="G1164" s="24" t="n">
        <f aca="false">IF(E1164&gt;0,D1164/E1164-1,"")</f>
        <v>-0.250152217617984</v>
      </c>
      <c r="H1164" s="3" t="str">
        <f aca="false">IF(MAX(D1164,E1164)&lt;Parametros!$B$16,"",IF(E1164=0,"PIDE SIN FCST",IF(ABS(G1164)&gt;Parametros!$B$14,IF(G1164&gt;0,"SOBRE FCST","BAJO FCST"),"")))</f>
        <v>BAJO FCST</v>
      </c>
    </row>
    <row r="1165" customFormat="false" ht="15" hidden="false" customHeight="false" outlineLevel="0" collapsed="false">
      <c r="A1165" s="3" t="n">
        <v>30000673</v>
      </c>
      <c r="B1165" s="3" t="s">
        <v>531</v>
      </c>
      <c r="C1165" s="3" t="s">
        <v>1373</v>
      </c>
      <c r="D1165" s="23" t="n">
        <v>2361.6</v>
      </c>
      <c r="E1165" s="23" t="n">
        <v>2900</v>
      </c>
      <c r="F1165" s="23" t="n">
        <f aca="false">D1165-E1165</f>
        <v>-538.4</v>
      </c>
      <c r="G1165" s="24" t="n">
        <f aca="false">IF(E1165&gt;0,D1165/E1165-1,"")</f>
        <v>-0.185655172413793</v>
      </c>
      <c r="H1165" s="3" t="str">
        <f aca="false">IF(MAX(D1165,E1165)&lt;Parametros!$B$16,"",IF(E1165=0,"PIDE SIN FCST",IF(ABS(G1165)&gt;Parametros!$B$14,IF(G1165&gt;0,"SOBRE FCST","BAJO FCST"),"")))</f>
        <v/>
      </c>
    </row>
    <row r="1166" customFormat="false" ht="15" hidden="false" customHeight="false" outlineLevel="0" collapsed="false">
      <c r="A1166" s="3" t="n">
        <v>30001376</v>
      </c>
      <c r="B1166" s="3" t="s">
        <v>404</v>
      </c>
      <c r="C1166" s="3" t="s">
        <v>1380</v>
      </c>
      <c r="D1166" s="23" t="n">
        <v>4536</v>
      </c>
      <c r="E1166" s="23" t="n">
        <v>4000</v>
      </c>
      <c r="F1166" s="23" t="n">
        <f aca="false">D1166-E1166</f>
        <v>536</v>
      </c>
      <c r="G1166" s="24" t="n">
        <f aca="false">IF(E1166&gt;0,D1166/E1166-1,"")</f>
        <v>0.134</v>
      </c>
      <c r="H1166" s="3" t="str">
        <f aca="false">IF(MAX(D1166,E1166)&lt;Parametros!$B$16,"",IF(E1166=0,"PIDE SIN FCST",IF(ABS(G1166)&gt;Parametros!$B$14,IF(G1166&gt;0,"SOBRE FCST","BAJO FCST"),"")))</f>
        <v/>
      </c>
    </row>
    <row r="1167" customFormat="false" ht="15" hidden="false" customHeight="false" outlineLevel="0" collapsed="false">
      <c r="A1167" s="3" t="n">
        <v>30001051</v>
      </c>
      <c r="B1167" s="3" t="s">
        <v>226</v>
      </c>
      <c r="C1167" s="3" t="s">
        <v>1373</v>
      </c>
      <c r="D1167" s="23" t="n">
        <v>5124</v>
      </c>
      <c r="E1167" s="23" t="n">
        <v>5659.05984823941</v>
      </c>
      <c r="F1167" s="23" t="n">
        <f aca="false">D1167-E1167</f>
        <v>-535.05984823941</v>
      </c>
      <c r="G1167" s="24" t="n">
        <f aca="false">IF(E1167&gt;0,D1167/E1167-1,"")</f>
        <v>-0.0945492471520464</v>
      </c>
      <c r="H1167" s="3" t="str">
        <f aca="false">IF(MAX(D1167,E1167)&lt;Parametros!$B$16,"",IF(E1167=0,"PIDE SIN FCST",IF(ABS(G1167)&gt;Parametros!$B$14,IF(G1167&gt;0,"SOBRE FCST","BAJO FCST"),"")))</f>
        <v/>
      </c>
    </row>
    <row r="1168" customFormat="false" ht="15" hidden="false" customHeight="false" outlineLevel="0" collapsed="false">
      <c r="A1168" s="3" t="n">
        <v>30001992</v>
      </c>
      <c r="B1168" s="3" t="s">
        <v>490</v>
      </c>
      <c r="C1168" s="3" t="s">
        <v>1378</v>
      </c>
      <c r="D1168" s="23" t="n">
        <v>912</v>
      </c>
      <c r="E1168" s="23" t="n">
        <v>379.349798549557</v>
      </c>
      <c r="F1168" s="23" t="n">
        <f aca="false">D1168-E1168</f>
        <v>532.650201450443</v>
      </c>
      <c r="G1168" s="24" t="n">
        <f aca="false">IF(E1168&gt;0,D1168/E1168-1,"")</f>
        <v>1.40411357403386</v>
      </c>
      <c r="H1168" s="3" t="str">
        <f aca="false">IF(MAX(D1168,E1168)&lt;Parametros!$B$16,"",IF(E1168=0,"PIDE SIN FCST",IF(ABS(G1168)&gt;Parametros!$B$14,IF(G1168&gt;0,"SOBRE FCST","BAJO FCST"),"")))</f>
        <v/>
      </c>
    </row>
    <row r="1169" customFormat="false" ht="15" hidden="false" customHeight="false" outlineLevel="0" collapsed="false">
      <c r="A1169" s="3" t="n">
        <v>30001995</v>
      </c>
      <c r="B1169" s="3" t="s">
        <v>468</v>
      </c>
      <c r="C1169" s="3" t="s">
        <v>1378</v>
      </c>
      <c r="D1169" s="23" t="n">
        <v>330</v>
      </c>
      <c r="E1169" s="23" t="n">
        <v>862.575065495737</v>
      </c>
      <c r="F1169" s="23" t="n">
        <f aca="false">D1169-E1169</f>
        <v>-532.575065495737</v>
      </c>
      <c r="G1169" s="24" t="n">
        <f aca="false">IF(E1169&gt;0,D1169/E1169-1,"")</f>
        <v>-0.617424600825502</v>
      </c>
      <c r="H1169" s="3" t="str">
        <f aca="false">IF(MAX(D1169,E1169)&lt;Parametros!$B$16,"",IF(E1169=0,"PIDE SIN FCST",IF(ABS(G1169)&gt;Parametros!$B$14,IF(G1169&gt;0,"SOBRE FCST","BAJO FCST"),"")))</f>
        <v/>
      </c>
    </row>
    <row r="1170" customFormat="false" ht="15" hidden="false" customHeight="false" outlineLevel="0" collapsed="false">
      <c r="A1170" s="3" t="n">
        <v>30001853</v>
      </c>
      <c r="B1170" s="3" t="s">
        <v>511</v>
      </c>
      <c r="C1170" s="3" t="s">
        <v>1377</v>
      </c>
      <c r="D1170" s="23" t="n">
        <v>1169.28</v>
      </c>
      <c r="E1170" s="23" t="n">
        <v>637.317433585879</v>
      </c>
      <c r="F1170" s="23" t="n">
        <f aca="false">D1170-E1170</f>
        <v>531.962566414121</v>
      </c>
      <c r="G1170" s="24" t="n">
        <f aca="false">IF(E1170&gt;0,D1170/E1170-1,"")</f>
        <v>0.834690122033888</v>
      </c>
      <c r="H1170" s="3" t="str">
        <f aca="false">IF(MAX(D1170,E1170)&lt;Parametros!$B$16,"",IF(E1170=0,"PIDE SIN FCST",IF(ABS(G1170)&gt;Parametros!$B$14,IF(G1170&gt;0,"SOBRE FCST","BAJO FCST"),"")))</f>
        <v>SOBRE FCST</v>
      </c>
    </row>
    <row r="1171" customFormat="false" ht="15" hidden="false" customHeight="false" outlineLevel="0" collapsed="false">
      <c r="A1171" s="3" t="n">
        <v>30001376</v>
      </c>
      <c r="B1171" s="3" t="s">
        <v>404</v>
      </c>
      <c r="C1171" s="3" t="s">
        <v>1372</v>
      </c>
      <c r="D1171" s="23" t="n">
        <v>850.5</v>
      </c>
      <c r="E1171" s="23" t="n">
        <v>1381.72312932526</v>
      </c>
      <c r="F1171" s="23" t="n">
        <f aca="false">D1171-E1171</f>
        <v>-531.22312932526</v>
      </c>
      <c r="G1171" s="24" t="n">
        <f aca="false">IF(E1171&gt;0,D1171/E1171-1,"")</f>
        <v>-0.384464237480539</v>
      </c>
      <c r="H1171" s="3" t="str">
        <f aca="false">IF(MAX(D1171,E1171)&lt;Parametros!$B$16,"",IF(E1171=0,"PIDE SIN FCST",IF(ABS(G1171)&gt;Parametros!$B$14,IF(G1171&gt;0,"SOBRE FCST","BAJO FCST"),"")))</f>
        <v>BAJO FCST</v>
      </c>
    </row>
    <row r="1172" customFormat="false" ht="15" hidden="false" customHeight="false" outlineLevel="0" collapsed="false">
      <c r="A1172" s="3" t="n">
        <v>30002091</v>
      </c>
      <c r="B1172" s="3" t="s">
        <v>325</v>
      </c>
      <c r="C1172" s="3" t="s">
        <v>1373</v>
      </c>
      <c r="D1172" s="23" t="n">
        <v>2057.4</v>
      </c>
      <c r="E1172" s="23" t="n">
        <v>1529.27303199923</v>
      </c>
      <c r="F1172" s="23" t="n">
        <f aca="false">D1172-E1172</f>
        <v>528.12696800077</v>
      </c>
      <c r="G1172" s="24" t="n">
        <f aca="false">IF(E1172&gt;0,D1172/E1172-1,"")</f>
        <v>0.345345112971976</v>
      </c>
      <c r="H1172" s="3" t="str">
        <f aca="false">IF(MAX(D1172,E1172)&lt;Parametros!$B$16,"",IF(E1172=0,"PIDE SIN FCST",IF(ABS(G1172)&gt;Parametros!$B$14,IF(G1172&gt;0,"SOBRE FCST","BAJO FCST"),"")))</f>
        <v>SOBRE FCST</v>
      </c>
    </row>
    <row r="1173" customFormat="false" ht="15" hidden="false" customHeight="false" outlineLevel="0" collapsed="false">
      <c r="A1173" s="3" t="n">
        <v>30002125</v>
      </c>
      <c r="B1173" s="3" t="s">
        <v>430</v>
      </c>
      <c r="C1173" s="3" t="s">
        <v>1379</v>
      </c>
      <c r="D1173" s="23" t="n">
        <v>1900</v>
      </c>
      <c r="E1173" s="23" t="n">
        <v>2428</v>
      </c>
      <c r="F1173" s="23" t="n">
        <f aca="false">D1173-E1173</f>
        <v>-528</v>
      </c>
      <c r="G1173" s="24" t="n">
        <f aca="false">IF(E1173&gt;0,D1173/E1173-1,"")</f>
        <v>-0.217462932454695</v>
      </c>
      <c r="H1173" s="3" t="str">
        <f aca="false">IF(MAX(D1173,E1173)&lt;Parametros!$B$16,"",IF(E1173=0,"PIDE SIN FCST",IF(ABS(G1173)&gt;Parametros!$B$14,IF(G1173&gt;0,"SOBRE FCST","BAJO FCST"),"")))</f>
        <v>BAJO FCST</v>
      </c>
    </row>
    <row r="1174" customFormat="false" ht="15" hidden="false" customHeight="false" outlineLevel="0" collapsed="false">
      <c r="A1174" s="3" t="n">
        <v>30000179</v>
      </c>
      <c r="B1174" s="3" t="s">
        <v>449</v>
      </c>
      <c r="C1174" s="3" t="s">
        <v>1375</v>
      </c>
      <c r="D1174" s="23" t="n">
        <v>1972.8</v>
      </c>
      <c r="E1174" s="23" t="n">
        <v>2500</v>
      </c>
      <c r="F1174" s="23" t="n">
        <f aca="false">D1174-E1174</f>
        <v>-527.2</v>
      </c>
      <c r="G1174" s="24" t="n">
        <f aca="false">IF(E1174&gt;0,D1174/E1174-1,"")</f>
        <v>-0.21088</v>
      </c>
      <c r="H1174" s="3" t="str">
        <f aca="false">IF(MAX(D1174,E1174)&lt;Parametros!$B$16,"",IF(E1174=0,"PIDE SIN FCST",IF(ABS(G1174)&gt;Parametros!$B$14,IF(G1174&gt;0,"SOBRE FCST","BAJO FCST"),"")))</f>
        <v>BAJO FCST</v>
      </c>
    </row>
    <row r="1175" customFormat="false" ht="15" hidden="false" customHeight="false" outlineLevel="0" collapsed="false">
      <c r="A1175" s="3" t="n">
        <v>30000251</v>
      </c>
      <c r="B1175" s="3" t="s">
        <v>615</v>
      </c>
      <c r="C1175" s="3" t="s">
        <v>1378</v>
      </c>
      <c r="D1175" s="23" t="n">
        <v>336</v>
      </c>
      <c r="E1175" s="23" t="n">
        <v>862.575065495737</v>
      </c>
      <c r="F1175" s="23" t="n">
        <f aca="false">D1175-E1175</f>
        <v>-526.575065495737</v>
      </c>
      <c r="G1175" s="24" t="n">
        <f aca="false">IF(E1175&gt;0,D1175/E1175-1,"")</f>
        <v>-0.610468684476875</v>
      </c>
      <c r="H1175" s="3" t="str">
        <f aca="false">IF(MAX(D1175,E1175)&lt;Parametros!$B$16,"",IF(E1175=0,"PIDE SIN FCST",IF(ABS(G1175)&gt;Parametros!$B$14,IF(G1175&gt;0,"SOBRE FCST","BAJO FCST"),"")))</f>
        <v/>
      </c>
    </row>
    <row r="1176" customFormat="false" ht="15" hidden="false" customHeight="false" outlineLevel="0" collapsed="false">
      <c r="A1176" s="3" t="n">
        <v>30002135</v>
      </c>
      <c r="B1176" s="3" t="s">
        <v>446</v>
      </c>
      <c r="C1176" s="3" t="s">
        <v>1378</v>
      </c>
      <c r="D1176" s="23" t="n">
        <v>336</v>
      </c>
      <c r="E1176" s="23" t="n">
        <v>862.575065495737</v>
      </c>
      <c r="F1176" s="23" t="n">
        <f aca="false">D1176-E1176</f>
        <v>-526.575065495737</v>
      </c>
      <c r="G1176" s="24" t="n">
        <f aca="false">IF(E1176&gt;0,D1176/E1176-1,"")</f>
        <v>-0.610468684476875</v>
      </c>
      <c r="H1176" s="3" t="str">
        <f aca="false">IF(MAX(D1176,E1176)&lt;Parametros!$B$16,"",IF(E1176=0,"PIDE SIN FCST",IF(ABS(G1176)&gt;Parametros!$B$14,IF(G1176&gt;0,"SOBRE FCST","BAJO FCST"),"")))</f>
        <v/>
      </c>
    </row>
    <row r="1177" customFormat="false" ht="15" hidden="false" customHeight="false" outlineLevel="0" collapsed="false">
      <c r="A1177" s="3" t="n">
        <v>30000398</v>
      </c>
      <c r="B1177" s="3" t="s">
        <v>295</v>
      </c>
      <c r="C1177" s="3" t="s">
        <v>1377</v>
      </c>
      <c r="D1177" s="23" t="n">
        <v>2844</v>
      </c>
      <c r="E1177" s="23" t="n">
        <v>3370.02422717585</v>
      </c>
      <c r="F1177" s="23" t="n">
        <f aca="false">D1177-E1177</f>
        <v>-526.024227175853</v>
      </c>
      <c r="G1177" s="24" t="n">
        <f aca="false">IF(E1177&gt;0,D1177/E1177-1,"")</f>
        <v>-0.156089152990058</v>
      </c>
      <c r="H1177" s="3" t="str">
        <f aca="false">IF(MAX(D1177,E1177)&lt;Parametros!$B$16,"",IF(E1177=0,"PIDE SIN FCST",IF(ABS(G1177)&gt;Parametros!$B$14,IF(G1177&gt;0,"SOBRE FCST","BAJO FCST"),"")))</f>
        <v/>
      </c>
    </row>
    <row r="1178" customFormat="false" ht="15" hidden="false" customHeight="false" outlineLevel="0" collapsed="false">
      <c r="A1178" s="3" t="n">
        <v>30000172</v>
      </c>
      <c r="B1178" s="3" t="s">
        <v>495</v>
      </c>
      <c r="C1178" s="3" t="s">
        <v>1375</v>
      </c>
      <c r="D1178" s="23" t="n">
        <v>3372.6</v>
      </c>
      <c r="E1178" s="23" t="n">
        <v>2850</v>
      </c>
      <c r="F1178" s="23" t="n">
        <f aca="false">D1178-E1178</f>
        <v>522.6</v>
      </c>
      <c r="G1178" s="24" t="n">
        <f aca="false">IF(E1178&gt;0,D1178/E1178-1,"")</f>
        <v>0.183368421052632</v>
      </c>
      <c r="H1178" s="3" t="str">
        <f aca="false">IF(MAX(D1178,E1178)&lt;Parametros!$B$16,"",IF(E1178=0,"PIDE SIN FCST",IF(ABS(G1178)&gt;Parametros!$B$14,IF(G1178&gt;0,"SOBRE FCST","BAJO FCST"),"")))</f>
        <v/>
      </c>
    </row>
    <row r="1179" customFormat="false" ht="15" hidden="false" customHeight="false" outlineLevel="0" collapsed="false">
      <c r="A1179" s="3" t="n">
        <v>30001076</v>
      </c>
      <c r="B1179" s="3" t="s">
        <v>457</v>
      </c>
      <c r="C1179" s="3" t="s">
        <v>1373</v>
      </c>
      <c r="D1179" s="23" t="n">
        <v>1409.76</v>
      </c>
      <c r="E1179" s="23" t="n">
        <v>888.540305860906</v>
      </c>
      <c r="F1179" s="23" t="n">
        <f aca="false">D1179-E1179</f>
        <v>521.219694139094</v>
      </c>
      <c r="G1179" s="24" t="n">
        <f aca="false">IF(E1179&gt;0,D1179/E1179-1,"")</f>
        <v>0.58660219542217</v>
      </c>
      <c r="H1179" s="3" t="str">
        <f aca="false">IF(MAX(D1179,E1179)&lt;Parametros!$B$16,"",IF(E1179=0,"PIDE SIN FCST",IF(ABS(G1179)&gt;Parametros!$B$14,IF(G1179&gt;0,"SOBRE FCST","BAJO FCST"),"")))</f>
        <v>SOBRE FCST</v>
      </c>
    </row>
    <row r="1180" customFormat="false" ht="15" hidden="false" customHeight="false" outlineLevel="0" collapsed="false">
      <c r="A1180" s="3" t="n">
        <v>30002064</v>
      </c>
      <c r="B1180" s="3" t="s">
        <v>509</v>
      </c>
      <c r="C1180" s="3" t="s">
        <v>1378</v>
      </c>
      <c r="D1180" s="23" t="n">
        <v>297.6</v>
      </c>
      <c r="E1180" s="23" t="n">
        <v>816.032428772024</v>
      </c>
      <c r="F1180" s="23" t="n">
        <f aca="false">D1180-E1180</f>
        <v>-518.432428772024</v>
      </c>
      <c r="G1180" s="24" t="n">
        <f aca="false">IF(E1180&gt;0,D1180/E1180-1,"")</f>
        <v>-0.635308610899407</v>
      </c>
      <c r="H1180" s="3" t="str">
        <f aca="false">IF(MAX(D1180,E1180)&lt;Parametros!$B$16,"",IF(E1180=0,"PIDE SIN FCST",IF(ABS(G1180)&gt;Parametros!$B$14,IF(G1180&gt;0,"SOBRE FCST","BAJO FCST"),"")))</f>
        <v/>
      </c>
    </row>
    <row r="1181" customFormat="false" ht="15" hidden="false" customHeight="false" outlineLevel="0" collapsed="false">
      <c r="A1181" s="3" t="n">
        <v>30000097</v>
      </c>
      <c r="B1181" s="3" t="s">
        <v>354</v>
      </c>
      <c r="C1181" s="3" t="s">
        <v>1375</v>
      </c>
      <c r="D1181" s="23" t="n">
        <v>2242.8</v>
      </c>
      <c r="E1181" s="23" t="n">
        <v>1725.15013099147</v>
      </c>
      <c r="F1181" s="23" t="n">
        <f aca="false">D1181-E1181</f>
        <v>517.649869008527</v>
      </c>
      <c r="G1181" s="24" t="n">
        <f aca="false">IF(E1181&gt;0,D1181/E1181-1,"")</f>
        <v>0.30006076555843</v>
      </c>
      <c r="H1181" s="3" t="str">
        <f aca="false">IF(MAX(D1181,E1181)&lt;Parametros!$B$16,"",IF(E1181=0,"PIDE SIN FCST",IF(ABS(G1181)&gt;Parametros!$B$14,IF(G1181&gt;0,"SOBRE FCST","BAJO FCST"),"")))</f>
        <v>SOBRE FCST</v>
      </c>
    </row>
    <row r="1182" customFormat="false" ht="15" hidden="false" customHeight="false" outlineLevel="0" collapsed="false">
      <c r="A1182" s="3" t="n">
        <v>30000435</v>
      </c>
      <c r="B1182" s="3" t="s">
        <v>459</v>
      </c>
      <c r="C1182" s="3" t="s">
        <v>1375</v>
      </c>
      <c r="D1182" s="23" t="n">
        <v>3097.6</v>
      </c>
      <c r="E1182" s="23" t="n">
        <v>2582.17196149173</v>
      </c>
      <c r="F1182" s="23" t="n">
        <f aca="false">D1182-E1182</f>
        <v>515.428038508273</v>
      </c>
      <c r="G1182" s="24" t="n">
        <f aca="false">IF(E1182&gt;0,D1182/E1182-1,"")</f>
        <v>0.199610268485182</v>
      </c>
      <c r="H1182" s="3" t="str">
        <f aca="false">IF(MAX(D1182,E1182)&lt;Parametros!$B$16,"",IF(E1182=0,"PIDE SIN FCST",IF(ABS(G1182)&gt;Parametros!$B$14,IF(G1182&gt;0,"SOBRE FCST","BAJO FCST"),"")))</f>
        <v/>
      </c>
    </row>
    <row r="1183" customFormat="false" ht="15" hidden="false" customHeight="false" outlineLevel="0" collapsed="false">
      <c r="A1183" s="3" t="n">
        <v>30001041</v>
      </c>
      <c r="B1183" s="3" t="s">
        <v>258</v>
      </c>
      <c r="C1183" s="3" t="s">
        <v>1379</v>
      </c>
      <c r="D1183" s="23" t="n">
        <v>2412.96</v>
      </c>
      <c r="E1183" s="23" t="n">
        <v>1897.91804174607</v>
      </c>
      <c r="F1183" s="23" t="n">
        <f aca="false">D1183-E1183</f>
        <v>515.04195825393</v>
      </c>
      <c r="G1183" s="24" t="n">
        <f aca="false">IF(E1183&gt;0,D1183/E1183-1,"")</f>
        <v>0.27137207557187</v>
      </c>
      <c r="H1183" s="3" t="str">
        <f aca="false">IF(MAX(D1183,E1183)&lt;Parametros!$B$16,"",IF(E1183=0,"PIDE SIN FCST",IF(ABS(G1183)&gt;Parametros!$B$14,IF(G1183&gt;0,"SOBRE FCST","BAJO FCST"),"")))</f>
        <v>SOBRE FCST</v>
      </c>
    </row>
    <row r="1184" customFormat="false" ht="15" hidden="false" customHeight="false" outlineLevel="0" collapsed="false">
      <c r="A1184" s="3" t="n">
        <v>30001751</v>
      </c>
      <c r="B1184" s="3" t="s">
        <v>264</v>
      </c>
      <c r="C1184" s="3" t="s">
        <v>1380</v>
      </c>
      <c r="D1184" s="23" t="n">
        <v>24985.8</v>
      </c>
      <c r="E1184" s="23" t="n">
        <v>25500</v>
      </c>
      <c r="F1184" s="23" t="n">
        <f aca="false">D1184-E1184</f>
        <v>-514.200000000001</v>
      </c>
      <c r="G1184" s="24" t="n">
        <f aca="false">IF(E1184&gt;0,D1184/E1184-1,"")</f>
        <v>-0.020164705882353</v>
      </c>
      <c r="H1184" s="3" t="str">
        <f aca="false">IF(MAX(D1184,E1184)&lt;Parametros!$B$16,"",IF(E1184=0,"PIDE SIN FCST",IF(ABS(G1184)&gt;Parametros!$B$14,IF(G1184&gt;0,"SOBRE FCST","BAJO FCST"),"")))</f>
        <v/>
      </c>
    </row>
    <row r="1185" customFormat="false" ht="15" hidden="false" customHeight="false" outlineLevel="0" collapsed="false">
      <c r="A1185" s="3" t="n">
        <v>30000194</v>
      </c>
      <c r="B1185" s="3" t="s">
        <v>268</v>
      </c>
      <c r="C1185" s="3" t="s">
        <v>1376</v>
      </c>
      <c r="D1185" s="23" t="n">
        <v>714</v>
      </c>
      <c r="E1185" s="23" t="n">
        <v>200</v>
      </c>
      <c r="F1185" s="23" t="n">
        <f aca="false">D1185-E1185</f>
        <v>514</v>
      </c>
      <c r="G1185" s="24" t="n">
        <f aca="false">IF(E1185&gt;0,D1185/E1185-1,"")</f>
        <v>2.57</v>
      </c>
      <c r="H1185" s="3" t="str">
        <f aca="false">IF(MAX(D1185,E1185)&lt;Parametros!$B$16,"",IF(E1185=0,"PIDE SIN FCST",IF(ABS(G1185)&gt;Parametros!$B$14,IF(G1185&gt;0,"SOBRE FCST","BAJO FCST"),"")))</f>
        <v/>
      </c>
    </row>
    <row r="1186" customFormat="false" ht="15" hidden="false" customHeight="false" outlineLevel="0" collapsed="false">
      <c r="A1186" s="3" t="n">
        <v>30001992</v>
      </c>
      <c r="B1186" s="3" t="s">
        <v>490</v>
      </c>
      <c r="C1186" s="3" t="s">
        <v>1375</v>
      </c>
      <c r="D1186" s="23" t="n">
        <v>3012</v>
      </c>
      <c r="E1186" s="23" t="n">
        <v>2500</v>
      </c>
      <c r="F1186" s="23" t="n">
        <f aca="false">D1186-E1186</f>
        <v>512</v>
      </c>
      <c r="G1186" s="24" t="n">
        <f aca="false">IF(E1186&gt;0,D1186/E1186-1,"")</f>
        <v>0.2048</v>
      </c>
      <c r="H1186" s="3" t="str">
        <f aca="false">IF(MAX(D1186,E1186)&lt;Parametros!$B$16,"",IF(E1186=0,"PIDE SIN FCST",IF(ABS(G1186)&gt;Parametros!$B$14,IF(G1186&gt;0,"SOBRE FCST","BAJO FCST"),"")))</f>
        <v>SOBRE FCST</v>
      </c>
    </row>
    <row r="1187" customFormat="false" ht="15" hidden="false" customHeight="false" outlineLevel="0" collapsed="false">
      <c r="A1187" s="3" t="n">
        <v>30002138</v>
      </c>
      <c r="B1187" s="3" t="s">
        <v>494</v>
      </c>
      <c r="C1187" s="3" t="s">
        <v>1378</v>
      </c>
      <c r="D1187" s="23" t="n">
        <v>288</v>
      </c>
      <c r="E1187" s="23" t="n">
        <v>800</v>
      </c>
      <c r="F1187" s="23" t="n">
        <f aca="false">D1187-E1187</f>
        <v>-512</v>
      </c>
      <c r="G1187" s="24" t="n">
        <f aca="false">IF(E1187&gt;0,D1187/E1187-1,"")</f>
        <v>-0.64</v>
      </c>
      <c r="H1187" s="3" t="str">
        <f aca="false">IF(MAX(D1187,E1187)&lt;Parametros!$B$16,"",IF(E1187=0,"PIDE SIN FCST",IF(ABS(G1187)&gt;Parametros!$B$14,IF(G1187&gt;0,"SOBRE FCST","BAJO FCST"),"")))</f>
        <v/>
      </c>
    </row>
    <row r="1188" customFormat="false" ht="15" hidden="false" customHeight="false" outlineLevel="0" collapsed="false">
      <c r="A1188" s="3" t="n">
        <v>30000301</v>
      </c>
      <c r="B1188" s="3" t="s">
        <v>323</v>
      </c>
      <c r="C1188" s="3" t="s">
        <v>1372</v>
      </c>
      <c r="D1188" s="23" t="n">
        <v>2510</v>
      </c>
      <c r="E1188" s="23" t="n">
        <v>3019.01272923508</v>
      </c>
      <c r="F1188" s="23" t="n">
        <f aca="false">D1188-E1188</f>
        <v>-509.012729235078</v>
      </c>
      <c r="G1188" s="24" t="n">
        <f aca="false">IF(E1188&gt;0,D1188/E1188-1,"")</f>
        <v>-0.168602379283126</v>
      </c>
      <c r="H1188" s="3" t="str">
        <f aca="false">IF(MAX(D1188,E1188)&lt;Parametros!$B$16,"",IF(E1188=0,"PIDE SIN FCST",IF(ABS(G1188)&gt;Parametros!$B$14,IF(G1188&gt;0,"SOBRE FCST","BAJO FCST"),"")))</f>
        <v/>
      </c>
    </row>
    <row r="1189" customFormat="false" ht="15" hidden="false" customHeight="false" outlineLevel="0" collapsed="false">
      <c r="A1189" s="3" t="n">
        <v>30001508</v>
      </c>
      <c r="B1189" s="3" t="s">
        <v>318</v>
      </c>
      <c r="C1189" s="3" t="s">
        <v>1373</v>
      </c>
      <c r="D1189" s="23" t="n">
        <v>3519</v>
      </c>
      <c r="E1189" s="23" t="n">
        <v>3010.4936601877</v>
      </c>
      <c r="F1189" s="23" t="n">
        <f aca="false">D1189-E1189</f>
        <v>508.506339812303</v>
      </c>
      <c r="G1189" s="24" t="n">
        <f aca="false">IF(E1189&gt;0,D1189/E1189-1,"")</f>
        <v>0.168911280743438</v>
      </c>
      <c r="H1189" s="3" t="str">
        <f aca="false">IF(MAX(D1189,E1189)&lt;Parametros!$B$16,"",IF(E1189=0,"PIDE SIN FCST",IF(ABS(G1189)&gt;Parametros!$B$14,IF(G1189&gt;0,"SOBRE FCST","BAJO FCST"),"")))</f>
        <v/>
      </c>
    </row>
    <row r="1190" customFormat="false" ht="15" hidden="false" customHeight="false" outlineLevel="0" collapsed="false">
      <c r="A1190" s="3" t="n">
        <v>30000555</v>
      </c>
      <c r="B1190" s="3" t="s">
        <v>570</v>
      </c>
      <c r="C1190" s="3" t="s">
        <v>1372</v>
      </c>
      <c r="D1190" s="23" t="n">
        <v>1800</v>
      </c>
      <c r="E1190" s="23" t="n">
        <v>1293.86259824361</v>
      </c>
      <c r="F1190" s="23" t="n">
        <f aca="false">D1190-E1190</f>
        <v>506.137401756395</v>
      </c>
      <c r="G1190" s="24" t="n">
        <f aca="false">IF(E1190&gt;0,D1190/E1190-1,"")</f>
        <v>0.391183269725447</v>
      </c>
      <c r="H1190" s="3" t="str">
        <f aca="false">IF(MAX(D1190,E1190)&lt;Parametros!$B$16,"",IF(E1190=0,"PIDE SIN FCST",IF(ABS(G1190)&gt;Parametros!$B$14,IF(G1190&gt;0,"SOBRE FCST","BAJO FCST"),"")))</f>
        <v>SOBRE FCST</v>
      </c>
    </row>
    <row r="1191" customFormat="false" ht="15" hidden="false" customHeight="false" outlineLevel="0" collapsed="false">
      <c r="A1191" s="3" t="n">
        <v>30001744</v>
      </c>
      <c r="B1191" s="3" t="s">
        <v>437</v>
      </c>
      <c r="C1191" s="3" t="s">
        <v>1379</v>
      </c>
      <c r="D1191" s="23" t="n">
        <v>1762.56</v>
      </c>
      <c r="E1191" s="23" t="n">
        <v>1256.68</v>
      </c>
      <c r="F1191" s="23" t="n">
        <f aca="false">D1191-E1191</f>
        <v>505.88</v>
      </c>
      <c r="G1191" s="24" t="n">
        <f aca="false">IF(E1191&gt;0,D1191/E1191-1,"")</f>
        <v>0.402552758060922</v>
      </c>
      <c r="H1191" s="3" t="str">
        <f aca="false">IF(MAX(D1191,E1191)&lt;Parametros!$B$16,"",IF(E1191=0,"PIDE SIN FCST",IF(ABS(G1191)&gt;Parametros!$B$14,IF(G1191&gt;0,"SOBRE FCST","BAJO FCST"),"")))</f>
        <v>SOBRE FCST</v>
      </c>
    </row>
    <row r="1192" customFormat="false" ht="15" hidden="false" customHeight="false" outlineLevel="0" collapsed="false">
      <c r="A1192" s="3" t="n">
        <v>30002272</v>
      </c>
      <c r="B1192" s="3" t="s">
        <v>368</v>
      </c>
      <c r="C1192" s="3" t="s">
        <v>1373</v>
      </c>
      <c r="D1192" s="23" t="n">
        <v>756</v>
      </c>
      <c r="E1192" s="23" t="n">
        <v>1260.41666666667</v>
      </c>
      <c r="F1192" s="23" t="n">
        <f aca="false">D1192-E1192</f>
        <v>-504.416666666667</v>
      </c>
      <c r="G1192" s="24" t="n">
        <f aca="false">IF(E1192&gt;0,D1192/E1192-1,"")</f>
        <v>-0.400198347107438</v>
      </c>
      <c r="H1192" s="3" t="str">
        <f aca="false">IF(MAX(D1192,E1192)&lt;Parametros!$B$16,"",IF(E1192=0,"PIDE SIN FCST",IF(ABS(G1192)&gt;Parametros!$B$14,IF(G1192&gt;0,"SOBRE FCST","BAJO FCST"),"")))</f>
        <v>BAJO FCST</v>
      </c>
    </row>
    <row r="1193" customFormat="false" ht="15" hidden="false" customHeight="false" outlineLevel="0" collapsed="false">
      <c r="A1193" s="3" t="n">
        <v>30000635</v>
      </c>
      <c r="B1193" s="3" t="s">
        <v>558</v>
      </c>
      <c r="C1193" s="3" t="s">
        <v>1380</v>
      </c>
      <c r="D1193" s="23" t="n">
        <v>1296</v>
      </c>
      <c r="E1193" s="23" t="n">
        <v>1800</v>
      </c>
      <c r="F1193" s="23" t="n">
        <f aca="false">D1193-E1193</f>
        <v>-504</v>
      </c>
      <c r="G1193" s="24" t="n">
        <f aca="false">IF(E1193&gt;0,D1193/E1193-1,"")</f>
        <v>-0.28</v>
      </c>
      <c r="H1193" s="3" t="str">
        <f aca="false">IF(MAX(D1193,E1193)&lt;Parametros!$B$16,"",IF(E1193=0,"PIDE SIN FCST",IF(ABS(G1193)&gt;Parametros!$B$14,IF(G1193&gt;0,"SOBRE FCST","BAJO FCST"),"")))</f>
        <v>BAJO FCST</v>
      </c>
    </row>
    <row r="1194" customFormat="false" ht="15" hidden="false" customHeight="false" outlineLevel="0" collapsed="false">
      <c r="A1194" s="3" t="n">
        <v>30000179</v>
      </c>
      <c r="B1194" s="3" t="s">
        <v>449</v>
      </c>
      <c r="C1194" s="3" t="s">
        <v>1379</v>
      </c>
      <c r="D1194" s="23" t="n">
        <v>1296</v>
      </c>
      <c r="E1194" s="23" t="n">
        <v>1800</v>
      </c>
      <c r="F1194" s="23" t="n">
        <f aca="false">D1194-E1194</f>
        <v>-504</v>
      </c>
      <c r="G1194" s="24" t="n">
        <f aca="false">IF(E1194&gt;0,D1194/E1194-1,"")</f>
        <v>-0.28</v>
      </c>
      <c r="H1194" s="3" t="str">
        <f aca="false">IF(MAX(D1194,E1194)&lt;Parametros!$B$16,"",IF(E1194=0,"PIDE SIN FCST",IF(ABS(G1194)&gt;Parametros!$B$14,IF(G1194&gt;0,"SOBRE FCST","BAJO FCST"),"")))</f>
        <v>BAJO FCST</v>
      </c>
    </row>
    <row r="1195" customFormat="false" ht="15" hidden="false" customHeight="false" outlineLevel="0" collapsed="false">
      <c r="A1195" s="3" t="n">
        <v>30001079</v>
      </c>
      <c r="B1195" s="3" t="s">
        <v>282</v>
      </c>
      <c r="C1195" s="3" t="s">
        <v>1378</v>
      </c>
      <c r="D1195" s="23" t="n">
        <v>2080.32</v>
      </c>
      <c r="E1195" s="23" t="n">
        <v>1577.50326845027</v>
      </c>
      <c r="F1195" s="23" t="n">
        <f aca="false">D1195-E1195</f>
        <v>502.816731549733</v>
      </c>
      <c r="G1195" s="24" t="n">
        <f aca="false">IF(E1195&gt;0,D1195/E1195-1,"")</f>
        <v>0.318742117120111</v>
      </c>
      <c r="H1195" s="3" t="str">
        <f aca="false">IF(MAX(D1195,E1195)&lt;Parametros!$B$16,"",IF(E1195=0,"PIDE SIN FCST",IF(ABS(G1195)&gt;Parametros!$B$14,IF(G1195&gt;0,"SOBRE FCST","BAJO FCST"),"")))</f>
        <v>SOBRE FCST</v>
      </c>
    </row>
    <row r="1196" customFormat="false" ht="15" hidden="false" customHeight="false" outlineLevel="0" collapsed="false">
      <c r="A1196" s="3" t="n">
        <v>30002098</v>
      </c>
      <c r="B1196" s="3" t="s">
        <v>427</v>
      </c>
      <c r="C1196" s="3" t="s">
        <v>1378</v>
      </c>
      <c r="D1196" s="23" t="n">
        <v>801</v>
      </c>
      <c r="E1196" s="23" t="n">
        <v>1302.02665203753</v>
      </c>
      <c r="F1196" s="23" t="n">
        <f aca="false">D1196-E1196</f>
        <v>-501.026652037525</v>
      </c>
      <c r="G1196" s="24" t="n">
        <f aca="false">IF(E1196&gt;0,D1196/E1196-1,"")</f>
        <v>-0.384805219811342</v>
      </c>
      <c r="H1196" s="3" t="str">
        <f aca="false">IF(MAX(D1196,E1196)&lt;Parametros!$B$16,"",IF(E1196=0,"PIDE SIN FCST",IF(ABS(G1196)&gt;Parametros!$B$14,IF(G1196&gt;0,"SOBRE FCST","BAJO FCST"),"")))</f>
        <v>BAJO FCST</v>
      </c>
    </row>
    <row r="1197" customFormat="false" ht="15" hidden="false" customHeight="false" outlineLevel="0" collapsed="false">
      <c r="A1197" s="3" t="n">
        <v>30001774</v>
      </c>
      <c r="B1197" s="3" t="s">
        <v>284</v>
      </c>
      <c r="C1197" s="3" t="s">
        <v>1380</v>
      </c>
      <c r="D1197" s="23" t="n">
        <v>600</v>
      </c>
      <c r="E1197" s="23" t="n">
        <v>100</v>
      </c>
      <c r="F1197" s="23" t="n">
        <f aca="false">D1197-E1197</f>
        <v>500</v>
      </c>
      <c r="G1197" s="24" t="n">
        <f aca="false">IF(E1197&gt;0,D1197/E1197-1,"")</f>
        <v>5</v>
      </c>
      <c r="H1197" s="3" t="str">
        <f aca="false">IF(MAX(D1197,E1197)&lt;Parametros!$B$16,"",IF(E1197=0,"PIDE SIN FCST",IF(ABS(G1197)&gt;Parametros!$B$14,IF(G1197&gt;0,"SOBRE FCST","BAJO FCST"),"")))</f>
        <v/>
      </c>
    </row>
    <row r="1198" customFormat="false" ht="15" hidden="false" customHeight="false" outlineLevel="0" collapsed="false">
      <c r="A1198" s="3" t="n">
        <v>30000446</v>
      </c>
      <c r="B1198" s="3" t="s">
        <v>622</v>
      </c>
      <c r="C1198" s="3" t="s">
        <v>1373</v>
      </c>
      <c r="D1198" s="23" t="n">
        <v>2000</v>
      </c>
      <c r="E1198" s="23" t="n">
        <v>1500</v>
      </c>
      <c r="F1198" s="23" t="n">
        <f aca="false">D1198-E1198</f>
        <v>500</v>
      </c>
      <c r="G1198" s="24" t="n">
        <f aca="false">IF(E1198&gt;0,D1198/E1198-1,"")</f>
        <v>0.333333333333333</v>
      </c>
      <c r="H1198" s="3" t="str">
        <f aca="false">IF(MAX(D1198,E1198)&lt;Parametros!$B$16,"",IF(E1198=0,"PIDE SIN FCST",IF(ABS(G1198)&gt;Parametros!$B$14,IF(G1198&gt;0,"SOBRE FCST","BAJO FCST"),"")))</f>
        <v>SOBRE FCST</v>
      </c>
    </row>
    <row r="1199" customFormat="false" ht="15" hidden="false" customHeight="false" outlineLevel="0" collapsed="false">
      <c r="A1199" s="3" t="n">
        <v>30001857</v>
      </c>
      <c r="B1199" s="3" t="s">
        <v>330</v>
      </c>
      <c r="C1199" s="3" t="s">
        <v>1378</v>
      </c>
      <c r="D1199" s="23" t="n">
        <v>1656.48</v>
      </c>
      <c r="E1199" s="23" t="n">
        <v>2156.43766373934</v>
      </c>
      <c r="F1199" s="23" t="n">
        <f aca="false">D1199-E1199</f>
        <v>-499.957663739341</v>
      </c>
      <c r="G1199" s="24" t="n">
        <f aca="false">IF(E1199&gt;0,D1199/E1199-1,"")</f>
        <v>-0.231844245788397</v>
      </c>
      <c r="H1199" s="3" t="str">
        <f aca="false">IF(MAX(D1199,E1199)&lt;Parametros!$B$16,"",IF(E1199=0,"PIDE SIN FCST",IF(ABS(G1199)&gt;Parametros!$B$14,IF(G1199&gt;0,"SOBRE FCST","BAJO FCST"),"")))</f>
        <v>BAJO FCST</v>
      </c>
    </row>
    <row r="1200" customFormat="false" ht="15" hidden="false" customHeight="false" outlineLevel="0" collapsed="false">
      <c r="A1200" s="3" t="n">
        <v>30001754</v>
      </c>
      <c r="B1200" s="3" t="s">
        <v>296</v>
      </c>
      <c r="C1200" s="3" t="s">
        <v>1379</v>
      </c>
      <c r="D1200" s="23" t="n">
        <v>2899.8</v>
      </c>
      <c r="E1200" s="23" t="n">
        <v>2400</v>
      </c>
      <c r="F1200" s="23" t="n">
        <f aca="false">D1200-E1200</f>
        <v>499.8</v>
      </c>
      <c r="G1200" s="24" t="n">
        <f aca="false">IF(E1200&gt;0,D1200/E1200-1,"")</f>
        <v>0.20825</v>
      </c>
      <c r="H1200" s="3" t="str">
        <f aca="false">IF(MAX(D1200,E1200)&lt;Parametros!$B$16,"",IF(E1200=0,"PIDE SIN FCST",IF(ABS(G1200)&gt;Parametros!$B$14,IF(G1200&gt;0,"SOBRE FCST","BAJO FCST"),"")))</f>
        <v>SOBRE FCST</v>
      </c>
    </row>
    <row r="1201" customFormat="false" ht="15" hidden="false" customHeight="false" outlineLevel="0" collapsed="false">
      <c r="A1201" s="3" t="n">
        <v>30002098</v>
      </c>
      <c r="B1201" s="3" t="s">
        <v>427</v>
      </c>
      <c r="C1201" s="3" t="s">
        <v>1375</v>
      </c>
      <c r="D1201" s="23" t="n">
        <v>3249</v>
      </c>
      <c r="E1201" s="23" t="n">
        <v>2750</v>
      </c>
      <c r="F1201" s="23" t="n">
        <f aca="false">D1201-E1201</f>
        <v>499</v>
      </c>
      <c r="G1201" s="24" t="n">
        <f aca="false">IF(E1201&gt;0,D1201/E1201-1,"")</f>
        <v>0.181454545454546</v>
      </c>
      <c r="H1201" s="3" t="str">
        <f aca="false">IF(MAX(D1201,E1201)&lt;Parametros!$B$16,"",IF(E1201=0,"PIDE SIN FCST",IF(ABS(G1201)&gt;Parametros!$B$14,IF(G1201&gt;0,"SOBRE FCST","BAJO FCST"),"")))</f>
        <v/>
      </c>
    </row>
    <row r="1202" customFormat="false" ht="15" hidden="false" customHeight="false" outlineLevel="0" collapsed="false">
      <c r="A1202" s="3" t="n">
        <v>30001882</v>
      </c>
      <c r="B1202" s="3" t="s">
        <v>376</v>
      </c>
      <c r="C1202" s="3" t="s">
        <v>1375</v>
      </c>
      <c r="D1202" s="23" t="n">
        <v>4398</v>
      </c>
      <c r="E1202" s="23" t="n">
        <v>3900</v>
      </c>
      <c r="F1202" s="23" t="n">
        <f aca="false">D1202-E1202</f>
        <v>498</v>
      </c>
      <c r="G1202" s="24" t="n">
        <f aca="false">IF(E1202&gt;0,D1202/E1202-1,"")</f>
        <v>0.127692307692308</v>
      </c>
      <c r="H1202" s="3" t="str">
        <f aca="false">IF(MAX(D1202,E1202)&lt;Parametros!$B$16,"",IF(E1202=0,"PIDE SIN FCST",IF(ABS(G1202)&gt;Parametros!$B$14,IF(G1202&gt;0,"SOBRE FCST","BAJO FCST"),"")))</f>
        <v/>
      </c>
    </row>
    <row r="1203" customFormat="false" ht="15" hidden="false" customHeight="false" outlineLevel="0" collapsed="false">
      <c r="A1203" s="3" t="n">
        <v>30001522</v>
      </c>
      <c r="B1203" s="3" t="s">
        <v>453</v>
      </c>
      <c r="C1203" s="3" t="s">
        <v>1375</v>
      </c>
      <c r="D1203" s="23" t="n">
        <v>3702.72</v>
      </c>
      <c r="E1203" s="23" t="n">
        <v>4200</v>
      </c>
      <c r="F1203" s="23" t="n">
        <f aca="false">D1203-E1203</f>
        <v>-497.28</v>
      </c>
      <c r="G1203" s="24" t="n">
        <f aca="false">IF(E1203&gt;0,D1203/E1203-1,"")</f>
        <v>-0.1184</v>
      </c>
      <c r="H1203" s="3" t="str">
        <f aca="false">IF(MAX(D1203,E1203)&lt;Parametros!$B$16,"",IF(E1203=0,"PIDE SIN FCST",IF(ABS(G1203)&gt;Parametros!$B$14,IF(G1203&gt;0,"SOBRE FCST","BAJO FCST"),"")))</f>
        <v/>
      </c>
    </row>
    <row r="1204" customFormat="false" ht="15" hidden="false" customHeight="false" outlineLevel="0" collapsed="false">
      <c r="A1204" s="3" t="n">
        <v>30002297</v>
      </c>
      <c r="B1204" s="3" t="s">
        <v>567</v>
      </c>
      <c r="C1204" s="3" t="s">
        <v>1378</v>
      </c>
      <c r="D1204" s="23" t="n">
        <v>403.2</v>
      </c>
      <c r="E1204" s="23" t="n">
        <v>900</v>
      </c>
      <c r="F1204" s="23" t="n">
        <f aca="false">D1204-E1204</f>
        <v>-496.8</v>
      </c>
      <c r="G1204" s="24" t="n">
        <f aca="false">IF(E1204&gt;0,D1204/E1204-1,"")</f>
        <v>-0.552</v>
      </c>
      <c r="H1204" s="3" t="str">
        <f aca="false">IF(MAX(D1204,E1204)&lt;Parametros!$B$16,"",IF(E1204=0,"PIDE SIN FCST",IF(ABS(G1204)&gt;Parametros!$B$14,IF(G1204&gt;0,"SOBRE FCST","BAJO FCST"),"")))</f>
        <v/>
      </c>
    </row>
    <row r="1205" customFormat="false" ht="15" hidden="false" customHeight="false" outlineLevel="0" collapsed="false">
      <c r="A1205" s="3" t="n">
        <v>30000180</v>
      </c>
      <c r="B1205" s="3" t="s">
        <v>462</v>
      </c>
      <c r="C1205" s="3" t="s">
        <v>1375</v>
      </c>
      <c r="D1205" s="23" t="n">
        <v>2496</v>
      </c>
      <c r="E1205" s="23" t="n">
        <v>2000</v>
      </c>
      <c r="F1205" s="23" t="n">
        <f aca="false">D1205-E1205</f>
        <v>496</v>
      </c>
      <c r="G1205" s="24" t="n">
        <f aca="false">IF(E1205&gt;0,D1205/E1205-1,"")</f>
        <v>0.248</v>
      </c>
      <c r="H1205" s="3" t="str">
        <f aca="false">IF(MAX(D1205,E1205)&lt;Parametros!$B$16,"",IF(E1205=0,"PIDE SIN FCST",IF(ABS(G1205)&gt;Parametros!$B$14,IF(G1205&gt;0,"SOBRE FCST","BAJO FCST"),"")))</f>
        <v>SOBRE FCST</v>
      </c>
    </row>
    <row r="1206" customFormat="false" ht="15" hidden="false" customHeight="false" outlineLevel="0" collapsed="false">
      <c r="A1206" s="3" t="n">
        <v>30001710</v>
      </c>
      <c r="B1206" s="3" t="s">
        <v>335</v>
      </c>
      <c r="C1206" s="3" t="s">
        <v>1377</v>
      </c>
      <c r="D1206" s="23" t="n">
        <v>2234.4</v>
      </c>
      <c r="E1206" s="23" t="n">
        <v>1738.46771472323</v>
      </c>
      <c r="F1206" s="23" t="n">
        <f aca="false">D1206-E1206</f>
        <v>495.932285276774</v>
      </c>
      <c r="G1206" s="24" t="n">
        <f aca="false">IF(E1206&gt;0,D1206/E1206-1,"")</f>
        <v>0.285269770083553</v>
      </c>
      <c r="H1206" s="3" t="str">
        <f aca="false">IF(MAX(D1206,E1206)&lt;Parametros!$B$16,"",IF(E1206=0,"PIDE SIN FCST",IF(ABS(G1206)&gt;Parametros!$B$14,IF(G1206&gt;0,"SOBRE FCST","BAJO FCST"),"")))</f>
        <v>SOBRE FCST</v>
      </c>
    </row>
    <row r="1207" customFormat="false" ht="15" hidden="false" customHeight="false" outlineLevel="0" collapsed="false">
      <c r="A1207" s="3" t="n">
        <v>30000638</v>
      </c>
      <c r="B1207" s="3" t="s">
        <v>277</v>
      </c>
      <c r="C1207" s="3" t="s">
        <v>1375</v>
      </c>
      <c r="D1207" s="23" t="n">
        <v>7204.8</v>
      </c>
      <c r="E1207" s="23" t="n">
        <v>7700</v>
      </c>
      <c r="F1207" s="23" t="n">
        <f aca="false">D1207-E1207</f>
        <v>-495.2</v>
      </c>
      <c r="G1207" s="24" t="n">
        <f aca="false">IF(E1207&gt;0,D1207/E1207-1,"")</f>
        <v>-0.0643116883116883</v>
      </c>
      <c r="H1207" s="3" t="str">
        <f aca="false">IF(MAX(D1207,E1207)&lt;Parametros!$B$16,"",IF(E1207=0,"PIDE SIN FCST",IF(ABS(G1207)&gt;Parametros!$B$14,IF(G1207&gt;0,"SOBRE FCST","BAJO FCST"),"")))</f>
        <v/>
      </c>
    </row>
    <row r="1208" customFormat="false" ht="15" hidden="false" customHeight="false" outlineLevel="0" collapsed="false">
      <c r="A1208" s="3" t="n">
        <v>30002162</v>
      </c>
      <c r="B1208" s="3" t="s">
        <v>601</v>
      </c>
      <c r="C1208" s="3" t="s">
        <v>1380</v>
      </c>
      <c r="D1208" s="23" t="n">
        <v>540</v>
      </c>
      <c r="E1208" s="23" t="n">
        <v>45.0179041221447</v>
      </c>
      <c r="F1208" s="23" t="n">
        <f aca="false">D1208-E1208</f>
        <v>494.982095877855</v>
      </c>
      <c r="G1208" s="24" t="n">
        <f aca="false">IF(E1208&gt;0,D1208/E1208-1,"")</f>
        <v>10.9952274662731</v>
      </c>
      <c r="H1208" s="3" t="str">
        <f aca="false">IF(MAX(D1208,E1208)&lt;Parametros!$B$16,"",IF(E1208=0,"PIDE SIN FCST",IF(ABS(G1208)&gt;Parametros!$B$14,IF(G1208&gt;0,"SOBRE FCST","BAJO FCST"),"")))</f>
        <v/>
      </c>
    </row>
    <row r="1209" customFormat="false" ht="15" hidden="false" customHeight="false" outlineLevel="0" collapsed="false">
      <c r="A1209" s="3" t="n">
        <v>30002078</v>
      </c>
      <c r="B1209" s="3" t="s">
        <v>339</v>
      </c>
      <c r="C1209" s="3" t="s">
        <v>1373</v>
      </c>
      <c r="D1209" s="23" t="n">
        <v>3228</v>
      </c>
      <c r="E1209" s="23" t="n">
        <v>2733.08083333333</v>
      </c>
      <c r="F1209" s="23" t="n">
        <f aca="false">D1209-E1209</f>
        <v>494.919166666667</v>
      </c>
      <c r="G1209" s="24" t="n">
        <f aca="false">IF(E1209&gt;0,D1209/E1209-1,"")</f>
        <v>0.181084716057612</v>
      </c>
      <c r="H1209" s="3" t="str">
        <f aca="false">IF(MAX(D1209,E1209)&lt;Parametros!$B$16,"",IF(E1209=0,"PIDE SIN FCST",IF(ABS(G1209)&gt;Parametros!$B$14,IF(G1209&gt;0,"SOBRE FCST","BAJO FCST"),"")))</f>
        <v/>
      </c>
    </row>
    <row r="1210" customFormat="false" ht="15" hidden="false" customHeight="false" outlineLevel="0" collapsed="false">
      <c r="A1210" s="3" t="n">
        <v>30002288</v>
      </c>
      <c r="B1210" s="3" t="s">
        <v>455</v>
      </c>
      <c r="C1210" s="3" t="s">
        <v>1373</v>
      </c>
      <c r="D1210" s="23" t="n">
        <v>493.92</v>
      </c>
      <c r="E1210" s="23" t="n">
        <v>0</v>
      </c>
      <c r="F1210" s="23" t="n">
        <f aca="false">D1210-E1210</f>
        <v>493.92</v>
      </c>
      <c r="G1210" s="24" t="str">
        <f aca="false">IF(E1210&gt;0,D1210/E1210-1,"")</f>
        <v/>
      </c>
      <c r="H1210" s="3" t="str">
        <f aca="false">IF(MAX(D1210,E1210)&lt;Parametros!$B$16,"",IF(E1210=0,"PIDE SIN FCST",IF(ABS(G1210)&gt;Parametros!$B$14,IF(G1210&gt;0,"SOBRE FCST","BAJO FCST"),"")))</f>
        <v/>
      </c>
    </row>
    <row r="1211" customFormat="false" ht="15" hidden="false" customHeight="false" outlineLevel="0" collapsed="false">
      <c r="A1211" s="3" t="n">
        <v>30002217</v>
      </c>
      <c r="B1211" s="3" t="s">
        <v>584</v>
      </c>
      <c r="C1211" s="3" t="s">
        <v>1373</v>
      </c>
      <c r="D1211" s="23" t="n">
        <v>493.35</v>
      </c>
      <c r="E1211" s="23" t="n">
        <v>0</v>
      </c>
      <c r="F1211" s="23" t="n">
        <f aca="false">D1211-E1211</f>
        <v>493.35</v>
      </c>
      <c r="G1211" s="24" t="str">
        <f aca="false">IF(E1211&gt;0,D1211/E1211-1,"")</f>
        <v/>
      </c>
      <c r="H1211" s="3" t="str">
        <f aca="false">IF(MAX(D1211,E1211)&lt;Parametros!$B$16,"",IF(E1211=0,"PIDE SIN FCST",IF(ABS(G1211)&gt;Parametros!$B$14,IF(G1211&gt;0,"SOBRE FCST","BAJO FCST"),"")))</f>
        <v/>
      </c>
    </row>
    <row r="1212" customFormat="false" ht="15" hidden="false" customHeight="false" outlineLevel="0" collapsed="false">
      <c r="A1212" s="3" t="n">
        <v>30000206</v>
      </c>
      <c r="B1212" s="3" t="s">
        <v>287</v>
      </c>
      <c r="C1212" s="3" t="s">
        <v>1380</v>
      </c>
      <c r="D1212" s="23" t="n">
        <v>14592</v>
      </c>
      <c r="E1212" s="23" t="n">
        <v>14100</v>
      </c>
      <c r="F1212" s="23" t="n">
        <f aca="false">D1212-E1212</f>
        <v>492</v>
      </c>
      <c r="G1212" s="24" t="n">
        <f aca="false">IF(E1212&gt;0,D1212/E1212-1,"")</f>
        <v>0.0348936170212766</v>
      </c>
      <c r="H1212" s="3" t="str">
        <f aca="false">IF(MAX(D1212,E1212)&lt;Parametros!$B$16,"",IF(E1212=0,"PIDE SIN FCST",IF(ABS(G1212)&gt;Parametros!$B$14,IF(G1212&gt;0,"SOBRE FCST","BAJO FCST"),"")))</f>
        <v/>
      </c>
    </row>
    <row r="1213" customFormat="false" ht="15" hidden="false" customHeight="false" outlineLevel="0" collapsed="false">
      <c r="A1213" s="3" t="n">
        <v>30002256</v>
      </c>
      <c r="B1213" s="3" t="s">
        <v>534</v>
      </c>
      <c r="C1213" s="3" t="s">
        <v>1378</v>
      </c>
      <c r="D1213" s="23" t="n">
        <v>72.96</v>
      </c>
      <c r="E1213" s="23" t="n">
        <v>564.16</v>
      </c>
      <c r="F1213" s="23" t="n">
        <f aca="false">D1213-E1213</f>
        <v>-491.2</v>
      </c>
      <c r="G1213" s="24" t="n">
        <f aca="false">IF(E1213&gt;0,D1213/E1213-1,"")</f>
        <v>-0.870674985819626</v>
      </c>
      <c r="H1213" s="3" t="str">
        <f aca="false">IF(MAX(D1213,E1213)&lt;Parametros!$B$16,"",IF(E1213=0,"PIDE SIN FCST",IF(ABS(G1213)&gt;Parametros!$B$14,IF(G1213&gt;0,"SOBRE FCST","BAJO FCST"),"")))</f>
        <v/>
      </c>
    </row>
    <row r="1214" customFormat="false" ht="15" hidden="false" customHeight="false" outlineLevel="0" collapsed="false">
      <c r="A1214" s="3" t="n">
        <v>30001901</v>
      </c>
      <c r="B1214" s="3" t="s">
        <v>425</v>
      </c>
      <c r="C1214" s="3" t="s">
        <v>1373</v>
      </c>
      <c r="D1214" s="23" t="n">
        <v>1738.8</v>
      </c>
      <c r="E1214" s="23" t="n">
        <v>1248.46123668397</v>
      </c>
      <c r="F1214" s="23" t="n">
        <f aca="false">D1214-E1214</f>
        <v>490.338763316029</v>
      </c>
      <c r="G1214" s="24" t="n">
        <f aca="false">IF(E1214&gt;0,D1214/E1214-1,"")</f>
        <v>0.392754495620877</v>
      </c>
      <c r="H1214" s="3" t="str">
        <f aca="false">IF(MAX(D1214,E1214)&lt;Parametros!$B$16,"",IF(E1214=0,"PIDE SIN FCST",IF(ABS(G1214)&gt;Parametros!$B$14,IF(G1214&gt;0,"SOBRE FCST","BAJO FCST"),"")))</f>
        <v>SOBRE FCST</v>
      </c>
    </row>
    <row r="1215" customFormat="false" ht="15" hidden="false" customHeight="false" outlineLevel="0" collapsed="false">
      <c r="A1215" s="3" t="n">
        <v>30001019</v>
      </c>
      <c r="B1215" s="3" t="s">
        <v>355</v>
      </c>
      <c r="C1215" s="3" t="s">
        <v>1378</v>
      </c>
      <c r="D1215" s="23" t="n">
        <v>1352.4</v>
      </c>
      <c r="E1215" s="23" t="n">
        <v>862.575065495737</v>
      </c>
      <c r="F1215" s="23" t="n">
        <f aca="false">D1215-E1215</f>
        <v>489.824934504264</v>
      </c>
      <c r="G1215" s="24" t="n">
        <f aca="false">IF(E1215&gt;0,D1215/E1215-1,"")</f>
        <v>0.567863544980578</v>
      </c>
      <c r="H1215" s="3" t="str">
        <f aca="false">IF(MAX(D1215,E1215)&lt;Parametros!$B$16,"",IF(E1215=0,"PIDE SIN FCST",IF(ABS(G1215)&gt;Parametros!$B$14,IF(G1215&gt;0,"SOBRE FCST","BAJO FCST"),"")))</f>
        <v>SOBRE FCST</v>
      </c>
    </row>
    <row r="1216" customFormat="false" ht="15" hidden="false" customHeight="false" outlineLevel="0" collapsed="false">
      <c r="A1216" s="3" t="n">
        <v>30000180</v>
      </c>
      <c r="B1216" s="3" t="s">
        <v>462</v>
      </c>
      <c r="C1216" s="3" t="s">
        <v>1379</v>
      </c>
      <c r="D1216" s="23" t="n">
        <v>2289.6</v>
      </c>
      <c r="E1216" s="23" t="n">
        <v>1800</v>
      </c>
      <c r="F1216" s="23" t="n">
        <f aca="false">D1216-E1216</f>
        <v>489.6</v>
      </c>
      <c r="G1216" s="24" t="n">
        <f aca="false">IF(E1216&gt;0,D1216/E1216-1,"")</f>
        <v>0.272</v>
      </c>
      <c r="H1216" s="3" t="str">
        <f aca="false">IF(MAX(D1216,E1216)&lt;Parametros!$B$16,"",IF(E1216=0,"PIDE SIN FCST",IF(ABS(G1216)&gt;Parametros!$B$14,IF(G1216&gt;0,"SOBRE FCST","BAJO FCST"),"")))</f>
        <v>SOBRE FCST</v>
      </c>
    </row>
    <row r="1217" customFormat="false" ht="15" hidden="false" customHeight="false" outlineLevel="0" collapsed="false">
      <c r="A1217" s="3" t="n">
        <v>30000307</v>
      </c>
      <c r="B1217" s="3" t="s">
        <v>410</v>
      </c>
      <c r="C1217" s="3" t="s">
        <v>1380</v>
      </c>
      <c r="D1217" s="23" t="n">
        <v>3456</v>
      </c>
      <c r="E1217" s="23" t="n">
        <v>3943.69374669939</v>
      </c>
      <c r="F1217" s="23" t="n">
        <f aca="false">D1217-E1217</f>
        <v>-487.693746699388</v>
      </c>
      <c r="G1217" s="24" t="n">
        <f aca="false">IF(E1217&gt;0,D1217/E1217-1,"")</f>
        <v>-0.123664203668846</v>
      </c>
      <c r="H1217" s="3" t="str">
        <f aca="false">IF(MAX(D1217,E1217)&lt;Parametros!$B$16,"",IF(E1217=0,"PIDE SIN FCST",IF(ABS(G1217)&gt;Parametros!$B$14,IF(G1217&gt;0,"SOBRE FCST","BAJO FCST"),"")))</f>
        <v/>
      </c>
    </row>
    <row r="1218" customFormat="false" ht="15" hidden="false" customHeight="false" outlineLevel="0" collapsed="false">
      <c r="A1218" s="3" t="n">
        <v>30000633</v>
      </c>
      <c r="B1218" s="3" t="s">
        <v>492</v>
      </c>
      <c r="C1218" s="3" t="s">
        <v>1380</v>
      </c>
      <c r="D1218" s="23" t="n">
        <v>2016</v>
      </c>
      <c r="E1218" s="23" t="n">
        <v>2500</v>
      </c>
      <c r="F1218" s="23" t="n">
        <f aca="false">D1218-E1218</f>
        <v>-484</v>
      </c>
      <c r="G1218" s="24" t="n">
        <f aca="false">IF(E1218&gt;0,D1218/E1218-1,"")</f>
        <v>-0.1936</v>
      </c>
      <c r="H1218" s="3" t="str">
        <f aca="false">IF(MAX(D1218,E1218)&lt;Parametros!$B$16,"",IF(E1218=0,"PIDE SIN FCST",IF(ABS(G1218)&gt;Parametros!$B$14,IF(G1218&gt;0,"SOBRE FCST","BAJO FCST"),"")))</f>
        <v/>
      </c>
    </row>
    <row r="1219" customFormat="false" ht="15" hidden="false" customHeight="false" outlineLevel="0" collapsed="false">
      <c r="A1219" s="3" t="n">
        <v>30001362</v>
      </c>
      <c r="B1219" s="3" t="s">
        <v>293</v>
      </c>
      <c r="C1219" s="3" t="s">
        <v>1378</v>
      </c>
      <c r="D1219" s="23" t="n">
        <v>2346</v>
      </c>
      <c r="E1219" s="23" t="n">
        <v>1863.68</v>
      </c>
      <c r="F1219" s="23" t="n">
        <f aca="false">D1219-E1219</f>
        <v>482.32</v>
      </c>
      <c r="G1219" s="24" t="n">
        <f aca="false">IF(E1219&gt;0,D1219/E1219-1,"")</f>
        <v>0.258799793956044</v>
      </c>
      <c r="H1219" s="3" t="str">
        <f aca="false">IF(MAX(D1219,E1219)&lt;Parametros!$B$16,"",IF(E1219=0,"PIDE SIN FCST",IF(ABS(G1219)&gt;Parametros!$B$14,IF(G1219&gt;0,"SOBRE FCST","BAJO FCST"),"")))</f>
        <v>SOBRE FCST</v>
      </c>
    </row>
    <row r="1220" customFormat="false" ht="15" hidden="false" customHeight="false" outlineLevel="0" collapsed="false">
      <c r="A1220" s="3" t="n">
        <v>30001683</v>
      </c>
      <c r="B1220" s="3" t="s">
        <v>466</v>
      </c>
      <c r="C1220" s="3" t="s">
        <v>1373</v>
      </c>
      <c r="D1220" s="23" t="n">
        <v>568</v>
      </c>
      <c r="E1220" s="23" t="n">
        <v>1050</v>
      </c>
      <c r="F1220" s="23" t="n">
        <f aca="false">D1220-E1220</f>
        <v>-482</v>
      </c>
      <c r="G1220" s="24" t="n">
        <f aca="false">IF(E1220&gt;0,D1220/E1220-1,"")</f>
        <v>-0.459047619047619</v>
      </c>
      <c r="H1220" s="3" t="str">
        <f aca="false">IF(MAX(D1220,E1220)&lt;Parametros!$B$16,"",IF(E1220=0,"PIDE SIN FCST",IF(ABS(G1220)&gt;Parametros!$B$14,IF(G1220&gt;0,"SOBRE FCST","BAJO FCST"),"")))</f>
        <v>BAJO FCST</v>
      </c>
    </row>
    <row r="1221" customFormat="false" ht="15" hidden="false" customHeight="false" outlineLevel="0" collapsed="false">
      <c r="A1221" s="3" t="n">
        <v>30000634</v>
      </c>
      <c r="B1221" s="3" t="s">
        <v>471</v>
      </c>
      <c r="C1221" s="3" t="s">
        <v>1380</v>
      </c>
      <c r="D1221" s="23" t="n">
        <v>2520</v>
      </c>
      <c r="E1221" s="23" t="n">
        <v>3000</v>
      </c>
      <c r="F1221" s="23" t="n">
        <f aca="false">D1221-E1221</f>
        <v>-480</v>
      </c>
      <c r="G1221" s="24" t="n">
        <f aca="false">IF(E1221&gt;0,D1221/E1221-1,"")</f>
        <v>-0.16</v>
      </c>
      <c r="H1221" s="3" t="str">
        <f aca="false">IF(MAX(D1221,E1221)&lt;Parametros!$B$16,"",IF(E1221=0,"PIDE SIN FCST",IF(ABS(G1221)&gt;Parametros!$B$14,IF(G1221&gt;0,"SOBRE FCST","BAJO FCST"),"")))</f>
        <v/>
      </c>
    </row>
    <row r="1222" customFormat="false" ht="15" hidden="false" customHeight="false" outlineLevel="0" collapsed="false">
      <c r="A1222" s="3" t="n">
        <v>30000245</v>
      </c>
      <c r="B1222" s="3" t="s">
        <v>398</v>
      </c>
      <c r="C1222" s="3" t="s">
        <v>1376</v>
      </c>
      <c r="D1222" s="23" t="n">
        <v>480</v>
      </c>
      <c r="E1222" s="23" t="n">
        <v>0</v>
      </c>
      <c r="F1222" s="23" t="n">
        <f aca="false">D1222-E1222</f>
        <v>480</v>
      </c>
      <c r="G1222" s="24" t="str">
        <f aca="false">IF(E1222&gt;0,D1222/E1222-1,"")</f>
        <v/>
      </c>
      <c r="H1222" s="3" t="str">
        <f aca="false">IF(MAX(D1222,E1222)&lt;Parametros!$B$16,"",IF(E1222=0,"PIDE SIN FCST",IF(ABS(G1222)&gt;Parametros!$B$14,IF(G1222&gt;0,"SOBRE FCST","BAJO FCST"),"")))</f>
        <v/>
      </c>
    </row>
    <row r="1223" customFormat="false" ht="15" hidden="false" customHeight="false" outlineLevel="0" collapsed="false">
      <c r="A1223" s="3" t="n">
        <v>30001683</v>
      </c>
      <c r="B1223" s="3" t="s">
        <v>466</v>
      </c>
      <c r="C1223" s="3" t="s">
        <v>1379</v>
      </c>
      <c r="D1223" s="23" t="n">
        <v>1320</v>
      </c>
      <c r="E1223" s="23" t="n">
        <v>1800</v>
      </c>
      <c r="F1223" s="23" t="n">
        <f aca="false">D1223-E1223</f>
        <v>-480</v>
      </c>
      <c r="G1223" s="24" t="n">
        <f aca="false">IF(E1223&gt;0,D1223/E1223-1,"")</f>
        <v>-0.266666666666667</v>
      </c>
      <c r="H1223" s="3" t="str">
        <f aca="false">IF(MAX(D1223,E1223)&lt;Parametros!$B$16,"",IF(E1223=0,"PIDE SIN FCST",IF(ABS(G1223)&gt;Parametros!$B$14,IF(G1223&gt;0,"SOBRE FCST","BAJO FCST"),"")))</f>
        <v>BAJO FCST</v>
      </c>
    </row>
    <row r="1224" customFormat="false" ht="15" hidden="false" customHeight="false" outlineLevel="0" collapsed="false">
      <c r="A1224" s="3" t="n">
        <v>30001715</v>
      </c>
      <c r="B1224" s="3" t="s">
        <v>321</v>
      </c>
      <c r="C1224" s="3" t="s">
        <v>1373</v>
      </c>
      <c r="D1224" s="23" t="n">
        <v>3131.2</v>
      </c>
      <c r="E1224" s="23" t="n">
        <v>2651.32</v>
      </c>
      <c r="F1224" s="23" t="n">
        <f aca="false">D1224-E1224</f>
        <v>479.88</v>
      </c>
      <c r="G1224" s="24" t="n">
        <f aca="false">IF(E1224&gt;0,D1224/E1224-1,"")</f>
        <v>0.180996635638097</v>
      </c>
      <c r="H1224" s="3" t="str">
        <f aca="false">IF(MAX(D1224,E1224)&lt;Parametros!$B$16,"",IF(E1224=0,"PIDE SIN FCST",IF(ABS(G1224)&gt;Parametros!$B$14,IF(G1224&gt;0,"SOBRE FCST","BAJO FCST"),"")))</f>
        <v/>
      </c>
    </row>
    <row r="1225" customFormat="false" ht="15" hidden="false" customHeight="false" outlineLevel="0" collapsed="false">
      <c r="A1225" s="3" t="n">
        <v>30000318</v>
      </c>
      <c r="B1225" s="3" t="s">
        <v>306</v>
      </c>
      <c r="C1225" s="3" t="s">
        <v>1375</v>
      </c>
      <c r="D1225" s="23" t="n">
        <v>6354</v>
      </c>
      <c r="E1225" s="23" t="n">
        <v>5874.21</v>
      </c>
      <c r="F1225" s="23" t="n">
        <f aca="false">D1225-E1225</f>
        <v>479.79</v>
      </c>
      <c r="G1225" s="24" t="n">
        <f aca="false">IF(E1225&gt;0,D1225/E1225-1,"")</f>
        <v>0.081677365977723</v>
      </c>
      <c r="H1225" s="3" t="str">
        <f aca="false">IF(MAX(D1225,E1225)&lt;Parametros!$B$16,"",IF(E1225=0,"PIDE SIN FCST",IF(ABS(G1225)&gt;Parametros!$B$14,IF(G1225&gt;0,"SOBRE FCST","BAJO FCST"),"")))</f>
        <v/>
      </c>
    </row>
    <row r="1226" customFormat="false" ht="15" hidden="false" customHeight="false" outlineLevel="0" collapsed="false">
      <c r="A1226" s="3" t="n">
        <v>30001365</v>
      </c>
      <c r="B1226" s="3" t="s">
        <v>302</v>
      </c>
      <c r="C1226" s="3" t="s">
        <v>1379</v>
      </c>
      <c r="D1226" s="23" t="n">
        <v>3559.5</v>
      </c>
      <c r="E1226" s="23" t="n">
        <v>3079.75</v>
      </c>
      <c r="F1226" s="23" t="n">
        <f aca="false">D1226-E1226</f>
        <v>479.75</v>
      </c>
      <c r="G1226" s="24" t="n">
        <f aca="false">IF(E1226&gt;0,D1226/E1226-1,"")</f>
        <v>0.155775631138891</v>
      </c>
      <c r="H1226" s="3" t="str">
        <f aca="false">IF(MAX(D1226,E1226)&lt;Parametros!$B$16,"",IF(E1226=0,"PIDE SIN FCST",IF(ABS(G1226)&gt;Parametros!$B$14,IF(G1226&gt;0,"SOBRE FCST","BAJO FCST"),"")))</f>
        <v/>
      </c>
    </row>
    <row r="1227" customFormat="false" ht="15" hidden="false" customHeight="false" outlineLevel="0" collapsed="false">
      <c r="A1227" s="3" t="n">
        <v>30002276</v>
      </c>
      <c r="B1227" s="3" t="s">
        <v>523</v>
      </c>
      <c r="C1227" s="3" t="s">
        <v>1379</v>
      </c>
      <c r="D1227" s="23" t="n">
        <v>720</v>
      </c>
      <c r="E1227" s="23" t="n">
        <v>240.857</v>
      </c>
      <c r="F1227" s="23" t="n">
        <f aca="false">D1227-E1227</f>
        <v>479.143</v>
      </c>
      <c r="G1227" s="24" t="n">
        <f aca="false">IF(E1227&gt;0,D1227/E1227-1,"")</f>
        <v>1.98932561644461</v>
      </c>
      <c r="H1227" s="3" t="str">
        <f aca="false">IF(MAX(D1227,E1227)&lt;Parametros!$B$16,"",IF(E1227=0,"PIDE SIN FCST",IF(ABS(G1227)&gt;Parametros!$B$14,IF(G1227&gt;0,"SOBRE FCST","BAJO FCST"),"")))</f>
        <v/>
      </c>
    </row>
    <row r="1228" customFormat="false" ht="15" hidden="false" customHeight="false" outlineLevel="0" collapsed="false">
      <c r="A1228" s="3" t="n">
        <v>30002093</v>
      </c>
      <c r="B1228" s="3" t="s">
        <v>488</v>
      </c>
      <c r="C1228" s="3" t="s">
        <v>1379</v>
      </c>
      <c r="D1228" s="23" t="n">
        <v>479.952</v>
      </c>
      <c r="E1228" s="23" t="n">
        <v>958.801506200296</v>
      </c>
      <c r="F1228" s="23" t="n">
        <f aca="false">D1228-E1228</f>
        <v>-478.849506200296</v>
      </c>
      <c r="G1228" s="24" t="n">
        <f aca="false">IF(E1228&gt;0,D1228/E1228-1,"")</f>
        <v>-0.499425066714761</v>
      </c>
      <c r="H1228" s="3" t="str">
        <f aca="false">IF(MAX(D1228,E1228)&lt;Parametros!$B$16,"",IF(E1228=0,"PIDE SIN FCST",IF(ABS(G1228)&gt;Parametros!$B$14,IF(G1228&gt;0,"SOBRE FCST","BAJO FCST"),"")))</f>
        <v/>
      </c>
    </row>
    <row r="1229" customFormat="false" ht="15" hidden="false" customHeight="false" outlineLevel="0" collapsed="false">
      <c r="A1229" s="3" t="n">
        <v>30000067</v>
      </c>
      <c r="B1229" s="3" t="s">
        <v>597</v>
      </c>
      <c r="C1229" s="3" t="s">
        <v>1377</v>
      </c>
      <c r="D1229" s="23" t="n">
        <v>910</v>
      </c>
      <c r="E1229" s="23" t="n">
        <v>431.287532747868</v>
      </c>
      <c r="F1229" s="23" t="n">
        <f aca="false">D1229-E1229</f>
        <v>478.712467252132</v>
      </c>
      <c r="G1229" s="24" t="n">
        <f aca="false">IF(E1229&gt;0,D1229/E1229-1,"")</f>
        <v>1.10996129241693</v>
      </c>
      <c r="H1229" s="3" t="str">
        <f aca="false">IF(MAX(D1229,E1229)&lt;Parametros!$B$16,"",IF(E1229=0,"PIDE SIN FCST",IF(ABS(G1229)&gt;Parametros!$B$14,IF(G1229&gt;0,"SOBRE FCST","BAJO FCST"),"")))</f>
        <v/>
      </c>
    </row>
    <row r="1230" customFormat="false" ht="15" hidden="false" customHeight="false" outlineLevel="0" collapsed="false">
      <c r="A1230" s="3" t="n">
        <v>30001776</v>
      </c>
      <c r="B1230" s="3" t="s">
        <v>605</v>
      </c>
      <c r="C1230" s="3" t="s">
        <v>1375</v>
      </c>
      <c r="D1230" s="23" t="n">
        <v>372</v>
      </c>
      <c r="E1230" s="23" t="n">
        <v>850</v>
      </c>
      <c r="F1230" s="23" t="n">
        <f aca="false">D1230-E1230</f>
        <v>-478</v>
      </c>
      <c r="G1230" s="24" t="n">
        <f aca="false">IF(E1230&gt;0,D1230/E1230-1,"")</f>
        <v>-0.562352941176471</v>
      </c>
      <c r="H1230" s="3" t="str">
        <f aca="false">IF(MAX(D1230,E1230)&lt;Parametros!$B$16,"",IF(E1230=0,"PIDE SIN FCST",IF(ABS(G1230)&gt;Parametros!$B$14,IF(G1230&gt;0,"SOBRE FCST","BAJO FCST"),"")))</f>
        <v/>
      </c>
    </row>
    <row r="1231" customFormat="false" ht="15" hidden="false" customHeight="false" outlineLevel="0" collapsed="false">
      <c r="A1231" s="3" t="n">
        <v>30000658</v>
      </c>
      <c r="B1231" s="3" t="s">
        <v>322</v>
      </c>
      <c r="C1231" s="3" t="s">
        <v>1375</v>
      </c>
      <c r="D1231" s="23" t="n">
        <v>8925.6</v>
      </c>
      <c r="E1231" s="23" t="n">
        <v>8448.02125842709</v>
      </c>
      <c r="F1231" s="23" t="n">
        <f aca="false">D1231-E1231</f>
        <v>477.578741572912</v>
      </c>
      <c r="G1231" s="24" t="n">
        <f aca="false">IF(E1231&gt;0,D1231/E1231-1,"")</f>
        <v>0.0565314322684163</v>
      </c>
      <c r="H1231" s="3" t="str">
        <f aca="false">IF(MAX(D1231,E1231)&lt;Parametros!$B$16,"",IF(E1231=0,"PIDE SIN FCST",IF(ABS(G1231)&gt;Parametros!$B$14,IF(G1231&gt;0,"SOBRE FCST","BAJO FCST"),"")))</f>
        <v/>
      </c>
    </row>
    <row r="1232" customFormat="false" ht="15" hidden="false" customHeight="false" outlineLevel="0" collapsed="false">
      <c r="A1232" s="3" t="n">
        <v>30000436</v>
      </c>
      <c r="B1232" s="3" t="s">
        <v>559</v>
      </c>
      <c r="C1232" s="3" t="s">
        <v>1375</v>
      </c>
      <c r="D1232" s="23" t="n">
        <v>1766.4</v>
      </c>
      <c r="E1232" s="23" t="n">
        <v>2243.59264059925</v>
      </c>
      <c r="F1232" s="23" t="n">
        <f aca="false">D1232-E1232</f>
        <v>-477.192640599251</v>
      </c>
      <c r="G1232" s="24" t="n">
        <f aca="false">IF(E1232&gt;0,D1232/E1232-1,"")</f>
        <v>-0.212691302317606</v>
      </c>
      <c r="H1232" s="3" t="str">
        <f aca="false">IF(MAX(D1232,E1232)&lt;Parametros!$B$16,"",IF(E1232=0,"PIDE SIN FCST",IF(ABS(G1232)&gt;Parametros!$B$14,IF(G1232&gt;0,"SOBRE FCST","BAJO FCST"),"")))</f>
        <v>BAJO FCST</v>
      </c>
    </row>
    <row r="1233" customFormat="false" ht="15" hidden="false" customHeight="false" outlineLevel="0" collapsed="false">
      <c r="A1233" s="3" t="n">
        <v>30001748</v>
      </c>
      <c r="B1233" s="3" t="s">
        <v>573</v>
      </c>
      <c r="C1233" s="3" t="s">
        <v>1372</v>
      </c>
      <c r="D1233" s="23" t="n">
        <v>324</v>
      </c>
      <c r="E1233" s="23" t="n">
        <v>799.2</v>
      </c>
      <c r="F1233" s="23" t="n">
        <f aca="false">D1233-E1233</f>
        <v>-475.2</v>
      </c>
      <c r="G1233" s="24" t="n">
        <f aca="false">IF(E1233&gt;0,D1233/E1233-1,"")</f>
        <v>-0.594594594594595</v>
      </c>
      <c r="H1233" s="3" t="str">
        <f aca="false">IF(MAX(D1233,E1233)&lt;Parametros!$B$16,"",IF(E1233=0,"PIDE SIN FCST",IF(ABS(G1233)&gt;Parametros!$B$14,IF(G1233&gt;0,"SOBRE FCST","BAJO FCST"),"")))</f>
        <v/>
      </c>
    </row>
    <row r="1234" customFormat="false" ht="15" hidden="false" customHeight="false" outlineLevel="0" collapsed="false">
      <c r="A1234" s="3" t="n">
        <v>30000671</v>
      </c>
      <c r="B1234" s="3" t="s">
        <v>552</v>
      </c>
      <c r="C1234" s="3" t="s">
        <v>1378</v>
      </c>
      <c r="D1234" s="23" t="n">
        <v>36.48</v>
      </c>
      <c r="E1234" s="23" t="n">
        <v>510.8</v>
      </c>
      <c r="F1234" s="23" t="n">
        <f aca="false">D1234-E1234</f>
        <v>-474.32</v>
      </c>
      <c r="G1234" s="24" t="n">
        <f aca="false">IF(E1234&gt;0,D1234/E1234-1,"")</f>
        <v>-0.92858261550509</v>
      </c>
      <c r="H1234" s="3" t="str">
        <f aca="false">IF(MAX(D1234,E1234)&lt;Parametros!$B$16,"",IF(E1234=0,"PIDE SIN FCST",IF(ABS(G1234)&gt;Parametros!$B$14,IF(G1234&gt;0,"SOBRE FCST","BAJO FCST"),"")))</f>
        <v/>
      </c>
    </row>
    <row r="1235" customFormat="false" ht="15" hidden="false" customHeight="false" outlineLevel="0" collapsed="false">
      <c r="A1235" s="3" t="n">
        <v>30002098</v>
      </c>
      <c r="B1235" s="3" t="s">
        <v>427</v>
      </c>
      <c r="C1235" s="3" t="s">
        <v>1377</v>
      </c>
      <c r="D1235" s="23" t="n">
        <v>2961</v>
      </c>
      <c r="E1235" s="23" t="n">
        <v>3433.97743867375</v>
      </c>
      <c r="F1235" s="23" t="n">
        <f aca="false">D1235-E1235</f>
        <v>-472.977438673749</v>
      </c>
      <c r="G1235" s="24" t="n">
        <f aca="false">IF(E1235&gt;0,D1235/E1235-1,"")</f>
        <v>-0.13773457954238</v>
      </c>
      <c r="H1235" s="3" t="str">
        <f aca="false">IF(MAX(D1235,E1235)&lt;Parametros!$B$16,"",IF(E1235=0,"PIDE SIN FCST",IF(ABS(G1235)&gt;Parametros!$B$14,IF(G1235&gt;0,"SOBRE FCST","BAJO FCST"),"")))</f>
        <v/>
      </c>
    </row>
    <row r="1236" customFormat="false" ht="15" hidden="false" customHeight="false" outlineLevel="0" collapsed="false">
      <c r="A1236" s="3" t="n">
        <v>30001052</v>
      </c>
      <c r="B1236" s="3" t="s">
        <v>243</v>
      </c>
      <c r="C1236" s="3" t="s">
        <v>1373</v>
      </c>
      <c r="D1236" s="23" t="n">
        <v>5256</v>
      </c>
      <c r="E1236" s="23" t="n">
        <v>4783.25885747402</v>
      </c>
      <c r="F1236" s="23" t="n">
        <f aca="false">D1236-E1236</f>
        <v>472.741142525977</v>
      </c>
      <c r="G1236" s="24" t="n">
        <f aca="false">IF(E1236&gt;0,D1236/E1236-1,"")</f>
        <v>0.098832439684359</v>
      </c>
      <c r="H1236" s="3" t="str">
        <f aca="false">IF(MAX(D1236,E1236)&lt;Parametros!$B$16,"",IF(E1236=0,"PIDE SIN FCST",IF(ABS(G1236)&gt;Parametros!$B$14,IF(G1236&gt;0,"SOBRE FCST","BAJO FCST"),"")))</f>
        <v/>
      </c>
    </row>
    <row r="1237" customFormat="false" ht="15" hidden="false" customHeight="false" outlineLevel="0" collapsed="false">
      <c r="A1237" s="3" t="n">
        <v>30000238</v>
      </c>
      <c r="B1237" s="3" t="s">
        <v>408</v>
      </c>
      <c r="C1237" s="3" t="s">
        <v>1378</v>
      </c>
      <c r="D1237" s="23" t="n">
        <v>390</v>
      </c>
      <c r="E1237" s="23" t="n">
        <v>862.575065495737</v>
      </c>
      <c r="F1237" s="23" t="n">
        <f aca="false">D1237-E1237</f>
        <v>-472.575065495737</v>
      </c>
      <c r="G1237" s="24" t="n">
        <f aca="false">IF(E1237&gt;0,D1237/E1237-1,"")</f>
        <v>-0.54786543733923</v>
      </c>
      <c r="H1237" s="3" t="str">
        <f aca="false">IF(MAX(D1237,E1237)&lt;Parametros!$B$16,"",IF(E1237=0,"PIDE SIN FCST",IF(ABS(G1237)&gt;Parametros!$B$14,IF(G1237&gt;0,"SOBRE FCST","BAJO FCST"),"")))</f>
        <v/>
      </c>
    </row>
    <row r="1238" customFormat="false" ht="15" hidden="false" customHeight="false" outlineLevel="0" collapsed="false">
      <c r="A1238" s="3" t="n">
        <v>30001057</v>
      </c>
      <c r="B1238" s="3" t="s">
        <v>294</v>
      </c>
      <c r="C1238" s="3" t="s">
        <v>1378</v>
      </c>
      <c r="D1238" s="23" t="n">
        <v>1878.24</v>
      </c>
      <c r="E1238" s="23" t="n">
        <v>2350.78847385354</v>
      </c>
      <c r="F1238" s="23" t="n">
        <f aca="false">D1238-E1238</f>
        <v>-472.54847385354</v>
      </c>
      <c r="G1238" s="24" t="n">
        <f aca="false">IF(E1238&gt;0,D1238/E1238-1,"")</f>
        <v>-0.20101701157268</v>
      </c>
      <c r="H1238" s="3" t="str">
        <f aca="false">IF(MAX(D1238,E1238)&lt;Parametros!$B$16,"",IF(E1238=0,"PIDE SIN FCST",IF(ABS(G1238)&gt;Parametros!$B$14,IF(G1238&gt;0,"SOBRE FCST","BAJO FCST"),"")))</f>
        <v>BAJO FCST</v>
      </c>
    </row>
    <row r="1239" customFormat="false" ht="15" hidden="false" customHeight="false" outlineLevel="0" collapsed="false">
      <c r="A1239" s="3" t="n">
        <v>30001698</v>
      </c>
      <c r="B1239" s="3" t="s">
        <v>539</v>
      </c>
      <c r="C1239" s="3" t="s">
        <v>1377</v>
      </c>
      <c r="D1239" s="23" t="n">
        <v>1127.52</v>
      </c>
      <c r="E1239" s="23" t="n">
        <v>1600</v>
      </c>
      <c r="F1239" s="23" t="n">
        <f aca="false">D1239-E1239</f>
        <v>-472.48</v>
      </c>
      <c r="G1239" s="24" t="n">
        <f aca="false">IF(E1239&gt;0,D1239/E1239-1,"")</f>
        <v>-0.2953</v>
      </c>
      <c r="H1239" s="3" t="str">
        <f aca="false">IF(MAX(D1239,E1239)&lt;Parametros!$B$16,"",IF(E1239=0,"PIDE SIN FCST",IF(ABS(G1239)&gt;Parametros!$B$14,IF(G1239&gt;0,"SOBRE FCST","BAJO FCST"),"")))</f>
        <v>BAJO FCST</v>
      </c>
    </row>
    <row r="1240" customFormat="false" ht="15" hidden="false" customHeight="false" outlineLevel="0" collapsed="false">
      <c r="A1240" s="3" t="n">
        <v>30000613</v>
      </c>
      <c r="B1240" s="3" t="s">
        <v>529</v>
      </c>
      <c r="C1240" s="3" t="s">
        <v>1373</v>
      </c>
      <c r="D1240" s="23" t="n">
        <v>3715.2</v>
      </c>
      <c r="E1240" s="23" t="n">
        <v>4187.2</v>
      </c>
      <c r="F1240" s="23" t="n">
        <f aca="false">D1240-E1240</f>
        <v>-472</v>
      </c>
      <c r="G1240" s="24" t="n">
        <f aca="false">IF(E1240&gt;0,D1240/E1240-1,"")</f>
        <v>-0.112724493695071</v>
      </c>
      <c r="H1240" s="3" t="str">
        <f aca="false">IF(MAX(D1240,E1240)&lt;Parametros!$B$16,"",IF(E1240=0,"PIDE SIN FCST",IF(ABS(G1240)&gt;Parametros!$B$14,IF(G1240&gt;0,"SOBRE FCST","BAJO FCST"),"")))</f>
        <v/>
      </c>
    </row>
    <row r="1241" customFormat="false" ht="15" hidden="false" customHeight="false" outlineLevel="0" collapsed="false">
      <c r="A1241" s="3" t="n">
        <v>30001527</v>
      </c>
      <c r="B1241" s="3" t="s">
        <v>618</v>
      </c>
      <c r="C1241" s="3" t="s">
        <v>1378</v>
      </c>
      <c r="D1241" s="23" t="n">
        <v>228.48</v>
      </c>
      <c r="E1241" s="23" t="n">
        <v>700</v>
      </c>
      <c r="F1241" s="23" t="n">
        <f aca="false">D1241-E1241</f>
        <v>-471.52</v>
      </c>
      <c r="G1241" s="24" t="n">
        <f aca="false">IF(E1241&gt;0,D1241/E1241-1,"")</f>
        <v>-0.6736</v>
      </c>
      <c r="H1241" s="3" t="str">
        <f aca="false">IF(MAX(D1241,E1241)&lt;Parametros!$B$16,"",IF(E1241=0,"PIDE SIN FCST",IF(ABS(G1241)&gt;Parametros!$B$14,IF(G1241&gt;0,"SOBRE FCST","BAJO FCST"),"")))</f>
        <v/>
      </c>
    </row>
    <row r="1242" customFormat="false" ht="15" hidden="false" customHeight="false" outlineLevel="0" collapsed="false">
      <c r="A1242" s="3" t="n">
        <v>30002094</v>
      </c>
      <c r="B1242" s="3" t="s">
        <v>452</v>
      </c>
      <c r="C1242" s="3" t="s">
        <v>1372</v>
      </c>
      <c r="D1242" s="23" t="n">
        <v>727.056</v>
      </c>
      <c r="E1242" s="23" t="n">
        <v>255.577797183922</v>
      </c>
      <c r="F1242" s="23" t="n">
        <f aca="false">D1242-E1242</f>
        <v>471.478202816078</v>
      </c>
      <c r="G1242" s="24" t="n">
        <f aca="false">IF(E1242&gt;0,D1242/E1242-1,"")</f>
        <v>1.84475415318173</v>
      </c>
      <c r="H1242" s="3" t="str">
        <f aca="false">IF(MAX(D1242,E1242)&lt;Parametros!$B$16,"",IF(E1242=0,"PIDE SIN FCST",IF(ABS(G1242)&gt;Parametros!$B$14,IF(G1242&gt;0,"SOBRE FCST","BAJO FCST"),"")))</f>
        <v/>
      </c>
    </row>
    <row r="1243" customFormat="false" ht="15" hidden="false" customHeight="false" outlineLevel="0" collapsed="false">
      <c r="A1243" s="3" t="n">
        <v>30002329</v>
      </c>
      <c r="B1243" s="3" t="s">
        <v>253</v>
      </c>
      <c r="C1243" s="3" t="s">
        <v>1377</v>
      </c>
      <c r="D1243" s="23" t="n">
        <v>1638</v>
      </c>
      <c r="E1243" s="23" t="n">
        <v>2109.45580930223</v>
      </c>
      <c r="F1243" s="23" t="n">
        <f aca="false">D1243-E1243</f>
        <v>-471.455809302228</v>
      </c>
      <c r="G1243" s="24" t="n">
        <f aca="false">IF(E1243&gt;0,D1243/E1243-1,"")</f>
        <v>-0.223496414204656</v>
      </c>
      <c r="H1243" s="3" t="str">
        <f aca="false">IF(MAX(D1243,E1243)&lt;Parametros!$B$16,"",IF(E1243=0,"PIDE SIN FCST",IF(ABS(G1243)&gt;Parametros!$B$14,IF(G1243&gt;0,"SOBRE FCST","BAJO FCST"),"")))</f>
        <v>BAJO FCST</v>
      </c>
    </row>
    <row r="1244" customFormat="false" ht="15" hidden="false" customHeight="false" outlineLevel="0" collapsed="false">
      <c r="A1244" s="3" t="n">
        <v>30001506</v>
      </c>
      <c r="B1244" s="3" t="s">
        <v>352</v>
      </c>
      <c r="C1244" s="3" t="s">
        <v>1379</v>
      </c>
      <c r="D1244" s="23" t="n">
        <v>4947.3</v>
      </c>
      <c r="E1244" s="23" t="n">
        <v>4476.08983495815</v>
      </c>
      <c r="F1244" s="23" t="n">
        <f aca="false">D1244-E1244</f>
        <v>471.210165041854</v>
      </c>
      <c r="G1244" s="24" t="n">
        <f aca="false">IF(E1244&gt;0,D1244/E1244-1,"")</f>
        <v>0.105272722938158</v>
      </c>
      <c r="H1244" s="3" t="str">
        <f aca="false">IF(MAX(D1244,E1244)&lt;Parametros!$B$16,"",IF(E1244=0,"PIDE SIN FCST",IF(ABS(G1244)&gt;Parametros!$B$14,IF(G1244&gt;0,"SOBRE FCST","BAJO FCST"),"")))</f>
        <v/>
      </c>
    </row>
    <row r="1245" customFormat="false" ht="15" hidden="false" customHeight="false" outlineLevel="0" collapsed="false">
      <c r="A1245" s="3" t="n">
        <v>30001935</v>
      </c>
      <c r="B1245" s="3" t="s">
        <v>412</v>
      </c>
      <c r="C1245" s="3" t="s">
        <v>1373</v>
      </c>
      <c r="D1245" s="23" t="n">
        <v>759.36</v>
      </c>
      <c r="E1245" s="23" t="n">
        <v>1228.63961995661</v>
      </c>
      <c r="F1245" s="23" t="n">
        <f aca="false">D1245-E1245</f>
        <v>-469.279619956607</v>
      </c>
      <c r="G1245" s="24" t="n">
        <f aca="false">IF(E1245&gt;0,D1245/E1245-1,"")</f>
        <v>-0.381950583665193</v>
      </c>
      <c r="H1245" s="3" t="str">
        <f aca="false">IF(MAX(D1245,E1245)&lt;Parametros!$B$16,"",IF(E1245=0,"PIDE SIN FCST",IF(ABS(G1245)&gt;Parametros!$B$14,IF(G1245&gt;0,"SOBRE FCST","BAJO FCST"),"")))</f>
        <v>BAJO FCST</v>
      </c>
    </row>
    <row r="1246" customFormat="false" ht="15" hidden="false" customHeight="false" outlineLevel="0" collapsed="false">
      <c r="A1246" s="3" t="n">
        <v>30000089</v>
      </c>
      <c r="B1246" s="3" t="s">
        <v>467</v>
      </c>
      <c r="C1246" s="3" t="s">
        <v>1379</v>
      </c>
      <c r="D1246" s="23" t="n">
        <v>3168</v>
      </c>
      <c r="E1246" s="23" t="n">
        <v>2700</v>
      </c>
      <c r="F1246" s="23" t="n">
        <f aca="false">D1246-E1246</f>
        <v>468</v>
      </c>
      <c r="G1246" s="24" t="n">
        <f aca="false">IF(E1246&gt;0,D1246/E1246-1,"")</f>
        <v>0.173333333333333</v>
      </c>
      <c r="H1246" s="3" t="str">
        <f aca="false">IF(MAX(D1246,E1246)&lt;Parametros!$B$16,"",IF(E1246=0,"PIDE SIN FCST",IF(ABS(G1246)&gt;Parametros!$B$14,IF(G1246&gt;0,"SOBRE FCST","BAJO FCST"),"")))</f>
        <v/>
      </c>
    </row>
    <row r="1247" customFormat="false" ht="15" hidden="false" customHeight="false" outlineLevel="0" collapsed="false">
      <c r="A1247" s="3" t="n">
        <v>30000169</v>
      </c>
      <c r="B1247" s="3" t="s">
        <v>519</v>
      </c>
      <c r="C1247" s="3" t="s">
        <v>1372</v>
      </c>
      <c r="D1247" s="23" t="n">
        <v>1440</v>
      </c>
      <c r="E1247" s="23" t="n">
        <v>972</v>
      </c>
      <c r="F1247" s="23" t="n">
        <f aca="false">D1247-E1247</f>
        <v>468</v>
      </c>
      <c r="G1247" s="24" t="n">
        <f aca="false">IF(E1247&gt;0,D1247/E1247-1,"")</f>
        <v>0.481481481481481</v>
      </c>
      <c r="H1247" s="3" t="str">
        <f aca="false">IF(MAX(D1247,E1247)&lt;Parametros!$B$16,"",IF(E1247=0,"PIDE SIN FCST",IF(ABS(G1247)&gt;Parametros!$B$14,IF(G1247&gt;0,"SOBRE FCST","BAJO FCST"),"")))</f>
        <v>SOBRE FCST</v>
      </c>
    </row>
    <row r="1248" customFormat="false" ht="15" hidden="false" customHeight="false" outlineLevel="0" collapsed="false">
      <c r="A1248" s="3" t="n">
        <v>30001365</v>
      </c>
      <c r="B1248" s="3" t="s">
        <v>302</v>
      </c>
      <c r="C1248" s="3" t="s">
        <v>1373</v>
      </c>
      <c r="D1248" s="23" t="n">
        <v>1367.3</v>
      </c>
      <c r="E1248" s="23" t="n">
        <v>900</v>
      </c>
      <c r="F1248" s="23" t="n">
        <f aca="false">D1248-E1248</f>
        <v>467.3</v>
      </c>
      <c r="G1248" s="24" t="n">
        <f aca="false">IF(E1248&gt;0,D1248/E1248-1,"")</f>
        <v>0.519222222222222</v>
      </c>
      <c r="H1248" s="3" t="str">
        <f aca="false">IF(MAX(D1248,E1248)&lt;Parametros!$B$16,"",IF(E1248=0,"PIDE SIN FCST",IF(ABS(G1248)&gt;Parametros!$B$14,IF(G1248&gt;0,"SOBRE FCST","BAJO FCST"),"")))</f>
        <v>SOBRE FCST</v>
      </c>
    </row>
    <row r="1249" customFormat="false" ht="15" hidden="false" customHeight="false" outlineLevel="0" collapsed="false">
      <c r="A1249" s="3" t="n">
        <v>30000039</v>
      </c>
      <c r="B1249" s="3" t="s">
        <v>406</v>
      </c>
      <c r="C1249" s="3" t="s">
        <v>1372</v>
      </c>
      <c r="D1249" s="23" t="n">
        <v>1941.2</v>
      </c>
      <c r="E1249" s="23" t="n">
        <v>2407.6</v>
      </c>
      <c r="F1249" s="23" t="n">
        <f aca="false">D1249-E1249</f>
        <v>-466.4</v>
      </c>
      <c r="G1249" s="24" t="n">
        <f aca="false">IF(E1249&gt;0,D1249/E1249-1,"")</f>
        <v>-0.193719887024423</v>
      </c>
      <c r="H1249" s="3" t="str">
        <f aca="false">IF(MAX(D1249,E1249)&lt;Parametros!$B$16,"",IF(E1249=0,"PIDE SIN FCST",IF(ABS(G1249)&gt;Parametros!$B$14,IF(G1249&gt;0,"SOBRE FCST","BAJO FCST"),"")))</f>
        <v/>
      </c>
    </row>
    <row r="1250" customFormat="false" ht="15" hidden="false" customHeight="false" outlineLevel="0" collapsed="false">
      <c r="A1250" s="3" t="n">
        <v>30000481</v>
      </c>
      <c r="B1250" s="3" t="s">
        <v>241</v>
      </c>
      <c r="C1250" s="3" t="s">
        <v>1377</v>
      </c>
      <c r="D1250" s="23" t="n">
        <v>3624</v>
      </c>
      <c r="E1250" s="23" t="n">
        <v>4089.40928279771</v>
      </c>
      <c r="F1250" s="23" t="n">
        <f aca="false">D1250-E1250</f>
        <v>-465.40928279771</v>
      </c>
      <c r="G1250" s="24" t="n">
        <f aca="false">IF(E1250&gt;0,D1250/E1250-1,"")</f>
        <v>-0.113808437995061</v>
      </c>
      <c r="H1250" s="3" t="str">
        <f aca="false">IF(MAX(D1250,E1250)&lt;Parametros!$B$16,"",IF(E1250=0,"PIDE SIN FCST",IF(ABS(G1250)&gt;Parametros!$B$14,IF(G1250&gt;0,"SOBRE FCST","BAJO FCST"),"")))</f>
        <v/>
      </c>
    </row>
    <row r="1251" customFormat="false" ht="15" hidden="false" customHeight="false" outlineLevel="0" collapsed="false">
      <c r="A1251" s="3" t="n">
        <v>30002272</v>
      </c>
      <c r="B1251" s="3" t="s">
        <v>368</v>
      </c>
      <c r="C1251" s="3" t="s">
        <v>1378</v>
      </c>
      <c r="D1251" s="23" t="n">
        <v>1242</v>
      </c>
      <c r="E1251" s="23" t="n">
        <v>776.595407257041</v>
      </c>
      <c r="F1251" s="23" t="n">
        <f aca="false">D1251-E1251</f>
        <v>465.404592742959</v>
      </c>
      <c r="G1251" s="24" t="n">
        <f aca="false">IF(E1251&gt;0,D1251/E1251-1,"")</f>
        <v>0.599288366109171</v>
      </c>
      <c r="H1251" s="3" t="str">
        <f aca="false">IF(MAX(D1251,E1251)&lt;Parametros!$B$16,"",IF(E1251=0,"PIDE SIN FCST",IF(ABS(G1251)&gt;Parametros!$B$14,IF(G1251&gt;0,"SOBRE FCST","BAJO FCST"),"")))</f>
        <v>SOBRE FCST</v>
      </c>
    </row>
    <row r="1252" customFormat="false" ht="15" hidden="false" customHeight="false" outlineLevel="0" collapsed="false">
      <c r="A1252" s="3" t="n">
        <v>30002274</v>
      </c>
      <c r="B1252" s="3" t="s">
        <v>576</v>
      </c>
      <c r="C1252" s="3" t="s">
        <v>1379</v>
      </c>
      <c r="D1252" s="23" t="n">
        <v>291.6</v>
      </c>
      <c r="E1252" s="23" t="n">
        <v>756.446</v>
      </c>
      <c r="F1252" s="23" t="n">
        <f aca="false">D1252-E1252</f>
        <v>-464.846</v>
      </c>
      <c r="G1252" s="24" t="n">
        <f aca="false">IF(E1252&gt;0,D1252/E1252-1,"")</f>
        <v>-0.61451313114221</v>
      </c>
      <c r="H1252" s="3" t="str">
        <f aca="false">IF(MAX(D1252,E1252)&lt;Parametros!$B$16,"",IF(E1252=0,"PIDE SIN FCST",IF(ABS(G1252)&gt;Parametros!$B$14,IF(G1252&gt;0,"SOBRE FCST","BAJO FCST"),"")))</f>
        <v/>
      </c>
    </row>
    <row r="1253" customFormat="false" ht="15" hidden="false" customHeight="false" outlineLevel="0" collapsed="false">
      <c r="A1253" s="3" t="n">
        <v>30000238</v>
      </c>
      <c r="B1253" s="3" t="s">
        <v>408</v>
      </c>
      <c r="C1253" s="3" t="s">
        <v>1373</v>
      </c>
      <c r="D1253" s="23" t="n">
        <v>1692</v>
      </c>
      <c r="E1253" s="23" t="n">
        <v>2156.43766373934</v>
      </c>
      <c r="F1253" s="23" t="n">
        <f aca="false">D1253-E1253</f>
        <v>-464.437663739341</v>
      </c>
      <c r="G1253" s="24" t="n">
        <f aca="false">IF(E1253&gt;0,D1253/E1253-1,"")</f>
        <v>-0.215372635874848</v>
      </c>
      <c r="H1253" s="3" t="str">
        <f aca="false">IF(MAX(D1253,E1253)&lt;Parametros!$B$16,"",IF(E1253=0,"PIDE SIN FCST",IF(ABS(G1253)&gt;Parametros!$B$14,IF(G1253&gt;0,"SOBRE FCST","BAJO FCST"),"")))</f>
        <v>BAJO FCST</v>
      </c>
    </row>
    <row r="1254" customFormat="false" ht="15" hidden="false" customHeight="false" outlineLevel="0" collapsed="false">
      <c r="A1254" s="3" t="n">
        <v>30001996</v>
      </c>
      <c r="B1254" s="3" t="s">
        <v>394</v>
      </c>
      <c r="C1254" s="3" t="s">
        <v>1378</v>
      </c>
      <c r="D1254" s="23" t="n">
        <v>270</v>
      </c>
      <c r="E1254" s="23" t="n">
        <v>734.106438719776</v>
      </c>
      <c r="F1254" s="23" t="n">
        <f aca="false">D1254-E1254</f>
        <v>-464.106438719776</v>
      </c>
      <c r="G1254" s="24" t="n">
        <f aca="false">IF(E1254&gt;0,D1254/E1254-1,"")</f>
        <v>-0.632205923066335</v>
      </c>
      <c r="H1254" s="3" t="str">
        <f aca="false">IF(MAX(D1254,E1254)&lt;Parametros!$B$16,"",IF(E1254=0,"PIDE SIN FCST",IF(ABS(G1254)&gt;Parametros!$B$14,IF(G1254&gt;0,"SOBRE FCST","BAJO FCST"),"")))</f>
        <v/>
      </c>
    </row>
    <row r="1255" customFormat="false" ht="15" hidden="false" customHeight="false" outlineLevel="0" collapsed="false">
      <c r="A1255" s="3" t="n">
        <v>30001749</v>
      </c>
      <c r="B1255" s="3" t="s">
        <v>307</v>
      </c>
      <c r="C1255" s="3" t="s">
        <v>1372</v>
      </c>
      <c r="D1255" s="23" t="n">
        <v>4293</v>
      </c>
      <c r="E1255" s="23" t="n">
        <v>3829.2</v>
      </c>
      <c r="F1255" s="23" t="n">
        <f aca="false">D1255-E1255</f>
        <v>463.8</v>
      </c>
      <c r="G1255" s="24" t="n">
        <f aca="false">IF(E1255&gt;0,D1255/E1255-1,"")</f>
        <v>0.121121905358822</v>
      </c>
      <c r="H1255" s="3" t="str">
        <f aca="false">IF(MAX(D1255,E1255)&lt;Parametros!$B$16,"",IF(E1255=0,"PIDE SIN FCST",IF(ABS(G1255)&gt;Parametros!$B$14,IF(G1255&gt;0,"SOBRE FCST","BAJO FCST"),"")))</f>
        <v/>
      </c>
    </row>
    <row r="1256" customFormat="false" ht="15" hidden="false" customHeight="false" outlineLevel="0" collapsed="false">
      <c r="A1256" s="3" t="n">
        <v>30001402</v>
      </c>
      <c r="B1256" s="3" t="s">
        <v>460</v>
      </c>
      <c r="C1256" s="3" t="s">
        <v>1373</v>
      </c>
      <c r="D1256" s="23" t="n">
        <v>1544.4</v>
      </c>
      <c r="E1256" s="23" t="n">
        <v>2006.52488497671</v>
      </c>
      <c r="F1256" s="23" t="n">
        <f aca="false">D1256-E1256</f>
        <v>-462.124884976713</v>
      </c>
      <c r="G1256" s="24" t="n">
        <f aca="false">IF(E1256&gt;0,D1256/E1256-1,"")</f>
        <v>-0.230311065881486</v>
      </c>
      <c r="H1256" s="3" t="str">
        <f aca="false">IF(MAX(D1256,E1256)&lt;Parametros!$B$16,"",IF(E1256=0,"PIDE SIN FCST",IF(ABS(G1256)&gt;Parametros!$B$14,IF(G1256&gt;0,"SOBRE FCST","BAJO FCST"),"")))</f>
        <v>BAJO FCST</v>
      </c>
    </row>
    <row r="1257" customFormat="false" ht="15" hidden="false" customHeight="false" outlineLevel="0" collapsed="false">
      <c r="A1257" s="3" t="n">
        <v>30002105</v>
      </c>
      <c r="B1257" s="3" t="s">
        <v>517</v>
      </c>
      <c r="C1257" s="3" t="s">
        <v>1373</v>
      </c>
      <c r="D1257" s="23" t="n">
        <v>1761.264</v>
      </c>
      <c r="E1257" s="23" t="n">
        <v>1299.2722719629</v>
      </c>
      <c r="F1257" s="23" t="n">
        <f aca="false">D1257-E1257</f>
        <v>461.991728037096</v>
      </c>
      <c r="G1257" s="24" t="n">
        <f aca="false">IF(E1257&gt;0,D1257/E1257-1,"")</f>
        <v>0.355577301237355</v>
      </c>
      <c r="H1257" s="3" t="str">
        <f aca="false">IF(MAX(D1257,E1257)&lt;Parametros!$B$16,"",IF(E1257=0,"PIDE SIN FCST",IF(ABS(G1257)&gt;Parametros!$B$14,IF(G1257&gt;0,"SOBRE FCST","BAJO FCST"),"")))</f>
        <v>SOBRE FCST</v>
      </c>
    </row>
    <row r="1258" customFormat="false" ht="15" hidden="false" customHeight="false" outlineLevel="0" collapsed="false">
      <c r="A1258" s="3" t="n">
        <v>30000115</v>
      </c>
      <c r="B1258" s="3" t="s">
        <v>283</v>
      </c>
      <c r="C1258" s="3" t="s">
        <v>1377</v>
      </c>
      <c r="D1258" s="23" t="n">
        <v>1904</v>
      </c>
      <c r="E1258" s="23" t="n">
        <v>1442.01682607141</v>
      </c>
      <c r="F1258" s="23" t="n">
        <f aca="false">D1258-E1258</f>
        <v>461.983173928595</v>
      </c>
      <c r="G1258" s="24" t="n">
        <f aca="false">IF(E1258&gt;0,D1258/E1258-1,"")</f>
        <v>0.320372942656439</v>
      </c>
      <c r="H1258" s="3" t="str">
        <f aca="false">IF(MAX(D1258,E1258)&lt;Parametros!$B$16,"",IF(E1258=0,"PIDE SIN FCST",IF(ABS(G1258)&gt;Parametros!$B$14,IF(G1258&gt;0,"SOBRE FCST","BAJO FCST"),"")))</f>
        <v>SOBRE FCST</v>
      </c>
    </row>
    <row r="1259" customFormat="false" ht="15" hidden="false" customHeight="false" outlineLevel="0" collapsed="false">
      <c r="A1259" s="3" t="n">
        <v>30001402</v>
      </c>
      <c r="B1259" s="3" t="s">
        <v>460</v>
      </c>
      <c r="C1259" s="3" t="s">
        <v>1379</v>
      </c>
      <c r="D1259" s="23" t="n">
        <v>2311.2</v>
      </c>
      <c r="E1259" s="23" t="n">
        <v>1850</v>
      </c>
      <c r="F1259" s="23" t="n">
        <f aca="false">D1259-E1259</f>
        <v>461.2</v>
      </c>
      <c r="G1259" s="24" t="n">
        <f aca="false">IF(E1259&gt;0,D1259/E1259-1,"")</f>
        <v>0.249297297297297</v>
      </c>
      <c r="H1259" s="3" t="str">
        <f aca="false">IF(MAX(D1259,E1259)&lt;Parametros!$B$16,"",IF(E1259=0,"PIDE SIN FCST",IF(ABS(G1259)&gt;Parametros!$B$14,IF(G1259&gt;0,"SOBRE FCST","BAJO FCST"),"")))</f>
        <v>SOBRE FCST</v>
      </c>
    </row>
    <row r="1260" customFormat="false" ht="15" hidden="false" customHeight="false" outlineLevel="0" collapsed="false">
      <c r="A1260" s="3" t="n">
        <v>30000560</v>
      </c>
      <c r="B1260" s="3" t="s">
        <v>384</v>
      </c>
      <c r="C1260" s="3" t="s">
        <v>1380</v>
      </c>
      <c r="D1260" s="23" t="n">
        <v>7660.8</v>
      </c>
      <c r="E1260" s="23" t="n">
        <v>7200</v>
      </c>
      <c r="F1260" s="23" t="n">
        <f aca="false">D1260-E1260</f>
        <v>460.8</v>
      </c>
      <c r="G1260" s="24" t="n">
        <f aca="false">IF(E1260&gt;0,D1260/E1260-1,"")</f>
        <v>0.0640000000000001</v>
      </c>
      <c r="H1260" s="3" t="str">
        <f aca="false">IF(MAX(D1260,E1260)&lt;Parametros!$B$16,"",IF(E1260=0,"PIDE SIN FCST",IF(ABS(G1260)&gt;Parametros!$B$14,IF(G1260&gt;0,"SOBRE FCST","BAJO FCST"),"")))</f>
        <v/>
      </c>
    </row>
    <row r="1261" customFormat="false" ht="15" hidden="false" customHeight="false" outlineLevel="0" collapsed="false">
      <c r="A1261" s="3" t="n">
        <v>30000176</v>
      </c>
      <c r="B1261" s="3" t="s">
        <v>366</v>
      </c>
      <c r="C1261" s="3" t="s">
        <v>1373</v>
      </c>
      <c r="D1261" s="23" t="n">
        <v>5760</v>
      </c>
      <c r="E1261" s="23" t="n">
        <v>5300</v>
      </c>
      <c r="F1261" s="23" t="n">
        <f aca="false">D1261-E1261</f>
        <v>460</v>
      </c>
      <c r="G1261" s="24" t="n">
        <f aca="false">IF(E1261&gt;0,D1261/E1261-1,"")</f>
        <v>0.0867924528301887</v>
      </c>
      <c r="H1261" s="3" t="str">
        <f aca="false">IF(MAX(D1261,E1261)&lt;Parametros!$B$16,"",IF(E1261=0,"PIDE SIN FCST",IF(ABS(G1261)&gt;Parametros!$B$14,IF(G1261&gt;0,"SOBRE FCST","BAJO FCST"),"")))</f>
        <v/>
      </c>
    </row>
    <row r="1262" customFormat="false" ht="15" hidden="false" customHeight="false" outlineLevel="0" collapsed="false">
      <c r="A1262" s="3" t="n">
        <v>30001774</v>
      </c>
      <c r="B1262" s="3" t="s">
        <v>284</v>
      </c>
      <c r="C1262" s="3" t="s">
        <v>1372</v>
      </c>
      <c r="D1262" s="23" t="n">
        <v>460</v>
      </c>
      <c r="E1262" s="23" t="n">
        <v>0</v>
      </c>
      <c r="F1262" s="23" t="n">
        <f aca="false">D1262-E1262</f>
        <v>460</v>
      </c>
      <c r="G1262" s="24" t="str">
        <f aca="false">IF(E1262&gt;0,D1262/E1262-1,"")</f>
        <v/>
      </c>
      <c r="H1262" s="3" t="str">
        <f aca="false">IF(MAX(D1262,E1262)&lt;Parametros!$B$16,"",IF(E1262=0,"PIDE SIN FCST",IF(ABS(G1262)&gt;Parametros!$B$14,IF(G1262&gt;0,"SOBRE FCST","BAJO FCST"),"")))</f>
        <v/>
      </c>
    </row>
    <row r="1263" customFormat="false" ht="15" hidden="false" customHeight="false" outlineLevel="0" collapsed="false">
      <c r="A1263" s="3" t="n">
        <v>30000257</v>
      </c>
      <c r="B1263" s="3" t="s">
        <v>228</v>
      </c>
      <c r="C1263" s="3" t="s">
        <v>1373</v>
      </c>
      <c r="D1263" s="23" t="n">
        <v>24264</v>
      </c>
      <c r="E1263" s="23" t="n">
        <v>23804.0637866667</v>
      </c>
      <c r="F1263" s="23" t="n">
        <f aca="false">D1263-E1263</f>
        <v>459.936213333331</v>
      </c>
      <c r="G1263" s="24" t="n">
        <f aca="false">IF(E1263&gt;0,D1263/E1263-1,"")</f>
        <v>0.0193217518426814</v>
      </c>
      <c r="H1263" s="3" t="str">
        <f aca="false">IF(MAX(D1263,E1263)&lt;Parametros!$B$16,"",IF(E1263=0,"PIDE SIN FCST",IF(ABS(G1263)&gt;Parametros!$B$14,IF(G1263&gt;0,"SOBRE FCST","BAJO FCST"),"")))</f>
        <v/>
      </c>
    </row>
    <row r="1264" customFormat="false" ht="15" hidden="false" customHeight="false" outlineLevel="0" collapsed="false">
      <c r="A1264" s="3" t="n">
        <v>30002184</v>
      </c>
      <c r="B1264" s="3" t="s">
        <v>379</v>
      </c>
      <c r="C1264" s="3" t="s">
        <v>1378</v>
      </c>
      <c r="D1264" s="23" t="n">
        <v>547.2</v>
      </c>
      <c r="E1264" s="23" t="n">
        <v>1005.46415419381</v>
      </c>
      <c r="F1264" s="23" t="n">
        <f aca="false">D1264-E1264</f>
        <v>-458.264154193814</v>
      </c>
      <c r="G1264" s="24" t="n">
        <f aca="false">IF(E1264&gt;0,D1264/E1264-1,"")</f>
        <v>-0.455773736221608</v>
      </c>
      <c r="H1264" s="3" t="str">
        <f aca="false">IF(MAX(D1264,E1264)&lt;Parametros!$B$16,"",IF(E1264=0,"PIDE SIN FCST",IF(ABS(G1264)&gt;Parametros!$B$14,IF(G1264&gt;0,"SOBRE FCST","BAJO FCST"),"")))</f>
        <v>BAJO FCST</v>
      </c>
    </row>
    <row r="1265" customFormat="false" ht="15" hidden="false" customHeight="false" outlineLevel="0" collapsed="false">
      <c r="A1265" s="3" t="n">
        <v>30001032</v>
      </c>
      <c r="B1265" s="3" t="s">
        <v>316</v>
      </c>
      <c r="C1265" s="3" t="s">
        <v>1379</v>
      </c>
      <c r="D1265" s="23" t="n">
        <v>4028.4</v>
      </c>
      <c r="E1265" s="23" t="n">
        <v>3570.50757552652</v>
      </c>
      <c r="F1265" s="23" t="n">
        <f aca="false">D1265-E1265</f>
        <v>457.892424473476</v>
      </c>
      <c r="G1265" s="24" t="n">
        <f aca="false">IF(E1265&gt;0,D1265/E1265-1,"")</f>
        <v>0.128242949997369</v>
      </c>
      <c r="H1265" s="3" t="str">
        <f aca="false">IF(MAX(D1265,E1265)&lt;Parametros!$B$16,"",IF(E1265=0,"PIDE SIN FCST",IF(ABS(G1265)&gt;Parametros!$B$14,IF(G1265&gt;0,"SOBRE FCST","BAJO FCST"),"")))</f>
        <v/>
      </c>
    </row>
    <row r="1266" customFormat="false" ht="15" hidden="false" customHeight="false" outlineLevel="0" collapsed="false">
      <c r="A1266" s="3" t="n">
        <v>30000300</v>
      </c>
      <c r="B1266" s="3" t="s">
        <v>291</v>
      </c>
      <c r="C1266" s="3" t="s">
        <v>1372</v>
      </c>
      <c r="D1266" s="23" t="n">
        <v>4320</v>
      </c>
      <c r="E1266" s="23" t="n">
        <v>3863.10179981097</v>
      </c>
      <c r="F1266" s="23" t="n">
        <f aca="false">D1266-E1266</f>
        <v>456.898200189034</v>
      </c>
      <c r="G1266" s="24" t="n">
        <f aca="false">IF(E1266&gt;0,D1266/E1266-1,"")</f>
        <v>0.118272368647234</v>
      </c>
      <c r="H1266" s="3" t="str">
        <f aca="false">IF(MAX(D1266,E1266)&lt;Parametros!$B$16,"",IF(E1266=0,"PIDE SIN FCST",IF(ABS(G1266)&gt;Parametros!$B$14,IF(G1266&gt;0,"SOBRE FCST","BAJO FCST"),"")))</f>
        <v/>
      </c>
    </row>
    <row r="1267" customFormat="false" ht="15" hidden="false" customHeight="false" outlineLevel="0" collapsed="false">
      <c r="A1267" s="3" t="n">
        <v>30001773</v>
      </c>
      <c r="B1267" s="3" t="s">
        <v>345</v>
      </c>
      <c r="C1267" s="3" t="s">
        <v>1379</v>
      </c>
      <c r="D1267" s="23" t="n">
        <v>1593.72</v>
      </c>
      <c r="E1267" s="23" t="n">
        <v>1138.20227318171</v>
      </c>
      <c r="F1267" s="23" t="n">
        <f aca="false">D1267-E1267</f>
        <v>455.517726818288</v>
      </c>
      <c r="G1267" s="24" t="n">
        <f aca="false">IF(E1267&gt;0,D1267/E1267-1,"")</f>
        <v>0.400208062794446</v>
      </c>
      <c r="H1267" s="3" t="str">
        <f aca="false">IF(MAX(D1267,E1267)&lt;Parametros!$B$16,"",IF(E1267=0,"PIDE SIN FCST",IF(ABS(G1267)&gt;Parametros!$B$14,IF(G1267&gt;0,"SOBRE FCST","BAJO FCST"),"")))</f>
        <v>SOBRE FCST</v>
      </c>
    </row>
    <row r="1268" customFormat="false" ht="15" hidden="false" customHeight="false" outlineLevel="0" collapsed="false">
      <c r="A1268" s="3" t="n">
        <v>30001747</v>
      </c>
      <c r="B1268" s="3" t="s">
        <v>381</v>
      </c>
      <c r="C1268" s="3" t="s">
        <v>1378</v>
      </c>
      <c r="D1268" s="23" t="n">
        <v>1270.08</v>
      </c>
      <c r="E1268" s="23" t="n">
        <v>1725.56</v>
      </c>
      <c r="F1268" s="23" t="n">
        <f aca="false">D1268-E1268</f>
        <v>-455.48</v>
      </c>
      <c r="G1268" s="24" t="n">
        <f aca="false">IF(E1268&gt;0,D1268/E1268-1,"")</f>
        <v>-0.263960685226825</v>
      </c>
      <c r="H1268" s="3" t="str">
        <f aca="false">IF(MAX(D1268,E1268)&lt;Parametros!$B$16,"",IF(E1268=0,"PIDE SIN FCST",IF(ABS(G1268)&gt;Parametros!$B$14,IF(G1268&gt;0,"SOBRE FCST","BAJO FCST"),"")))</f>
        <v>BAJO FCST</v>
      </c>
    </row>
    <row r="1269" customFormat="false" ht="15" hidden="false" customHeight="false" outlineLevel="0" collapsed="false">
      <c r="A1269" s="3" t="n">
        <v>30000321</v>
      </c>
      <c r="B1269" s="3" t="s">
        <v>351</v>
      </c>
      <c r="C1269" s="3" t="s">
        <v>1378</v>
      </c>
      <c r="D1269" s="23" t="n">
        <v>800</v>
      </c>
      <c r="E1269" s="23" t="n">
        <v>1247.06849181637</v>
      </c>
      <c r="F1269" s="23" t="n">
        <f aca="false">D1269-E1269</f>
        <v>-447.068491816366</v>
      </c>
      <c r="G1269" s="24" t="n">
        <f aca="false">IF(E1269&gt;0,D1269/E1269-1,"")</f>
        <v>-0.358495539539458</v>
      </c>
      <c r="H1269" s="3" t="str">
        <f aca="false">IF(MAX(D1269,E1269)&lt;Parametros!$B$16,"",IF(E1269=0,"PIDE SIN FCST",IF(ABS(G1269)&gt;Parametros!$B$14,IF(G1269&gt;0,"SOBRE FCST","BAJO FCST"),"")))</f>
        <v>BAJO FCST</v>
      </c>
    </row>
    <row r="1270" customFormat="false" ht="15" hidden="false" customHeight="false" outlineLevel="0" collapsed="false">
      <c r="A1270" s="3" t="n">
        <v>30002272</v>
      </c>
      <c r="B1270" s="3" t="s">
        <v>368</v>
      </c>
      <c r="C1270" s="3" t="s">
        <v>1380</v>
      </c>
      <c r="D1270" s="23" t="n">
        <v>11946</v>
      </c>
      <c r="E1270" s="23" t="n">
        <v>11500</v>
      </c>
      <c r="F1270" s="23" t="n">
        <f aca="false">D1270-E1270</f>
        <v>446</v>
      </c>
      <c r="G1270" s="24" t="n">
        <f aca="false">IF(E1270&gt;0,D1270/E1270-1,"")</f>
        <v>0.0387826086956522</v>
      </c>
      <c r="H1270" s="3" t="str">
        <f aca="false">IF(MAX(D1270,E1270)&lt;Parametros!$B$16,"",IF(E1270=0,"PIDE SIN FCST",IF(ABS(G1270)&gt;Parametros!$B$14,IF(G1270&gt;0,"SOBRE FCST","BAJO FCST"),"")))</f>
        <v/>
      </c>
    </row>
    <row r="1271" customFormat="false" ht="15" hidden="false" customHeight="false" outlineLevel="0" collapsed="false">
      <c r="A1271" s="3" t="n">
        <v>30002081</v>
      </c>
      <c r="B1271" s="3" t="s">
        <v>579</v>
      </c>
      <c r="C1271" s="3" t="s">
        <v>1378</v>
      </c>
      <c r="D1271" s="23" t="n">
        <v>66.88</v>
      </c>
      <c r="E1271" s="23" t="n">
        <v>511.2</v>
      </c>
      <c r="F1271" s="23" t="n">
        <f aca="false">D1271-E1271</f>
        <v>-444.32</v>
      </c>
      <c r="G1271" s="24" t="n">
        <f aca="false">IF(E1271&gt;0,D1271/E1271-1,"")</f>
        <v>-0.869170579029734</v>
      </c>
      <c r="H1271" s="3" t="str">
        <f aca="false">IF(MAX(D1271,E1271)&lt;Parametros!$B$16,"",IF(E1271=0,"PIDE SIN FCST",IF(ABS(G1271)&gt;Parametros!$B$14,IF(G1271&gt;0,"SOBRE FCST","BAJO FCST"),"")))</f>
        <v/>
      </c>
    </row>
    <row r="1272" customFormat="false" ht="15" hidden="false" customHeight="false" outlineLevel="0" collapsed="false">
      <c r="A1272" s="3" t="n">
        <v>30001888</v>
      </c>
      <c r="B1272" s="3" t="s">
        <v>497</v>
      </c>
      <c r="C1272" s="3" t="s">
        <v>1373</v>
      </c>
      <c r="D1272" s="23" t="n">
        <v>444</v>
      </c>
      <c r="E1272" s="23" t="n">
        <v>0</v>
      </c>
      <c r="F1272" s="23" t="n">
        <f aca="false">D1272-E1272</f>
        <v>444</v>
      </c>
      <c r="G1272" s="24" t="str">
        <f aca="false">IF(E1272&gt;0,D1272/E1272-1,"")</f>
        <v/>
      </c>
      <c r="H1272" s="3" t="str">
        <f aca="false">IF(MAX(D1272,E1272)&lt;Parametros!$B$16,"",IF(E1272=0,"PIDE SIN FCST",IF(ABS(G1272)&gt;Parametros!$B$14,IF(G1272&gt;0,"SOBRE FCST","BAJO FCST"),"")))</f>
        <v/>
      </c>
    </row>
    <row r="1273" customFormat="false" ht="15" hidden="false" customHeight="false" outlineLevel="0" collapsed="false">
      <c r="A1273" s="3" t="n">
        <v>30001376</v>
      </c>
      <c r="B1273" s="3" t="s">
        <v>404</v>
      </c>
      <c r="C1273" s="3" t="s">
        <v>1378</v>
      </c>
      <c r="D1273" s="23" t="n">
        <v>1206</v>
      </c>
      <c r="E1273" s="23" t="n">
        <v>1650</v>
      </c>
      <c r="F1273" s="23" t="n">
        <f aca="false">D1273-E1273</f>
        <v>-444</v>
      </c>
      <c r="G1273" s="24" t="n">
        <f aca="false">IF(E1273&gt;0,D1273/E1273-1,"")</f>
        <v>-0.269090909090909</v>
      </c>
      <c r="H1273" s="3" t="str">
        <f aca="false">IF(MAX(D1273,E1273)&lt;Parametros!$B$16,"",IF(E1273=0,"PIDE SIN FCST",IF(ABS(G1273)&gt;Parametros!$B$14,IF(G1273&gt;0,"SOBRE FCST","BAJO FCST"),"")))</f>
        <v>BAJO FCST</v>
      </c>
    </row>
    <row r="1274" customFormat="false" ht="15" hidden="false" customHeight="false" outlineLevel="0" collapsed="false">
      <c r="A1274" s="3" t="n">
        <v>30000176</v>
      </c>
      <c r="B1274" s="3" t="s">
        <v>366</v>
      </c>
      <c r="C1274" s="3" t="s">
        <v>1380</v>
      </c>
      <c r="D1274" s="23" t="n">
        <v>5040</v>
      </c>
      <c r="E1274" s="23" t="n">
        <v>4600</v>
      </c>
      <c r="F1274" s="23" t="n">
        <f aca="false">D1274-E1274</f>
        <v>440</v>
      </c>
      <c r="G1274" s="24" t="n">
        <f aca="false">IF(E1274&gt;0,D1274/E1274-1,"")</f>
        <v>0.0956521739130434</v>
      </c>
      <c r="H1274" s="3" t="str">
        <f aca="false">IF(MAX(D1274,E1274)&lt;Parametros!$B$16,"",IF(E1274=0,"PIDE SIN FCST",IF(ABS(G1274)&gt;Parametros!$B$14,IF(G1274&gt;0,"SOBRE FCST","BAJO FCST"),"")))</f>
        <v/>
      </c>
    </row>
    <row r="1275" customFormat="false" ht="15" hidden="false" customHeight="false" outlineLevel="0" collapsed="false">
      <c r="A1275" s="3" t="n">
        <v>30001597</v>
      </c>
      <c r="B1275" s="3" t="s">
        <v>265</v>
      </c>
      <c r="C1275" s="3" t="s">
        <v>1380</v>
      </c>
      <c r="D1275" s="23" t="n">
        <v>15960</v>
      </c>
      <c r="E1275" s="23" t="n">
        <v>16400</v>
      </c>
      <c r="F1275" s="23" t="n">
        <f aca="false">D1275-E1275</f>
        <v>-440</v>
      </c>
      <c r="G1275" s="24" t="n">
        <f aca="false">IF(E1275&gt;0,D1275/E1275-1,"")</f>
        <v>-0.026829268292683</v>
      </c>
      <c r="H1275" s="3" t="str">
        <f aca="false">IF(MAX(D1275,E1275)&lt;Parametros!$B$16,"",IF(E1275=0,"PIDE SIN FCST",IF(ABS(G1275)&gt;Parametros!$B$14,IF(G1275&gt;0,"SOBRE FCST","BAJO FCST"),"")))</f>
        <v/>
      </c>
    </row>
    <row r="1276" customFormat="false" ht="15" hidden="false" customHeight="false" outlineLevel="0" collapsed="false">
      <c r="A1276" s="3" t="n">
        <v>30001980</v>
      </c>
      <c r="B1276" s="3" t="s">
        <v>389</v>
      </c>
      <c r="C1276" s="3" t="s">
        <v>1373</v>
      </c>
      <c r="D1276" s="23" t="n">
        <v>1818</v>
      </c>
      <c r="E1276" s="23" t="n">
        <v>2257.64583333333</v>
      </c>
      <c r="F1276" s="23" t="n">
        <f aca="false">D1276-E1276</f>
        <v>-439.645833333333</v>
      </c>
      <c r="G1276" s="24" t="n">
        <f aca="false">IF(E1276&gt;0,D1276/E1276-1,"")</f>
        <v>-0.19473640499414</v>
      </c>
      <c r="H1276" s="3" t="str">
        <f aca="false">IF(MAX(D1276,E1276)&lt;Parametros!$B$16,"",IF(E1276=0,"PIDE SIN FCST",IF(ABS(G1276)&gt;Parametros!$B$14,IF(G1276&gt;0,"SOBRE FCST","BAJO FCST"),"")))</f>
        <v/>
      </c>
    </row>
    <row r="1277" customFormat="false" ht="15" hidden="false" customHeight="false" outlineLevel="0" collapsed="false">
      <c r="A1277" s="3" t="n">
        <v>30000552</v>
      </c>
      <c r="B1277" s="3" t="s">
        <v>587</v>
      </c>
      <c r="C1277" s="3" t="s">
        <v>1373</v>
      </c>
      <c r="D1277" s="23" t="n">
        <v>424.08</v>
      </c>
      <c r="E1277" s="23" t="n">
        <v>862.575065495737</v>
      </c>
      <c r="F1277" s="23" t="n">
        <f aca="false">D1277-E1277</f>
        <v>-438.495065495737</v>
      </c>
      <c r="G1277" s="24" t="n">
        <f aca="false">IF(E1277&gt;0,D1277/E1277-1,"")</f>
        <v>-0.508355832479027</v>
      </c>
      <c r="H1277" s="3" t="str">
        <f aca="false">IF(MAX(D1277,E1277)&lt;Parametros!$B$16,"",IF(E1277=0,"PIDE SIN FCST",IF(ABS(G1277)&gt;Parametros!$B$14,IF(G1277&gt;0,"SOBRE FCST","BAJO FCST"),"")))</f>
        <v/>
      </c>
    </row>
    <row r="1278" customFormat="false" ht="15" hidden="false" customHeight="false" outlineLevel="0" collapsed="false">
      <c r="A1278" s="3" t="n">
        <v>30000192</v>
      </c>
      <c r="B1278" s="3" t="s">
        <v>311</v>
      </c>
      <c r="C1278" s="3" t="s">
        <v>1377</v>
      </c>
      <c r="D1278" s="23" t="n">
        <v>4440</v>
      </c>
      <c r="E1278" s="23" t="n">
        <v>4004</v>
      </c>
      <c r="F1278" s="23" t="n">
        <f aca="false">D1278-E1278</f>
        <v>436</v>
      </c>
      <c r="G1278" s="24" t="n">
        <f aca="false">IF(E1278&gt;0,D1278/E1278-1,"")</f>
        <v>0.108891108891109</v>
      </c>
      <c r="H1278" s="3" t="str">
        <f aca="false">IF(MAX(D1278,E1278)&lt;Parametros!$B$16,"",IF(E1278=0,"PIDE SIN FCST",IF(ABS(G1278)&gt;Parametros!$B$14,IF(G1278&gt;0,"SOBRE FCST","BAJO FCST"),"")))</f>
        <v/>
      </c>
    </row>
    <row r="1279" customFormat="false" ht="15" hidden="false" customHeight="false" outlineLevel="0" collapsed="false">
      <c r="A1279" s="3" t="n">
        <v>30002329</v>
      </c>
      <c r="B1279" s="3" t="s">
        <v>253</v>
      </c>
      <c r="C1279" s="3" t="s">
        <v>1379</v>
      </c>
      <c r="D1279" s="23" t="n">
        <v>1464</v>
      </c>
      <c r="E1279" s="23" t="n">
        <v>1900</v>
      </c>
      <c r="F1279" s="23" t="n">
        <f aca="false">D1279-E1279</f>
        <v>-436</v>
      </c>
      <c r="G1279" s="24" t="n">
        <f aca="false">IF(E1279&gt;0,D1279/E1279-1,"")</f>
        <v>-0.229473684210526</v>
      </c>
      <c r="H1279" s="3" t="str">
        <f aca="false">IF(MAX(D1279,E1279)&lt;Parametros!$B$16,"",IF(E1279=0,"PIDE SIN FCST",IF(ABS(G1279)&gt;Parametros!$B$14,IF(G1279&gt;0,"SOBRE FCST","BAJO FCST"),"")))</f>
        <v>BAJO FCST</v>
      </c>
    </row>
    <row r="1280" customFormat="false" ht="15" hidden="false" customHeight="false" outlineLevel="0" collapsed="false">
      <c r="A1280" s="3" t="n">
        <v>30000116</v>
      </c>
      <c r="B1280" s="3" t="s">
        <v>424</v>
      </c>
      <c r="C1280" s="3" t="s">
        <v>1372</v>
      </c>
      <c r="D1280" s="23" t="n">
        <v>1123.2</v>
      </c>
      <c r="E1280" s="23" t="n">
        <v>688.780241964307</v>
      </c>
      <c r="F1280" s="23" t="n">
        <f aca="false">D1280-E1280</f>
        <v>434.419758035693</v>
      </c>
      <c r="G1280" s="24" t="n">
        <f aca="false">IF(E1280&gt;0,D1280/E1280-1,"")</f>
        <v>0.630708797332496</v>
      </c>
      <c r="H1280" s="3" t="str">
        <f aca="false">IF(MAX(D1280,E1280)&lt;Parametros!$B$16,"",IF(E1280=0,"PIDE SIN FCST",IF(ABS(G1280)&gt;Parametros!$B$14,IF(G1280&gt;0,"SOBRE FCST","BAJO FCST"),"")))</f>
        <v>SOBRE FCST</v>
      </c>
    </row>
    <row r="1281" customFormat="false" ht="15" hidden="false" customHeight="false" outlineLevel="0" collapsed="false">
      <c r="A1281" s="3" t="n">
        <v>30001657</v>
      </c>
      <c r="B1281" s="3" t="s">
        <v>395</v>
      </c>
      <c r="C1281" s="3" t="s">
        <v>1375</v>
      </c>
      <c r="D1281" s="23" t="n">
        <v>1615.68</v>
      </c>
      <c r="E1281" s="23" t="n">
        <v>2050</v>
      </c>
      <c r="F1281" s="23" t="n">
        <f aca="false">D1281-E1281</f>
        <v>-434.32</v>
      </c>
      <c r="G1281" s="24" t="n">
        <f aca="false">IF(E1281&gt;0,D1281/E1281-1,"")</f>
        <v>-0.211863414634146</v>
      </c>
      <c r="H1281" s="3" t="str">
        <f aca="false">IF(MAX(D1281,E1281)&lt;Parametros!$B$16,"",IF(E1281=0,"PIDE SIN FCST",IF(ABS(G1281)&gt;Parametros!$B$14,IF(G1281&gt;0,"SOBRE FCST","BAJO FCST"),"")))</f>
        <v>BAJO FCST</v>
      </c>
    </row>
    <row r="1282" customFormat="false" ht="15" hidden="false" customHeight="false" outlineLevel="0" collapsed="false">
      <c r="A1282" s="3" t="n">
        <v>30000087</v>
      </c>
      <c r="B1282" s="3" t="s">
        <v>594</v>
      </c>
      <c r="C1282" s="3" t="s">
        <v>1379</v>
      </c>
      <c r="D1282" s="23" t="n">
        <v>0</v>
      </c>
      <c r="E1282" s="23" t="n">
        <v>431.287532747868</v>
      </c>
      <c r="F1282" s="23" t="n">
        <f aca="false">D1282-E1282</f>
        <v>-431.287532747868</v>
      </c>
      <c r="G1282" s="24" t="n">
        <f aca="false">IF(E1282&gt;0,D1282/E1282-1,"")</f>
        <v>-1</v>
      </c>
      <c r="H1282" s="3" t="str">
        <f aca="false">IF(MAX(D1282,E1282)&lt;Parametros!$B$16,"",IF(E1282=0,"PIDE SIN FCST",IF(ABS(G1282)&gt;Parametros!$B$14,IF(G1282&gt;0,"SOBRE FCST","BAJO FCST"),"")))</f>
        <v/>
      </c>
    </row>
    <row r="1283" customFormat="false" ht="15" hidden="false" customHeight="false" outlineLevel="0" collapsed="false">
      <c r="A1283" s="3" t="n">
        <v>30001405</v>
      </c>
      <c r="B1283" s="3" t="s">
        <v>386</v>
      </c>
      <c r="C1283" s="3" t="s">
        <v>1373</v>
      </c>
      <c r="D1283" s="23" t="n">
        <v>2988</v>
      </c>
      <c r="E1283" s="23" t="n">
        <v>3419.04041666667</v>
      </c>
      <c r="F1283" s="23" t="n">
        <f aca="false">D1283-E1283</f>
        <v>-431.040416666666</v>
      </c>
      <c r="G1283" s="24" t="n">
        <f aca="false">IF(E1283&gt;0,D1283/E1283-1,"")</f>
        <v>-0.126070582425844</v>
      </c>
      <c r="H1283" s="3" t="str">
        <f aca="false">IF(MAX(D1283,E1283)&lt;Parametros!$B$16,"",IF(E1283=0,"PIDE SIN FCST",IF(ABS(G1283)&gt;Parametros!$B$14,IF(G1283&gt;0,"SOBRE FCST","BAJO FCST"),"")))</f>
        <v/>
      </c>
    </row>
    <row r="1284" customFormat="false" ht="15" hidden="false" customHeight="false" outlineLevel="0" collapsed="false">
      <c r="A1284" s="3" t="n">
        <v>30000628</v>
      </c>
      <c r="B1284" s="3" t="s">
        <v>574</v>
      </c>
      <c r="C1284" s="3" t="s">
        <v>1378</v>
      </c>
      <c r="D1284" s="23" t="n">
        <v>70.72</v>
      </c>
      <c r="E1284" s="23" t="n">
        <v>500</v>
      </c>
      <c r="F1284" s="23" t="n">
        <f aca="false">D1284-E1284</f>
        <v>-429.28</v>
      </c>
      <c r="G1284" s="24" t="n">
        <f aca="false">IF(E1284&gt;0,D1284/E1284-1,"")</f>
        <v>-0.85856</v>
      </c>
      <c r="H1284" s="3" t="str">
        <f aca="false">IF(MAX(D1284,E1284)&lt;Parametros!$B$16,"",IF(E1284=0,"PIDE SIN FCST",IF(ABS(G1284)&gt;Parametros!$B$14,IF(G1284&gt;0,"SOBRE FCST","BAJO FCST"),"")))</f>
        <v/>
      </c>
    </row>
    <row r="1285" customFormat="false" ht="15" hidden="false" customHeight="false" outlineLevel="0" collapsed="false">
      <c r="A1285" s="3" t="n">
        <v>30002255</v>
      </c>
      <c r="B1285" s="3" t="s">
        <v>538</v>
      </c>
      <c r="C1285" s="3" t="s">
        <v>1373</v>
      </c>
      <c r="D1285" s="23" t="n">
        <v>269.1</v>
      </c>
      <c r="E1285" s="23" t="n">
        <v>696.751990391179</v>
      </c>
      <c r="F1285" s="23" t="n">
        <f aca="false">D1285-E1285</f>
        <v>-427.651990391179</v>
      </c>
      <c r="G1285" s="24" t="n">
        <f aca="false">IF(E1285&gt;0,D1285/E1285-1,"")</f>
        <v>-0.613779359497892</v>
      </c>
      <c r="H1285" s="3" t="str">
        <f aca="false">IF(MAX(D1285,E1285)&lt;Parametros!$B$16,"",IF(E1285=0,"PIDE SIN FCST",IF(ABS(G1285)&gt;Parametros!$B$14,IF(G1285&gt;0,"SOBRE FCST","BAJO FCST"),"")))</f>
        <v/>
      </c>
    </row>
    <row r="1286" customFormat="false" ht="15" hidden="false" customHeight="false" outlineLevel="0" collapsed="false">
      <c r="A1286" s="3" t="n">
        <v>30001883</v>
      </c>
      <c r="B1286" s="3" t="s">
        <v>476</v>
      </c>
      <c r="C1286" s="3" t="s">
        <v>1372</v>
      </c>
      <c r="D1286" s="23" t="n">
        <v>1625.4</v>
      </c>
      <c r="E1286" s="23" t="n">
        <v>1200</v>
      </c>
      <c r="F1286" s="23" t="n">
        <f aca="false">D1286-E1286</f>
        <v>425.4</v>
      </c>
      <c r="G1286" s="24" t="n">
        <f aca="false">IF(E1286&gt;0,D1286/E1286-1,"")</f>
        <v>0.3545</v>
      </c>
      <c r="H1286" s="3" t="str">
        <f aca="false">IF(MAX(D1286,E1286)&lt;Parametros!$B$16,"",IF(E1286=0,"PIDE SIN FCST",IF(ABS(G1286)&gt;Parametros!$B$14,IF(G1286&gt;0,"SOBRE FCST","BAJO FCST"),"")))</f>
        <v>SOBRE FCST</v>
      </c>
    </row>
    <row r="1287" customFormat="false" ht="15" hidden="false" customHeight="false" outlineLevel="0" collapsed="false">
      <c r="A1287" s="3" t="n">
        <v>30001882</v>
      </c>
      <c r="B1287" s="3" t="s">
        <v>376</v>
      </c>
      <c r="C1287" s="3" t="s">
        <v>1379</v>
      </c>
      <c r="D1287" s="23" t="n">
        <v>2016</v>
      </c>
      <c r="E1287" s="23" t="n">
        <v>1590.72</v>
      </c>
      <c r="F1287" s="23" t="n">
        <f aca="false">D1287-E1287</f>
        <v>425.28</v>
      </c>
      <c r="G1287" s="24" t="n">
        <f aca="false">IF(E1287&gt;0,D1287/E1287-1,"")</f>
        <v>0.267350633675317</v>
      </c>
      <c r="H1287" s="3" t="str">
        <f aca="false">IF(MAX(D1287,E1287)&lt;Parametros!$B$16,"",IF(E1287=0,"PIDE SIN FCST",IF(ABS(G1287)&gt;Parametros!$B$14,IF(G1287&gt;0,"SOBRE FCST","BAJO FCST"),"")))</f>
        <v>SOBRE FCST</v>
      </c>
    </row>
    <row r="1288" customFormat="false" ht="15" hidden="false" customHeight="false" outlineLevel="0" collapsed="false">
      <c r="A1288" s="3" t="n">
        <v>30000079</v>
      </c>
      <c r="B1288" s="3" t="s">
        <v>435</v>
      </c>
      <c r="C1288" s="3" t="s">
        <v>1377</v>
      </c>
      <c r="D1288" s="23" t="n">
        <v>2312</v>
      </c>
      <c r="E1288" s="23" t="n">
        <v>1887.23095132383</v>
      </c>
      <c r="F1288" s="23" t="n">
        <f aca="false">D1288-E1288</f>
        <v>424.769048676174</v>
      </c>
      <c r="G1288" s="24" t="n">
        <f aca="false">IF(E1288&gt;0,D1288/E1288-1,"")</f>
        <v>0.225075287355908</v>
      </c>
      <c r="H1288" s="3" t="str">
        <f aca="false">IF(MAX(D1288,E1288)&lt;Parametros!$B$16,"",IF(E1288=0,"PIDE SIN FCST",IF(ABS(G1288)&gt;Parametros!$B$14,IF(G1288&gt;0,"SOBRE FCST","BAJO FCST"),"")))</f>
        <v>SOBRE FCST</v>
      </c>
    </row>
    <row r="1289" customFormat="false" ht="15" hidden="false" customHeight="false" outlineLevel="0" collapsed="false">
      <c r="A1289" s="3" t="n">
        <v>30000552</v>
      </c>
      <c r="B1289" s="3" t="s">
        <v>587</v>
      </c>
      <c r="C1289" s="3" t="s">
        <v>1379</v>
      </c>
      <c r="D1289" s="23" t="n">
        <v>996.96</v>
      </c>
      <c r="E1289" s="23" t="n">
        <v>1421.37657169603</v>
      </c>
      <c r="F1289" s="23" t="n">
        <f aca="false">D1289-E1289</f>
        <v>-424.416571696032</v>
      </c>
      <c r="G1289" s="24" t="n">
        <f aca="false">IF(E1289&gt;0,D1289/E1289-1,"")</f>
        <v>-0.298595446236745</v>
      </c>
      <c r="H1289" s="3" t="str">
        <f aca="false">IF(MAX(D1289,E1289)&lt;Parametros!$B$16,"",IF(E1289=0,"PIDE SIN FCST",IF(ABS(G1289)&gt;Parametros!$B$14,IF(G1289&gt;0,"SOBRE FCST","BAJO FCST"),"")))</f>
        <v>BAJO FCST</v>
      </c>
    </row>
    <row r="1290" customFormat="false" ht="15" hidden="false" customHeight="false" outlineLevel="0" collapsed="false">
      <c r="A1290" s="3" t="n">
        <v>30000516</v>
      </c>
      <c r="B1290" s="3" t="s">
        <v>281</v>
      </c>
      <c r="C1290" s="3" t="s">
        <v>1378</v>
      </c>
      <c r="D1290" s="23" t="n">
        <v>2868</v>
      </c>
      <c r="E1290" s="23" t="n">
        <v>2444.78</v>
      </c>
      <c r="F1290" s="23" t="n">
        <f aca="false">D1290-E1290</f>
        <v>423.22</v>
      </c>
      <c r="G1290" s="24" t="n">
        <f aca="false">IF(E1290&gt;0,D1290/E1290-1,"")</f>
        <v>0.173111691031504</v>
      </c>
      <c r="H1290" s="3" t="str">
        <f aca="false">IF(MAX(D1290,E1290)&lt;Parametros!$B$16,"",IF(E1290=0,"PIDE SIN FCST",IF(ABS(G1290)&gt;Parametros!$B$14,IF(G1290&gt;0,"SOBRE FCST","BAJO FCST"),"")))</f>
        <v/>
      </c>
    </row>
    <row r="1291" customFormat="false" ht="15" hidden="false" customHeight="false" outlineLevel="0" collapsed="false">
      <c r="A1291" s="3" t="n">
        <v>30000119</v>
      </c>
      <c r="B1291" s="3" t="s">
        <v>528</v>
      </c>
      <c r="C1291" s="3" t="s">
        <v>1377</v>
      </c>
      <c r="D1291" s="23" t="n">
        <v>324</v>
      </c>
      <c r="E1291" s="23" t="n">
        <v>746.568811252252</v>
      </c>
      <c r="F1291" s="23" t="n">
        <f aca="false">D1291-E1291</f>
        <v>-422.568811252252</v>
      </c>
      <c r="G1291" s="24" t="n">
        <f aca="false">IF(E1291&gt;0,D1291/E1291-1,"")</f>
        <v>-0.566014552018935</v>
      </c>
      <c r="H1291" s="3" t="str">
        <f aca="false">IF(MAX(D1291,E1291)&lt;Parametros!$B$16,"",IF(E1291=0,"PIDE SIN FCST",IF(ABS(G1291)&gt;Parametros!$B$14,IF(G1291&gt;0,"SOBRE FCST","BAJO FCST"),"")))</f>
        <v/>
      </c>
    </row>
    <row r="1292" customFormat="false" ht="15" hidden="false" customHeight="false" outlineLevel="0" collapsed="false">
      <c r="A1292" s="3" t="n">
        <v>30000069</v>
      </c>
      <c r="B1292" s="3" t="s">
        <v>433</v>
      </c>
      <c r="C1292" s="3" t="s">
        <v>1379</v>
      </c>
      <c r="D1292" s="23" t="n">
        <v>9</v>
      </c>
      <c r="E1292" s="23" t="n">
        <v>431.287532747868</v>
      </c>
      <c r="F1292" s="23" t="n">
        <f aca="false">D1292-E1292</f>
        <v>-422.287532747868</v>
      </c>
      <c r="G1292" s="24" t="n">
        <f aca="false">IF(E1292&gt;0,D1292/E1292-1,"")</f>
        <v>-0.979132250954118</v>
      </c>
      <c r="H1292" s="3" t="str">
        <f aca="false">IF(MAX(D1292,E1292)&lt;Parametros!$B$16,"",IF(E1292=0,"PIDE SIN FCST",IF(ABS(G1292)&gt;Parametros!$B$14,IF(G1292&gt;0,"SOBRE FCST","BAJO FCST"),"")))</f>
        <v/>
      </c>
    </row>
    <row r="1293" customFormat="false" ht="15" hidden="false" customHeight="false" outlineLevel="0" collapsed="false">
      <c r="A1293" s="3" t="n">
        <v>30001943</v>
      </c>
      <c r="B1293" s="3" t="s">
        <v>520</v>
      </c>
      <c r="C1293" s="3" t="s">
        <v>1373</v>
      </c>
      <c r="D1293" s="23" t="n">
        <v>9.6</v>
      </c>
      <c r="E1293" s="23" t="n">
        <v>431.287532747868</v>
      </c>
      <c r="F1293" s="23" t="n">
        <f aca="false">D1293-E1293</f>
        <v>-421.687532747868</v>
      </c>
      <c r="G1293" s="24" t="n">
        <f aca="false">IF(E1293&gt;0,D1293/E1293-1,"")</f>
        <v>-0.977741067684393</v>
      </c>
      <c r="H1293" s="3" t="str">
        <f aca="false">IF(MAX(D1293,E1293)&lt;Parametros!$B$16,"",IF(E1293=0,"PIDE SIN FCST",IF(ABS(G1293)&gt;Parametros!$B$14,IF(G1293&gt;0,"SOBRE FCST","BAJO FCST"),"")))</f>
        <v/>
      </c>
    </row>
    <row r="1294" customFormat="false" ht="15" hidden="false" customHeight="false" outlineLevel="0" collapsed="false">
      <c r="A1294" s="3" t="n">
        <v>30001885</v>
      </c>
      <c r="B1294" s="3" t="s">
        <v>550</v>
      </c>
      <c r="C1294" s="3" t="s">
        <v>1380</v>
      </c>
      <c r="D1294" s="23" t="n">
        <v>1478.4</v>
      </c>
      <c r="E1294" s="23" t="n">
        <v>1900</v>
      </c>
      <c r="F1294" s="23" t="n">
        <f aca="false">D1294-E1294</f>
        <v>-421.6</v>
      </c>
      <c r="G1294" s="24" t="n">
        <f aca="false">IF(E1294&gt;0,D1294/E1294-1,"")</f>
        <v>-0.221894736842105</v>
      </c>
      <c r="H1294" s="3" t="str">
        <f aca="false">IF(MAX(D1294,E1294)&lt;Parametros!$B$16,"",IF(E1294=0,"PIDE SIN FCST",IF(ABS(G1294)&gt;Parametros!$B$14,IF(G1294&gt;0,"SOBRE FCST","BAJO FCST"),"")))</f>
        <v>BAJO FCST</v>
      </c>
    </row>
    <row r="1295" customFormat="false" ht="15" hidden="false" customHeight="false" outlineLevel="0" collapsed="false">
      <c r="A1295" s="3" t="n">
        <v>30000321</v>
      </c>
      <c r="B1295" s="3" t="s">
        <v>351</v>
      </c>
      <c r="C1295" s="3" t="s">
        <v>1379</v>
      </c>
      <c r="D1295" s="23" t="n">
        <v>2720</v>
      </c>
      <c r="E1295" s="23" t="n">
        <v>2300</v>
      </c>
      <c r="F1295" s="23" t="n">
        <f aca="false">D1295-E1295</f>
        <v>420</v>
      </c>
      <c r="G1295" s="24" t="n">
        <f aca="false">IF(E1295&gt;0,D1295/E1295-1,"")</f>
        <v>0.182608695652174</v>
      </c>
      <c r="H1295" s="3" t="str">
        <f aca="false">IF(MAX(D1295,E1295)&lt;Parametros!$B$16,"",IF(E1295=0,"PIDE SIN FCST",IF(ABS(G1295)&gt;Parametros!$B$14,IF(G1295&gt;0,"SOBRE FCST","BAJO FCST"),"")))</f>
        <v/>
      </c>
    </row>
    <row r="1296" customFormat="false" ht="15" hidden="false" customHeight="false" outlineLevel="0" collapsed="false">
      <c r="A1296" s="3" t="n">
        <v>30000615</v>
      </c>
      <c r="B1296" s="3" t="s">
        <v>279</v>
      </c>
      <c r="C1296" s="3" t="s">
        <v>1375</v>
      </c>
      <c r="D1296" s="23" t="n">
        <v>6720</v>
      </c>
      <c r="E1296" s="23" t="n">
        <v>6300</v>
      </c>
      <c r="F1296" s="23" t="n">
        <f aca="false">D1296-E1296</f>
        <v>420</v>
      </c>
      <c r="G1296" s="24" t="n">
        <f aca="false">IF(E1296&gt;0,D1296/E1296-1,"")</f>
        <v>0.0666666666666667</v>
      </c>
      <c r="H1296" s="3" t="str">
        <f aca="false">IF(MAX(D1296,E1296)&lt;Parametros!$B$16,"",IF(E1296=0,"PIDE SIN FCST",IF(ABS(G1296)&gt;Parametros!$B$14,IF(G1296&gt;0,"SOBRE FCST","BAJO FCST"),"")))</f>
        <v/>
      </c>
    </row>
    <row r="1297" customFormat="false" ht="15" hidden="false" customHeight="false" outlineLevel="0" collapsed="false">
      <c r="A1297" s="3" t="n">
        <v>30000251</v>
      </c>
      <c r="B1297" s="3" t="s">
        <v>615</v>
      </c>
      <c r="C1297" s="3" t="s">
        <v>1373</v>
      </c>
      <c r="D1297" s="23" t="n">
        <v>180</v>
      </c>
      <c r="E1297" s="23" t="n">
        <v>599.589775942999</v>
      </c>
      <c r="F1297" s="23" t="n">
        <f aca="false">D1297-E1297</f>
        <v>-419.589775942999</v>
      </c>
      <c r="G1297" s="24" t="n">
        <f aca="false">IF(E1297&gt;0,D1297/E1297-1,"")</f>
        <v>-0.699794747639072</v>
      </c>
      <c r="H1297" s="3" t="str">
        <f aca="false">IF(MAX(D1297,E1297)&lt;Parametros!$B$16,"",IF(E1297=0,"PIDE SIN FCST",IF(ABS(G1297)&gt;Parametros!$B$14,IF(G1297&gt;0,"SOBRE FCST","BAJO FCST"),"")))</f>
        <v/>
      </c>
    </row>
    <row r="1298" customFormat="false" ht="15" hidden="false" customHeight="false" outlineLevel="0" collapsed="false">
      <c r="A1298" s="3" t="n">
        <v>30000608</v>
      </c>
      <c r="B1298" s="3" t="s">
        <v>416</v>
      </c>
      <c r="C1298" s="3" t="s">
        <v>1377</v>
      </c>
      <c r="D1298" s="23" t="n">
        <v>927.36</v>
      </c>
      <c r="E1298" s="23" t="n">
        <v>508.16</v>
      </c>
      <c r="F1298" s="23" t="n">
        <f aca="false">D1298-E1298</f>
        <v>419.2</v>
      </c>
      <c r="G1298" s="24" t="n">
        <f aca="false">IF(E1298&gt;0,D1298/E1298-1,"")</f>
        <v>0.824937027707809</v>
      </c>
      <c r="H1298" s="3" t="str">
        <f aca="false">IF(MAX(D1298,E1298)&lt;Parametros!$B$16,"",IF(E1298=0,"PIDE SIN FCST",IF(ABS(G1298)&gt;Parametros!$B$14,IF(G1298&gt;0,"SOBRE FCST","BAJO FCST"),"")))</f>
        <v/>
      </c>
    </row>
    <row r="1299" customFormat="false" ht="15" hidden="false" customHeight="false" outlineLevel="0" collapsed="false">
      <c r="A1299" s="3" t="n">
        <v>30001983</v>
      </c>
      <c r="B1299" s="3" t="s">
        <v>458</v>
      </c>
      <c r="C1299" s="3" t="s">
        <v>1372</v>
      </c>
      <c r="D1299" s="23" t="n">
        <v>419.184</v>
      </c>
      <c r="E1299" s="23" t="n">
        <v>0</v>
      </c>
      <c r="F1299" s="23" t="n">
        <f aca="false">D1299-E1299</f>
        <v>419.184</v>
      </c>
      <c r="G1299" s="24" t="str">
        <f aca="false">IF(E1299&gt;0,D1299/E1299-1,"")</f>
        <v/>
      </c>
      <c r="H1299" s="3" t="str">
        <f aca="false">IF(MAX(D1299,E1299)&lt;Parametros!$B$16,"",IF(E1299=0,"PIDE SIN FCST",IF(ABS(G1299)&gt;Parametros!$B$14,IF(G1299&gt;0,"SOBRE FCST","BAJO FCST"),"")))</f>
        <v/>
      </c>
    </row>
    <row r="1300" customFormat="false" ht="15" hidden="false" customHeight="false" outlineLevel="0" collapsed="false">
      <c r="A1300" s="3" t="n">
        <v>30001923</v>
      </c>
      <c r="B1300" s="3" t="s">
        <v>346</v>
      </c>
      <c r="C1300" s="3" t="s">
        <v>1375</v>
      </c>
      <c r="D1300" s="23" t="n">
        <v>7182</v>
      </c>
      <c r="E1300" s="23" t="n">
        <v>7600</v>
      </c>
      <c r="F1300" s="23" t="n">
        <f aca="false">D1300-E1300</f>
        <v>-418</v>
      </c>
      <c r="G1300" s="24" t="n">
        <f aca="false">IF(E1300&gt;0,D1300/E1300-1,"")</f>
        <v>-0.0550000000000001</v>
      </c>
      <c r="H1300" s="3" t="str">
        <f aca="false">IF(MAX(D1300,E1300)&lt;Parametros!$B$16,"",IF(E1300=0,"PIDE SIN FCST",IF(ABS(G1300)&gt;Parametros!$B$14,IF(G1300&gt;0,"SOBRE FCST","BAJO FCST"),"")))</f>
        <v/>
      </c>
    </row>
    <row r="1301" customFormat="false" ht="15" hidden="false" customHeight="false" outlineLevel="0" collapsed="false">
      <c r="A1301" s="3" t="n">
        <v>30002090</v>
      </c>
      <c r="B1301" s="3" t="s">
        <v>317</v>
      </c>
      <c r="C1301" s="3" t="s">
        <v>1373</v>
      </c>
      <c r="D1301" s="23" t="n">
        <v>1945.8</v>
      </c>
      <c r="E1301" s="23" t="n">
        <v>1529.27303199923</v>
      </c>
      <c r="F1301" s="23" t="n">
        <f aca="false">D1301-E1301</f>
        <v>416.526968000769</v>
      </c>
      <c r="G1301" s="24" t="n">
        <f aca="false">IF(E1301&gt;0,D1301/E1301-1,"")</f>
        <v>0.272369262574545</v>
      </c>
      <c r="H1301" s="3" t="str">
        <f aca="false">IF(MAX(D1301,E1301)&lt;Parametros!$B$16,"",IF(E1301=0,"PIDE SIN FCST",IF(ABS(G1301)&gt;Parametros!$B$14,IF(G1301&gt;0,"SOBRE FCST","BAJO FCST"),"")))</f>
        <v>SOBRE FCST</v>
      </c>
    </row>
    <row r="1302" customFormat="false" ht="15" hidden="false" customHeight="false" outlineLevel="0" collapsed="false">
      <c r="A1302" s="3" t="n">
        <v>30002061</v>
      </c>
      <c r="B1302" s="3" t="s">
        <v>516</v>
      </c>
      <c r="C1302" s="3" t="s">
        <v>1373</v>
      </c>
      <c r="D1302" s="23" t="n">
        <v>416.5</v>
      </c>
      <c r="E1302" s="23" t="n">
        <v>0</v>
      </c>
      <c r="F1302" s="23" t="n">
        <f aca="false">D1302-E1302</f>
        <v>416.5</v>
      </c>
      <c r="G1302" s="24" t="str">
        <f aca="false">IF(E1302&gt;0,D1302/E1302-1,"")</f>
        <v/>
      </c>
      <c r="H1302" s="3" t="str">
        <f aca="false">IF(MAX(D1302,E1302)&lt;Parametros!$B$16,"",IF(E1302=0,"PIDE SIN FCST",IF(ABS(G1302)&gt;Parametros!$B$14,IF(G1302&gt;0,"SOBRE FCST","BAJO FCST"),"")))</f>
        <v/>
      </c>
    </row>
    <row r="1303" customFormat="false" ht="15" hidden="false" customHeight="false" outlineLevel="0" collapsed="false">
      <c r="A1303" s="3" t="n">
        <v>30001080</v>
      </c>
      <c r="B1303" s="3" t="s">
        <v>278</v>
      </c>
      <c r="C1303" s="3" t="s">
        <v>1377</v>
      </c>
      <c r="D1303" s="23" t="n">
        <v>2122.56</v>
      </c>
      <c r="E1303" s="23" t="n">
        <v>1707.655411655</v>
      </c>
      <c r="F1303" s="23" t="n">
        <f aca="false">D1303-E1303</f>
        <v>414.904588345002</v>
      </c>
      <c r="G1303" s="24" t="n">
        <f aca="false">IF(E1303&gt;0,D1303/E1303-1,"")</f>
        <v>0.242967395830106</v>
      </c>
      <c r="H1303" s="3" t="str">
        <f aca="false">IF(MAX(D1303,E1303)&lt;Parametros!$B$16,"",IF(E1303=0,"PIDE SIN FCST",IF(ABS(G1303)&gt;Parametros!$B$14,IF(G1303&gt;0,"SOBRE FCST","BAJO FCST"),"")))</f>
        <v>SOBRE FCST</v>
      </c>
    </row>
    <row r="1304" customFormat="false" ht="15" hidden="false" customHeight="false" outlineLevel="0" collapsed="false">
      <c r="A1304" s="3" t="n">
        <v>30002200</v>
      </c>
      <c r="B1304" s="3" t="s">
        <v>357</v>
      </c>
      <c r="C1304" s="3" t="s">
        <v>1377</v>
      </c>
      <c r="D1304" s="23" t="n">
        <v>412.8</v>
      </c>
      <c r="E1304" s="23" t="n">
        <v>0</v>
      </c>
      <c r="F1304" s="23" t="n">
        <f aca="false">D1304-E1304</f>
        <v>412.8</v>
      </c>
      <c r="G1304" s="24" t="str">
        <f aca="false">IF(E1304&gt;0,D1304/E1304-1,"")</f>
        <v/>
      </c>
      <c r="H1304" s="3" t="str">
        <f aca="false">IF(MAX(D1304,E1304)&lt;Parametros!$B$16,"",IF(E1304=0,"PIDE SIN FCST",IF(ABS(G1304)&gt;Parametros!$B$14,IF(G1304&gt;0,"SOBRE FCST","BAJO FCST"),"")))</f>
        <v/>
      </c>
    </row>
    <row r="1305" customFormat="false" ht="15" hidden="false" customHeight="false" outlineLevel="0" collapsed="false">
      <c r="A1305" s="3" t="n">
        <v>30002171</v>
      </c>
      <c r="B1305" s="3" t="s">
        <v>564</v>
      </c>
      <c r="C1305" s="3" t="s">
        <v>1377</v>
      </c>
      <c r="D1305" s="23" t="n">
        <v>412.8</v>
      </c>
      <c r="E1305" s="23" t="n">
        <v>0</v>
      </c>
      <c r="F1305" s="23" t="n">
        <f aca="false">D1305-E1305</f>
        <v>412.8</v>
      </c>
      <c r="G1305" s="24" t="str">
        <f aca="false">IF(E1305&gt;0,D1305/E1305-1,"")</f>
        <v/>
      </c>
      <c r="H1305" s="3" t="str">
        <f aca="false">IF(MAX(D1305,E1305)&lt;Parametros!$B$16,"",IF(E1305=0,"PIDE SIN FCST",IF(ABS(G1305)&gt;Parametros!$B$14,IF(G1305&gt;0,"SOBRE FCST","BAJO FCST"),"")))</f>
        <v/>
      </c>
    </row>
    <row r="1306" customFormat="false" ht="15" hidden="false" customHeight="false" outlineLevel="0" collapsed="false">
      <c r="A1306" s="3" t="n">
        <v>30002293</v>
      </c>
      <c r="B1306" s="3" t="s">
        <v>454</v>
      </c>
      <c r="C1306" s="3" t="s">
        <v>1378</v>
      </c>
      <c r="D1306" s="23" t="n">
        <v>723.6</v>
      </c>
      <c r="E1306" s="23" t="n">
        <v>311.875</v>
      </c>
      <c r="F1306" s="23" t="n">
        <f aca="false">D1306-E1306</f>
        <v>411.725</v>
      </c>
      <c r="G1306" s="24" t="n">
        <f aca="false">IF(E1306&gt;0,D1306/E1306-1,"")</f>
        <v>1.32016032064128</v>
      </c>
      <c r="H1306" s="3" t="str">
        <f aca="false">IF(MAX(D1306,E1306)&lt;Parametros!$B$16,"",IF(E1306=0,"PIDE SIN FCST",IF(ABS(G1306)&gt;Parametros!$B$14,IF(G1306&gt;0,"SOBRE FCST","BAJO FCST"),"")))</f>
        <v/>
      </c>
    </row>
    <row r="1307" customFormat="false" ht="15" hidden="false" customHeight="false" outlineLevel="0" collapsed="false">
      <c r="A1307" s="3" t="n">
        <v>30001899</v>
      </c>
      <c r="B1307" s="3" t="s">
        <v>582</v>
      </c>
      <c r="C1307" s="3" t="s">
        <v>1372</v>
      </c>
      <c r="D1307" s="23" t="n">
        <v>0</v>
      </c>
      <c r="E1307" s="23" t="n">
        <v>411.683553986602</v>
      </c>
      <c r="F1307" s="23" t="n">
        <f aca="false">D1307-E1307</f>
        <v>-411.683553986602</v>
      </c>
      <c r="G1307" s="24" t="n">
        <f aca="false">IF(E1307&gt;0,D1307/E1307-1,"")</f>
        <v>-1</v>
      </c>
      <c r="H1307" s="3" t="str">
        <f aca="false">IF(MAX(D1307,E1307)&lt;Parametros!$B$16,"",IF(E1307=0,"PIDE SIN FCST",IF(ABS(G1307)&gt;Parametros!$B$14,IF(G1307&gt;0,"SOBRE FCST","BAJO FCST"),"")))</f>
        <v/>
      </c>
    </row>
    <row r="1308" customFormat="false" ht="15" hidden="false" customHeight="false" outlineLevel="0" collapsed="false">
      <c r="A1308" s="3" t="n">
        <v>30001489</v>
      </c>
      <c r="B1308" s="3" t="s">
        <v>289</v>
      </c>
      <c r="C1308" s="3" t="s">
        <v>1378</v>
      </c>
      <c r="D1308" s="23" t="n">
        <v>1744.896</v>
      </c>
      <c r="E1308" s="23" t="n">
        <v>2156.43766373934</v>
      </c>
      <c r="F1308" s="23" t="n">
        <f aca="false">D1308-E1308</f>
        <v>-411.541663739341</v>
      </c>
      <c r="G1308" s="24" t="n">
        <f aca="false">IF(E1308&gt;0,D1308/E1308-1,"")</f>
        <v>-0.190843292463049</v>
      </c>
      <c r="H1308" s="3" t="str">
        <f aca="false">IF(MAX(D1308,E1308)&lt;Parametros!$B$16,"",IF(E1308=0,"PIDE SIN FCST",IF(ABS(G1308)&gt;Parametros!$B$14,IF(G1308&gt;0,"SOBRE FCST","BAJO FCST"),"")))</f>
        <v/>
      </c>
    </row>
    <row r="1309" customFormat="false" ht="15" hidden="false" customHeight="false" outlineLevel="0" collapsed="false">
      <c r="A1309" s="3" t="n">
        <v>30002199</v>
      </c>
      <c r="B1309" s="3" t="s">
        <v>276</v>
      </c>
      <c r="C1309" s="3" t="s">
        <v>1379</v>
      </c>
      <c r="D1309" s="23" t="n">
        <v>5251.2</v>
      </c>
      <c r="E1309" s="23" t="n">
        <v>4840</v>
      </c>
      <c r="F1309" s="23" t="n">
        <f aca="false">D1309-E1309</f>
        <v>411.2</v>
      </c>
      <c r="G1309" s="24" t="n">
        <f aca="false">IF(E1309&gt;0,D1309/E1309-1,"")</f>
        <v>0.0849586776859503</v>
      </c>
      <c r="H1309" s="3" t="str">
        <f aca="false">IF(MAX(D1309,E1309)&lt;Parametros!$B$16,"",IF(E1309=0,"PIDE SIN FCST",IF(ABS(G1309)&gt;Parametros!$B$14,IF(G1309&gt;0,"SOBRE FCST","BAJO FCST"),"")))</f>
        <v/>
      </c>
    </row>
    <row r="1310" customFormat="false" ht="15" hidden="false" customHeight="false" outlineLevel="0" collapsed="false">
      <c r="A1310" s="3" t="n">
        <v>30000178</v>
      </c>
      <c r="B1310" s="3" t="s">
        <v>359</v>
      </c>
      <c r="C1310" s="3" t="s">
        <v>1375</v>
      </c>
      <c r="D1310" s="23" t="n">
        <v>3691.2</v>
      </c>
      <c r="E1310" s="23" t="n">
        <v>4100</v>
      </c>
      <c r="F1310" s="23" t="n">
        <f aca="false">D1310-E1310</f>
        <v>-408.8</v>
      </c>
      <c r="G1310" s="24" t="n">
        <f aca="false">IF(E1310&gt;0,D1310/E1310-1,"")</f>
        <v>-0.0997073170731708</v>
      </c>
      <c r="H1310" s="3" t="str">
        <f aca="false">IF(MAX(D1310,E1310)&lt;Parametros!$B$16,"",IF(E1310=0,"PIDE SIN FCST",IF(ABS(G1310)&gt;Parametros!$B$14,IF(G1310&gt;0,"SOBRE FCST","BAJO FCST"),"")))</f>
        <v/>
      </c>
    </row>
    <row r="1311" customFormat="false" ht="15" hidden="false" customHeight="false" outlineLevel="0" collapsed="false">
      <c r="A1311" s="3" t="n">
        <v>30001540</v>
      </c>
      <c r="B1311" s="3" t="s">
        <v>501</v>
      </c>
      <c r="C1311" s="3" t="s">
        <v>1373</v>
      </c>
      <c r="D1311" s="23" t="n">
        <v>1112.64</v>
      </c>
      <c r="E1311" s="23" t="n">
        <v>704</v>
      </c>
      <c r="F1311" s="23" t="n">
        <f aca="false">D1311-E1311</f>
        <v>408.64</v>
      </c>
      <c r="G1311" s="24" t="n">
        <f aca="false">IF(E1311&gt;0,D1311/E1311-1,"")</f>
        <v>0.580454545454546</v>
      </c>
      <c r="H1311" s="3" t="str">
        <f aca="false">IF(MAX(D1311,E1311)&lt;Parametros!$B$16,"",IF(E1311=0,"PIDE SIN FCST",IF(ABS(G1311)&gt;Parametros!$B$14,IF(G1311&gt;0,"SOBRE FCST","BAJO FCST"),"")))</f>
        <v>SOBRE FCST</v>
      </c>
    </row>
    <row r="1312" customFormat="false" ht="15" hidden="false" customHeight="false" outlineLevel="0" collapsed="false">
      <c r="A1312" s="3" t="n">
        <v>30000238</v>
      </c>
      <c r="B1312" s="3" t="s">
        <v>408</v>
      </c>
      <c r="C1312" s="3" t="s">
        <v>1376</v>
      </c>
      <c r="D1312" s="23" t="n">
        <v>408</v>
      </c>
      <c r="E1312" s="23" t="n">
        <v>0</v>
      </c>
      <c r="F1312" s="23" t="n">
        <f aca="false">D1312-E1312</f>
        <v>408</v>
      </c>
      <c r="G1312" s="24" t="str">
        <f aca="false">IF(E1312&gt;0,D1312/E1312-1,"")</f>
        <v/>
      </c>
      <c r="H1312" s="3" t="str">
        <f aca="false">IF(MAX(D1312,E1312)&lt;Parametros!$B$16,"",IF(E1312=0,"PIDE SIN FCST",IF(ABS(G1312)&gt;Parametros!$B$14,IF(G1312&gt;0,"SOBRE FCST","BAJO FCST"),"")))</f>
        <v/>
      </c>
    </row>
    <row r="1313" customFormat="false" ht="15" hidden="false" customHeight="false" outlineLevel="0" collapsed="false">
      <c r="A1313" s="3" t="n">
        <v>30000307</v>
      </c>
      <c r="B1313" s="3" t="s">
        <v>410</v>
      </c>
      <c r="C1313" s="3" t="s">
        <v>1377</v>
      </c>
      <c r="D1313" s="23" t="n">
        <v>1134</v>
      </c>
      <c r="E1313" s="23" t="n">
        <v>1540.74382196371</v>
      </c>
      <c r="F1313" s="23" t="n">
        <f aca="false">D1313-E1313</f>
        <v>-406.743821963709</v>
      </c>
      <c r="G1313" s="24" t="n">
        <f aca="false">IF(E1313&gt;0,D1313/E1313-1,"")</f>
        <v>-0.26399185650818</v>
      </c>
      <c r="H1313" s="3" t="str">
        <f aca="false">IF(MAX(D1313,E1313)&lt;Parametros!$B$16,"",IF(E1313=0,"PIDE SIN FCST",IF(ABS(G1313)&gt;Parametros!$B$14,IF(G1313&gt;0,"SOBRE FCST","BAJO FCST"),"")))</f>
        <v>BAJO FCST</v>
      </c>
    </row>
    <row r="1314" customFormat="false" ht="15" hidden="false" customHeight="false" outlineLevel="0" collapsed="false">
      <c r="A1314" s="3" t="n">
        <v>30001363</v>
      </c>
      <c r="B1314" s="3" t="s">
        <v>621</v>
      </c>
      <c r="C1314" s="3" t="s">
        <v>1378</v>
      </c>
      <c r="D1314" s="23" t="n">
        <v>391.92</v>
      </c>
      <c r="E1314" s="23" t="n">
        <v>798.64</v>
      </c>
      <c r="F1314" s="23" t="n">
        <f aca="false">D1314-E1314</f>
        <v>-406.72</v>
      </c>
      <c r="G1314" s="24" t="n">
        <f aca="false">IF(E1314&gt;0,D1314/E1314-1,"")</f>
        <v>-0.509265751778023</v>
      </c>
      <c r="H1314" s="3" t="str">
        <f aca="false">IF(MAX(D1314,E1314)&lt;Parametros!$B$16,"",IF(E1314=0,"PIDE SIN FCST",IF(ABS(G1314)&gt;Parametros!$B$14,IF(G1314&gt;0,"SOBRE FCST","BAJO FCST"),"")))</f>
        <v/>
      </c>
    </row>
    <row r="1315" customFormat="false" ht="15" hidden="false" customHeight="false" outlineLevel="0" collapsed="false">
      <c r="A1315" s="3" t="n">
        <v>30000631</v>
      </c>
      <c r="B1315" s="3" t="s">
        <v>515</v>
      </c>
      <c r="C1315" s="3" t="s">
        <v>1375</v>
      </c>
      <c r="D1315" s="23" t="n">
        <v>3393.6</v>
      </c>
      <c r="E1315" s="23" t="n">
        <v>3800</v>
      </c>
      <c r="F1315" s="23" t="n">
        <f aca="false">D1315-E1315</f>
        <v>-406.400000000001</v>
      </c>
      <c r="G1315" s="24" t="n">
        <f aca="false">IF(E1315&gt;0,D1315/E1315-1,"")</f>
        <v>-0.106947368421053</v>
      </c>
      <c r="H1315" s="3" t="str">
        <f aca="false">IF(MAX(D1315,E1315)&lt;Parametros!$B$16,"",IF(E1315=0,"PIDE SIN FCST",IF(ABS(G1315)&gt;Parametros!$B$14,IF(G1315&gt;0,"SOBRE FCST","BAJO FCST"),"")))</f>
        <v/>
      </c>
    </row>
    <row r="1316" customFormat="false" ht="15" hidden="false" customHeight="false" outlineLevel="0" collapsed="false">
      <c r="A1316" s="3" t="n">
        <v>30000634</v>
      </c>
      <c r="B1316" s="3" t="s">
        <v>471</v>
      </c>
      <c r="C1316" s="3" t="s">
        <v>1378</v>
      </c>
      <c r="D1316" s="23" t="n">
        <v>806.4</v>
      </c>
      <c r="E1316" s="23" t="n">
        <v>400</v>
      </c>
      <c r="F1316" s="23" t="n">
        <f aca="false">D1316-E1316</f>
        <v>406.4</v>
      </c>
      <c r="G1316" s="24" t="n">
        <f aca="false">IF(E1316&gt;0,D1316/E1316-1,"")</f>
        <v>1.016</v>
      </c>
      <c r="H1316" s="3" t="str">
        <f aca="false">IF(MAX(D1316,E1316)&lt;Parametros!$B$16,"",IF(E1316=0,"PIDE SIN FCST",IF(ABS(G1316)&gt;Parametros!$B$14,IF(G1316&gt;0,"SOBRE FCST","BAJO FCST"),"")))</f>
        <v/>
      </c>
    </row>
    <row r="1317" customFormat="false" ht="15" hidden="false" customHeight="false" outlineLevel="0" collapsed="false">
      <c r="A1317" s="3" t="n">
        <v>30001897</v>
      </c>
      <c r="B1317" s="3" t="s">
        <v>409</v>
      </c>
      <c r="C1317" s="3" t="s">
        <v>1373</v>
      </c>
      <c r="D1317" s="23" t="n">
        <v>931.2</v>
      </c>
      <c r="E1317" s="23" t="n">
        <v>524.907265559843</v>
      </c>
      <c r="F1317" s="23" t="n">
        <f aca="false">D1317-E1317</f>
        <v>406.292734440157</v>
      </c>
      <c r="G1317" s="24" t="n">
        <f aca="false">IF(E1317&gt;0,D1317/E1317-1,"")</f>
        <v>0.774027644686577</v>
      </c>
      <c r="H1317" s="3" t="str">
        <f aca="false">IF(MAX(D1317,E1317)&lt;Parametros!$B$16,"",IF(E1317=0,"PIDE SIN FCST",IF(ABS(G1317)&gt;Parametros!$B$14,IF(G1317&gt;0,"SOBRE FCST","BAJO FCST"),"")))</f>
        <v/>
      </c>
    </row>
    <row r="1318" customFormat="false" ht="15" hidden="false" customHeight="false" outlineLevel="0" collapsed="false">
      <c r="A1318" s="3" t="n">
        <v>30002253</v>
      </c>
      <c r="B1318" s="3" t="s">
        <v>555</v>
      </c>
      <c r="C1318" s="3" t="s">
        <v>1377</v>
      </c>
      <c r="D1318" s="23" t="n">
        <v>405</v>
      </c>
      <c r="E1318" s="23" t="n">
        <v>0</v>
      </c>
      <c r="F1318" s="23" t="n">
        <f aca="false">D1318-E1318</f>
        <v>405</v>
      </c>
      <c r="G1318" s="24" t="str">
        <f aca="false">IF(E1318&gt;0,D1318/E1318-1,"")</f>
        <v/>
      </c>
      <c r="H1318" s="3" t="str">
        <f aca="false">IF(MAX(D1318,E1318)&lt;Parametros!$B$16,"",IF(E1318=0,"PIDE SIN FCST",IF(ABS(G1318)&gt;Parametros!$B$14,IF(G1318&gt;0,"SOBRE FCST","BAJO FCST"),"")))</f>
        <v/>
      </c>
    </row>
    <row r="1319" customFormat="false" ht="15" hidden="false" customHeight="false" outlineLevel="0" collapsed="false">
      <c r="A1319" s="3" t="n">
        <v>30001820</v>
      </c>
      <c r="B1319" s="3" t="s">
        <v>619</v>
      </c>
      <c r="C1319" s="3" t="s">
        <v>1379</v>
      </c>
      <c r="D1319" s="23" t="n">
        <v>395.2</v>
      </c>
      <c r="E1319" s="23" t="n">
        <v>800</v>
      </c>
      <c r="F1319" s="23" t="n">
        <f aca="false">D1319-E1319</f>
        <v>-404.8</v>
      </c>
      <c r="G1319" s="24" t="n">
        <f aca="false">IF(E1319&gt;0,D1319/E1319-1,"")</f>
        <v>-0.506</v>
      </c>
      <c r="H1319" s="3" t="str">
        <f aca="false">IF(MAX(D1319,E1319)&lt;Parametros!$B$16,"",IF(E1319=0,"PIDE SIN FCST",IF(ABS(G1319)&gt;Parametros!$B$14,IF(G1319&gt;0,"SOBRE FCST","BAJO FCST"),"")))</f>
        <v/>
      </c>
    </row>
    <row r="1320" customFormat="false" ht="15" hidden="false" customHeight="false" outlineLevel="0" collapsed="false">
      <c r="A1320" s="3" t="n">
        <v>30001988</v>
      </c>
      <c r="B1320" s="3" t="s">
        <v>599</v>
      </c>
      <c r="C1320" s="3" t="s">
        <v>1373</v>
      </c>
      <c r="D1320" s="23" t="n">
        <v>403.65</v>
      </c>
      <c r="E1320" s="23" t="n">
        <v>0</v>
      </c>
      <c r="F1320" s="23" t="n">
        <f aca="false">D1320-E1320</f>
        <v>403.65</v>
      </c>
      <c r="G1320" s="24" t="str">
        <f aca="false">IF(E1320&gt;0,D1320/E1320-1,"")</f>
        <v/>
      </c>
      <c r="H1320" s="3" t="str">
        <f aca="false">IF(MAX(D1320,E1320)&lt;Parametros!$B$16,"",IF(E1320=0,"PIDE SIN FCST",IF(ABS(G1320)&gt;Parametros!$B$14,IF(G1320&gt;0,"SOBRE FCST","BAJO FCST"),"")))</f>
        <v/>
      </c>
    </row>
    <row r="1321" customFormat="false" ht="15" hidden="false" customHeight="false" outlineLevel="0" collapsed="false">
      <c r="A1321" s="3" t="n">
        <v>30000383</v>
      </c>
      <c r="B1321" s="3" t="s">
        <v>578</v>
      </c>
      <c r="C1321" s="3" t="s">
        <v>1378</v>
      </c>
      <c r="D1321" s="23" t="n">
        <v>624</v>
      </c>
      <c r="E1321" s="23" t="n">
        <v>1027.59732945772</v>
      </c>
      <c r="F1321" s="23" t="n">
        <f aca="false">D1321-E1321</f>
        <v>-403.597329457717</v>
      </c>
      <c r="G1321" s="24" t="n">
        <f aca="false">IF(E1321&gt;0,D1321/E1321-1,"")</f>
        <v>-0.392758250618171</v>
      </c>
      <c r="H1321" s="3" t="str">
        <f aca="false">IF(MAX(D1321,E1321)&lt;Parametros!$B$16,"",IF(E1321=0,"PIDE SIN FCST",IF(ABS(G1321)&gt;Parametros!$B$14,IF(G1321&gt;0,"SOBRE FCST","BAJO FCST"),"")))</f>
        <v>BAJO FCST</v>
      </c>
    </row>
    <row r="1322" customFormat="false" ht="15" hidden="false" customHeight="false" outlineLevel="0" collapsed="false">
      <c r="A1322" s="3" t="n">
        <v>30001776</v>
      </c>
      <c r="B1322" s="3" t="s">
        <v>605</v>
      </c>
      <c r="C1322" s="3" t="s">
        <v>1378</v>
      </c>
      <c r="D1322" s="23" t="n">
        <v>324</v>
      </c>
      <c r="E1322" s="23" t="n">
        <v>727.243698290053</v>
      </c>
      <c r="F1322" s="23" t="n">
        <f aca="false">D1322-E1322</f>
        <v>-403.243698290053</v>
      </c>
      <c r="G1322" s="24" t="n">
        <f aca="false">IF(E1322&gt;0,D1322/E1322-1,"")</f>
        <v>-0.554482217224004</v>
      </c>
      <c r="H1322" s="3" t="str">
        <f aca="false">IF(MAX(D1322,E1322)&lt;Parametros!$B$16,"",IF(E1322=0,"PIDE SIN FCST",IF(ABS(G1322)&gt;Parametros!$B$14,IF(G1322&gt;0,"SOBRE FCST","BAJO FCST"),"")))</f>
        <v/>
      </c>
    </row>
    <row r="1323" customFormat="false" ht="15" hidden="false" customHeight="false" outlineLevel="0" collapsed="false">
      <c r="A1323" s="3" t="n">
        <v>30000642</v>
      </c>
      <c r="B1323" s="3" t="s">
        <v>451</v>
      </c>
      <c r="C1323" s="3" t="s">
        <v>1378</v>
      </c>
      <c r="D1323" s="23" t="n">
        <v>152</v>
      </c>
      <c r="E1323" s="23" t="n">
        <v>554.72</v>
      </c>
      <c r="F1323" s="23" t="n">
        <f aca="false">D1323-E1323</f>
        <v>-402.72</v>
      </c>
      <c r="G1323" s="24" t="n">
        <f aca="false">IF(E1323&gt;0,D1323/E1323-1,"")</f>
        <v>-0.725987885780213</v>
      </c>
      <c r="H1323" s="3" t="str">
        <f aca="false">IF(MAX(D1323,E1323)&lt;Parametros!$B$16,"",IF(E1323=0,"PIDE SIN FCST",IF(ABS(G1323)&gt;Parametros!$B$14,IF(G1323&gt;0,"SOBRE FCST","BAJO FCST"),"")))</f>
        <v/>
      </c>
    </row>
    <row r="1324" customFormat="false" ht="15" hidden="false" customHeight="false" outlineLevel="0" collapsed="false">
      <c r="A1324" s="3" t="n">
        <v>30002125</v>
      </c>
      <c r="B1324" s="3" t="s">
        <v>430</v>
      </c>
      <c r="C1324" s="3" t="s">
        <v>1373</v>
      </c>
      <c r="D1324" s="23" t="n">
        <v>957.6</v>
      </c>
      <c r="E1324" s="23" t="n">
        <v>1360.16</v>
      </c>
      <c r="F1324" s="23" t="n">
        <f aca="false">D1324-E1324</f>
        <v>-402.56</v>
      </c>
      <c r="G1324" s="24" t="n">
        <f aca="false">IF(E1324&gt;0,D1324/E1324-1,"")</f>
        <v>-0.295965180566992</v>
      </c>
      <c r="H1324" s="3" t="str">
        <f aca="false">IF(MAX(D1324,E1324)&lt;Parametros!$B$16,"",IF(E1324=0,"PIDE SIN FCST",IF(ABS(G1324)&gt;Parametros!$B$14,IF(G1324&gt;0,"SOBRE FCST","BAJO FCST"),"")))</f>
        <v>BAJO FCST</v>
      </c>
    </row>
    <row r="1325" customFormat="false" ht="15" hidden="false" customHeight="false" outlineLevel="0" collapsed="false">
      <c r="A1325" s="3" t="n">
        <v>30000169</v>
      </c>
      <c r="B1325" s="3" t="s">
        <v>519</v>
      </c>
      <c r="C1325" s="3" t="s">
        <v>1378</v>
      </c>
      <c r="D1325" s="23" t="n">
        <v>235.2</v>
      </c>
      <c r="E1325" s="23" t="n">
        <v>637.140959654657</v>
      </c>
      <c r="F1325" s="23" t="n">
        <f aca="false">D1325-E1325</f>
        <v>-401.940959654657</v>
      </c>
      <c r="G1325" s="24" t="n">
        <f aca="false">IF(E1325&gt;0,D1325/E1325-1,"")</f>
        <v>-0.630850918566775</v>
      </c>
      <c r="H1325" s="3" t="str">
        <f aca="false">IF(MAX(D1325,E1325)&lt;Parametros!$B$16,"",IF(E1325=0,"PIDE SIN FCST",IF(ABS(G1325)&gt;Parametros!$B$14,IF(G1325&gt;0,"SOBRE FCST","BAJO FCST"),"")))</f>
        <v/>
      </c>
    </row>
    <row r="1326" customFormat="false" ht="15" hidden="false" customHeight="false" outlineLevel="0" collapsed="false">
      <c r="A1326" s="3" t="n">
        <v>30000177</v>
      </c>
      <c r="B1326" s="3" t="s">
        <v>439</v>
      </c>
      <c r="C1326" s="3" t="s">
        <v>1380</v>
      </c>
      <c r="D1326" s="23" t="n">
        <v>3499.2</v>
      </c>
      <c r="E1326" s="23" t="n">
        <v>3900</v>
      </c>
      <c r="F1326" s="23" t="n">
        <f aca="false">D1326-E1326</f>
        <v>-400.8</v>
      </c>
      <c r="G1326" s="24" t="n">
        <f aca="false">IF(E1326&gt;0,D1326/E1326-1,"")</f>
        <v>-0.102769230769231</v>
      </c>
      <c r="H1326" s="3" t="str">
        <f aca="false">IF(MAX(D1326,E1326)&lt;Parametros!$B$16,"",IF(E1326=0,"PIDE SIN FCST",IF(ABS(G1326)&gt;Parametros!$B$14,IF(G1326&gt;0,"SOBRE FCST","BAJO FCST"),"")))</f>
        <v/>
      </c>
    </row>
    <row r="1327" customFormat="false" ht="15" hidden="false" customHeight="false" outlineLevel="0" collapsed="false">
      <c r="A1327" s="3" t="n">
        <v>30000668</v>
      </c>
      <c r="B1327" s="3" t="s">
        <v>280</v>
      </c>
      <c r="C1327" s="3" t="s">
        <v>1377</v>
      </c>
      <c r="D1327" s="23" t="n">
        <v>699.2</v>
      </c>
      <c r="E1327" s="23" t="n">
        <v>1100</v>
      </c>
      <c r="F1327" s="23" t="n">
        <f aca="false">D1327-E1327</f>
        <v>-400.8</v>
      </c>
      <c r="G1327" s="24" t="n">
        <f aca="false">IF(E1327&gt;0,D1327/E1327-1,"")</f>
        <v>-0.364363636363636</v>
      </c>
      <c r="H1327" s="3" t="str">
        <f aca="false">IF(MAX(D1327,E1327)&lt;Parametros!$B$16,"",IF(E1327=0,"PIDE SIN FCST",IF(ABS(G1327)&gt;Parametros!$B$14,IF(G1327&gt;0,"SOBRE FCST","BAJO FCST"),"")))</f>
        <v>BAJO FCST</v>
      </c>
    </row>
    <row r="1328" customFormat="false" ht="15" hidden="false" customHeight="false" outlineLevel="0" collapsed="false">
      <c r="A1328" s="3" t="n">
        <v>30001851</v>
      </c>
      <c r="B1328" s="3" t="s">
        <v>499</v>
      </c>
      <c r="C1328" s="3" t="s">
        <v>1379</v>
      </c>
      <c r="D1328" s="23" t="n">
        <v>1765.8</v>
      </c>
      <c r="E1328" s="23" t="n">
        <v>1365.46306754745</v>
      </c>
      <c r="F1328" s="23" t="n">
        <f aca="false">D1328-E1328</f>
        <v>400.33693245255</v>
      </c>
      <c r="G1328" s="24" t="n">
        <f aca="false">IF(E1328&gt;0,D1328/E1328-1,"")</f>
        <v>0.293187667954731</v>
      </c>
      <c r="H1328" s="3" t="str">
        <f aca="false">IF(MAX(D1328,E1328)&lt;Parametros!$B$16,"",IF(E1328=0,"PIDE SIN FCST",IF(ABS(G1328)&gt;Parametros!$B$14,IF(G1328&gt;0,"SOBRE FCST","BAJO FCST"),"")))</f>
        <v>SOBRE FCST</v>
      </c>
    </row>
    <row r="1329" customFormat="false" ht="15" hidden="false" customHeight="false" outlineLevel="0" collapsed="false">
      <c r="A1329" s="3" t="n">
        <v>30001479</v>
      </c>
      <c r="B1329" s="3" t="s">
        <v>589</v>
      </c>
      <c r="C1329" s="3" t="s">
        <v>1372</v>
      </c>
      <c r="D1329" s="23" t="n">
        <v>0</v>
      </c>
      <c r="E1329" s="23" t="n">
        <v>400</v>
      </c>
      <c r="F1329" s="23" t="n">
        <f aca="false">D1329-E1329</f>
        <v>-400</v>
      </c>
      <c r="G1329" s="24" t="n">
        <f aca="false">IF(E1329&gt;0,D1329/E1329-1,"")</f>
        <v>-1</v>
      </c>
      <c r="H1329" s="3" t="str">
        <f aca="false">IF(MAX(D1329,E1329)&lt;Parametros!$B$16,"",IF(E1329=0,"PIDE SIN FCST",IF(ABS(G1329)&gt;Parametros!$B$14,IF(G1329&gt;0,"SOBRE FCST","BAJO FCST"),"")))</f>
        <v/>
      </c>
    </row>
    <row r="1330" customFormat="false" ht="15" hidden="false" customHeight="false" outlineLevel="0" collapsed="false">
      <c r="A1330" s="3" t="n">
        <v>30002302</v>
      </c>
      <c r="B1330" s="3" t="s">
        <v>634</v>
      </c>
      <c r="C1330" s="3" t="s">
        <v>1372</v>
      </c>
      <c r="D1330" s="23" t="n">
        <v>0</v>
      </c>
      <c r="E1330" s="23" t="n">
        <v>400</v>
      </c>
      <c r="F1330" s="23" t="n">
        <f aca="false">D1330-E1330</f>
        <v>-400</v>
      </c>
      <c r="G1330" s="24" t="n">
        <f aca="false">IF(E1330&gt;0,D1330/E1330-1,"")</f>
        <v>-1</v>
      </c>
      <c r="H1330" s="3" t="str">
        <f aca="false">IF(MAX(D1330,E1330)&lt;Parametros!$B$16,"",IF(E1330=0,"PIDE SIN FCST",IF(ABS(G1330)&gt;Parametros!$B$14,IF(G1330&gt;0,"SOBRE FCST","BAJO FCST"),"")))</f>
        <v/>
      </c>
    </row>
    <row r="1331" customFormat="false" ht="15" hidden="false" customHeight="false" outlineLevel="0" collapsed="false">
      <c r="A1331" s="3" t="n">
        <v>30001480</v>
      </c>
      <c r="B1331" s="3" t="s">
        <v>560</v>
      </c>
      <c r="C1331" s="3" t="s">
        <v>1372</v>
      </c>
      <c r="D1331" s="23" t="n">
        <v>0</v>
      </c>
      <c r="E1331" s="23" t="n">
        <v>400</v>
      </c>
      <c r="F1331" s="23" t="n">
        <f aca="false">D1331-E1331</f>
        <v>-400</v>
      </c>
      <c r="G1331" s="24" t="n">
        <f aca="false">IF(E1331&gt;0,D1331/E1331-1,"")</f>
        <v>-1</v>
      </c>
      <c r="H1331" s="3" t="str">
        <f aca="false">IF(MAX(D1331,E1331)&lt;Parametros!$B$16,"",IF(E1331=0,"PIDE SIN FCST",IF(ABS(G1331)&gt;Parametros!$B$14,IF(G1331&gt;0,"SOBRE FCST","BAJO FCST"),"")))</f>
        <v/>
      </c>
    </row>
    <row r="1332" customFormat="false" ht="15" hidden="false" customHeight="false" outlineLevel="0" collapsed="false">
      <c r="A1332" s="3" t="n">
        <v>30000238</v>
      </c>
      <c r="B1332" s="3" t="s">
        <v>408</v>
      </c>
      <c r="C1332" s="3" t="s">
        <v>1379</v>
      </c>
      <c r="D1332" s="23" t="n">
        <v>2520</v>
      </c>
      <c r="E1332" s="23" t="n">
        <v>2919.01272923508</v>
      </c>
      <c r="F1332" s="23" t="n">
        <f aca="false">D1332-E1332</f>
        <v>-399.012729235078</v>
      </c>
      <c r="G1332" s="24" t="n">
        <f aca="false">IF(E1332&gt;0,D1332/E1332-1,"")</f>
        <v>-0.136694412202731</v>
      </c>
      <c r="H1332" s="3" t="str">
        <f aca="false">IF(MAX(D1332,E1332)&lt;Parametros!$B$16,"",IF(E1332=0,"PIDE SIN FCST",IF(ABS(G1332)&gt;Parametros!$B$14,IF(G1332&gt;0,"SOBRE FCST","BAJO FCST"),"")))</f>
        <v/>
      </c>
    </row>
    <row r="1333" customFormat="false" ht="15" hidden="false" customHeight="false" outlineLevel="0" collapsed="false">
      <c r="A1333" s="3" t="n">
        <v>30001091</v>
      </c>
      <c r="B1333" s="3" t="s">
        <v>303</v>
      </c>
      <c r="C1333" s="3" t="s">
        <v>1373</v>
      </c>
      <c r="D1333" s="23" t="n">
        <v>4550.4</v>
      </c>
      <c r="E1333" s="23" t="n">
        <v>4155.00028529373</v>
      </c>
      <c r="F1333" s="23" t="n">
        <f aca="false">D1333-E1333</f>
        <v>395.39971470627</v>
      </c>
      <c r="G1333" s="24" t="n">
        <f aca="false">IF(E1333&gt;0,D1333/E1333-1,"")</f>
        <v>0.0951623796767847</v>
      </c>
      <c r="H1333" s="3" t="str">
        <f aca="false">IF(MAX(D1333,E1333)&lt;Parametros!$B$16,"",IF(E1333=0,"PIDE SIN FCST",IF(ABS(G1333)&gt;Parametros!$B$14,IF(G1333&gt;0,"SOBRE FCST","BAJO FCST"),"")))</f>
        <v/>
      </c>
    </row>
    <row r="1334" customFormat="false" ht="15" hidden="false" customHeight="false" outlineLevel="0" collapsed="false">
      <c r="A1334" s="3" t="n">
        <v>30000180</v>
      </c>
      <c r="B1334" s="3" t="s">
        <v>462</v>
      </c>
      <c r="C1334" s="3" t="s">
        <v>1373</v>
      </c>
      <c r="D1334" s="23" t="n">
        <v>1694.4</v>
      </c>
      <c r="E1334" s="23" t="n">
        <v>1300</v>
      </c>
      <c r="F1334" s="23" t="n">
        <f aca="false">D1334-E1334</f>
        <v>394.4</v>
      </c>
      <c r="G1334" s="24" t="n">
        <f aca="false">IF(E1334&gt;0,D1334/E1334-1,"")</f>
        <v>0.303384615384615</v>
      </c>
      <c r="H1334" s="3" t="str">
        <f aca="false">IF(MAX(D1334,E1334)&lt;Parametros!$B$16,"",IF(E1334=0,"PIDE SIN FCST",IF(ABS(G1334)&gt;Parametros!$B$14,IF(G1334&gt;0,"SOBRE FCST","BAJO FCST"),"")))</f>
        <v>SOBRE FCST</v>
      </c>
    </row>
    <row r="1335" customFormat="false" ht="15" hidden="false" customHeight="false" outlineLevel="0" collapsed="false">
      <c r="A1335" s="3" t="n">
        <v>30001945</v>
      </c>
      <c r="B1335" s="3" t="s">
        <v>478</v>
      </c>
      <c r="C1335" s="3" t="s">
        <v>1373</v>
      </c>
      <c r="D1335" s="23" t="n">
        <v>38.4</v>
      </c>
      <c r="E1335" s="23" t="n">
        <v>431.287532747868</v>
      </c>
      <c r="F1335" s="23" t="n">
        <f aca="false">D1335-E1335</f>
        <v>-392.887532747868</v>
      </c>
      <c r="G1335" s="24" t="n">
        <f aca="false">IF(E1335&gt;0,D1335/E1335-1,"")</f>
        <v>-0.910964270737571</v>
      </c>
      <c r="H1335" s="3" t="str">
        <f aca="false">IF(MAX(D1335,E1335)&lt;Parametros!$B$16,"",IF(E1335=0,"PIDE SIN FCST",IF(ABS(G1335)&gt;Parametros!$B$14,IF(G1335&gt;0,"SOBRE FCST","BAJO FCST"),"")))</f>
        <v/>
      </c>
    </row>
    <row r="1336" customFormat="false" ht="15" hidden="false" customHeight="false" outlineLevel="0" collapsed="false">
      <c r="A1336" s="3" t="n">
        <v>30002105</v>
      </c>
      <c r="B1336" s="3" t="s">
        <v>517</v>
      </c>
      <c r="C1336" s="3" t="s">
        <v>1379</v>
      </c>
      <c r="D1336" s="23" t="n">
        <v>392.688</v>
      </c>
      <c r="E1336" s="23" t="n">
        <v>0</v>
      </c>
      <c r="F1336" s="23" t="n">
        <f aca="false">D1336-E1336</f>
        <v>392.688</v>
      </c>
      <c r="G1336" s="24" t="str">
        <f aca="false">IF(E1336&gt;0,D1336/E1336-1,"")</f>
        <v/>
      </c>
      <c r="H1336" s="3" t="str">
        <f aca="false">IF(MAX(D1336,E1336)&lt;Parametros!$B$16,"",IF(E1336=0,"PIDE SIN FCST",IF(ABS(G1336)&gt;Parametros!$B$14,IF(G1336&gt;0,"SOBRE FCST","BAJO FCST"),"")))</f>
        <v/>
      </c>
    </row>
    <row r="1337" customFormat="false" ht="15" hidden="false" customHeight="false" outlineLevel="0" collapsed="false">
      <c r="A1337" s="3" t="n">
        <v>30001764</v>
      </c>
      <c r="B1337" s="3" t="s">
        <v>390</v>
      </c>
      <c r="C1337" s="3" t="s">
        <v>1373</v>
      </c>
      <c r="D1337" s="23" t="n">
        <v>10713.6</v>
      </c>
      <c r="E1337" s="23" t="n">
        <v>10321.6</v>
      </c>
      <c r="F1337" s="23" t="n">
        <f aca="false">D1337-E1337</f>
        <v>392</v>
      </c>
      <c r="G1337" s="24" t="n">
        <f aca="false">IF(E1337&gt;0,D1337/E1337-1,"")</f>
        <v>0.0379786079677569</v>
      </c>
      <c r="H1337" s="3" t="str">
        <f aca="false">IF(MAX(D1337,E1337)&lt;Parametros!$B$16,"",IF(E1337=0,"PIDE SIN FCST",IF(ABS(G1337)&gt;Parametros!$B$14,IF(G1337&gt;0,"SOBRE FCST","BAJO FCST"),"")))</f>
        <v/>
      </c>
    </row>
    <row r="1338" customFormat="false" ht="15" hidden="false" customHeight="false" outlineLevel="0" collapsed="false">
      <c r="A1338" s="3" t="n">
        <v>30001885</v>
      </c>
      <c r="B1338" s="3" t="s">
        <v>550</v>
      </c>
      <c r="C1338" s="3" t="s">
        <v>1379</v>
      </c>
      <c r="D1338" s="23" t="n">
        <v>360</v>
      </c>
      <c r="E1338" s="23" t="n">
        <v>750</v>
      </c>
      <c r="F1338" s="23" t="n">
        <f aca="false">D1338-E1338</f>
        <v>-390</v>
      </c>
      <c r="G1338" s="24" t="n">
        <f aca="false">IF(E1338&gt;0,D1338/E1338-1,"")</f>
        <v>-0.52</v>
      </c>
      <c r="H1338" s="3" t="str">
        <f aca="false">IF(MAX(D1338,E1338)&lt;Parametros!$B$16,"",IF(E1338=0,"PIDE SIN FCST",IF(ABS(G1338)&gt;Parametros!$B$14,IF(G1338&gt;0,"SOBRE FCST","BAJO FCST"),"")))</f>
        <v/>
      </c>
    </row>
    <row r="1339" customFormat="false" ht="15" hidden="false" customHeight="false" outlineLevel="0" collapsed="false">
      <c r="A1339" s="3" t="n">
        <v>30002255</v>
      </c>
      <c r="B1339" s="3" t="s">
        <v>538</v>
      </c>
      <c r="C1339" s="3" t="s">
        <v>1377</v>
      </c>
      <c r="D1339" s="23" t="n">
        <v>389.85</v>
      </c>
      <c r="E1339" s="23" t="n">
        <v>0</v>
      </c>
      <c r="F1339" s="23" t="n">
        <f aca="false">D1339-E1339</f>
        <v>389.85</v>
      </c>
      <c r="G1339" s="24" t="str">
        <f aca="false">IF(E1339&gt;0,D1339/E1339-1,"")</f>
        <v/>
      </c>
      <c r="H1339" s="3" t="str">
        <f aca="false">IF(MAX(D1339,E1339)&lt;Parametros!$B$16,"",IF(E1339=0,"PIDE SIN FCST",IF(ABS(G1339)&gt;Parametros!$B$14,IF(G1339&gt;0,"SOBRE FCST","BAJO FCST"),"")))</f>
        <v/>
      </c>
    </row>
    <row r="1340" customFormat="false" ht="15" hidden="false" customHeight="false" outlineLevel="0" collapsed="false">
      <c r="A1340" s="3" t="n">
        <v>30002255</v>
      </c>
      <c r="B1340" s="3" t="s">
        <v>538</v>
      </c>
      <c r="C1340" s="3" t="s">
        <v>1378</v>
      </c>
      <c r="D1340" s="23" t="n">
        <v>496.8</v>
      </c>
      <c r="E1340" s="23" t="n">
        <v>886.011068638521</v>
      </c>
      <c r="F1340" s="23" t="n">
        <f aca="false">D1340-E1340</f>
        <v>-389.211068638521</v>
      </c>
      <c r="G1340" s="24" t="n">
        <f aca="false">IF(E1340&gt;0,D1340/E1340-1,"")</f>
        <v>-0.439284657286052</v>
      </c>
      <c r="H1340" s="3" t="str">
        <f aca="false">IF(MAX(D1340,E1340)&lt;Parametros!$B$16,"",IF(E1340=0,"PIDE SIN FCST",IF(ABS(G1340)&gt;Parametros!$B$14,IF(G1340&gt;0,"SOBRE FCST","BAJO FCST"),"")))</f>
        <v/>
      </c>
    </row>
    <row r="1341" customFormat="false" ht="15" hidden="false" customHeight="false" outlineLevel="0" collapsed="false">
      <c r="A1341" s="3" t="n">
        <v>30001773</v>
      </c>
      <c r="B1341" s="3" t="s">
        <v>345</v>
      </c>
      <c r="C1341" s="3" t="s">
        <v>1375</v>
      </c>
      <c r="D1341" s="23" t="n">
        <v>5009.5</v>
      </c>
      <c r="E1341" s="23" t="n">
        <v>4621.37657169603</v>
      </c>
      <c r="F1341" s="23" t="n">
        <f aca="false">D1341-E1341</f>
        <v>388.123428303968</v>
      </c>
      <c r="G1341" s="24" t="n">
        <f aca="false">IF(E1341&gt;0,D1341/E1341-1,"")</f>
        <v>0.0839843761447745</v>
      </c>
      <c r="H1341" s="3" t="str">
        <f aca="false">IF(MAX(D1341,E1341)&lt;Parametros!$B$16,"",IF(E1341=0,"PIDE SIN FCST",IF(ABS(G1341)&gt;Parametros!$B$14,IF(G1341&gt;0,"SOBRE FCST","BAJO FCST"),"")))</f>
        <v/>
      </c>
    </row>
    <row r="1342" customFormat="false" ht="15" hidden="false" customHeight="false" outlineLevel="0" collapsed="false">
      <c r="A1342" s="3" t="n">
        <v>30000490</v>
      </c>
      <c r="B1342" s="3" t="s">
        <v>396</v>
      </c>
      <c r="C1342" s="3" t="s">
        <v>1377</v>
      </c>
      <c r="D1342" s="23" t="n">
        <v>658.8</v>
      </c>
      <c r="E1342" s="23" t="n">
        <v>1046.79335837799</v>
      </c>
      <c r="F1342" s="23" t="n">
        <f aca="false">D1342-E1342</f>
        <v>-387.993358377992</v>
      </c>
      <c r="G1342" s="24" t="n">
        <f aca="false">IF(E1342&gt;0,D1342/E1342-1,"")</f>
        <v>-0.370649426911906</v>
      </c>
      <c r="H1342" s="3" t="str">
        <f aca="false">IF(MAX(D1342,E1342)&lt;Parametros!$B$16,"",IF(E1342=0,"PIDE SIN FCST",IF(ABS(G1342)&gt;Parametros!$B$14,IF(G1342&gt;0,"SOBRE FCST","BAJO FCST"),"")))</f>
        <v>BAJO FCST</v>
      </c>
    </row>
    <row r="1343" customFormat="false" ht="15" hidden="false" customHeight="false" outlineLevel="0" collapsed="false">
      <c r="A1343" s="3" t="n">
        <v>30002065</v>
      </c>
      <c r="B1343" s="3" t="s">
        <v>313</v>
      </c>
      <c r="C1343" s="3" t="s">
        <v>1372</v>
      </c>
      <c r="D1343" s="23" t="n">
        <v>1008</v>
      </c>
      <c r="E1343" s="23" t="n">
        <v>620.62196193265</v>
      </c>
      <c r="F1343" s="23" t="n">
        <f aca="false">D1343-E1343</f>
        <v>387.37803806735</v>
      </c>
      <c r="G1343" s="24" t="n">
        <f aca="false">IF(E1343&gt;0,D1343/E1343-1,"")</f>
        <v>0.624177134919676</v>
      </c>
      <c r="H1343" s="3" t="str">
        <f aca="false">IF(MAX(D1343,E1343)&lt;Parametros!$B$16,"",IF(E1343=0,"PIDE SIN FCST",IF(ABS(G1343)&gt;Parametros!$B$14,IF(G1343&gt;0,"SOBRE FCST","BAJO FCST"),"")))</f>
        <v>SOBRE FCST</v>
      </c>
    </row>
    <row r="1344" customFormat="false" ht="15" hidden="false" customHeight="false" outlineLevel="0" collapsed="false">
      <c r="A1344" s="3" t="n">
        <v>30002200</v>
      </c>
      <c r="B1344" s="3" t="s">
        <v>357</v>
      </c>
      <c r="C1344" s="3" t="s">
        <v>1378</v>
      </c>
      <c r="D1344" s="23" t="n">
        <v>475.2</v>
      </c>
      <c r="E1344" s="23" t="n">
        <v>862.575065495737</v>
      </c>
      <c r="F1344" s="23" t="n">
        <f aca="false">D1344-E1344</f>
        <v>-387.375065495737</v>
      </c>
      <c r="G1344" s="24" t="n">
        <f aca="false">IF(E1344&gt;0,D1344/E1344-1,"")</f>
        <v>-0.449091425188723</v>
      </c>
      <c r="H1344" s="3" t="str">
        <f aca="false">IF(MAX(D1344,E1344)&lt;Parametros!$B$16,"",IF(E1344=0,"PIDE SIN FCST",IF(ABS(G1344)&gt;Parametros!$B$14,IF(G1344&gt;0,"SOBRE FCST","BAJO FCST"),"")))</f>
        <v/>
      </c>
    </row>
    <row r="1345" customFormat="false" ht="15" hidden="false" customHeight="false" outlineLevel="0" collapsed="false">
      <c r="A1345" s="3" t="n">
        <v>30001042</v>
      </c>
      <c r="B1345" s="3" t="s">
        <v>257</v>
      </c>
      <c r="C1345" s="3" t="s">
        <v>1379</v>
      </c>
      <c r="D1345" s="23" t="n">
        <v>1652.64</v>
      </c>
      <c r="E1345" s="23" t="n">
        <v>1265.27869449738</v>
      </c>
      <c r="F1345" s="23" t="n">
        <f aca="false">D1345-E1345</f>
        <v>387.36130550262</v>
      </c>
      <c r="G1345" s="24" t="n">
        <f aca="false">IF(E1345&gt;0,D1345/E1345-1,"")</f>
        <v>0.306147022934339</v>
      </c>
      <c r="H1345" s="3" t="str">
        <f aca="false">IF(MAX(D1345,E1345)&lt;Parametros!$B$16,"",IF(E1345=0,"PIDE SIN FCST",IF(ABS(G1345)&gt;Parametros!$B$14,IF(G1345&gt;0,"SOBRE FCST","BAJO FCST"),"")))</f>
        <v>SOBRE FCST</v>
      </c>
    </row>
    <row r="1346" customFormat="false" ht="15" hidden="false" customHeight="false" outlineLevel="0" collapsed="false">
      <c r="A1346" s="3" t="n">
        <v>30002253</v>
      </c>
      <c r="B1346" s="3" t="s">
        <v>555</v>
      </c>
      <c r="C1346" s="3" t="s">
        <v>1380</v>
      </c>
      <c r="D1346" s="23" t="n">
        <v>3412.8</v>
      </c>
      <c r="E1346" s="23" t="n">
        <v>3800</v>
      </c>
      <c r="F1346" s="23" t="n">
        <f aca="false">D1346-E1346</f>
        <v>-387.2</v>
      </c>
      <c r="G1346" s="24" t="n">
        <f aca="false">IF(E1346&gt;0,D1346/E1346-1,"")</f>
        <v>-0.101894736842105</v>
      </c>
      <c r="H1346" s="3" t="str">
        <f aca="false">IF(MAX(D1346,E1346)&lt;Parametros!$B$16,"",IF(E1346=0,"PIDE SIN FCST",IF(ABS(G1346)&gt;Parametros!$B$14,IF(G1346&gt;0,"SOBRE FCST","BAJO FCST"),"")))</f>
        <v/>
      </c>
    </row>
    <row r="1347" customFormat="false" ht="15" hidden="false" customHeight="false" outlineLevel="0" collapsed="false">
      <c r="A1347" s="3" t="n">
        <v>30002171</v>
      </c>
      <c r="B1347" s="3" t="s">
        <v>564</v>
      </c>
      <c r="C1347" s="3" t="s">
        <v>1379</v>
      </c>
      <c r="D1347" s="23" t="n">
        <v>0</v>
      </c>
      <c r="E1347" s="23" t="n">
        <v>386.655368083014</v>
      </c>
      <c r="F1347" s="23" t="n">
        <f aca="false">D1347-E1347</f>
        <v>-386.655368083014</v>
      </c>
      <c r="G1347" s="24" t="n">
        <f aca="false">IF(E1347&gt;0,D1347/E1347-1,"")</f>
        <v>-1</v>
      </c>
      <c r="H1347" s="3" t="str">
        <f aca="false">IF(MAX(D1347,E1347)&lt;Parametros!$B$16,"",IF(E1347=0,"PIDE SIN FCST",IF(ABS(G1347)&gt;Parametros!$B$14,IF(G1347&gt;0,"SOBRE FCST","BAJO FCST"),"")))</f>
        <v/>
      </c>
    </row>
    <row r="1348" customFormat="false" ht="15" hidden="false" customHeight="false" outlineLevel="0" collapsed="false">
      <c r="A1348" s="3" t="n">
        <v>30002292</v>
      </c>
      <c r="B1348" s="3" t="s">
        <v>443</v>
      </c>
      <c r="C1348" s="3" t="s">
        <v>1373</v>
      </c>
      <c r="D1348" s="23" t="n">
        <v>636</v>
      </c>
      <c r="E1348" s="23" t="n">
        <v>1022.59166666667</v>
      </c>
      <c r="F1348" s="23" t="n">
        <f aca="false">D1348-E1348</f>
        <v>-386.591666666667</v>
      </c>
      <c r="G1348" s="24" t="n">
        <f aca="false">IF(E1348&gt;0,D1348/E1348-1,"")</f>
        <v>-0.378050867485393</v>
      </c>
      <c r="H1348" s="3" t="str">
        <f aca="false">IF(MAX(D1348,E1348)&lt;Parametros!$B$16,"",IF(E1348=0,"PIDE SIN FCST",IF(ABS(G1348)&gt;Parametros!$B$14,IF(G1348&gt;0,"SOBRE FCST","BAJO FCST"),"")))</f>
        <v>BAJO FCST</v>
      </c>
    </row>
    <row r="1349" customFormat="false" ht="15" hidden="false" customHeight="false" outlineLevel="0" collapsed="false">
      <c r="A1349" s="3" t="n">
        <v>30001747</v>
      </c>
      <c r="B1349" s="3" t="s">
        <v>381</v>
      </c>
      <c r="C1349" s="3" t="s">
        <v>1375</v>
      </c>
      <c r="D1349" s="23" t="n">
        <v>3486.24</v>
      </c>
      <c r="E1349" s="23" t="n">
        <v>3100</v>
      </c>
      <c r="F1349" s="23" t="n">
        <f aca="false">D1349-E1349</f>
        <v>386.24</v>
      </c>
      <c r="G1349" s="24" t="n">
        <f aca="false">IF(E1349&gt;0,D1349/E1349-1,"")</f>
        <v>0.124593548387097</v>
      </c>
      <c r="H1349" s="3" t="str">
        <f aca="false">IF(MAX(D1349,E1349)&lt;Parametros!$B$16,"",IF(E1349=0,"PIDE SIN FCST",IF(ABS(G1349)&gt;Parametros!$B$14,IF(G1349&gt;0,"SOBRE FCST","BAJO FCST"),"")))</f>
        <v/>
      </c>
    </row>
    <row r="1350" customFormat="false" ht="15" hidden="false" customHeight="false" outlineLevel="0" collapsed="false">
      <c r="A1350" s="3" t="n">
        <v>30001980</v>
      </c>
      <c r="B1350" s="3" t="s">
        <v>389</v>
      </c>
      <c r="C1350" s="3" t="s">
        <v>1375</v>
      </c>
      <c r="D1350" s="23" t="n">
        <v>5314.5</v>
      </c>
      <c r="E1350" s="23" t="n">
        <v>5700</v>
      </c>
      <c r="F1350" s="23" t="n">
        <f aca="false">D1350-E1350</f>
        <v>-385.5</v>
      </c>
      <c r="G1350" s="24" t="n">
        <f aca="false">IF(E1350&gt;0,D1350/E1350-1,"")</f>
        <v>-0.0676315789473684</v>
      </c>
      <c r="H1350" s="3" t="str">
        <f aca="false">IF(MAX(D1350,E1350)&lt;Parametros!$B$16,"",IF(E1350=0,"PIDE SIN FCST",IF(ABS(G1350)&gt;Parametros!$B$14,IF(G1350&gt;0,"SOBRE FCST","BAJO FCST"),"")))</f>
        <v/>
      </c>
    </row>
    <row r="1351" customFormat="false" ht="15" hidden="false" customHeight="false" outlineLevel="0" collapsed="false">
      <c r="A1351" s="3" t="n">
        <v>30002138</v>
      </c>
      <c r="B1351" s="3" t="s">
        <v>494</v>
      </c>
      <c r="C1351" s="3" t="s">
        <v>1375</v>
      </c>
      <c r="D1351" s="23" t="n">
        <v>3784</v>
      </c>
      <c r="E1351" s="23" t="n">
        <v>3400</v>
      </c>
      <c r="F1351" s="23" t="n">
        <f aca="false">D1351-E1351</f>
        <v>384</v>
      </c>
      <c r="G1351" s="24" t="n">
        <f aca="false">IF(E1351&gt;0,D1351/E1351-1,"")</f>
        <v>0.112941176470588</v>
      </c>
      <c r="H1351" s="3" t="str">
        <f aca="false">IF(MAX(D1351,E1351)&lt;Parametros!$B$16,"",IF(E1351=0,"PIDE SIN FCST",IF(ABS(G1351)&gt;Parametros!$B$14,IF(G1351&gt;0,"SOBRE FCST","BAJO FCST"),"")))</f>
        <v/>
      </c>
    </row>
    <row r="1352" customFormat="false" ht="15" hidden="false" customHeight="false" outlineLevel="0" collapsed="false">
      <c r="A1352" s="3" t="n">
        <v>30000321</v>
      </c>
      <c r="B1352" s="3" t="s">
        <v>351</v>
      </c>
      <c r="C1352" s="3" t="s">
        <v>1377</v>
      </c>
      <c r="D1352" s="23" t="n">
        <v>1504</v>
      </c>
      <c r="E1352" s="23" t="n">
        <v>1120.24228604442</v>
      </c>
      <c r="F1352" s="23" t="n">
        <f aca="false">D1352-E1352</f>
        <v>383.757713955585</v>
      </c>
      <c r="G1352" s="24" t="n">
        <f aca="false">IF(E1352&gt;0,D1352/E1352-1,"")</f>
        <v>0.342566709662993</v>
      </c>
      <c r="H1352" s="3" t="str">
        <f aca="false">IF(MAX(D1352,E1352)&lt;Parametros!$B$16,"",IF(E1352=0,"PIDE SIN FCST",IF(ABS(G1352)&gt;Parametros!$B$14,IF(G1352&gt;0,"SOBRE FCST","BAJO FCST"),"")))</f>
        <v>SOBRE FCST</v>
      </c>
    </row>
    <row r="1353" customFormat="false" ht="15" hidden="false" customHeight="false" outlineLevel="0" collapsed="false">
      <c r="A1353" s="3" t="n">
        <v>30001494</v>
      </c>
      <c r="B1353" s="3" t="s">
        <v>411</v>
      </c>
      <c r="C1353" s="3" t="s">
        <v>1379</v>
      </c>
      <c r="D1353" s="23" t="n">
        <v>2230.4</v>
      </c>
      <c r="E1353" s="23" t="n">
        <v>2611.0380360952</v>
      </c>
      <c r="F1353" s="23" t="n">
        <f aca="false">D1353-E1353</f>
        <v>-380.638036095202</v>
      </c>
      <c r="G1353" s="24" t="n">
        <f aca="false">IF(E1353&gt;0,D1353/E1353-1,"")</f>
        <v>-0.145780348977392</v>
      </c>
      <c r="H1353" s="3" t="str">
        <f aca="false">IF(MAX(D1353,E1353)&lt;Parametros!$B$16,"",IF(E1353=0,"PIDE SIN FCST",IF(ABS(G1353)&gt;Parametros!$B$14,IF(G1353&gt;0,"SOBRE FCST","BAJO FCST"),"")))</f>
        <v/>
      </c>
    </row>
    <row r="1354" customFormat="false" ht="15" hidden="false" customHeight="false" outlineLevel="0" collapsed="false">
      <c r="A1354" s="3" t="n">
        <v>30002165</v>
      </c>
      <c r="B1354" s="3" t="s">
        <v>314</v>
      </c>
      <c r="C1354" s="3" t="s">
        <v>1378</v>
      </c>
      <c r="D1354" s="23" t="n">
        <v>2207.52</v>
      </c>
      <c r="E1354" s="23" t="n">
        <v>2587.72519648721</v>
      </c>
      <c r="F1354" s="23" t="n">
        <f aca="false">D1354-E1354</f>
        <v>-380.205196487209</v>
      </c>
      <c r="G1354" s="24" t="n">
        <f aca="false">IF(E1354&gt;0,D1354/E1354-1,"")</f>
        <v>-0.146926419004356</v>
      </c>
      <c r="H1354" s="3" t="str">
        <f aca="false">IF(MAX(D1354,E1354)&lt;Parametros!$B$16,"",IF(E1354=0,"PIDE SIN FCST",IF(ABS(G1354)&gt;Parametros!$B$14,IF(G1354&gt;0,"SOBRE FCST","BAJO FCST"),"")))</f>
        <v/>
      </c>
    </row>
    <row r="1355" customFormat="false" ht="15" hidden="false" customHeight="false" outlineLevel="0" collapsed="false">
      <c r="A1355" s="3" t="n">
        <v>30001876</v>
      </c>
      <c r="B1355" s="3" t="s">
        <v>373</v>
      </c>
      <c r="C1355" s="3" t="s">
        <v>1378</v>
      </c>
      <c r="D1355" s="23" t="n">
        <v>1674</v>
      </c>
      <c r="E1355" s="23" t="n">
        <v>1293.86259824361</v>
      </c>
      <c r="F1355" s="23" t="n">
        <f aca="false">D1355-E1355</f>
        <v>380.137401756395</v>
      </c>
      <c r="G1355" s="24" t="n">
        <f aca="false">IF(E1355&gt;0,D1355/E1355-1,"")</f>
        <v>0.293800440844665</v>
      </c>
      <c r="H1355" s="3" t="str">
        <f aca="false">IF(MAX(D1355,E1355)&lt;Parametros!$B$16,"",IF(E1355=0,"PIDE SIN FCST",IF(ABS(G1355)&gt;Parametros!$B$14,IF(G1355&gt;0,"SOBRE FCST","BAJO FCST"),"")))</f>
        <v>SOBRE FCST</v>
      </c>
    </row>
    <row r="1356" customFormat="false" ht="15" hidden="false" customHeight="false" outlineLevel="0" collapsed="false">
      <c r="A1356" s="3" t="n">
        <v>30000054</v>
      </c>
      <c r="B1356" s="3" t="s">
        <v>349</v>
      </c>
      <c r="C1356" s="3" t="s">
        <v>1378</v>
      </c>
      <c r="D1356" s="23" t="n">
        <v>1302.72</v>
      </c>
      <c r="E1356" s="23" t="n">
        <v>924.08</v>
      </c>
      <c r="F1356" s="23" t="n">
        <f aca="false">D1356-E1356</f>
        <v>378.64</v>
      </c>
      <c r="G1356" s="24" t="n">
        <f aca="false">IF(E1356&gt;0,D1356/E1356-1,"")</f>
        <v>0.409748073759848</v>
      </c>
      <c r="H1356" s="3" t="str">
        <f aca="false">IF(MAX(D1356,E1356)&lt;Parametros!$B$16,"",IF(E1356=0,"PIDE SIN FCST",IF(ABS(G1356)&gt;Parametros!$B$14,IF(G1356&gt;0,"SOBRE FCST","BAJO FCST"),"")))</f>
        <v>SOBRE FCST</v>
      </c>
    </row>
    <row r="1357" customFormat="false" ht="15" hidden="false" customHeight="false" outlineLevel="0" collapsed="false">
      <c r="A1357" s="3" t="n">
        <v>30000636</v>
      </c>
      <c r="B1357" s="3" t="s">
        <v>479</v>
      </c>
      <c r="C1357" s="3" t="s">
        <v>1378</v>
      </c>
      <c r="D1357" s="23" t="n">
        <v>777.6</v>
      </c>
      <c r="E1357" s="23" t="n">
        <v>400</v>
      </c>
      <c r="F1357" s="23" t="n">
        <f aca="false">D1357-E1357</f>
        <v>377.6</v>
      </c>
      <c r="G1357" s="24" t="n">
        <f aca="false">IF(E1357&gt;0,D1357/E1357-1,"")</f>
        <v>0.944</v>
      </c>
      <c r="H1357" s="3" t="str">
        <f aca="false">IF(MAX(D1357,E1357)&lt;Parametros!$B$16,"",IF(E1357=0,"PIDE SIN FCST",IF(ABS(G1357)&gt;Parametros!$B$14,IF(G1357&gt;0,"SOBRE FCST","BAJO FCST"),"")))</f>
        <v/>
      </c>
    </row>
    <row r="1358" customFormat="false" ht="15" hidden="false" customHeight="false" outlineLevel="0" collapsed="false">
      <c r="A1358" s="3" t="n">
        <v>30001708</v>
      </c>
      <c r="B1358" s="3" t="s">
        <v>530</v>
      </c>
      <c r="C1358" s="3" t="s">
        <v>1373</v>
      </c>
      <c r="D1358" s="23" t="n">
        <v>1206.24</v>
      </c>
      <c r="E1358" s="23" t="n">
        <v>830.679389610337</v>
      </c>
      <c r="F1358" s="23" t="n">
        <f aca="false">D1358-E1358</f>
        <v>375.560610389663</v>
      </c>
      <c r="G1358" s="24" t="n">
        <f aca="false">IF(E1358&gt;0,D1358/E1358-1,"")</f>
        <v>0.452112590112336</v>
      </c>
      <c r="H1358" s="3" t="str">
        <f aca="false">IF(MAX(D1358,E1358)&lt;Parametros!$B$16,"",IF(E1358=0,"PIDE SIN FCST",IF(ABS(G1358)&gt;Parametros!$B$14,IF(G1358&gt;0,"SOBRE FCST","BAJO FCST"),"")))</f>
        <v>SOBRE FCST</v>
      </c>
    </row>
    <row r="1359" customFormat="false" ht="15" hidden="false" customHeight="false" outlineLevel="0" collapsed="false">
      <c r="A1359" s="3" t="n">
        <v>30000039</v>
      </c>
      <c r="B1359" s="3" t="s">
        <v>406</v>
      </c>
      <c r="C1359" s="3" t="s">
        <v>1373</v>
      </c>
      <c r="D1359" s="23" t="n">
        <v>12624.7</v>
      </c>
      <c r="E1359" s="23" t="n">
        <v>13000</v>
      </c>
      <c r="F1359" s="23" t="n">
        <f aca="false">D1359-E1359</f>
        <v>-375.299999999999</v>
      </c>
      <c r="G1359" s="24" t="n">
        <f aca="false">IF(E1359&gt;0,D1359/E1359-1,"")</f>
        <v>-0.0288692307692308</v>
      </c>
      <c r="H1359" s="3" t="str">
        <f aca="false">IF(MAX(D1359,E1359)&lt;Parametros!$B$16,"",IF(E1359=0,"PIDE SIN FCST",IF(ABS(G1359)&gt;Parametros!$B$14,IF(G1359&gt;0,"SOBRE FCST","BAJO FCST"),"")))</f>
        <v/>
      </c>
    </row>
    <row r="1360" customFormat="false" ht="15" hidden="false" customHeight="false" outlineLevel="0" collapsed="false">
      <c r="A1360" s="3" t="n">
        <v>30001057</v>
      </c>
      <c r="B1360" s="3" t="s">
        <v>294</v>
      </c>
      <c r="C1360" s="3" t="s">
        <v>1373</v>
      </c>
      <c r="D1360" s="23" t="n">
        <v>2261.28</v>
      </c>
      <c r="E1360" s="23" t="n">
        <v>1886.17680169711</v>
      </c>
      <c r="F1360" s="23" t="n">
        <f aca="false">D1360-E1360</f>
        <v>375.103198302896</v>
      </c>
      <c r="G1360" s="24" t="n">
        <f aca="false">IF(E1360&gt;0,D1360/E1360-1,"")</f>
        <v>0.198869585271855</v>
      </c>
      <c r="H1360" s="3" t="str">
        <f aca="false">IF(MAX(D1360,E1360)&lt;Parametros!$B$16,"",IF(E1360=0,"PIDE SIN FCST",IF(ABS(G1360)&gt;Parametros!$B$14,IF(G1360&gt;0,"SOBRE FCST","BAJO FCST"),"")))</f>
        <v/>
      </c>
    </row>
    <row r="1361" customFormat="false" ht="15" hidden="false" customHeight="false" outlineLevel="0" collapsed="false">
      <c r="A1361" s="3" t="n">
        <v>30000067</v>
      </c>
      <c r="B1361" s="3" t="s">
        <v>597</v>
      </c>
      <c r="C1361" s="3" t="s">
        <v>1373</v>
      </c>
      <c r="D1361" s="23" t="n">
        <v>920</v>
      </c>
      <c r="E1361" s="23" t="n">
        <v>1293.86259824361</v>
      </c>
      <c r="F1361" s="23" t="n">
        <f aca="false">D1361-E1361</f>
        <v>-373.862598243605</v>
      </c>
      <c r="G1361" s="24" t="n">
        <f aca="false">IF(E1361&gt;0,D1361/E1361-1,"")</f>
        <v>-0.288950773251439</v>
      </c>
      <c r="H1361" s="3" t="str">
        <f aca="false">IF(MAX(D1361,E1361)&lt;Parametros!$B$16,"",IF(E1361=0,"PIDE SIN FCST",IF(ABS(G1361)&gt;Parametros!$B$14,IF(G1361&gt;0,"SOBRE FCST","BAJO FCST"),"")))</f>
        <v>BAJO FCST</v>
      </c>
    </row>
    <row r="1362" customFormat="false" ht="15" hidden="false" customHeight="false" outlineLevel="0" collapsed="false">
      <c r="A1362" s="3" t="n">
        <v>30000066</v>
      </c>
      <c r="B1362" s="3" t="s">
        <v>442</v>
      </c>
      <c r="C1362" s="3" t="s">
        <v>1379</v>
      </c>
      <c r="D1362" s="23" t="n">
        <v>14.4</v>
      </c>
      <c r="E1362" s="23" t="n">
        <v>388.158779473082</v>
      </c>
      <c r="F1362" s="23" t="n">
        <f aca="false">D1362-E1362</f>
        <v>-373.758779473082</v>
      </c>
      <c r="G1362" s="24" t="n">
        <f aca="false">IF(E1362&gt;0,D1362/E1362-1,"")</f>
        <v>-0.962901779473988</v>
      </c>
      <c r="H1362" s="3" t="str">
        <f aca="false">IF(MAX(D1362,E1362)&lt;Parametros!$B$16,"",IF(E1362=0,"PIDE SIN FCST",IF(ABS(G1362)&gt;Parametros!$B$14,IF(G1362&gt;0,"SOBRE FCST","BAJO FCST"),"")))</f>
        <v/>
      </c>
    </row>
    <row r="1363" customFormat="false" ht="15" hidden="false" customHeight="false" outlineLevel="0" collapsed="false">
      <c r="A1363" s="3" t="n">
        <v>30001689</v>
      </c>
      <c r="B1363" s="3" t="s">
        <v>358</v>
      </c>
      <c r="C1363" s="3" t="s">
        <v>1373</v>
      </c>
      <c r="D1363" s="23" t="n">
        <v>239.2</v>
      </c>
      <c r="E1363" s="23" t="n">
        <v>612.932739983821</v>
      </c>
      <c r="F1363" s="23" t="n">
        <f aca="false">D1363-E1363</f>
        <v>-373.732739983821</v>
      </c>
      <c r="G1363" s="24" t="n">
        <f aca="false">IF(E1363&gt;0,D1363/E1363-1,"")</f>
        <v>-0.609745108400779</v>
      </c>
      <c r="H1363" s="3" t="str">
        <f aca="false">IF(MAX(D1363,E1363)&lt;Parametros!$B$16,"",IF(E1363=0,"PIDE SIN FCST",IF(ABS(G1363)&gt;Parametros!$B$14,IF(G1363&gt;0,"SOBRE FCST","BAJO FCST"),"")))</f>
        <v/>
      </c>
    </row>
    <row r="1364" customFormat="false" ht="15" hidden="false" customHeight="false" outlineLevel="0" collapsed="false">
      <c r="A1364" s="3" t="n">
        <v>30000250</v>
      </c>
      <c r="B1364" s="3" t="s">
        <v>544</v>
      </c>
      <c r="C1364" s="3" t="s">
        <v>1373</v>
      </c>
      <c r="D1364" s="23" t="n">
        <v>60</v>
      </c>
      <c r="E1364" s="23" t="n">
        <v>431.287532747868</v>
      </c>
      <c r="F1364" s="23" t="n">
        <f aca="false">D1364-E1364</f>
        <v>-371.287532747868</v>
      </c>
      <c r="G1364" s="24" t="n">
        <f aca="false">IF(E1364&gt;0,D1364/E1364-1,"")</f>
        <v>-0.860881673027455</v>
      </c>
      <c r="H1364" s="3" t="str">
        <f aca="false">IF(MAX(D1364,E1364)&lt;Parametros!$B$16,"",IF(E1364=0,"PIDE SIN FCST",IF(ABS(G1364)&gt;Parametros!$B$14,IF(G1364&gt;0,"SOBRE FCST","BAJO FCST"),"")))</f>
        <v/>
      </c>
    </row>
    <row r="1365" customFormat="false" ht="15" hidden="false" customHeight="false" outlineLevel="0" collapsed="false">
      <c r="A1365" s="3" t="n">
        <v>30000173</v>
      </c>
      <c r="B1365" s="3" t="s">
        <v>484</v>
      </c>
      <c r="C1365" s="3" t="s">
        <v>1375</v>
      </c>
      <c r="D1365" s="23" t="n">
        <v>2620.8</v>
      </c>
      <c r="E1365" s="23" t="n">
        <v>2250</v>
      </c>
      <c r="F1365" s="23" t="n">
        <f aca="false">D1365-E1365</f>
        <v>370.8</v>
      </c>
      <c r="G1365" s="24" t="n">
        <f aca="false">IF(E1365&gt;0,D1365/E1365-1,"")</f>
        <v>0.1648</v>
      </c>
      <c r="H1365" s="3" t="str">
        <f aca="false">IF(MAX(D1365,E1365)&lt;Parametros!$B$16,"",IF(E1365=0,"PIDE SIN FCST",IF(ABS(G1365)&gt;Parametros!$B$14,IF(G1365&gt;0,"SOBRE FCST","BAJO FCST"),"")))</f>
        <v/>
      </c>
    </row>
    <row r="1366" customFormat="false" ht="15" hidden="false" customHeight="false" outlineLevel="0" collapsed="false">
      <c r="A1366" s="3" t="n">
        <v>30001924</v>
      </c>
      <c r="B1366" s="3" t="s">
        <v>563</v>
      </c>
      <c r="C1366" s="3" t="s">
        <v>1378</v>
      </c>
      <c r="D1366" s="23" t="n">
        <v>396</v>
      </c>
      <c r="E1366" s="23" t="n">
        <v>766.635053110774</v>
      </c>
      <c r="F1366" s="23" t="n">
        <f aca="false">D1366-E1366</f>
        <v>-370.635053110774</v>
      </c>
      <c r="G1366" s="24" t="n">
        <f aca="false">IF(E1366&gt;0,D1366/E1366-1,"")</f>
        <v>-0.483456961179702</v>
      </c>
      <c r="H1366" s="3" t="str">
        <f aca="false">IF(MAX(D1366,E1366)&lt;Parametros!$B$16,"",IF(E1366=0,"PIDE SIN FCST",IF(ABS(G1366)&gt;Parametros!$B$14,IF(G1366&gt;0,"SOBRE FCST","BAJO FCST"),"")))</f>
        <v/>
      </c>
    </row>
    <row r="1367" customFormat="false" ht="15" hidden="false" customHeight="false" outlineLevel="0" collapsed="false">
      <c r="A1367" s="3" t="n">
        <v>30001081</v>
      </c>
      <c r="B1367" s="3" t="s">
        <v>267</v>
      </c>
      <c r="C1367" s="3" t="s">
        <v>1373</v>
      </c>
      <c r="D1367" s="23" t="n">
        <v>3632.64</v>
      </c>
      <c r="E1367" s="23" t="n">
        <v>3262.82888177437</v>
      </c>
      <c r="F1367" s="23" t="n">
        <f aca="false">D1367-E1367</f>
        <v>369.81111822563</v>
      </c>
      <c r="G1367" s="24" t="n">
        <f aca="false">IF(E1367&gt;0,D1367/E1367-1,"")</f>
        <v>0.113340641395978</v>
      </c>
      <c r="H1367" s="3" t="str">
        <f aca="false">IF(MAX(D1367,E1367)&lt;Parametros!$B$16,"",IF(E1367=0,"PIDE SIN FCST",IF(ABS(G1367)&gt;Parametros!$B$14,IF(G1367&gt;0,"SOBRE FCST","BAJO FCST"),"")))</f>
        <v/>
      </c>
    </row>
    <row r="1368" customFormat="false" ht="15" hidden="false" customHeight="false" outlineLevel="0" collapsed="false">
      <c r="A1368" s="3" t="n">
        <v>30000608</v>
      </c>
      <c r="B1368" s="3" t="s">
        <v>416</v>
      </c>
      <c r="C1368" s="3" t="s">
        <v>1379</v>
      </c>
      <c r="D1368" s="23" t="n">
        <v>1518.72</v>
      </c>
      <c r="E1368" s="23" t="n">
        <v>1150</v>
      </c>
      <c r="F1368" s="23" t="n">
        <f aca="false">D1368-E1368</f>
        <v>368.72</v>
      </c>
      <c r="G1368" s="24" t="n">
        <f aca="false">IF(E1368&gt;0,D1368/E1368-1,"")</f>
        <v>0.320626086956522</v>
      </c>
      <c r="H1368" s="3" t="str">
        <f aca="false">IF(MAX(D1368,E1368)&lt;Parametros!$B$16,"",IF(E1368=0,"PIDE SIN FCST",IF(ABS(G1368)&gt;Parametros!$B$14,IF(G1368&gt;0,"SOBRE FCST","BAJO FCST"),"")))</f>
        <v>SOBRE FCST</v>
      </c>
    </row>
    <row r="1369" customFormat="false" ht="15" hidden="false" customHeight="false" outlineLevel="0" collapsed="false">
      <c r="A1369" s="3" t="n">
        <v>30002170</v>
      </c>
      <c r="B1369" s="3" t="s">
        <v>561</v>
      </c>
      <c r="C1369" s="3" t="s">
        <v>1378</v>
      </c>
      <c r="D1369" s="23" t="n">
        <v>211.2</v>
      </c>
      <c r="E1369" s="23" t="n">
        <v>578.023090412615</v>
      </c>
      <c r="F1369" s="23" t="n">
        <f aca="false">D1369-E1369</f>
        <v>-366.823090412615</v>
      </c>
      <c r="G1369" s="24" t="n">
        <f aca="false">IF(E1369&gt;0,D1369/E1369-1,"")</f>
        <v>-0.63461667275396</v>
      </c>
      <c r="H1369" s="3" t="str">
        <f aca="false">IF(MAX(D1369,E1369)&lt;Parametros!$B$16,"",IF(E1369=0,"PIDE SIN FCST",IF(ABS(G1369)&gt;Parametros!$B$14,IF(G1369&gt;0,"SOBRE FCST","BAJO FCST"),"")))</f>
        <v/>
      </c>
    </row>
    <row r="1370" customFormat="false" ht="15" hidden="false" customHeight="false" outlineLevel="0" collapsed="false">
      <c r="A1370" s="3" t="n">
        <v>30000010</v>
      </c>
      <c r="B1370" s="3" t="s">
        <v>331</v>
      </c>
      <c r="C1370" s="3" t="s">
        <v>1378</v>
      </c>
      <c r="D1370" s="23" t="n">
        <v>1140</v>
      </c>
      <c r="E1370" s="23" t="n">
        <v>1506.35553038547</v>
      </c>
      <c r="F1370" s="23" t="n">
        <f aca="false">D1370-E1370</f>
        <v>-366.355530385471</v>
      </c>
      <c r="G1370" s="24" t="n">
        <f aca="false">IF(E1370&gt;0,D1370/E1370-1,"")</f>
        <v>-0.243206549181468</v>
      </c>
      <c r="H1370" s="3" t="str">
        <f aca="false">IF(MAX(D1370,E1370)&lt;Parametros!$B$16,"",IF(E1370=0,"PIDE SIN FCST",IF(ABS(G1370)&gt;Parametros!$B$14,IF(G1370&gt;0,"SOBRE FCST","BAJO FCST"),"")))</f>
        <v>BAJO FCST</v>
      </c>
    </row>
    <row r="1371" customFormat="false" ht="15" hidden="false" customHeight="false" outlineLevel="0" collapsed="false">
      <c r="A1371" s="3" t="n">
        <v>30001522</v>
      </c>
      <c r="B1371" s="3" t="s">
        <v>453</v>
      </c>
      <c r="C1371" s="3" t="s">
        <v>1378</v>
      </c>
      <c r="D1371" s="23" t="n">
        <v>133.76</v>
      </c>
      <c r="E1371" s="23" t="n">
        <v>500</v>
      </c>
      <c r="F1371" s="23" t="n">
        <f aca="false">D1371-E1371</f>
        <v>-366.24</v>
      </c>
      <c r="G1371" s="24" t="n">
        <f aca="false">IF(E1371&gt;0,D1371/E1371-1,"")</f>
        <v>-0.73248</v>
      </c>
      <c r="H1371" s="3" t="str">
        <f aca="false">IF(MAX(D1371,E1371)&lt;Parametros!$B$16,"",IF(E1371=0,"PIDE SIN FCST",IF(ABS(G1371)&gt;Parametros!$B$14,IF(G1371&gt;0,"SOBRE FCST","BAJO FCST"),"")))</f>
        <v/>
      </c>
    </row>
    <row r="1372" customFormat="false" ht="15" hidden="false" customHeight="false" outlineLevel="0" collapsed="false">
      <c r="A1372" s="3" t="n">
        <v>30002177</v>
      </c>
      <c r="B1372" s="3" t="s">
        <v>285</v>
      </c>
      <c r="C1372" s="3" t="s">
        <v>1377</v>
      </c>
      <c r="D1372" s="23" t="n">
        <v>19623.6</v>
      </c>
      <c r="E1372" s="23" t="n">
        <v>19989.6613508035</v>
      </c>
      <c r="F1372" s="23" t="n">
        <f aca="false">D1372-E1372</f>
        <v>-366.061350803462</v>
      </c>
      <c r="G1372" s="24" t="n">
        <f aca="false">IF(E1372&gt;0,D1372/E1372-1,"")</f>
        <v>-0.0183125338833591</v>
      </c>
      <c r="H1372" s="3" t="str">
        <f aca="false">IF(MAX(D1372,E1372)&lt;Parametros!$B$16,"",IF(E1372=0,"PIDE SIN FCST",IF(ABS(G1372)&gt;Parametros!$B$14,IF(G1372&gt;0,"SOBRE FCST","BAJO FCST"),"")))</f>
        <v/>
      </c>
    </row>
    <row r="1373" customFormat="false" ht="15" hidden="false" customHeight="false" outlineLevel="0" collapsed="false">
      <c r="A1373" s="3" t="n">
        <v>30001889</v>
      </c>
      <c r="B1373" s="3" t="s">
        <v>507</v>
      </c>
      <c r="C1373" s="3" t="s">
        <v>1373</v>
      </c>
      <c r="D1373" s="23" t="n">
        <v>535.2</v>
      </c>
      <c r="E1373" s="23" t="n">
        <v>170.10372506221</v>
      </c>
      <c r="F1373" s="23" t="n">
        <f aca="false">D1373-E1373</f>
        <v>365.096274937791</v>
      </c>
      <c r="G1373" s="24" t="n">
        <f aca="false">IF(E1373&gt;0,D1373/E1373-1,"")</f>
        <v>2.14631557777038</v>
      </c>
      <c r="H1373" s="3" t="str">
        <f aca="false">IF(MAX(D1373,E1373)&lt;Parametros!$B$16,"",IF(E1373=0,"PIDE SIN FCST",IF(ABS(G1373)&gt;Parametros!$B$14,IF(G1373&gt;0,"SOBRE FCST","BAJO FCST"),"")))</f>
        <v/>
      </c>
    </row>
    <row r="1374" customFormat="false" ht="15" hidden="false" customHeight="false" outlineLevel="0" collapsed="false">
      <c r="A1374" s="3" t="n">
        <v>30001754</v>
      </c>
      <c r="B1374" s="3" t="s">
        <v>296</v>
      </c>
      <c r="C1374" s="3" t="s">
        <v>1380</v>
      </c>
      <c r="D1374" s="23" t="n">
        <v>17463.6</v>
      </c>
      <c r="E1374" s="23" t="n">
        <v>17100</v>
      </c>
      <c r="F1374" s="23" t="n">
        <f aca="false">D1374-E1374</f>
        <v>363.599999999999</v>
      </c>
      <c r="G1374" s="24" t="n">
        <f aca="false">IF(E1374&gt;0,D1374/E1374-1,"")</f>
        <v>0.0212631578947367</v>
      </c>
      <c r="H1374" s="3" t="str">
        <f aca="false">IF(MAX(D1374,E1374)&lt;Parametros!$B$16,"",IF(E1374=0,"PIDE SIN FCST",IF(ABS(G1374)&gt;Parametros!$B$14,IF(G1374&gt;0,"SOBRE FCST","BAJO FCST"),"")))</f>
        <v/>
      </c>
    </row>
    <row r="1375" customFormat="false" ht="15" hidden="false" customHeight="false" outlineLevel="0" collapsed="false">
      <c r="A1375" s="3" t="n">
        <v>30001889</v>
      </c>
      <c r="B1375" s="3" t="s">
        <v>507</v>
      </c>
      <c r="C1375" s="3" t="s">
        <v>1378</v>
      </c>
      <c r="D1375" s="23" t="n">
        <v>52.8</v>
      </c>
      <c r="E1375" s="23" t="n">
        <v>415.176305772231</v>
      </c>
      <c r="F1375" s="23" t="n">
        <f aca="false">D1375-E1375</f>
        <v>-362.376305772231</v>
      </c>
      <c r="G1375" s="24" t="n">
        <f aca="false">IF(E1375&gt;0,D1375/E1375-1,"")</f>
        <v>-0.872825112450019</v>
      </c>
      <c r="H1375" s="3" t="str">
        <f aca="false">IF(MAX(D1375,E1375)&lt;Parametros!$B$16,"",IF(E1375=0,"PIDE SIN FCST",IF(ABS(G1375)&gt;Parametros!$B$14,IF(G1375&gt;0,"SOBRE FCST","BAJO FCST"),"")))</f>
        <v/>
      </c>
    </row>
    <row r="1376" customFormat="false" ht="15" hidden="false" customHeight="false" outlineLevel="0" collapsed="false">
      <c r="A1376" s="3" t="n">
        <v>30000318</v>
      </c>
      <c r="B1376" s="3" t="s">
        <v>306</v>
      </c>
      <c r="C1376" s="3" t="s">
        <v>1380</v>
      </c>
      <c r="D1376" s="23" t="n">
        <v>12096</v>
      </c>
      <c r="E1376" s="23" t="n">
        <v>11734.2</v>
      </c>
      <c r="F1376" s="23" t="n">
        <f aca="false">D1376-E1376</f>
        <v>361.799999999999</v>
      </c>
      <c r="G1376" s="24" t="n">
        <f aca="false">IF(E1376&gt;0,D1376/E1376-1,"")</f>
        <v>0.0308329498389324</v>
      </c>
      <c r="H1376" s="3" t="str">
        <f aca="false">IF(MAX(D1376,E1376)&lt;Parametros!$B$16,"",IF(E1376=0,"PIDE SIN FCST",IF(ABS(G1376)&gt;Parametros!$B$14,IF(G1376&gt;0,"SOBRE FCST","BAJO FCST"),"")))</f>
        <v/>
      </c>
    </row>
    <row r="1377" customFormat="false" ht="15" hidden="false" customHeight="false" outlineLevel="0" collapsed="false">
      <c r="A1377" s="3" t="n">
        <v>30001709</v>
      </c>
      <c r="B1377" s="3" t="s">
        <v>343</v>
      </c>
      <c r="C1377" s="3" t="s">
        <v>1372</v>
      </c>
      <c r="D1377" s="23" t="n">
        <v>0</v>
      </c>
      <c r="E1377" s="23" t="n">
        <v>361.167567834719</v>
      </c>
      <c r="F1377" s="23" t="n">
        <f aca="false">D1377-E1377</f>
        <v>-361.167567834719</v>
      </c>
      <c r="G1377" s="24" t="n">
        <f aca="false">IF(E1377&gt;0,D1377/E1377-1,"")</f>
        <v>-1</v>
      </c>
      <c r="H1377" s="3" t="str">
        <f aca="false">IF(MAX(D1377,E1377)&lt;Parametros!$B$16,"",IF(E1377=0,"PIDE SIN FCST",IF(ABS(G1377)&gt;Parametros!$B$14,IF(G1377&gt;0,"SOBRE FCST","BAJO FCST"),"")))</f>
        <v/>
      </c>
    </row>
    <row r="1378" customFormat="false" ht="15" hidden="false" customHeight="false" outlineLevel="0" collapsed="false">
      <c r="A1378" s="3" t="n">
        <v>30002289</v>
      </c>
      <c r="B1378" s="3" t="s">
        <v>585</v>
      </c>
      <c r="C1378" s="3" t="s">
        <v>1379</v>
      </c>
      <c r="D1378" s="23" t="n">
        <v>808.8</v>
      </c>
      <c r="E1378" s="23" t="n">
        <v>450</v>
      </c>
      <c r="F1378" s="23" t="n">
        <f aca="false">D1378-E1378</f>
        <v>358.8</v>
      </c>
      <c r="G1378" s="24" t="n">
        <f aca="false">IF(E1378&gt;0,D1378/E1378-1,"")</f>
        <v>0.797333333333333</v>
      </c>
      <c r="H1378" s="3" t="str">
        <f aca="false">IF(MAX(D1378,E1378)&lt;Parametros!$B$16,"",IF(E1378=0,"PIDE SIN FCST",IF(ABS(G1378)&gt;Parametros!$B$14,IF(G1378&gt;0,"SOBRE FCST","BAJO FCST"),"")))</f>
        <v/>
      </c>
    </row>
    <row r="1379" customFormat="false" ht="15" hidden="false" customHeight="false" outlineLevel="0" collapsed="false">
      <c r="A1379" s="3" t="n">
        <v>30001943</v>
      </c>
      <c r="B1379" s="3" t="s">
        <v>520</v>
      </c>
      <c r="C1379" s="3" t="s">
        <v>1379</v>
      </c>
      <c r="D1379" s="23" t="n">
        <v>787.2</v>
      </c>
      <c r="E1379" s="23" t="n">
        <v>431.287532747868</v>
      </c>
      <c r="F1379" s="23" t="n">
        <f aca="false">D1379-E1379</f>
        <v>355.912467252132</v>
      </c>
      <c r="G1379" s="24" t="n">
        <f aca="false">IF(E1379&gt;0,D1379/E1379-1,"")</f>
        <v>0.825232449879786</v>
      </c>
      <c r="H1379" s="3" t="str">
        <f aca="false">IF(MAX(D1379,E1379)&lt;Parametros!$B$16,"",IF(E1379=0,"PIDE SIN FCST",IF(ABS(G1379)&gt;Parametros!$B$14,IF(G1379&gt;0,"SOBRE FCST","BAJO FCST"),"")))</f>
        <v/>
      </c>
    </row>
    <row r="1380" customFormat="false" ht="15" hidden="false" customHeight="false" outlineLevel="0" collapsed="false">
      <c r="A1380" s="3" t="n">
        <v>30000321</v>
      </c>
      <c r="B1380" s="3" t="s">
        <v>351</v>
      </c>
      <c r="C1380" s="3" t="s">
        <v>1373</v>
      </c>
      <c r="D1380" s="23" t="n">
        <v>2152</v>
      </c>
      <c r="E1380" s="23" t="n">
        <v>1796.7</v>
      </c>
      <c r="F1380" s="23" t="n">
        <f aca="false">D1380-E1380</f>
        <v>355.3</v>
      </c>
      <c r="G1380" s="24" t="n">
        <f aca="false">IF(E1380&gt;0,D1380/E1380-1,"")</f>
        <v>0.197751433183058</v>
      </c>
      <c r="H1380" s="3" t="str">
        <f aca="false">IF(MAX(D1380,E1380)&lt;Parametros!$B$16,"",IF(E1380=0,"PIDE SIN FCST",IF(ABS(G1380)&gt;Parametros!$B$14,IF(G1380&gt;0,"SOBRE FCST","BAJO FCST"),"")))</f>
        <v/>
      </c>
    </row>
    <row r="1381" customFormat="false" ht="15" hidden="false" customHeight="false" outlineLevel="0" collapsed="false">
      <c r="A1381" s="3" t="n">
        <v>30001780</v>
      </c>
      <c r="B1381" s="3" t="s">
        <v>340</v>
      </c>
      <c r="C1381" s="3" t="s">
        <v>1372</v>
      </c>
      <c r="D1381" s="23" t="n">
        <v>2424.384</v>
      </c>
      <c r="E1381" s="23" t="n">
        <v>2778.856</v>
      </c>
      <c r="F1381" s="23" t="n">
        <f aca="false">D1381-E1381</f>
        <v>-354.472</v>
      </c>
      <c r="G1381" s="24" t="n">
        <f aca="false">IF(E1381&gt;0,D1381/E1381-1,"")</f>
        <v>-0.127560406152748</v>
      </c>
      <c r="H1381" s="3" t="str">
        <f aca="false">IF(MAX(D1381,E1381)&lt;Parametros!$B$16,"",IF(E1381=0,"PIDE SIN FCST",IF(ABS(G1381)&gt;Parametros!$B$14,IF(G1381&gt;0,"SOBRE FCST","BAJO FCST"),"")))</f>
        <v/>
      </c>
    </row>
    <row r="1382" customFormat="false" ht="15" hidden="false" customHeight="false" outlineLevel="0" collapsed="false">
      <c r="A1382" s="3" t="n">
        <v>30001017</v>
      </c>
      <c r="B1382" s="3" t="s">
        <v>360</v>
      </c>
      <c r="C1382" s="3" t="s">
        <v>1380</v>
      </c>
      <c r="D1382" s="23" t="n">
        <v>6624</v>
      </c>
      <c r="E1382" s="23" t="n">
        <v>6269.87744987659</v>
      </c>
      <c r="F1382" s="23" t="n">
        <f aca="false">D1382-E1382</f>
        <v>354.122550123415</v>
      </c>
      <c r="G1382" s="24" t="n">
        <f aca="false">IF(E1382&gt;0,D1382/E1382-1,"")</f>
        <v>0.0564799795457542</v>
      </c>
      <c r="H1382" s="3" t="str">
        <f aca="false">IF(MAX(D1382,E1382)&lt;Parametros!$B$16,"",IF(E1382=0,"PIDE SIN FCST",IF(ABS(G1382)&gt;Parametros!$B$14,IF(G1382&gt;0,"SOBRE FCST","BAJO FCST"),"")))</f>
        <v/>
      </c>
    </row>
    <row r="1383" customFormat="false" ht="15" hidden="false" customHeight="false" outlineLevel="0" collapsed="false">
      <c r="A1383" s="3" t="n">
        <v>30001031</v>
      </c>
      <c r="B1383" s="3" t="s">
        <v>334</v>
      </c>
      <c r="C1383" s="3" t="s">
        <v>1377</v>
      </c>
      <c r="D1383" s="23" t="n">
        <v>648</v>
      </c>
      <c r="E1383" s="23" t="n">
        <v>1001.65262737398</v>
      </c>
      <c r="F1383" s="23" t="n">
        <f aca="false">D1383-E1383</f>
        <v>-353.652627373982</v>
      </c>
      <c r="G1383" s="24" t="n">
        <f aca="false">IF(E1383&gt;0,D1383/E1383-1,"")</f>
        <v>-0.35306913565549</v>
      </c>
      <c r="H1383" s="3" t="str">
        <f aca="false">IF(MAX(D1383,E1383)&lt;Parametros!$B$16,"",IF(E1383=0,"PIDE SIN FCST",IF(ABS(G1383)&gt;Parametros!$B$14,IF(G1383&gt;0,"SOBRE FCST","BAJO FCST"),"")))</f>
        <v>BAJO FCST</v>
      </c>
    </row>
    <row r="1384" customFormat="false" ht="15" hidden="false" customHeight="false" outlineLevel="0" collapsed="false">
      <c r="A1384" s="3" t="n">
        <v>30000648</v>
      </c>
      <c r="B1384" s="3" t="s">
        <v>487</v>
      </c>
      <c r="C1384" s="3" t="s">
        <v>1373</v>
      </c>
      <c r="D1384" s="23" t="n">
        <v>1447.04</v>
      </c>
      <c r="E1384" s="23" t="n">
        <v>1800</v>
      </c>
      <c r="F1384" s="23" t="n">
        <f aca="false">D1384-E1384</f>
        <v>-352.96</v>
      </c>
      <c r="G1384" s="24" t="n">
        <f aca="false">IF(E1384&gt;0,D1384/E1384-1,"")</f>
        <v>-0.196088888888889</v>
      </c>
      <c r="H1384" s="3" t="str">
        <f aca="false">IF(MAX(D1384,E1384)&lt;Parametros!$B$16,"",IF(E1384=0,"PIDE SIN FCST",IF(ABS(G1384)&gt;Parametros!$B$14,IF(G1384&gt;0,"SOBRE FCST","BAJO FCST"),"")))</f>
        <v/>
      </c>
    </row>
    <row r="1385" customFormat="false" ht="15" hidden="false" customHeight="false" outlineLevel="0" collapsed="false">
      <c r="A1385" s="3" t="n">
        <v>30001092</v>
      </c>
      <c r="B1385" s="3" t="s">
        <v>473</v>
      </c>
      <c r="C1385" s="3" t="s">
        <v>1379</v>
      </c>
      <c r="D1385" s="23" t="n">
        <v>79.2</v>
      </c>
      <c r="E1385" s="23" t="n">
        <v>431.287532747868</v>
      </c>
      <c r="F1385" s="23" t="n">
        <f aca="false">D1385-E1385</f>
        <v>-352.087532747868</v>
      </c>
      <c r="G1385" s="24" t="n">
        <f aca="false">IF(E1385&gt;0,D1385/E1385-1,"")</f>
        <v>-0.816363808396241</v>
      </c>
      <c r="H1385" s="3" t="str">
        <f aca="false">IF(MAX(D1385,E1385)&lt;Parametros!$B$16,"",IF(E1385=0,"PIDE SIN FCST",IF(ABS(G1385)&gt;Parametros!$B$14,IF(G1385&gt;0,"SOBRE FCST","BAJO FCST"),"")))</f>
        <v/>
      </c>
    </row>
    <row r="1386" customFormat="false" ht="15" hidden="false" customHeight="false" outlineLevel="0" collapsed="false">
      <c r="A1386" s="3" t="n">
        <v>30001410</v>
      </c>
      <c r="B1386" s="3" t="s">
        <v>324</v>
      </c>
      <c r="C1386" s="3" t="s">
        <v>1373</v>
      </c>
      <c r="D1386" s="23" t="n">
        <v>3024</v>
      </c>
      <c r="E1386" s="23" t="n">
        <v>3375.96</v>
      </c>
      <c r="F1386" s="23" t="n">
        <f aca="false">D1386-E1386</f>
        <v>-351.960000000001</v>
      </c>
      <c r="G1386" s="24" t="n">
        <f aca="false">IF(E1386&gt;0,D1386/E1386-1,"")</f>
        <v>-0.104254789748694</v>
      </c>
      <c r="H1386" s="3" t="str">
        <f aca="false">IF(MAX(D1386,E1386)&lt;Parametros!$B$16,"",IF(E1386=0,"PIDE SIN FCST",IF(ABS(G1386)&gt;Parametros!$B$14,IF(G1386&gt;0,"SOBRE FCST","BAJO FCST"),"")))</f>
        <v/>
      </c>
    </row>
    <row r="1387" customFormat="false" ht="15" hidden="false" customHeight="false" outlineLevel="0" collapsed="false">
      <c r="A1387" s="3" t="n">
        <v>30001750</v>
      </c>
      <c r="B1387" s="3" t="s">
        <v>298</v>
      </c>
      <c r="C1387" s="3" t="s">
        <v>1376</v>
      </c>
      <c r="D1387" s="23" t="n">
        <v>48.6</v>
      </c>
      <c r="E1387" s="23" t="n">
        <v>400</v>
      </c>
      <c r="F1387" s="23" t="n">
        <f aca="false">D1387-E1387</f>
        <v>-351.4</v>
      </c>
      <c r="G1387" s="24" t="n">
        <f aca="false">IF(E1387&gt;0,D1387/E1387-1,"")</f>
        <v>-0.8785</v>
      </c>
      <c r="H1387" s="3" t="str">
        <f aca="false">IF(MAX(D1387,E1387)&lt;Parametros!$B$16,"",IF(E1387=0,"PIDE SIN FCST",IF(ABS(G1387)&gt;Parametros!$B$14,IF(G1387&gt;0,"SOBRE FCST","BAJO FCST"),"")))</f>
        <v/>
      </c>
    </row>
    <row r="1388" customFormat="false" ht="15" hidden="false" customHeight="false" outlineLevel="0" collapsed="false">
      <c r="A1388" s="3" t="n">
        <v>30001895</v>
      </c>
      <c r="B1388" s="3" t="s">
        <v>341</v>
      </c>
      <c r="C1388" s="3" t="s">
        <v>1372</v>
      </c>
      <c r="D1388" s="23" t="n">
        <v>2295.2</v>
      </c>
      <c r="E1388" s="23" t="n">
        <v>1944.24373119358</v>
      </c>
      <c r="F1388" s="23" t="n">
        <f aca="false">D1388-E1388</f>
        <v>350.956268806419</v>
      </c>
      <c r="G1388" s="24" t="n">
        <f aca="false">IF(E1388&gt;0,D1388/E1388-1,"")</f>
        <v>0.180510428386962</v>
      </c>
      <c r="H1388" s="3" t="str">
        <f aca="false">IF(MAX(D1388,E1388)&lt;Parametros!$B$16,"",IF(E1388=0,"PIDE SIN FCST",IF(ABS(G1388)&gt;Parametros!$B$14,IF(G1388&gt;0,"SOBRE FCST","BAJO FCST"),"")))</f>
        <v/>
      </c>
    </row>
    <row r="1389" customFormat="false" ht="15" hidden="false" customHeight="false" outlineLevel="0" collapsed="false">
      <c r="A1389" s="3" t="n">
        <v>30002284</v>
      </c>
      <c r="B1389" s="3" t="s">
        <v>625</v>
      </c>
      <c r="C1389" s="3" t="s">
        <v>1372</v>
      </c>
      <c r="D1389" s="23" t="n">
        <v>0</v>
      </c>
      <c r="E1389" s="23" t="n">
        <v>350.7</v>
      </c>
      <c r="F1389" s="23" t="n">
        <f aca="false">D1389-E1389</f>
        <v>-350.7</v>
      </c>
      <c r="G1389" s="24" t="n">
        <f aca="false">IF(E1389&gt;0,D1389/E1389-1,"")</f>
        <v>-1</v>
      </c>
      <c r="H1389" s="3" t="str">
        <f aca="false">IF(MAX(D1389,E1389)&lt;Parametros!$B$16,"",IF(E1389=0,"PIDE SIN FCST",IF(ABS(G1389)&gt;Parametros!$B$14,IF(G1389&gt;0,"SOBRE FCST","BAJO FCST"),"")))</f>
        <v/>
      </c>
    </row>
    <row r="1390" customFormat="false" ht="15" hidden="false" customHeight="false" outlineLevel="0" collapsed="false">
      <c r="A1390" s="3" t="n">
        <v>30002162</v>
      </c>
      <c r="B1390" s="3" t="s">
        <v>601</v>
      </c>
      <c r="C1390" s="3" t="s">
        <v>1379</v>
      </c>
      <c r="D1390" s="23" t="n">
        <v>81</v>
      </c>
      <c r="E1390" s="23" t="n">
        <v>431.287532747868</v>
      </c>
      <c r="F1390" s="23" t="n">
        <f aca="false">D1390-E1390</f>
        <v>-350.287532747868</v>
      </c>
      <c r="G1390" s="24" t="n">
        <f aca="false">IF(E1390&gt;0,D1390/E1390-1,"")</f>
        <v>-0.812190258587065</v>
      </c>
      <c r="H1390" s="3" t="str">
        <f aca="false">IF(MAX(D1390,E1390)&lt;Parametros!$B$16,"",IF(E1390=0,"PIDE SIN FCST",IF(ABS(G1390)&gt;Parametros!$B$14,IF(G1390&gt;0,"SOBRE FCST","BAJO FCST"),"")))</f>
        <v/>
      </c>
    </row>
    <row r="1391" customFormat="false" ht="15" hidden="false" customHeight="false" outlineLevel="0" collapsed="false">
      <c r="A1391" s="3" t="n">
        <v>30000500</v>
      </c>
      <c r="B1391" s="3" t="s">
        <v>526</v>
      </c>
      <c r="C1391" s="3" t="s">
        <v>1377</v>
      </c>
      <c r="D1391" s="23" t="n">
        <v>1101.6</v>
      </c>
      <c r="E1391" s="23" t="n">
        <v>751.466181196764</v>
      </c>
      <c r="F1391" s="23" t="n">
        <f aca="false">D1391-E1391</f>
        <v>350.133818803236</v>
      </c>
      <c r="G1391" s="24" t="n">
        <f aca="false">IF(E1391&gt;0,D1391/E1391-1,"")</f>
        <v>0.465934233055735</v>
      </c>
      <c r="H1391" s="3" t="str">
        <f aca="false">IF(MAX(D1391,E1391)&lt;Parametros!$B$16,"",IF(E1391=0,"PIDE SIN FCST",IF(ABS(G1391)&gt;Parametros!$B$14,IF(G1391&gt;0,"SOBRE FCST","BAJO FCST"),"")))</f>
        <v>SOBRE FCST</v>
      </c>
    </row>
    <row r="1392" customFormat="false" ht="15" hidden="false" customHeight="false" outlineLevel="0" collapsed="false">
      <c r="A1392" s="3" t="n">
        <v>30001773</v>
      </c>
      <c r="B1392" s="3" t="s">
        <v>345</v>
      </c>
      <c r="C1392" s="3" t="s">
        <v>1373</v>
      </c>
      <c r="D1392" s="23" t="n">
        <v>349.5</v>
      </c>
      <c r="E1392" s="23" t="n">
        <v>0</v>
      </c>
      <c r="F1392" s="23" t="n">
        <f aca="false">D1392-E1392</f>
        <v>349.5</v>
      </c>
      <c r="G1392" s="24" t="str">
        <f aca="false">IF(E1392&gt;0,D1392/E1392-1,"")</f>
        <v/>
      </c>
      <c r="H1392" s="3" t="str">
        <f aca="false">IF(MAX(D1392,E1392)&lt;Parametros!$B$16,"",IF(E1392=0,"PIDE SIN FCST",IF(ABS(G1392)&gt;Parametros!$B$14,IF(G1392&gt;0,"SOBRE FCST","BAJO FCST"),"")))</f>
        <v/>
      </c>
    </row>
    <row r="1393" customFormat="false" ht="15" hidden="false" customHeight="false" outlineLevel="0" collapsed="false">
      <c r="A1393" s="3" t="n">
        <v>30000648</v>
      </c>
      <c r="B1393" s="3" t="s">
        <v>487</v>
      </c>
      <c r="C1393" s="3" t="s">
        <v>1378</v>
      </c>
      <c r="D1393" s="23" t="n">
        <v>97.28</v>
      </c>
      <c r="E1393" s="23" t="n">
        <v>446.48</v>
      </c>
      <c r="F1393" s="23" t="n">
        <f aca="false">D1393-E1393</f>
        <v>-349.2</v>
      </c>
      <c r="G1393" s="24" t="n">
        <f aca="false">IF(E1393&gt;0,D1393/E1393-1,"")</f>
        <v>-0.782117900017918</v>
      </c>
      <c r="H1393" s="3" t="str">
        <f aca="false">IF(MAX(D1393,E1393)&lt;Parametros!$B$16,"",IF(E1393=0,"PIDE SIN FCST",IF(ABS(G1393)&gt;Parametros!$B$14,IF(G1393&gt;0,"SOBRE FCST","BAJO FCST"),"")))</f>
        <v/>
      </c>
    </row>
    <row r="1394" customFormat="false" ht="15" hidden="false" customHeight="false" outlineLevel="0" collapsed="false">
      <c r="A1394" s="3" t="n">
        <v>30001828</v>
      </c>
      <c r="B1394" s="3" t="s">
        <v>510</v>
      </c>
      <c r="C1394" s="3" t="s">
        <v>1377</v>
      </c>
      <c r="D1394" s="23" t="n">
        <v>46.8</v>
      </c>
      <c r="E1394" s="23" t="n">
        <v>395.552720592545</v>
      </c>
      <c r="F1394" s="23" t="n">
        <f aca="false">D1394-E1394</f>
        <v>-348.752720592545</v>
      </c>
      <c r="G1394" s="24" t="n">
        <f aca="false">IF(E1394&gt;0,D1394/E1394-1,"")</f>
        <v>-0.881684545286674</v>
      </c>
      <c r="H1394" s="3" t="str">
        <f aca="false">IF(MAX(D1394,E1394)&lt;Parametros!$B$16,"",IF(E1394=0,"PIDE SIN FCST",IF(ABS(G1394)&gt;Parametros!$B$14,IF(G1394&gt;0,"SOBRE FCST","BAJO FCST"),"")))</f>
        <v/>
      </c>
    </row>
    <row r="1395" customFormat="false" ht="15" hidden="false" customHeight="false" outlineLevel="0" collapsed="false">
      <c r="A1395" s="3" t="n">
        <v>30000053</v>
      </c>
      <c r="B1395" s="3" t="s">
        <v>525</v>
      </c>
      <c r="C1395" s="3" t="s">
        <v>1375</v>
      </c>
      <c r="D1395" s="23" t="n">
        <v>1398.6</v>
      </c>
      <c r="E1395" s="23" t="n">
        <v>1050</v>
      </c>
      <c r="F1395" s="23" t="n">
        <f aca="false">D1395-E1395</f>
        <v>348.6</v>
      </c>
      <c r="G1395" s="24" t="n">
        <f aca="false">IF(E1395&gt;0,D1395/E1395-1,"")</f>
        <v>0.332</v>
      </c>
      <c r="H1395" s="3" t="str">
        <f aca="false">IF(MAX(D1395,E1395)&lt;Parametros!$B$16,"",IF(E1395=0,"PIDE SIN FCST",IF(ABS(G1395)&gt;Parametros!$B$14,IF(G1395&gt;0,"SOBRE FCST","BAJO FCST"),"")))</f>
        <v>SOBRE FCST</v>
      </c>
    </row>
    <row r="1396" customFormat="false" ht="15" hidden="false" customHeight="false" outlineLevel="0" collapsed="false">
      <c r="A1396" s="3" t="n">
        <v>30002134</v>
      </c>
      <c r="B1396" s="3" t="s">
        <v>444</v>
      </c>
      <c r="C1396" s="3" t="s">
        <v>1379</v>
      </c>
      <c r="D1396" s="23" t="n">
        <v>2073.6</v>
      </c>
      <c r="E1396" s="23" t="n">
        <v>1725.15013099147</v>
      </c>
      <c r="F1396" s="23" t="n">
        <f aca="false">D1396-E1396</f>
        <v>348.449869008527</v>
      </c>
      <c r="G1396" s="24" t="n">
        <f aca="false">IF(E1396&gt;0,D1396/E1396-1,"")</f>
        <v>0.201982345042786</v>
      </c>
      <c r="H1396" s="3" t="str">
        <f aca="false">IF(MAX(D1396,E1396)&lt;Parametros!$B$16,"",IF(E1396=0,"PIDE SIN FCST",IF(ABS(G1396)&gt;Parametros!$B$14,IF(G1396&gt;0,"SOBRE FCST","BAJO FCST"),"")))</f>
        <v>SOBRE FCST</v>
      </c>
    </row>
    <row r="1397" customFormat="false" ht="15" hidden="false" customHeight="false" outlineLevel="0" collapsed="false">
      <c r="A1397" s="3" t="n">
        <v>30002255</v>
      </c>
      <c r="B1397" s="3" t="s">
        <v>538</v>
      </c>
      <c r="C1397" s="3" t="s">
        <v>1372</v>
      </c>
      <c r="D1397" s="23" t="n">
        <v>0</v>
      </c>
      <c r="E1397" s="23" t="n">
        <v>348.37599519559</v>
      </c>
      <c r="F1397" s="23" t="n">
        <f aca="false">D1397-E1397</f>
        <v>-348.37599519559</v>
      </c>
      <c r="G1397" s="24" t="n">
        <f aca="false">IF(E1397&gt;0,D1397/E1397-1,"")</f>
        <v>-1</v>
      </c>
      <c r="H1397" s="3" t="str">
        <f aca="false">IF(MAX(D1397,E1397)&lt;Parametros!$B$16,"",IF(E1397=0,"PIDE SIN FCST",IF(ABS(G1397)&gt;Parametros!$B$14,IF(G1397&gt;0,"SOBRE FCST","BAJO FCST"),"")))</f>
        <v/>
      </c>
    </row>
    <row r="1398" customFormat="false" ht="15" hidden="false" customHeight="false" outlineLevel="0" collapsed="false">
      <c r="A1398" s="3" t="n">
        <v>30001815</v>
      </c>
      <c r="B1398" s="3" t="s">
        <v>332</v>
      </c>
      <c r="C1398" s="3" t="s">
        <v>1378</v>
      </c>
      <c r="D1398" s="23" t="n">
        <v>1930</v>
      </c>
      <c r="E1398" s="23" t="n">
        <v>2276.40451860089</v>
      </c>
      <c r="F1398" s="23" t="n">
        <f aca="false">D1398-E1398</f>
        <v>-346.404518600887</v>
      </c>
      <c r="G1398" s="24" t="n">
        <f aca="false">IF(E1398&gt;0,D1398/E1398-1,"")</f>
        <v>-0.152171776048746</v>
      </c>
      <c r="H1398" s="3" t="str">
        <f aca="false">IF(MAX(D1398,E1398)&lt;Parametros!$B$16,"",IF(E1398=0,"PIDE SIN FCST",IF(ABS(G1398)&gt;Parametros!$B$14,IF(G1398&gt;0,"SOBRE FCST","BAJO FCST"),"")))</f>
        <v/>
      </c>
    </row>
    <row r="1399" customFormat="false" ht="15" hidden="false" customHeight="false" outlineLevel="0" collapsed="false">
      <c r="A1399" s="3" t="n">
        <v>30002165</v>
      </c>
      <c r="B1399" s="3" t="s">
        <v>314</v>
      </c>
      <c r="C1399" s="3" t="s">
        <v>1379</v>
      </c>
      <c r="D1399" s="23" t="n">
        <v>4109.28</v>
      </c>
      <c r="E1399" s="23" t="n">
        <v>4454.82392993044</v>
      </c>
      <c r="F1399" s="23" t="n">
        <f aca="false">D1399-E1399</f>
        <v>-345.543929930435</v>
      </c>
      <c r="G1399" s="24" t="n">
        <f aca="false">IF(E1399&gt;0,D1399/E1399-1,"")</f>
        <v>-0.0775662372667175</v>
      </c>
      <c r="H1399" s="3" t="str">
        <f aca="false">IF(MAX(D1399,E1399)&lt;Parametros!$B$16,"",IF(E1399=0,"PIDE SIN FCST",IF(ABS(G1399)&gt;Parametros!$B$14,IF(G1399&gt;0,"SOBRE FCST","BAJO FCST"),"")))</f>
        <v/>
      </c>
    </row>
    <row r="1400" customFormat="false" ht="15" hidden="false" customHeight="false" outlineLevel="0" collapsed="false">
      <c r="A1400" s="3" t="n">
        <v>30000551</v>
      </c>
      <c r="B1400" s="3" t="s">
        <v>245</v>
      </c>
      <c r="C1400" s="3" t="s">
        <v>1379</v>
      </c>
      <c r="D1400" s="23" t="n">
        <v>4256</v>
      </c>
      <c r="E1400" s="23" t="n">
        <v>4600</v>
      </c>
      <c r="F1400" s="23" t="n">
        <f aca="false">D1400-E1400</f>
        <v>-344</v>
      </c>
      <c r="G1400" s="24" t="n">
        <f aca="false">IF(E1400&gt;0,D1400/E1400-1,"")</f>
        <v>-0.0747826086956521</v>
      </c>
      <c r="H1400" s="3" t="str">
        <f aca="false">IF(MAX(D1400,E1400)&lt;Parametros!$B$16,"",IF(E1400=0,"PIDE SIN FCST",IF(ABS(G1400)&gt;Parametros!$B$14,IF(G1400&gt;0,"SOBRE FCST","BAJO FCST"),"")))</f>
        <v/>
      </c>
    </row>
    <row r="1401" customFormat="false" ht="15" hidden="false" customHeight="false" outlineLevel="0" collapsed="false">
      <c r="A1401" s="3" t="n">
        <v>30002262</v>
      </c>
      <c r="B1401" s="3" t="s">
        <v>522</v>
      </c>
      <c r="C1401" s="3" t="s">
        <v>1375</v>
      </c>
      <c r="D1401" s="23" t="n">
        <v>2808.3</v>
      </c>
      <c r="E1401" s="23" t="n">
        <v>3150</v>
      </c>
      <c r="F1401" s="23" t="n">
        <f aca="false">D1401-E1401</f>
        <v>-341.7</v>
      </c>
      <c r="G1401" s="24" t="n">
        <f aca="false">IF(E1401&gt;0,D1401/E1401-1,"")</f>
        <v>-0.10847619047619</v>
      </c>
      <c r="H1401" s="3" t="str">
        <f aca="false">IF(MAX(D1401,E1401)&lt;Parametros!$B$16,"",IF(E1401=0,"PIDE SIN FCST",IF(ABS(G1401)&gt;Parametros!$B$14,IF(G1401&gt;0,"SOBRE FCST","BAJO FCST"),"")))</f>
        <v/>
      </c>
    </row>
    <row r="1402" customFormat="false" ht="15" hidden="false" customHeight="false" outlineLevel="0" collapsed="false">
      <c r="A1402" s="3" t="n">
        <v>30002132</v>
      </c>
      <c r="B1402" s="3" t="s">
        <v>586</v>
      </c>
      <c r="C1402" s="3" t="s">
        <v>1378</v>
      </c>
      <c r="D1402" s="23" t="n">
        <v>90</v>
      </c>
      <c r="E1402" s="23" t="n">
        <v>431.287532747868</v>
      </c>
      <c r="F1402" s="23" t="n">
        <f aca="false">D1402-E1402</f>
        <v>-341.287532747868</v>
      </c>
      <c r="G1402" s="24" t="n">
        <f aca="false">IF(E1402&gt;0,D1402/E1402-1,"")</f>
        <v>-0.791322509541183</v>
      </c>
      <c r="H1402" s="3" t="str">
        <f aca="false">IF(MAX(D1402,E1402)&lt;Parametros!$B$16,"",IF(E1402=0,"PIDE SIN FCST",IF(ABS(G1402)&gt;Parametros!$B$14,IF(G1402&gt;0,"SOBRE FCST","BAJO FCST"),"")))</f>
        <v/>
      </c>
    </row>
    <row r="1403" customFormat="false" ht="15" hidden="false" customHeight="false" outlineLevel="0" collapsed="false">
      <c r="A1403" s="3" t="n">
        <v>30002198</v>
      </c>
      <c r="B1403" s="3" t="s">
        <v>362</v>
      </c>
      <c r="C1403" s="3" t="s">
        <v>1380</v>
      </c>
      <c r="D1403" s="23" t="n">
        <v>7766.4</v>
      </c>
      <c r="E1403" s="23" t="n">
        <v>8106.88285848016</v>
      </c>
      <c r="F1403" s="23" t="n">
        <f aca="false">D1403-E1403</f>
        <v>-340.482858480162</v>
      </c>
      <c r="G1403" s="24" t="n">
        <f aca="false">IF(E1403&gt;0,D1403/E1403-1,"")</f>
        <v>-0.0419992325563211</v>
      </c>
      <c r="H1403" s="3" t="str">
        <f aca="false">IF(MAX(D1403,E1403)&lt;Parametros!$B$16,"",IF(E1403=0,"PIDE SIN FCST",IF(ABS(G1403)&gt;Parametros!$B$14,IF(G1403&gt;0,"SOBRE FCST","BAJO FCST"),"")))</f>
        <v/>
      </c>
    </row>
    <row r="1404" customFormat="false" ht="15" hidden="false" customHeight="false" outlineLevel="0" collapsed="false">
      <c r="A1404" s="3" t="n">
        <v>30000613</v>
      </c>
      <c r="B1404" s="3" t="s">
        <v>529</v>
      </c>
      <c r="C1404" s="3" t="s">
        <v>1380</v>
      </c>
      <c r="D1404" s="23" t="n">
        <v>960</v>
      </c>
      <c r="E1404" s="23" t="n">
        <v>1300</v>
      </c>
      <c r="F1404" s="23" t="n">
        <f aca="false">D1404-E1404</f>
        <v>-340</v>
      </c>
      <c r="G1404" s="24" t="n">
        <f aca="false">IF(E1404&gt;0,D1404/E1404-1,"")</f>
        <v>-0.261538461538462</v>
      </c>
      <c r="H1404" s="3" t="str">
        <f aca="false">IF(MAX(D1404,E1404)&lt;Parametros!$B$16,"",IF(E1404=0,"PIDE SIN FCST",IF(ABS(G1404)&gt;Parametros!$B$14,IF(G1404&gt;0,"SOBRE FCST","BAJO FCST"),"")))</f>
        <v>BAJO FCST</v>
      </c>
    </row>
    <row r="1405" customFormat="false" ht="15" hidden="false" customHeight="false" outlineLevel="0" collapsed="false">
      <c r="A1405" s="3" t="n">
        <v>30000615</v>
      </c>
      <c r="B1405" s="3" t="s">
        <v>279</v>
      </c>
      <c r="C1405" s="3" t="s">
        <v>1379</v>
      </c>
      <c r="D1405" s="23" t="n">
        <v>5040</v>
      </c>
      <c r="E1405" s="23" t="n">
        <v>4700</v>
      </c>
      <c r="F1405" s="23" t="n">
        <f aca="false">D1405-E1405</f>
        <v>340</v>
      </c>
      <c r="G1405" s="24" t="n">
        <f aca="false">IF(E1405&gt;0,D1405/E1405-1,"")</f>
        <v>0.0723404255319149</v>
      </c>
      <c r="H1405" s="3" t="str">
        <f aca="false">IF(MAX(D1405,E1405)&lt;Parametros!$B$16,"",IF(E1405=0,"PIDE SIN FCST",IF(ABS(G1405)&gt;Parametros!$B$14,IF(G1405&gt;0,"SOBRE FCST","BAJO FCST"),"")))</f>
        <v/>
      </c>
    </row>
    <row r="1406" customFormat="false" ht="15" hidden="false" customHeight="false" outlineLevel="0" collapsed="false">
      <c r="A1406" s="3" t="n">
        <v>30000660</v>
      </c>
      <c r="B1406" s="3" t="s">
        <v>388</v>
      </c>
      <c r="C1406" s="3" t="s">
        <v>1377</v>
      </c>
      <c r="D1406" s="23" t="n">
        <v>453.6</v>
      </c>
      <c r="E1406" s="23" t="n">
        <v>793.574145509969</v>
      </c>
      <c r="F1406" s="23" t="n">
        <f aca="false">D1406-E1406</f>
        <v>-339.974145509969</v>
      </c>
      <c r="G1406" s="24" t="n">
        <f aca="false">IF(E1406&gt;0,D1406/E1406-1,"")</f>
        <v>-0.428408797632253</v>
      </c>
      <c r="H1406" s="3" t="str">
        <f aca="false">IF(MAX(D1406,E1406)&lt;Parametros!$B$16,"",IF(E1406=0,"PIDE SIN FCST",IF(ABS(G1406)&gt;Parametros!$B$14,IF(G1406&gt;0,"SOBRE FCST","BAJO FCST"),"")))</f>
        <v/>
      </c>
    </row>
    <row r="1407" customFormat="false" ht="15" hidden="false" customHeight="false" outlineLevel="0" collapsed="false">
      <c r="A1407" s="3" t="n">
        <v>30001661</v>
      </c>
      <c r="B1407" s="3" t="s">
        <v>431</v>
      </c>
      <c r="C1407" s="3" t="s">
        <v>1376</v>
      </c>
      <c r="D1407" s="23" t="n">
        <v>60.48</v>
      </c>
      <c r="E1407" s="23" t="n">
        <v>400</v>
      </c>
      <c r="F1407" s="23" t="n">
        <f aca="false">D1407-E1407</f>
        <v>-339.52</v>
      </c>
      <c r="G1407" s="24" t="n">
        <f aca="false">IF(E1407&gt;0,D1407/E1407-1,"")</f>
        <v>-0.8488</v>
      </c>
      <c r="H1407" s="3" t="str">
        <f aca="false">IF(MAX(D1407,E1407)&lt;Parametros!$B$16,"",IF(E1407=0,"PIDE SIN FCST",IF(ABS(G1407)&gt;Parametros!$B$14,IF(G1407&gt;0,"SOBRE FCST","BAJO FCST"),"")))</f>
        <v/>
      </c>
    </row>
    <row r="1408" customFormat="false" ht="15" hidden="false" customHeight="false" outlineLevel="0" collapsed="false">
      <c r="A1408" s="3" t="n">
        <v>30002077</v>
      </c>
      <c r="B1408" s="3" t="s">
        <v>364</v>
      </c>
      <c r="C1408" s="3" t="s">
        <v>1372</v>
      </c>
      <c r="D1408" s="23" t="n">
        <v>1152</v>
      </c>
      <c r="E1408" s="23" t="n">
        <v>813.959857389801</v>
      </c>
      <c r="F1408" s="23" t="n">
        <f aca="false">D1408-E1408</f>
        <v>338.040142610199</v>
      </c>
      <c r="G1408" s="24" t="n">
        <f aca="false">IF(E1408&gt;0,D1408/E1408-1,"")</f>
        <v>0.415303211259364</v>
      </c>
      <c r="H1408" s="3" t="str">
        <f aca="false">IF(MAX(D1408,E1408)&lt;Parametros!$B$16,"",IF(E1408=0,"PIDE SIN FCST",IF(ABS(G1408)&gt;Parametros!$B$14,IF(G1408&gt;0,"SOBRE FCST","BAJO FCST"),"")))</f>
        <v>SOBRE FCST</v>
      </c>
    </row>
    <row r="1409" customFormat="false" ht="15" hidden="false" customHeight="false" outlineLevel="0" collapsed="false">
      <c r="A1409" s="3" t="n">
        <v>30001401</v>
      </c>
      <c r="B1409" s="3" t="s">
        <v>304</v>
      </c>
      <c r="C1409" s="3" t="s">
        <v>1375</v>
      </c>
      <c r="D1409" s="23" t="n">
        <v>4131</v>
      </c>
      <c r="E1409" s="23" t="n">
        <v>3794.00753100148</v>
      </c>
      <c r="F1409" s="23" t="n">
        <f aca="false">D1409-E1409</f>
        <v>336.992468998521</v>
      </c>
      <c r="G1409" s="24" t="n">
        <f aca="false">IF(E1409&gt;0,D1409/E1409-1,"")</f>
        <v>0.0888222983863101</v>
      </c>
      <c r="H1409" s="3" t="str">
        <f aca="false">IF(MAX(D1409,E1409)&lt;Parametros!$B$16,"",IF(E1409=0,"PIDE SIN FCST",IF(ABS(G1409)&gt;Parametros!$B$14,IF(G1409&gt;0,"SOBRE FCST","BAJO FCST"),"")))</f>
        <v/>
      </c>
    </row>
    <row r="1410" customFormat="false" ht="15" hidden="false" customHeight="false" outlineLevel="0" collapsed="false">
      <c r="A1410" s="3" t="n">
        <v>30001047</v>
      </c>
      <c r="B1410" s="3" t="s">
        <v>374</v>
      </c>
      <c r="C1410" s="3" t="s">
        <v>1375</v>
      </c>
      <c r="D1410" s="23" t="n">
        <v>1304.64</v>
      </c>
      <c r="E1410" s="23" t="n">
        <v>967.940222586451</v>
      </c>
      <c r="F1410" s="23" t="n">
        <f aca="false">D1410-E1410</f>
        <v>336.699777413549</v>
      </c>
      <c r="G1410" s="24" t="n">
        <f aca="false">IF(E1410&gt;0,D1410/E1410-1,"")</f>
        <v>0.347851829644859</v>
      </c>
      <c r="H1410" s="3" t="str">
        <f aca="false">IF(MAX(D1410,E1410)&lt;Parametros!$B$16,"",IF(E1410=0,"PIDE SIN FCST",IF(ABS(G1410)&gt;Parametros!$B$14,IF(G1410&gt;0,"SOBRE FCST","BAJO FCST"),"")))</f>
        <v>SOBRE FCST</v>
      </c>
    </row>
    <row r="1411" customFormat="false" ht="15" hidden="false" customHeight="false" outlineLevel="0" collapsed="false">
      <c r="A1411" s="3" t="n">
        <v>30001537</v>
      </c>
      <c r="B1411" s="3" t="s">
        <v>571</v>
      </c>
      <c r="C1411" s="3" t="s">
        <v>1375</v>
      </c>
      <c r="D1411" s="23" t="n">
        <v>3086.76</v>
      </c>
      <c r="E1411" s="23" t="n">
        <v>2750.42830919523</v>
      </c>
      <c r="F1411" s="23" t="n">
        <f aca="false">D1411-E1411</f>
        <v>336.331690804772</v>
      </c>
      <c r="G1411" s="24" t="n">
        <f aca="false">IF(E1411&gt;0,D1411/E1411-1,"")</f>
        <v>0.122283387529262</v>
      </c>
      <c r="H1411" s="3" t="str">
        <f aca="false">IF(MAX(D1411,E1411)&lt;Parametros!$B$16,"",IF(E1411=0,"PIDE SIN FCST",IF(ABS(G1411)&gt;Parametros!$B$14,IF(G1411&gt;0,"SOBRE FCST","BAJO FCST"),"")))</f>
        <v/>
      </c>
    </row>
    <row r="1412" customFormat="false" ht="15" hidden="false" customHeight="false" outlineLevel="0" collapsed="false">
      <c r="A1412" s="3" t="n">
        <v>30000119</v>
      </c>
      <c r="B1412" s="3" t="s">
        <v>528</v>
      </c>
      <c r="C1412" s="3" t="s">
        <v>1372</v>
      </c>
      <c r="D1412" s="23" t="n">
        <v>410.4</v>
      </c>
      <c r="E1412" s="23" t="n">
        <v>746.568811252252</v>
      </c>
      <c r="F1412" s="23" t="n">
        <f aca="false">D1412-E1412</f>
        <v>-336.168811252252</v>
      </c>
      <c r="G1412" s="24" t="n">
        <f aca="false">IF(E1412&gt;0,D1412/E1412-1,"")</f>
        <v>-0.450285099223984</v>
      </c>
      <c r="H1412" s="3" t="str">
        <f aca="false">IF(MAX(D1412,E1412)&lt;Parametros!$B$16,"",IF(E1412=0,"PIDE SIN FCST",IF(ABS(G1412)&gt;Parametros!$B$14,IF(G1412&gt;0,"SOBRE FCST","BAJO FCST"),"")))</f>
        <v/>
      </c>
    </row>
    <row r="1413" customFormat="false" ht="15" hidden="false" customHeight="false" outlineLevel="0" collapsed="false">
      <c r="A1413" s="3" t="n">
        <v>30001402</v>
      </c>
      <c r="B1413" s="3" t="s">
        <v>460</v>
      </c>
      <c r="C1413" s="3" t="s">
        <v>1380</v>
      </c>
      <c r="D1413" s="23" t="n">
        <v>4536</v>
      </c>
      <c r="E1413" s="23" t="n">
        <v>4200</v>
      </c>
      <c r="F1413" s="23" t="n">
        <f aca="false">D1413-E1413</f>
        <v>336</v>
      </c>
      <c r="G1413" s="24" t="n">
        <f aca="false">IF(E1413&gt;0,D1413/E1413-1,"")</f>
        <v>0.0800000000000001</v>
      </c>
      <c r="H1413" s="3" t="str">
        <f aca="false">IF(MAX(D1413,E1413)&lt;Parametros!$B$16,"",IF(E1413=0,"PIDE SIN FCST",IF(ABS(G1413)&gt;Parametros!$B$14,IF(G1413&gt;0,"SOBRE FCST","BAJO FCST"),"")))</f>
        <v/>
      </c>
    </row>
    <row r="1414" customFormat="false" ht="15" hidden="false" customHeight="false" outlineLevel="0" collapsed="false">
      <c r="A1414" s="3" t="n">
        <v>30001887</v>
      </c>
      <c r="B1414" s="3" t="s">
        <v>310</v>
      </c>
      <c r="C1414" s="3" t="s">
        <v>1375</v>
      </c>
      <c r="D1414" s="23" t="n">
        <v>5336</v>
      </c>
      <c r="E1414" s="23" t="n">
        <v>5000</v>
      </c>
      <c r="F1414" s="23" t="n">
        <f aca="false">D1414-E1414</f>
        <v>336</v>
      </c>
      <c r="G1414" s="24" t="n">
        <f aca="false">IF(E1414&gt;0,D1414/E1414-1,"")</f>
        <v>0.0671999999999999</v>
      </c>
      <c r="H1414" s="3" t="str">
        <f aca="false">IF(MAX(D1414,E1414)&lt;Parametros!$B$16,"",IF(E1414=0,"PIDE SIN FCST",IF(ABS(G1414)&gt;Parametros!$B$14,IF(G1414&gt;0,"SOBRE FCST","BAJO FCST"),"")))</f>
        <v/>
      </c>
    </row>
    <row r="1415" customFormat="false" ht="15" hidden="false" customHeight="false" outlineLevel="0" collapsed="false">
      <c r="A1415" s="3" t="n">
        <v>30001404</v>
      </c>
      <c r="B1415" s="3" t="s">
        <v>305</v>
      </c>
      <c r="C1415" s="3" t="s">
        <v>1378</v>
      </c>
      <c r="D1415" s="23" t="n">
        <v>1035</v>
      </c>
      <c r="E1415" s="23" t="n">
        <v>700.034277878823</v>
      </c>
      <c r="F1415" s="23" t="n">
        <f aca="false">D1415-E1415</f>
        <v>334.965722121177</v>
      </c>
      <c r="G1415" s="24" t="n">
        <f aca="false">IF(E1415&gt;0,D1415/E1415-1,"")</f>
        <v>0.478499028842072</v>
      </c>
      <c r="H1415" s="3" t="str">
        <f aca="false">IF(MAX(D1415,E1415)&lt;Parametros!$B$16,"",IF(E1415=0,"PIDE SIN FCST",IF(ABS(G1415)&gt;Parametros!$B$14,IF(G1415&gt;0,"SOBRE FCST","BAJO FCST"),"")))</f>
        <v>SOBRE FCST</v>
      </c>
    </row>
    <row r="1416" customFormat="false" ht="15" hidden="false" customHeight="false" outlineLevel="0" collapsed="false">
      <c r="A1416" s="3" t="n">
        <v>30001871</v>
      </c>
      <c r="B1416" s="3" t="s">
        <v>242</v>
      </c>
      <c r="C1416" s="3" t="s">
        <v>1379</v>
      </c>
      <c r="D1416" s="23" t="n">
        <v>4557.6</v>
      </c>
      <c r="E1416" s="23" t="n">
        <v>4891.01129650222</v>
      </c>
      <c r="F1416" s="23" t="n">
        <f aca="false">D1416-E1416</f>
        <v>-333.411296502218</v>
      </c>
      <c r="G1416" s="24" t="n">
        <f aca="false">IF(E1416&gt;0,D1416/E1416-1,"")</f>
        <v>-0.0681681714251314</v>
      </c>
      <c r="H1416" s="3" t="str">
        <f aca="false">IF(MAX(D1416,E1416)&lt;Parametros!$B$16,"",IF(E1416=0,"PIDE SIN FCST",IF(ABS(G1416)&gt;Parametros!$B$14,IF(G1416&gt;0,"SOBRE FCST","BAJO FCST"),"")))</f>
        <v/>
      </c>
    </row>
    <row r="1417" customFormat="false" ht="15" hidden="false" customHeight="false" outlineLevel="0" collapsed="false">
      <c r="A1417" s="3" t="n">
        <v>30000629</v>
      </c>
      <c r="B1417" s="3" t="s">
        <v>347</v>
      </c>
      <c r="C1417" s="3" t="s">
        <v>1375</v>
      </c>
      <c r="D1417" s="23" t="n">
        <v>8432.96</v>
      </c>
      <c r="E1417" s="23" t="n">
        <v>8100</v>
      </c>
      <c r="F1417" s="23" t="n">
        <f aca="false">D1417-E1417</f>
        <v>332.959999999999</v>
      </c>
      <c r="G1417" s="24" t="n">
        <f aca="false">IF(E1417&gt;0,D1417/E1417-1,"")</f>
        <v>0.0411061728395061</v>
      </c>
      <c r="H1417" s="3" t="str">
        <f aca="false">IF(MAX(D1417,E1417)&lt;Parametros!$B$16,"",IF(E1417=0,"PIDE SIN FCST",IF(ABS(G1417)&gt;Parametros!$B$14,IF(G1417&gt;0,"SOBRE FCST","BAJO FCST"),"")))</f>
        <v/>
      </c>
    </row>
    <row r="1418" customFormat="false" ht="15" hidden="false" customHeight="false" outlineLevel="0" collapsed="false">
      <c r="A1418" s="3" t="n">
        <v>30001982</v>
      </c>
      <c r="B1418" s="3" t="s">
        <v>565</v>
      </c>
      <c r="C1418" s="3" t="s">
        <v>1378</v>
      </c>
      <c r="D1418" s="23" t="n">
        <v>1195.2</v>
      </c>
      <c r="E1418" s="23" t="n">
        <v>862.575065495737</v>
      </c>
      <c r="F1418" s="23" t="n">
        <f aca="false">D1418-E1418</f>
        <v>332.624934504264</v>
      </c>
      <c r="G1418" s="24" t="n">
        <f aca="false">IF(E1418&gt;0,D1418/E1418-1,"")</f>
        <v>0.385618536646545</v>
      </c>
      <c r="H1418" s="3" t="str">
        <f aca="false">IF(MAX(D1418,E1418)&lt;Parametros!$B$16,"",IF(E1418=0,"PIDE SIN FCST",IF(ABS(G1418)&gt;Parametros!$B$14,IF(G1418&gt;0,"SOBRE FCST","BAJO FCST"),"")))</f>
        <v>SOBRE FCST</v>
      </c>
    </row>
    <row r="1419" customFormat="false" ht="15" hidden="false" customHeight="false" outlineLevel="0" collapsed="false">
      <c r="A1419" s="3" t="n">
        <v>30001049</v>
      </c>
      <c r="B1419" s="3" t="s">
        <v>269</v>
      </c>
      <c r="C1419" s="3" t="s">
        <v>1378</v>
      </c>
      <c r="D1419" s="23" t="n">
        <v>3636</v>
      </c>
      <c r="E1419" s="23" t="n">
        <v>3303.49046481521</v>
      </c>
      <c r="F1419" s="23" t="n">
        <f aca="false">D1419-E1419</f>
        <v>332.509535184789</v>
      </c>
      <c r="G1419" s="24" t="n">
        <f aca="false">IF(E1419&gt;0,D1419/E1419-1,"")</f>
        <v>0.10065400179788</v>
      </c>
      <c r="H1419" s="3" t="str">
        <f aca="false">IF(MAX(D1419,E1419)&lt;Parametros!$B$16,"",IF(E1419=0,"PIDE SIN FCST",IF(ABS(G1419)&gt;Parametros!$B$14,IF(G1419&gt;0,"SOBRE FCST","BAJO FCST"),"")))</f>
        <v/>
      </c>
    </row>
    <row r="1420" customFormat="false" ht="15" hidden="false" customHeight="false" outlineLevel="0" collapsed="false">
      <c r="A1420" s="3" t="n">
        <v>30001494</v>
      </c>
      <c r="B1420" s="3" t="s">
        <v>411</v>
      </c>
      <c r="C1420" s="3" t="s">
        <v>1378</v>
      </c>
      <c r="D1420" s="23" t="n">
        <v>880.6</v>
      </c>
      <c r="E1420" s="23" t="n">
        <v>1212.26765961563</v>
      </c>
      <c r="F1420" s="23" t="n">
        <f aca="false">D1420-E1420</f>
        <v>-331.66765961563</v>
      </c>
      <c r="G1420" s="24" t="n">
        <f aca="false">IF(E1420&gt;0,D1420/E1420-1,"")</f>
        <v>-0.273592763928711</v>
      </c>
      <c r="H1420" s="3" t="str">
        <f aca="false">IF(MAX(D1420,E1420)&lt;Parametros!$B$16,"",IF(E1420=0,"PIDE SIN FCST",IF(ABS(G1420)&gt;Parametros!$B$14,IF(G1420&gt;0,"SOBRE FCST","BAJO FCST"),"")))</f>
        <v>BAJO FCST</v>
      </c>
    </row>
    <row r="1421" customFormat="false" ht="15" hidden="false" customHeight="false" outlineLevel="0" collapsed="false">
      <c r="A1421" s="3" t="n">
        <v>30001033</v>
      </c>
      <c r="B1421" s="3" t="s">
        <v>477</v>
      </c>
      <c r="C1421" s="3" t="s">
        <v>1378</v>
      </c>
      <c r="D1421" s="23" t="n">
        <v>572.4</v>
      </c>
      <c r="E1421" s="23" t="n">
        <v>903.875305477406</v>
      </c>
      <c r="F1421" s="23" t="n">
        <f aca="false">D1421-E1421</f>
        <v>-331.475305477406</v>
      </c>
      <c r="G1421" s="24" t="n">
        <f aca="false">IF(E1421&gt;0,D1421/E1421-1,"")</f>
        <v>-0.36672680785579</v>
      </c>
      <c r="H1421" s="3" t="str">
        <f aca="false">IF(MAX(D1421,E1421)&lt;Parametros!$B$16,"",IF(E1421=0,"PIDE SIN FCST",IF(ABS(G1421)&gt;Parametros!$B$14,IF(G1421&gt;0,"SOBRE FCST","BAJO FCST"),"")))</f>
        <v/>
      </c>
    </row>
    <row r="1422" customFormat="false" ht="15" hidden="false" customHeight="false" outlineLevel="0" collapsed="false">
      <c r="A1422" s="3" t="n">
        <v>30001403</v>
      </c>
      <c r="B1422" s="3" t="s">
        <v>465</v>
      </c>
      <c r="C1422" s="3" t="s">
        <v>1372</v>
      </c>
      <c r="D1422" s="23" t="n">
        <v>329.4</v>
      </c>
      <c r="E1422" s="23" t="n">
        <v>0</v>
      </c>
      <c r="F1422" s="23" t="n">
        <f aca="false">D1422-E1422</f>
        <v>329.4</v>
      </c>
      <c r="G1422" s="24" t="str">
        <f aca="false">IF(E1422&gt;0,D1422/E1422-1,"")</f>
        <v/>
      </c>
      <c r="H1422" s="3" t="str">
        <f aca="false">IF(MAX(D1422,E1422)&lt;Parametros!$B$16,"",IF(E1422=0,"PIDE SIN FCST",IF(ABS(G1422)&gt;Parametros!$B$14,IF(G1422&gt;0,"SOBRE FCST","BAJO FCST"),"")))</f>
        <v/>
      </c>
    </row>
    <row r="1423" customFormat="false" ht="15" hidden="false" customHeight="false" outlineLevel="0" collapsed="false">
      <c r="A1423" s="3" t="n">
        <v>30002288</v>
      </c>
      <c r="B1423" s="3" t="s">
        <v>455</v>
      </c>
      <c r="C1423" s="3" t="s">
        <v>1377</v>
      </c>
      <c r="D1423" s="23" t="n">
        <v>329.28</v>
      </c>
      <c r="E1423" s="23" t="n">
        <v>0</v>
      </c>
      <c r="F1423" s="23" t="n">
        <f aca="false">D1423-E1423</f>
        <v>329.28</v>
      </c>
      <c r="G1423" s="24" t="str">
        <f aca="false">IF(E1423&gt;0,D1423/E1423-1,"")</f>
        <v/>
      </c>
      <c r="H1423" s="3" t="str">
        <f aca="false">IF(MAX(D1423,E1423)&lt;Parametros!$B$16,"",IF(E1423=0,"PIDE SIN FCST",IF(ABS(G1423)&gt;Parametros!$B$14,IF(G1423&gt;0,"SOBRE FCST","BAJO FCST"),"")))</f>
        <v/>
      </c>
    </row>
    <row r="1424" customFormat="false" ht="15" hidden="false" customHeight="false" outlineLevel="0" collapsed="false">
      <c r="A1424" s="3" t="n">
        <v>30001574</v>
      </c>
      <c r="B1424" s="3" t="s">
        <v>365</v>
      </c>
      <c r="C1424" s="3" t="s">
        <v>1373</v>
      </c>
      <c r="D1424" s="23" t="n">
        <v>4416</v>
      </c>
      <c r="E1424" s="23" t="n">
        <v>4745.16666666667</v>
      </c>
      <c r="F1424" s="23" t="n">
        <f aca="false">D1424-E1424</f>
        <v>-329.166666666667</v>
      </c>
      <c r="G1424" s="24" t="n">
        <f aca="false">IF(E1424&gt;0,D1424/E1424-1,"")</f>
        <v>-0.0693688314425205</v>
      </c>
      <c r="H1424" s="3" t="str">
        <f aca="false">IF(MAX(D1424,E1424)&lt;Parametros!$B$16,"",IF(E1424=0,"PIDE SIN FCST",IF(ABS(G1424)&gt;Parametros!$B$14,IF(G1424&gt;0,"SOBRE FCST","BAJO FCST"),"")))</f>
        <v/>
      </c>
    </row>
    <row r="1425" customFormat="false" ht="15" hidden="false" customHeight="false" outlineLevel="0" collapsed="false">
      <c r="A1425" s="3" t="n">
        <v>30002183</v>
      </c>
      <c r="B1425" s="3" t="s">
        <v>369</v>
      </c>
      <c r="C1425" s="3" t="s">
        <v>1378</v>
      </c>
      <c r="D1425" s="23" t="n">
        <v>1334.4</v>
      </c>
      <c r="E1425" s="23" t="n">
        <v>1005.46415419381</v>
      </c>
      <c r="F1425" s="23" t="n">
        <f aca="false">D1425-E1425</f>
        <v>328.935845806186</v>
      </c>
      <c r="G1425" s="24" t="n">
        <f aca="false">IF(E1425&gt;0,D1425/E1425-1,"")</f>
        <v>0.327148257284148</v>
      </c>
      <c r="H1425" s="3" t="str">
        <f aca="false">IF(MAX(D1425,E1425)&lt;Parametros!$B$16,"",IF(E1425=0,"PIDE SIN FCST",IF(ABS(G1425)&gt;Parametros!$B$14,IF(G1425&gt;0,"SOBRE FCST","BAJO FCST"),"")))</f>
        <v>SOBRE FCST</v>
      </c>
    </row>
    <row r="1426" customFormat="false" ht="15" hidden="false" customHeight="false" outlineLevel="0" collapsed="false">
      <c r="A1426" s="3" t="n">
        <v>30001820</v>
      </c>
      <c r="B1426" s="3" t="s">
        <v>619</v>
      </c>
      <c r="C1426" s="3" t="s">
        <v>1378</v>
      </c>
      <c r="D1426" s="23" t="n">
        <v>0</v>
      </c>
      <c r="E1426" s="23" t="n">
        <v>328.64</v>
      </c>
      <c r="F1426" s="23" t="n">
        <f aca="false">D1426-E1426</f>
        <v>-328.64</v>
      </c>
      <c r="G1426" s="24" t="n">
        <f aca="false">IF(E1426&gt;0,D1426/E1426-1,"")</f>
        <v>-1</v>
      </c>
      <c r="H1426" s="3" t="str">
        <f aca="false">IF(MAX(D1426,E1426)&lt;Parametros!$B$16,"",IF(E1426=0,"PIDE SIN FCST",IF(ABS(G1426)&gt;Parametros!$B$14,IF(G1426&gt;0,"SOBRE FCST","BAJO FCST"),"")))</f>
        <v/>
      </c>
    </row>
    <row r="1427" customFormat="false" ht="15" hidden="false" customHeight="false" outlineLevel="0" collapsed="false">
      <c r="A1427" s="3" t="n">
        <v>30000636</v>
      </c>
      <c r="B1427" s="3" t="s">
        <v>479</v>
      </c>
      <c r="C1427" s="3" t="s">
        <v>1380</v>
      </c>
      <c r="D1427" s="23" t="n">
        <v>3528</v>
      </c>
      <c r="E1427" s="23" t="n">
        <v>3200</v>
      </c>
      <c r="F1427" s="23" t="n">
        <f aca="false">D1427-E1427</f>
        <v>328</v>
      </c>
      <c r="G1427" s="24" t="n">
        <f aca="false">IF(E1427&gt;0,D1427/E1427-1,"")</f>
        <v>0.1025</v>
      </c>
      <c r="H1427" s="3" t="str">
        <f aca="false">IF(MAX(D1427,E1427)&lt;Parametros!$B$16,"",IF(E1427=0,"PIDE SIN FCST",IF(ABS(G1427)&gt;Parametros!$B$14,IF(G1427&gt;0,"SOBRE FCST","BAJO FCST"),"")))</f>
        <v/>
      </c>
    </row>
    <row r="1428" customFormat="false" ht="15" hidden="false" customHeight="false" outlineLevel="0" collapsed="false">
      <c r="A1428" s="3" t="n">
        <v>30002330</v>
      </c>
      <c r="B1428" s="3" t="s">
        <v>275</v>
      </c>
      <c r="C1428" s="3" t="s">
        <v>1377</v>
      </c>
      <c r="D1428" s="23" t="n">
        <v>1140</v>
      </c>
      <c r="E1428" s="23" t="n">
        <v>812.560963093602</v>
      </c>
      <c r="F1428" s="23" t="n">
        <f aca="false">D1428-E1428</f>
        <v>327.439036906398</v>
      </c>
      <c r="G1428" s="24" t="n">
        <f aca="false">IF(E1428&gt;0,D1428/E1428-1,"")</f>
        <v>0.402971656009371</v>
      </c>
      <c r="H1428" s="3" t="str">
        <f aca="false">IF(MAX(D1428,E1428)&lt;Parametros!$B$16,"",IF(E1428=0,"PIDE SIN FCST",IF(ABS(G1428)&gt;Parametros!$B$14,IF(G1428&gt;0,"SOBRE FCST","BAJO FCST"),"")))</f>
        <v>SOBRE FCST</v>
      </c>
    </row>
    <row r="1429" customFormat="false" ht="15" hidden="false" customHeight="false" outlineLevel="0" collapsed="false">
      <c r="A1429" s="3" t="n">
        <v>30000041</v>
      </c>
      <c r="B1429" s="3" t="s">
        <v>419</v>
      </c>
      <c r="C1429" s="3" t="s">
        <v>1378</v>
      </c>
      <c r="D1429" s="23" t="n">
        <v>1269.6</v>
      </c>
      <c r="E1429" s="23" t="n">
        <v>1596.8</v>
      </c>
      <c r="F1429" s="23" t="n">
        <f aca="false">D1429-E1429</f>
        <v>-327.2</v>
      </c>
      <c r="G1429" s="24" t="n">
        <f aca="false">IF(E1429&gt;0,D1429/E1429-1,"")</f>
        <v>-0.204909819639279</v>
      </c>
      <c r="H1429" s="3" t="str">
        <f aca="false">IF(MAX(D1429,E1429)&lt;Parametros!$B$16,"",IF(E1429=0,"PIDE SIN FCST",IF(ABS(G1429)&gt;Parametros!$B$14,IF(G1429&gt;0,"SOBRE FCST","BAJO FCST"),"")))</f>
        <v>BAJO FCST</v>
      </c>
    </row>
    <row r="1430" customFormat="false" ht="15" hidden="false" customHeight="false" outlineLevel="0" collapsed="false">
      <c r="A1430" s="3" t="n">
        <v>30002177</v>
      </c>
      <c r="B1430" s="3" t="s">
        <v>285</v>
      </c>
      <c r="C1430" s="3" t="s">
        <v>1380</v>
      </c>
      <c r="D1430" s="23" t="n">
        <v>12226.8</v>
      </c>
      <c r="E1430" s="23" t="n">
        <v>11900</v>
      </c>
      <c r="F1430" s="23" t="n">
        <f aca="false">D1430-E1430</f>
        <v>326.799999999999</v>
      </c>
      <c r="G1430" s="24" t="n">
        <f aca="false">IF(E1430&gt;0,D1430/E1430-1,"")</f>
        <v>0.0274621848739496</v>
      </c>
      <c r="H1430" s="3" t="str">
        <f aca="false">IF(MAX(D1430,E1430)&lt;Parametros!$B$16,"",IF(E1430=0,"PIDE SIN FCST",IF(ABS(G1430)&gt;Parametros!$B$14,IF(G1430&gt;0,"SOBRE FCST","BAJO FCST"),"")))</f>
        <v/>
      </c>
    </row>
    <row r="1431" customFormat="false" ht="15" hidden="false" customHeight="false" outlineLevel="0" collapsed="false">
      <c r="A1431" s="3" t="n">
        <v>30002132</v>
      </c>
      <c r="B1431" s="3" t="s">
        <v>586</v>
      </c>
      <c r="C1431" s="3" t="s">
        <v>1375</v>
      </c>
      <c r="D1431" s="23" t="n">
        <v>1620</v>
      </c>
      <c r="E1431" s="23" t="n">
        <v>1293.86259824361</v>
      </c>
      <c r="F1431" s="23" t="n">
        <f aca="false">D1431-E1431</f>
        <v>326.137401756395</v>
      </c>
      <c r="G1431" s="24" t="n">
        <f aca="false">IF(E1431&gt;0,D1431/E1431-1,"")</f>
        <v>0.252064942752902</v>
      </c>
      <c r="H1431" s="3" t="str">
        <f aca="false">IF(MAX(D1431,E1431)&lt;Parametros!$B$16,"",IF(E1431=0,"PIDE SIN FCST",IF(ABS(G1431)&gt;Parametros!$B$14,IF(G1431&gt;0,"SOBRE FCST","BAJO FCST"),"")))</f>
        <v>SOBRE FCST</v>
      </c>
    </row>
    <row r="1432" customFormat="false" ht="15" hidden="false" customHeight="false" outlineLevel="0" collapsed="false">
      <c r="A1432" s="3" t="n">
        <v>30001946</v>
      </c>
      <c r="B1432" s="3" t="s">
        <v>400</v>
      </c>
      <c r="C1432" s="3" t="s">
        <v>1378</v>
      </c>
      <c r="D1432" s="23" t="n">
        <v>537.6</v>
      </c>
      <c r="E1432" s="23" t="n">
        <v>862.575065495737</v>
      </c>
      <c r="F1432" s="23" t="n">
        <f aca="false">D1432-E1432</f>
        <v>-324.975065495737</v>
      </c>
      <c r="G1432" s="24" t="n">
        <f aca="false">IF(E1432&gt;0,D1432/E1432-1,"")</f>
        <v>-0.376749895163</v>
      </c>
      <c r="H1432" s="3" t="str">
        <f aca="false">IF(MAX(D1432,E1432)&lt;Parametros!$B$16,"",IF(E1432=0,"PIDE SIN FCST",IF(ABS(G1432)&gt;Parametros!$B$14,IF(G1432&gt;0,"SOBRE FCST","BAJO FCST"),"")))</f>
        <v/>
      </c>
    </row>
    <row r="1433" customFormat="false" ht="15" hidden="false" customHeight="false" outlineLevel="0" collapsed="false">
      <c r="A1433" s="3" t="n">
        <v>30000560</v>
      </c>
      <c r="B1433" s="3" t="s">
        <v>384</v>
      </c>
      <c r="C1433" s="3" t="s">
        <v>1373</v>
      </c>
      <c r="D1433" s="23" t="n">
        <v>537.6</v>
      </c>
      <c r="E1433" s="23" t="n">
        <v>862.575065495737</v>
      </c>
      <c r="F1433" s="23" t="n">
        <f aca="false">D1433-E1433</f>
        <v>-324.975065495737</v>
      </c>
      <c r="G1433" s="24" t="n">
        <f aca="false">IF(E1433&gt;0,D1433/E1433-1,"")</f>
        <v>-0.376749895163</v>
      </c>
      <c r="H1433" s="3" t="str">
        <f aca="false">IF(MAX(D1433,E1433)&lt;Parametros!$B$16,"",IF(E1433=0,"PIDE SIN FCST",IF(ABS(G1433)&gt;Parametros!$B$14,IF(G1433&gt;0,"SOBRE FCST","BAJO FCST"),"")))</f>
        <v/>
      </c>
    </row>
    <row r="1434" customFormat="false" ht="15" hidden="false" customHeight="false" outlineLevel="0" collapsed="false">
      <c r="A1434" s="3" t="n">
        <v>30000354</v>
      </c>
      <c r="B1434" s="3" t="s">
        <v>378</v>
      </c>
      <c r="C1434" s="3" t="s">
        <v>1377</v>
      </c>
      <c r="D1434" s="23" t="n">
        <v>1038</v>
      </c>
      <c r="E1434" s="23" t="n">
        <v>1362.92069120242</v>
      </c>
      <c r="F1434" s="23" t="n">
        <f aca="false">D1434-E1434</f>
        <v>-324.920691202421</v>
      </c>
      <c r="G1434" s="24" t="n">
        <f aca="false">IF(E1434&gt;0,D1434/E1434-1,"")</f>
        <v>-0.238400292327915</v>
      </c>
      <c r="H1434" s="3" t="str">
        <f aca="false">IF(MAX(D1434,E1434)&lt;Parametros!$B$16,"",IF(E1434=0,"PIDE SIN FCST",IF(ABS(G1434)&gt;Parametros!$B$14,IF(G1434&gt;0,"SOBRE FCST","BAJO FCST"),"")))</f>
        <v>BAJO FCST</v>
      </c>
    </row>
    <row r="1435" customFormat="false" ht="15" hidden="false" customHeight="false" outlineLevel="0" collapsed="false">
      <c r="A1435" s="3" t="n">
        <v>30002330</v>
      </c>
      <c r="B1435" s="3" t="s">
        <v>275</v>
      </c>
      <c r="C1435" s="3" t="s">
        <v>1372</v>
      </c>
      <c r="D1435" s="23" t="n">
        <v>1152</v>
      </c>
      <c r="E1435" s="23" t="n">
        <v>827.3</v>
      </c>
      <c r="F1435" s="23" t="n">
        <f aca="false">D1435-E1435</f>
        <v>324.7</v>
      </c>
      <c r="G1435" s="24" t="n">
        <f aca="false">IF(E1435&gt;0,D1435/E1435-1,"")</f>
        <v>0.392481566541762</v>
      </c>
      <c r="H1435" s="3" t="str">
        <f aca="false">IF(MAX(D1435,E1435)&lt;Parametros!$B$16,"",IF(E1435=0,"PIDE SIN FCST",IF(ABS(G1435)&gt;Parametros!$B$14,IF(G1435&gt;0,"SOBRE FCST","BAJO FCST"),"")))</f>
        <v>SOBRE FCST</v>
      </c>
    </row>
    <row r="1436" customFormat="false" ht="15" hidden="false" customHeight="false" outlineLevel="0" collapsed="false">
      <c r="A1436" s="3" t="n">
        <v>30000469</v>
      </c>
      <c r="B1436" s="3" t="s">
        <v>428</v>
      </c>
      <c r="C1436" s="3" t="s">
        <v>1378</v>
      </c>
      <c r="D1436" s="23" t="n">
        <v>1402.8</v>
      </c>
      <c r="E1436" s="23" t="n">
        <v>1078.21883186967</v>
      </c>
      <c r="F1436" s="23" t="n">
        <f aca="false">D1436-E1436</f>
        <v>324.581168130329</v>
      </c>
      <c r="G1436" s="24" t="n">
        <f aca="false">IF(E1436&gt;0,D1436/E1436-1,"")</f>
        <v>0.301034593847237</v>
      </c>
      <c r="H1436" s="3" t="str">
        <f aca="false">IF(MAX(D1436,E1436)&lt;Parametros!$B$16,"",IF(E1436=0,"PIDE SIN FCST",IF(ABS(G1436)&gt;Parametros!$B$14,IF(G1436&gt;0,"SOBRE FCST","BAJO FCST"),"")))</f>
        <v>SOBRE FCST</v>
      </c>
    </row>
    <row r="1437" customFormat="false" ht="15" hidden="false" customHeight="false" outlineLevel="0" collapsed="false">
      <c r="A1437" s="3" t="n">
        <v>30001683</v>
      </c>
      <c r="B1437" s="3" t="s">
        <v>466</v>
      </c>
      <c r="C1437" s="3" t="s">
        <v>1380</v>
      </c>
      <c r="D1437" s="23" t="n">
        <v>3376</v>
      </c>
      <c r="E1437" s="23" t="n">
        <v>3700</v>
      </c>
      <c r="F1437" s="23" t="n">
        <f aca="false">D1437-E1437</f>
        <v>-324</v>
      </c>
      <c r="G1437" s="24" t="n">
        <f aca="false">IF(E1437&gt;0,D1437/E1437-1,"")</f>
        <v>-0.0875675675675676</v>
      </c>
      <c r="H1437" s="3" t="str">
        <f aca="false">IF(MAX(D1437,E1437)&lt;Parametros!$B$16,"",IF(E1437=0,"PIDE SIN FCST",IF(ABS(G1437)&gt;Parametros!$B$14,IF(G1437&gt;0,"SOBRE FCST","BAJO FCST"),"")))</f>
        <v/>
      </c>
    </row>
    <row r="1438" customFormat="false" ht="15" hidden="false" customHeight="false" outlineLevel="0" collapsed="false">
      <c r="A1438" s="3" t="n">
        <v>30001489</v>
      </c>
      <c r="B1438" s="3" t="s">
        <v>289</v>
      </c>
      <c r="C1438" s="3" t="s">
        <v>1379</v>
      </c>
      <c r="D1438" s="23" t="n">
        <v>3557.952</v>
      </c>
      <c r="E1438" s="23" t="n">
        <v>3881.58779473081</v>
      </c>
      <c r="F1438" s="23" t="n">
        <f aca="false">D1438-E1438</f>
        <v>-323.635794730814</v>
      </c>
      <c r="G1438" s="24" t="n">
        <f aca="false">IF(E1438&gt;0,D1438/E1438-1,"")</f>
        <v>-0.0833771672432976</v>
      </c>
      <c r="H1438" s="3" t="str">
        <f aca="false">IF(MAX(D1438,E1438)&lt;Parametros!$B$16,"",IF(E1438=0,"PIDE SIN FCST",IF(ABS(G1438)&gt;Parametros!$B$14,IF(G1438&gt;0,"SOBRE FCST","BAJO FCST"),"")))</f>
        <v/>
      </c>
    </row>
    <row r="1439" customFormat="false" ht="15" hidden="false" customHeight="false" outlineLevel="0" collapsed="false">
      <c r="A1439" s="3" t="n">
        <v>30002177</v>
      </c>
      <c r="B1439" s="3" t="s">
        <v>285</v>
      </c>
      <c r="C1439" s="3" t="s">
        <v>1378</v>
      </c>
      <c r="D1439" s="23" t="n">
        <v>809.6</v>
      </c>
      <c r="E1439" s="23" t="n">
        <v>485.976941827083</v>
      </c>
      <c r="F1439" s="23" t="n">
        <f aca="false">D1439-E1439</f>
        <v>323.623058172917</v>
      </c>
      <c r="G1439" s="24" t="n">
        <f aca="false">IF(E1439&gt;0,D1439/E1439-1,"")</f>
        <v>0.665922660767033</v>
      </c>
      <c r="H1439" s="3" t="str">
        <f aca="false">IF(MAX(D1439,E1439)&lt;Parametros!$B$16,"",IF(E1439=0,"PIDE SIN FCST",IF(ABS(G1439)&gt;Parametros!$B$14,IF(G1439&gt;0,"SOBRE FCST","BAJO FCST"),"")))</f>
        <v/>
      </c>
    </row>
    <row r="1440" customFormat="false" ht="15" hidden="false" customHeight="false" outlineLevel="0" collapsed="false">
      <c r="A1440" s="3" t="n">
        <v>30001055</v>
      </c>
      <c r="B1440" s="3" t="s">
        <v>246</v>
      </c>
      <c r="C1440" s="3" t="s">
        <v>1379</v>
      </c>
      <c r="D1440" s="23" t="n">
        <v>12717.6</v>
      </c>
      <c r="E1440" s="23" t="n">
        <v>12394.2743378569</v>
      </c>
      <c r="F1440" s="23" t="n">
        <f aca="false">D1440-E1440</f>
        <v>323.325662143121</v>
      </c>
      <c r="G1440" s="24" t="n">
        <f aca="false">IF(E1440&gt;0,D1440/E1440-1,"")</f>
        <v>0.0260866956248951</v>
      </c>
      <c r="H1440" s="3" t="str">
        <f aca="false">IF(MAX(D1440,E1440)&lt;Parametros!$B$16,"",IF(E1440=0,"PIDE SIN FCST",IF(ABS(G1440)&gt;Parametros!$B$14,IF(G1440&gt;0,"SOBRE FCST","BAJO FCST"),"")))</f>
        <v/>
      </c>
    </row>
    <row r="1441" customFormat="false" ht="15" hidden="false" customHeight="false" outlineLevel="0" collapsed="false">
      <c r="A1441" s="3" t="n">
        <v>30000087</v>
      </c>
      <c r="B1441" s="3" t="s">
        <v>594</v>
      </c>
      <c r="C1441" s="3" t="s">
        <v>1377</v>
      </c>
      <c r="D1441" s="23" t="n">
        <v>540</v>
      </c>
      <c r="E1441" s="23" t="n">
        <v>862.575065495737</v>
      </c>
      <c r="F1441" s="23" t="n">
        <f aca="false">D1441-E1441</f>
        <v>-322.575065495737</v>
      </c>
      <c r="G1441" s="24" t="n">
        <f aca="false">IF(E1441&gt;0,D1441/E1441-1,"")</f>
        <v>-0.373967528623549</v>
      </c>
      <c r="H1441" s="3" t="str">
        <f aca="false">IF(MAX(D1441,E1441)&lt;Parametros!$B$16,"",IF(E1441=0,"PIDE SIN FCST",IF(ABS(G1441)&gt;Parametros!$B$14,IF(G1441&gt;0,"SOBRE FCST","BAJO FCST"),"")))</f>
        <v/>
      </c>
    </row>
    <row r="1442" customFormat="false" ht="15" hidden="false" customHeight="false" outlineLevel="0" collapsed="false">
      <c r="A1442" s="3" t="n">
        <v>30000253</v>
      </c>
      <c r="B1442" s="3" t="s">
        <v>542</v>
      </c>
      <c r="C1442" s="3" t="s">
        <v>1379</v>
      </c>
      <c r="D1442" s="23" t="n">
        <v>972</v>
      </c>
      <c r="E1442" s="23" t="n">
        <v>1293.86259824361</v>
      </c>
      <c r="F1442" s="23" t="n">
        <f aca="false">D1442-E1442</f>
        <v>-321.862598243605</v>
      </c>
      <c r="G1442" s="24" t="n">
        <f aca="false">IF(E1442&gt;0,D1442/E1442-1,"")</f>
        <v>-0.248761034348259</v>
      </c>
      <c r="H1442" s="3" t="str">
        <f aca="false">IF(MAX(D1442,E1442)&lt;Parametros!$B$16,"",IF(E1442=0,"PIDE SIN FCST",IF(ABS(G1442)&gt;Parametros!$B$14,IF(G1442&gt;0,"SOBRE FCST","BAJO FCST"),"")))</f>
        <v>BAJO FCST</v>
      </c>
    </row>
    <row r="1443" customFormat="false" ht="15" hidden="false" customHeight="false" outlineLevel="0" collapsed="false">
      <c r="A1443" s="3" t="n">
        <v>30002066</v>
      </c>
      <c r="B1443" s="3" t="s">
        <v>247</v>
      </c>
      <c r="C1443" s="3" t="s">
        <v>1373</v>
      </c>
      <c r="D1443" s="23" t="n">
        <v>2220</v>
      </c>
      <c r="E1443" s="23" t="n">
        <v>2541.59916666667</v>
      </c>
      <c r="F1443" s="23" t="n">
        <f aca="false">D1443-E1443</f>
        <v>-321.599166666666</v>
      </c>
      <c r="G1443" s="24" t="n">
        <f aca="false">IF(E1443&gt;0,D1443/E1443-1,"")</f>
        <v>-0.126534180088061</v>
      </c>
      <c r="H1443" s="3" t="str">
        <f aca="false">IF(MAX(D1443,E1443)&lt;Parametros!$B$16,"",IF(E1443=0,"PIDE SIN FCST",IF(ABS(G1443)&gt;Parametros!$B$14,IF(G1443&gt;0,"SOBRE FCST","BAJO FCST"),"")))</f>
        <v/>
      </c>
    </row>
    <row r="1444" customFormat="false" ht="15" hidden="false" customHeight="false" outlineLevel="0" collapsed="false">
      <c r="A1444" s="3" t="n">
        <v>30002256</v>
      </c>
      <c r="B1444" s="3" t="s">
        <v>534</v>
      </c>
      <c r="C1444" s="3" t="s">
        <v>1375</v>
      </c>
      <c r="D1444" s="23" t="n">
        <v>2778.56</v>
      </c>
      <c r="E1444" s="23" t="n">
        <v>3100</v>
      </c>
      <c r="F1444" s="23" t="n">
        <f aca="false">D1444-E1444</f>
        <v>-321.44</v>
      </c>
      <c r="G1444" s="24" t="n">
        <f aca="false">IF(E1444&gt;0,D1444/E1444-1,"")</f>
        <v>-0.103690322580645</v>
      </c>
      <c r="H1444" s="3" t="str">
        <f aca="false">IF(MAX(D1444,E1444)&lt;Parametros!$B$16,"",IF(E1444=0,"PIDE SIN FCST",IF(ABS(G1444)&gt;Parametros!$B$14,IF(G1444&gt;0,"SOBRE FCST","BAJO FCST"),"")))</f>
        <v/>
      </c>
    </row>
    <row r="1445" customFormat="false" ht="15" hidden="false" customHeight="false" outlineLevel="0" collapsed="false">
      <c r="A1445" s="3" t="n">
        <v>30001536</v>
      </c>
      <c r="B1445" s="3" t="s">
        <v>440</v>
      </c>
      <c r="C1445" s="3" t="s">
        <v>1377</v>
      </c>
      <c r="D1445" s="23" t="n">
        <v>1075.32</v>
      </c>
      <c r="E1445" s="23" t="n">
        <v>754.345868125117</v>
      </c>
      <c r="F1445" s="23" t="n">
        <f aca="false">D1445-E1445</f>
        <v>320.974131874883</v>
      </c>
      <c r="G1445" s="24" t="n">
        <f aca="false">IF(E1445&gt;0,D1445/E1445-1,"")</f>
        <v>0.425499953585808</v>
      </c>
      <c r="H1445" s="3" t="str">
        <f aca="false">IF(MAX(D1445,E1445)&lt;Parametros!$B$16,"",IF(E1445=0,"PIDE SIN FCST",IF(ABS(G1445)&gt;Parametros!$B$14,IF(G1445&gt;0,"SOBRE FCST","BAJO FCST"),"")))</f>
        <v>SOBRE FCST</v>
      </c>
    </row>
    <row r="1446" customFormat="false" ht="15" hidden="false" customHeight="false" outlineLevel="0" collapsed="false">
      <c r="A1446" s="3" t="n">
        <v>30001954</v>
      </c>
      <c r="B1446" s="3" t="s">
        <v>470</v>
      </c>
      <c r="C1446" s="3" t="s">
        <v>1376</v>
      </c>
      <c r="D1446" s="23" t="n">
        <v>320</v>
      </c>
      <c r="E1446" s="23" t="n">
        <v>0</v>
      </c>
      <c r="F1446" s="23" t="n">
        <f aca="false">D1446-E1446</f>
        <v>320</v>
      </c>
      <c r="G1446" s="24" t="str">
        <f aca="false">IF(E1446&gt;0,D1446/E1446-1,"")</f>
        <v/>
      </c>
      <c r="H1446" s="3" t="str">
        <f aca="false">IF(MAX(D1446,E1446)&lt;Parametros!$B$16,"",IF(E1446=0,"PIDE SIN FCST",IF(ABS(G1446)&gt;Parametros!$B$14,IF(G1446&gt;0,"SOBRE FCST","BAJO FCST"),"")))</f>
        <v/>
      </c>
    </row>
    <row r="1447" customFormat="false" ht="15" hidden="false" customHeight="false" outlineLevel="0" collapsed="false">
      <c r="A1447" s="3" t="n">
        <v>30000179</v>
      </c>
      <c r="B1447" s="3" t="s">
        <v>449</v>
      </c>
      <c r="C1447" s="3" t="s">
        <v>1373</v>
      </c>
      <c r="D1447" s="23" t="n">
        <v>2169.6</v>
      </c>
      <c r="E1447" s="23" t="n">
        <v>1850</v>
      </c>
      <c r="F1447" s="23" t="n">
        <f aca="false">D1447-E1447</f>
        <v>319.6</v>
      </c>
      <c r="G1447" s="24" t="n">
        <f aca="false">IF(E1447&gt;0,D1447/E1447-1,"")</f>
        <v>0.172756756756757</v>
      </c>
      <c r="H1447" s="3" t="str">
        <f aca="false">IF(MAX(D1447,E1447)&lt;Parametros!$B$16,"",IF(E1447=0,"PIDE SIN FCST",IF(ABS(G1447)&gt;Parametros!$B$14,IF(G1447&gt;0,"SOBRE FCST","BAJO FCST"),"")))</f>
        <v/>
      </c>
    </row>
    <row r="1448" customFormat="false" ht="15" hidden="false" customHeight="false" outlineLevel="0" collapsed="false">
      <c r="A1448" s="3" t="n">
        <v>30000251</v>
      </c>
      <c r="B1448" s="3" t="s">
        <v>615</v>
      </c>
      <c r="C1448" s="3" t="s">
        <v>1379</v>
      </c>
      <c r="D1448" s="23" t="n">
        <v>618</v>
      </c>
      <c r="E1448" s="23" t="n">
        <v>299.794887971499</v>
      </c>
      <c r="F1448" s="23" t="n">
        <f aca="false">D1448-E1448</f>
        <v>318.205112028501</v>
      </c>
      <c r="G1448" s="24" t="n">
        <f aca="false">IF(E1448&gt;0,D1448/E1448-1,"")</f>
        <v>1.06140939954504</v>
      </c>
      <c r="H1448" s="3" t="str">
        <f aca="false">IF(MAX(D1448,E1448)&lt;Parametros!$B$16,"",IF(E1448=0,"PIDE SIN FCST",IF(ABS(G1448)&gt;Parametros!$B$14,IF(G1448&gt;0,"SOBRE FCST","BAJO FCST"),"")))</f>
        <v/>
      </c>
    </row>
    <row r="1449" customFormat="false" ht="15" hidden="false" customHeight="false" outlineLevel="0" collapsed="false">
      <c r="A1449" s="3" t="n">
        <v>30001149</v>
      </c>
      <c r="B1449" s="3" t="s">
        <v>536</v>
      </c>
      <c r="C1449" s="3" t="s">
        <v>1379</v>
      </c>
      <c r="D1449" s="23" t="n">
        <v>918</v>
      </c>
      <c r="E1449" s="23" t="n">
        <v>600</v>
      </c>
      <c r="F1449" s="23" t="n">
        <f aca="false">D1449-E1449</f>
        <v>318</v>
      </c>
      <c r="G1449" s="24" t="n">
        <f aca="false">IF(E1449&gt;0,D1449/E1449-1,"")</f>
        <v>0.53</v>
      </c>
      <c r="H1449" s="3" t="str">
        <f aca="false">IF(MAX(D1449,E1449)&lt;Parametros!$B$16,"",IF(E1449=0,"PIDE SIN FCST",IF(ABS(G1449)&gt;Parametros!$B$14,IF(G1449&gt;0,"SOBRE FCST","BAJO FCST"),"")))</f>
        <v/>
      </c>
    </row>
    <row r="1450" customFormat="false" ht="15" hidden="false" customHeight="false" outlineLevel="0" collapsed="false">
      <c r="A1450" s="3" t="n">
        <v>30001076</v>
      </c>
      <c r="B1450" s="3" t="s">
        <v>457</v>
      </c>
      <c r="C1450" s="3" t="s">
        <v>1375</v>
      </c>
      <c r="D1450" s="23" t="n">
        <v>0</v>
      </c>
      <c r="E1450" s="23" t="n">
        <v>317.518214418739</v>
      </c>
      <c r="F1450" s="23" t="n">
        <f aca="false">D1450-E1450</f>
        <v>-317.518214418739</v>
      </c>
      <c r="G1450" s="24" t="n">
        <f aca="false">IF(E1450&gt;0,D1450/E1450-1,"")</f>
        <v>-1</v>
      </c>
      <c r="H1450" s="3" t="str">
        <f aca="false">IF(MAX(D1450,E1450)&lt;Parametros!$B$16,"",IF(E1450=0,"PIDE SIN FCST",IF(ABS(G1450)&gt;Parametros!$B$14,IF(G1450&gt;0,"SOBRE FCST","BAJO FCST"),"")))</f>
        <v/>
      </c>
    </row>
    <row r="1451" customFormat="false" ht="15" hidden="false" customHeight="false" outlineLevel="0" collapsed="false">
      <c r="A1451" s="3" t="n">
        <v>30001401</v>
      </c>
      <c r="B1451" s="3" t="s">
        <v>304</v>
      </c>
      <c r="C1451" s="3" t="s">
        <v>1378</v>
      </c>
      <c r="D1451" s="23" t="n">
        <v>820.8</v>
      </c>
      <c r="E1451" s="23" t="n">
        <v>1138.20225930044</v>
      </c>
      <c r="F1451" s="23" t="n">
        <f aca="false">D1451-E1451</f>
        <v>-317.402259300444</v>
      </c>
      <c r="G1451" s="24" t="n">
        <f aca="false">IF(E1451&gt;0,D1451/E1451-1,"")</f>
        <v>-0.278862791482706</v>
      </c>
      <c r="H1451" s="3" t="str">
        <f aca="false">IF(MAX(D1451,E1451)&lt;Parametros!$B$16,"",IF(E1451=0,"PIDE SIN FCST",IF(ABS(G1451)&gt;Parametros!$B$14,IF(G1451&gt;0,"SOBRE FCST","BAJO FCST"),"")))</f>
        <v>BAJO FCST</v>
      </c>
    </row>
    <row r="1452" customFormat="false" ht="15" hidden="false" customHeight="false" outlineLevel="0" collapsed="false">
      <c r="A1452" s="3" t="n">
        <v>30001709</v>
      </c>
      <c r="B1452" s="3" t="s">
        <v>343</v>
      </c>
      <c r="C1452" s="3" t="s">
        <v>1378</v>
      </c>
      <c r="D1452" s="23" t="n">
        <v>1683.36</v>
      </c>
      <c r="E1452" s="23" t="n">
        <v>1366.56961259787</v>
      </c>
      <c r="F1452" s="23" t="n">
        <f aca="false">D1452-E1452</f>
        <v>316.790387402131</v>
      </c>
      <c r="G1452" s="24" t="n">
        <f aca="false">IF(E1452&gt;0,D1452/E1452-1,"")</f>
        <v>0.231814306773519</v>
      </c>
      <c r="H1452" s="3" t="str">
        <f aca="false">IF(MAX(D1452,E1452)&lt;Parametros!$B$16,"",IF(E1452=0,"PIDE SIN FCST",IF(ABS(G1452)&gt;Parametros!$B$14,IF(G1452&gt;0,"SOBRE FCST","BAJO FCST"),"")))</f>
        <v>SOBRE FCST</v>
      </c>
    </row>
    <row r="1453" customFormat="false" ht="15" hidden="false" customHeight="false" outlineLevel="0" collapsed="false">
      <c r="A1453" s="3" t="n">
        <v>30000073</v>
      </c>
      <c r="B1453" s="3" t="s">
        <v>496</v>
      </c>
      <c r="C1453" s="3" t="s">
        <v>1377</v>
      </c>
      <c r="D1453" s="23" t="n">
        <v>1840</v>
      </c>
      <c r="E1453" s="23" t="n">
        <v>2156.43766373934</v>
      </c>
      <c r="F1453" s="23" t="n">
        <f aca="false">D1453-E1453</f>
        <v>-316.437663739341</v>
      </c>
      <c r="G1453" s="24" t="n">
        <f aca="false">IF(E1453&gt;0,D1453/E1453-1,"")</f>
        <v>-0.146740927901726</v>
      </c>
      <c r="H1453" s="3" t="str">
        <f aca="false">IF(MAX(D1453,E1453)&lt;Parametros!$B$16,"",IF(E1453=0,"PIDE SIN FCST",IF(ABS(G1453)&gt;Parametros!$B$14,IF(G1453&gt;0,"SOBRE FCST","BAJO FCST"),"")))</f>
        <v/>
      </c>
    </row>
    <row r="1454" customFormat="false" ht="15" hidden="false" customHeight="false" outlineLevel="0" collapsed="false">
      <c r="A1454" s="3" t="n">
        <v>30002132</v>
      </c>
      <c r="B1454" s="3" t="s">
        <v>586</v>
      </c>
      <c r="C1454" s="3" t="s">
        <v>1373</v>
      </c>
      <c r="D1454" s="23" t="n">
        <v>7.5</v>
      </c>
      <c r="E1454" s="23" t="n">
        <v>323.465649560901</v>
      </c>
      <c r="F1454" s="23" t="n">
        <f aca="false">D1454-E1454</f>
        <v>-315.965649560901</v>
      </c>
      <c r="G1454" s="24" t="n">
        <f aca="false">IF(E1454&gt;0,D1454/E1454-1,"")</f>
        <v>-0.976813612171243</v>
      </c>
      <c r="H1454" s="3" t="str">
        <f aca="false">IF(MAX(D1454,E1454)&lt;Parametros!$B$16,"",IF(E1454=0,"PIDE SIN FCST",IF(ABS(G1454)&gt;Parametros!$B$14,IF(G1454&gt;0,"SOBRE FCST","BAJO FCST"),"")))</f>
        <v/>
      </c>
    </row>
    <row r="1455" customFormat="false" ht="15" hidden="false" customHeight="false" outlineLevel="0" collapsed="false">
      <c r="A1455" s="3" t="n">
        <v>30002268</v>
      </c>
      <c r="B1455" s="3" t="s">
        <v>370</v>
      </c>
      <c r="C1455" s="3" t="s">
        <v>1380</v>
      </c>
      <c r="D1455" s="23" t="n">
        <v>3715.44</v>
      </c>
      <c r="E1455" s="23" t="n">
        <v>3400</v>
      </c>
      <c r="F1455" s="23" t="n">
        <f aca="false">D1455-E1455</f>
        <v>315.44</v>
      </c>
      <c r="G1455" s="24" t="n">
        <f aca="false">IF(E1455&gt;0,D1455/E1455-1,"")</f>
        <v>0.0927764705882352</v>
      </c>
      <c r="H1455" s="3" t="str">
        <f aca="false">IF(MAX(D1455,E1455)&lt;Parametros!$B$16,"",IF(E1455=0,"PIDE SIN FCST",IF(ABS(G1455)&gt;Parametros!$B$14,IF(G1455&gt;0,"SOBRE FCST","BAJO FCST"),"")))</f>
        <v/>
      </c>
    </row>
    <row r="1456" customFormat="false" ht="15" hidden="false" customHeight="false" outlineLevel="0" collapsed="false">
      <c r="A1456" s="3" t="n">
        <v>30000308</v>
      </c>
      <c r="B1456" s="3" t="s">
        <v>513</v>
      </c>
      <c r="C1456" s="3" t="s">
        <v>1377</v>
      </c>
      <c r="D1456" s="23" t="n">
        <v>996</v>
      </c>
      <c r="E1456" s="23" t="n">
        <v>1311.18641141156</v>
      </c>
      <c r="F1456" s="23" t="n">
        <f aca="false">D1456-E1456</f>
        <v>-315.186411411556</v>
      </c>
      <c r="G1456" s="24" t="n">
        <f aca="false">IF(E1456&gt;0,D1456/E1456-1,"")</f>
        <v>-0.240382609725373</v>
      </c>
      <c r="H1456" s="3" t="str">
        <f aca="false">IF(MAX(D1456,E1456)&lt;Parametros!$B$16,"",IF(E1456=0,"PIDE SIN FCST",IF(ABS(G1456)&gt;Parametros!$B$14,IF(G1456&gt;0,"SOBRE FCST","BAJO FCST"),"")))</f>
        <v>BAJO FCST</v>
      </c>
    </row>
    <row r="1457" customFormat="false" ht="15" hidden="false" customHeight="false" outlineLevel="0" collapsed="false">
      <c r="A1457" s="3" t="n">
        <v>30002164</v>
      </c>
      <c r="B1457" s="3" t="s">
        <v>632</v>
      </c>
      <c r="C1457" s="3" t="s">
        <v>1380</v>
      </c>
      <c r="D1457" s="23" t="n">
        <v>0</v>
      </c>
      <c r="E1457" s="23" t="n">
        <v>315</v>
      </c>
      <c r="F1457" s="23" t="n">
        <f aca="false">D1457-E1457</f>
        <v>-315</v>
      </c>
      <c r="G1457" s="24" t="n">
        <f aca="false">IF(E1457&gt;0,D1457/E1457-1,"")</f>
        <v>-1</v>
      </c>
      <c r="H1457" s="3" t="str">
        <f aca="false">IF(MAX(D1457,E1457)&lt;Parametros!$B$16,"",IF(E1457=0,"PIDE SIN FCST",IF(ABS(G1457)&gt;Parametros!$B$14,IF(G1457&gt;0,"SOBRE FCST","BAJO FCST"),"")))</f>
        <v/>
      </c>
    </row>
    <row r="1458" customFormat="false" ht="15" hidden="false" customHeight="false" outlineLevel="0" collapsed="false">
      <c r="A1458" s="3" t="n">
        <v>30001918</v>
      </c>
      <c r="B1458" s="3" t="s">
        <v>532</v>
      </c>
      <c r="C1458" s="3" t="s">
        <v>1372</v>
      </c>
      <c r="D1458" s="23" t="n">
        <v>315</v>
      </c>
      <c r="E1458" s="23" t="n">
        <v>0</v>
      </c>
      <c r="F1458" s="23" t="n">
        <f aca="false">D1458-E1458</f>
        <v>315</v>
      </c>
      <c r="G1458" s="24" t="str">
        <f aca="false">IF(E1458&gt;0,D1458/E1458-1,"")</f>
        <v/>
      </c>
      <c r="H1458" s="3" t="str">
        <f aca="false">IF(MAX(D1458,E1458)&lt;Parametros!$B$16,"",IF(E1458=0,"PIDE SIN FCST",IF(ABS(G1458)&gt;Parametros!$B$14,IF(G1458&gt;0,"SOBRE FCST","BAJO FCST"),"")))</f>
        <v/>
      </c>
    </row>
    <row r="1459" customFormat="false" ht="15" hidden="false" customHeight="false" outlineLevel="0" collapsed="false">
      <c r="A1459" s="3" t="n">
        <v>30000195</v>
      </c>
      <c r="B1459" s="3" t="s">
        <v>348</v>
      </c>
      <c r="C1459" s="3" t="s">
        <v>1375</v>
      </c>
      <c r="D1459" s="23" t="n">
        <v>1764</v>
      </c>
      <c r="E1459" s="23" t="n">
        <v>1450</v>
      </c>
      <c r="F1459" s="23" t="n">
        <f aca="false">D1459-E1459</f>
        <v>314</v>
      </c>
      <c r="G1459" s="24" t="n">
        <f aca="false">IF(E1459&gt;0,D1459/E1459-1,"")</f>
        <v>0.216551724137931</v>
      </c>
      <c r="H1459" s="3" t="str">
        <f aca="false">IF(MAX(D1459,E1459)&lt;Parametros!$B$16,"",IF(E1459=0,"PIDE SIN FCST",IF(ABS(G1459)&gt;Parametros!$B$14,IF(G1459&gt;0,"SOBRE FCST","BAJO FCST"),"")))</f>
        <v>SOBRE FCST</v>
      </c>
    </row>
    <row r="1460" customFormat="false" ht="15" hidden="false" customHeight="false" outlineLevel="0" collapsed="false">
      <c r="A1460" s="3" t="n">
        <v>30001744</v>
      </c>
      <c r="B1460" s="3" t="s">
        <v>437</v>
      </c>
      <c r="C1460" s="3" t="s">
        <v>1375</v>
      </c>
      <c r="D1460" s="23" t="n">
        <v>1636.2</v>
      </c>
      <c r="E1460" s="23" t="n">
        <v>1950</v>
      </c>
      <c r="F1460" s="23" t="n">
        <f aca="false">D1460-E1460</f>
        <v>-313.8</v>
      </c>
      <c r="G1460" s="24" t="n">
        <f aca="false">IF(E1460&gt;0,D1460/E1460-1,"")</f>
        <v>-0.160923076923077</v>
      </c>
      <c r="H1460" s="3" t="str">
        <f aca="false">IF(MAX(D1460,E1460)&lt;Parametros!$B$16,"",IF(E1460=0,"PIDE SIN FCST",IF(ABS(G1460)&gt;Parametros!$B$14,IF(G1460&gt;0,"SOBRE FCST","BAJO FCST"),"")))</f>
        <v/>
      </c>
    </row>
    <row r="1461" customFormat="false" ht="15" hidden="false" customHeight="false" outlineLevel="0" collapsed="false">
      <c r="A1461" s="3" t="n">
        <v>30000610</v>
      </c>
      <c r="B1461" s="3" t="s">
        <v>387</v>
      </c>
      <c r="C1461" s="3" t="s">
        <v>1378</v>
      </c>
      <c r="D1461" s="23" t="n">
        <v>13.44</v>
      </c>
      <c r="E1461" s="23" t="n">
        <v>324.52</v>
      </c>
      <c r="F1461" s="23" t="n">
        <f aca="false">D1461-E1461</f>
        <v>-311.08</v>
      </c>
      <c r="G1461" s="24" t="n">
        <f aca="false">IF(E1461&gt;0,D1461/E1461-1,"")</f>
        <v>-0.958584987057809</v>
      </c>
      <c r="H1461" s="3" t="str">
        <f aca="false">IF(MAX(D1461,E1461)&lt;Parametros!$B$16,"",IF(E1461=0,"PIDE SIN FCST",IF(ABS(G1461)&gt;Parametros!$B$14,IF(G1461&gt;0,"SOBRE FCST","BAJO FCST"),"")))</f>
        <v/>
      </c>
    </row>
    <row r="1462" customFormat="false" ht="15" hidden="false" customHeight="false" outlineLevel="0" collapsed="false">
      <c r="A1462" s="3" t="n">
        <v>30002113</v>
      </c>
      <c r="B1462" s="3" t="s">
        <v>498</v>
      </c>
      <c r="C1462" s="3" t="s">
        <v>1375</v>
      </c>
      <c r="D1462" s="23" t="n">
        <v>4010</v>
      </c>
      <c r="E1462" s="23" t="n">
        <v>3700</v>
      </c>
      <c r="F1462" s="23" t="n">
        <f aca="false">D1462-E1462</f>
        <v>310</v>
      </c>
      <c r="G1462" s="24" t="n">
        <f aca="false">IF(E1462&gt;0,D1462/E1462-1,"")</f>
        <v>0.0837837837837838</v>
      </c>
      <c r="H1462" s="3" t="str">
        <f aca="false">IF(MAX(D1462,E1462)&lt;Parametros!$B$16,"",IF(E1462=0,"PIDE SIN FCST",IF(ABS(G1462)&gt;Parametros!$B$14,IF(G1462&gt;0,"SOBRE FCST","BAJO FCST"),"")))</f>
        <v/>
      </c>
    </row>
    <row r="1463" customFormat="false" ht="15" hidden="false" customHeight="false" outlineLevel="0" collapsed="false">
      <c r="A1463" s="3" t="n">
        <v>30001753</v>
      </c>
      <c r="B1463" s="3" t="s">
        <v>255</v>
      </c>
      <c r="C1463" s="3" t="s">
        <v>1376</v>
      </c>
      <c r="D1463" s="23" t="n">
        <v>410.4</v>
      </c>
      <c r="E1463" s="23" t="n">
        <v>720</v>
      </c>
      <c r="F1463" s="23" t="n">
        <f aca="false">D1463-E1463</f>
        <v>-309.6</v>
      </c>
      <c r="G1463" s="24" t="n">
        <f aca="false">IF(E1463&gt;0,D1463/E1463-1,"")</f>
        <v>-0.43</v>
      </c>
      <c r="H1463" s="3" t="str">
        <f aca="false">IF(MAX(D1463,E1463)&lt;Parametros!$B$16,"",IF(E1463=0,"PIDE SIN FCST",IF(ABS(G1463)&gt;Parametros!$B$14,IF(G1463&gt;0,"SOBRE FCST","BAJO FCST"),"")))</f>
        <v/>
      </c>
    </row>
    <row r="1464" customFormat="false" ht="15" hidden="false" customHeight="false" outlineLevel="0" collapsed="false">
      <c r="A1464" s="3" t="n">
        <v>30000245</v>
      </c>
      <c r="B1464" s="3" t="s">
        <v>398</v>
      </c>
      <c r="C1464" s="3" t="s">
        <v>1375</v>
      </c>
      <c r="D1464" s="23" t="n">
        <v>1512</v>
      </c>
      <c r="E1464" s="23" t="n">
        <v>1821.4742512183</v>
      </c>
      <c r="F1464" s="23" t="n">
        <f aca="false">D1464-E1464</f>
        <v>-309.474251218296</v>
      </c>
      <c r="G1464" s="24" t="n">
        <f aca="false">IF(E1464&gt;0,D1464/E1464-1,"")</f>
        <v>-0.16990317102276</v>
      </c>
      <c r="H1464" s="3" t="str">
        <f aca="false">IF(MAX(D1464,E1464)&lt;Parametros!$B$16,"",IF(E1464=0,"PIDE SIN FCST",IF(ABS(G1464)&gt;Parametros!$B$14,IF(G1464&gt;0,"SOBRE FCST","BAJO FCST"),"")))</f>
        <v/>
      </c>
    </row>
    <row r="1465" customFormat="false" ht="15" hidden="false" customHeight="false" outlineLevel="0" collapsed="false">
      <c r="A1465" s="3" t="n">
        <v>30000053</v>
      </c>
      <c r="B1465" s="3" t="s">
        <v>525</v>
      </c>
      <c r="C1465" s="3" t="s">
        <v>1378</v>
      </c>
      <c r="D1465" s="23" t="n">
        <v>11.1</v>
      </c>
      <c r="E1465" s="23" t="n">
        <v>320</v>
      </c>
      <c r="F1465" s="23" t="n">
        <f aca="false">D1465-E1465</f>
        <v>-308.9</v>
      </c>
      <c r="G1465" s="24" t="n">
        <f aca="false">IF(E1465&gt;0,D1465/E1465-1,"")</f>
        <v>-0.9653125</v>
      </c>
      <c r="H1465" s="3" t="str">
        <f aca="false">IF(MAX(D1465,E1465)&lt;Parametros!$B$16,"",IF(E1465=0,"PIDE SIN FCST",IF(ABS(G1465)&gt;Parametros!$B$14,IF(G1465&gt;0,"SOBRE FCST","BAJO FCST"),"")))</f>
        <v/>
      </c>
    </row>
    <row r="1466" customFormat="false" ht="15" hidden="false" customHeight="false" outlineLevel="0" collapsed="false">
      <c r="A1466" s="3" t="n">
        <v>30000542</v>
      </c>
      <c r="B1466" s="3" t="s">
        <v>616</v>
      </c>
      <c r="C1466" s="3" t="s">
        <v>1379</v>
      </c>
      <c r="D1466" s="23" t="n">
        <v>0</v>
      </c>
      <c r="E1466" s="23" t="n">
        <v>308</v>
      </c>
      <c r="F1466" s="23" t="n">
        <f aca="false">D1466-E1466</f>
        <v>-308</v>
      </c>
      <c r="G1466" s="24" t="n">
        <f aca="false">IF(E1466&gt;0,D1466/E1466-1,"")</f>
        <v>-1</v>
      </c>
      <c r="H1466" s="3" t="str">
        <f aca="false">IF(MAX(D1466,E1466)&lt;Parametros!$B$16,"",IF(E1466=0,"PIDE SIN FCST",IF(ABS(G1466)&gt;Parametros!$B$14,IF(G1466&gt;0,"SOBRE FCST","BAJO FCST"),"")))</f>
        <v/>
      </c>
    </row>
    <row r="1467" customFormat="false" ht="15" hidden="false" customHeight="false" outlineLevel="0" collapsed="false">
      <c r="A1467" s="3" t="n">
        <v>30001944</v>
      </c>
      <c r="B1467" s="3" t="s">
        <v>336</v>
      </c>
      <c r="C1467" s="3" t="s">
        <v>1377</v>
      </c>
      <c r="D1467" s="23" t="n">
        <v>739.2</v>
      </c>
      <c r="E1467" s="23" t="n">
        <v>431.287532747868</v>
      </c>
      <c r="F1467" s="23" t="n">
        <f aca="false">D1467-E1467</f>
        <v>307.912467252132</v>
      </c>
      <c r="G1467" s="24" t="n">
        <f aca="false">IF(E1467&gt;0,D1467/E1467-1,"")</f>
        <v>0.71393778830175</v>
      </c>
      <c r="H1467" s="3" t="str">
        <f aca="false">IF(MAX(D1467,E1467)&lt;Parametros!$B$16,"",IF(E1467=0,"PIDE SIN FCST",IF(ABS(G1467)&gt;Parametros!$B$14,IF(G1467&gt;0,"SOBRE FCST","BAJO FCST"),"")))</f>
        <v/>
      </c>
    </row>
    <row r="1468" customFormat="false" ht="15" hidden="false" customHeight="false" outlineLevel="0" collapsed="false">
      <c r="A1468" s="3" t="n">
        <v>30002132</v>
      </c>
      <c r="B1468" s="3" t="s">
        <v>586</v>
      </c>
      <c r="C1468" s="3" t="s">
        <v>1376</v>
      </c>
      <c r="D1468" s="23" t="n">
        <v>307.5</v>
      </c>
      <c r="E1468" s="23" t="n">
        <v>0</v>
      </c>
      <c r="F1468" s="23" t="n">
        <f aca="false">D1468-E1468</f>
        <v>307.5</v>
      </c>
      <c r="G1468" s="24" t="str">
        <f aca="false">IF(E1468&gt;0,D1468/E1468-1,"")</f>
        <v/>
      </c>
      <c r="H1468" s="3" t="str">
        <f aca="false">IF(MAX(D1468,E1468)&lt;Parametros!$B$16,"",IF(E1468=0,"PIDE SIN FCST",IF(ABS(G1468)&gt;Parametros!$B$14,IF(G1468&gt;0,"SOBRE FCST","BAJO FCST"),"")))</f>
        <v/>
      </c>
    </row>
    <row r="1469" customFormat="false" ht="15" hidden="false" customHeight="false" outlineLevel="0" collapsed="false">
      <c r="A1469" s="3" t="n">
        <v>30002172</v>
      </c>
      <c r="B1469" s="3" t="s">
        <v>491</v>
      </c>
      <c r="C1469" s="3" t="s">
        <v>1373</v>
      </c>
      <c r="D1469" s="23" t="n">
        <v>307.2</v>
      </c>
      <c r="E1469" s="23" t="n">
        <v>0</v>
      </c>
      <c r="F1469" s="23" t="n">
        <f aca="false">D1469-E1469</f>
        <v>307.2</v>
      </c>
      <c r="G1469" s="24" t="str">
        <f aca="false">IF(E1469&gt;0,D1469/E1469-1,"")</f>
        <v/>
      </c>
      <c r="H1469" s="3" t="str">
        <f aca="false">IF(MAX(D1469,E1469)&lt;Parametros!$B$16,"",IF(E1469=0,"PIDE SIN FCST",IF(ABS(G1469)&gt;Parametros!$B$14,IF(G1469&gt;0,"SOBRE FCST","BAJO FCST"),"")))</f>
        <v/>
      </c>
    </row>
    <row r="1470" customFormat="false" ht="15" hidden="false" customHeight="false" outlineLevel="0" collapsed="false">
      <c r="A1470" s="3" t="n">
        <v>30001935</v>
      </c>
      <c r="B1470" s="3" t="s">
        <v>412</v>
      </c>
      <c r="C1470" s="3" t="s">
        <v>1375</v>
      </c>
      <c r="D1470" s="23" t="n">
        <v>4620</v>
      </c>
      <c r="E1470" s="23" t="n">
        <v>4312.87532747868</v>
      </c>
      <c r="F1470" s="23" t="n">
        <f aca="false">D1470-E1470</f>
        <v>307.124672521319</v>
      </c>
      <c r="G1470" s="24" t="n">
        <f aca="false">IF(E1470&gt;0,D1470/E1470-1,"")</f>
        <v>0.0712111176885941</v>
      </c>
      <c r="H1470" s="3" t="str">
        <f aca="false">IF(MAX(D1470,E1470)&lt;Parametros!$B$16,"",IF(E1470=0,"PIDE SIN FCST",IF(ABS(G1470)&gt;Parametros!$B$14,IF(G1470&gt;0,"SOBRE FCST","BAJO FCST"),"")))</f>
        <v/>
      </c>
    </row>
    <row r="1471" customFormat="false" ht="15" hidden="false" customHeight="false" outlineLevel="0" collapsed="false">
      <c r="A1471" s="3" t="n">
        <v>30001748</v>
      </c>
      <c r="B1471" s="3" t="s">
        <v>573</v>
      </c>
      <c r="C1471" s="3" t="s">
        <v>1373</v>
      </c>
      <c r="D1471" s="23" t="n">
        <v>3056.4</v>
      </c>
      <c r="E1471" s="23" t="n">
        <v>2750</v>
      </c>
      <c r="F1471" s="23" t="n">
        <f aca="false">D1471-E1471</f>
        <v>306.4</v>
      </c>
      <c r="G1471" s="24" t="n">
        <f aca="false">IF(E1471&gt;0,D1471/E1471-1,"")</f>
        <v>0.111418181818182</v>
      </c>
      <c r="H1471" s="3" t="str">
        <f aca="false">IF(MAX(D1471,E1471)&lt;Parametros!$B$16,"",IF(E1471=0,"PIDE SIN FCST",IF(ABS(G1471)&gt;Parametros!$B$14,IF(G1471&gt;0,"SOBRE FCST","BAJO FCST"),"")))</f>
        <v/>
      </c>
    </row>
    <row r="1472" customFormat="false" ht="15" hidden="false" customHeight="false" outlineLevel="0" collapsed="false">
      <c r="A1472" s="3" t="n">
        <v>30001923</v>
      </c>
      <c r="B1472" s="3" t="s">
        <v>346</v>
      </c>
      <c r="C1472" s="3" t="s">
        <v>1377</v>
      </c>
      <c r="D1472" s="23" t="n">
        <v>552</v>
      </c>
      <c r="E1472" s="23" t="n">
        <v>858.39621830585</v>
      </c>
      <c r="F1472" s="23" t="n">
        <f aca="false">D1472-E1472</f>
        <v>-306.39621830585</v>
      </c>
      <c r="G1472" s="24" t="n">
        <f aca="false">IF(E1472&gt;0,D1472/E1472-1,"")</f>
        <v>-0.356940317037463</v>
      </c>
      <c r="H1472" s="3" t="str">
        <f aca="false">IF(MAX(D1472,E1472)&lt;Parametros!$B$16,"",IF(E1472=0,"PIDE SIN FCST",IF(ABS(G1472)&gt;Parametros!$B$14,IF(G1472&gt;0,"SOBRE FCST","BAJO FCST"),"")))</f>
        <v/>
      </c>
    </row>
    <row r="1473" customFormat="false" ht="15" hidden="false" customHeight="false" outlineLevel="0" collapsed="false">
      <c r="A1473" s="3" t="n">
        <v>30000097</v>
      </c>
      <c r="B1473" s="3" t="s">
        <v>354</v>
      </c>
      <c r="C1473" s="3" t="s">
        <v>1372</v>
      </c>
      <c r="D1473" s="23" t="n">
        <v>1600.2</v>
      </c>
      <c r="E1473" s="23" t="n">
        <v>1293.86259824361</v>
      </c>
      <c r="F1473" s="23" t="n">
        <f aca="false">D1473-E1473</f>
        <v>306.337401756395</v>
      </c>
      <c r="G1473" s="24" t="n">
        <f aca="false">IF(E1473&gt;0,D1473/E1473-1,"")</f>
        <v>0.236761926785922</v>
      </c>
      <c r="H1473" s="3" t="str">
        <f aca="false">IF(MAX(D1473,E1473)&lt;Parametros!$B$16,"",IF(E1473=0,"PIDE SIN FCST",IF(ABS(G1473)&gt;Parametros!$B$14,IF(G1473&gt;0,"SOBRE FCST","BAJO FCST"),"")))</f>
        <v>SOBRE FCST</v>
      </c>
    </row>
    <row r="1474" customFormat="false" ht="15" hidden="false" customHeight="false" outlineLevel="0" collapsed="false">
      <c r="A1474" s="3" t="n">
        <v>30002085</v>
      </c>
      <c r="B1474" s="3" t="s">
        <v>607</v>
      </c>
      <c r="C1474" s="3" t="s">
        <v>1377</v>
      </c>
      <c r="D1474" s="23" t="n">
        <v>446.88</v>
      </c>
      <c r="E1474" s="23" t="n">
        <v>141.270488761404</v>
      </c>
      <c r="F1474" s="23" t="n">
        <f aca="false">D1474-E1474</f>
        <v>305.609511238596</v>
      </c>
      <c r="G1474" s="24" t="n">
        <f aca="false">IF(E1474&gt;0,D1474/E1474-1,"")</f>
        <v>2.16329336663334</v>
      </c>
      <c r="H1474" s="3" t="str">
        <f aca="false">IF(MAX(D1474,E1474)&lt;Parametros!$B$16,"",IF(E1474=0,"PIDE SIN FCST",IF(ABS(G1474)&gt;Parametros!$B$14,IF(G1474&gt;0,"SOBRE FCST","BAJO FCST"),"")))</f>
        <v/>
      </c>
    </row>
    <row r="1475" customFormat="false" ht="15" hidden="false" customHeight="false" outlineLevel="0" collapsed="false">
      <c r="A1475" s="3" t="n">
        <v>30001142</v>
      </c>
      <c r="B1475" s="3" t="s">
        <v>521</v>
      </c>
      <c r="C1475" s="3" t="s">
        <v>1375</v>
      </c>
      <c r="D1475" s="23" t="n">
        <v>2795</v>
      </c>
      <c r="E1475" s="23" t="n">
        <v>3100</v>
      </c>
      <c r="F1475" s="23" t="n">
        <f aca="false">D1475-E1475</f>
        <v>-305</v>
      </c>
      <c r="G1475" s="24" t="n">
        <f aca="false">IF(E1475&gt;0,D1475/E1475-1,"")</f>
        <v>-0.0983870967741936</v>
      </c>
      <c r="H1475" s="3" t="str">
        <f aca="false">IF(MAX(D1475,E1475)&lt;Parametros!$B$16,"",IF(E1475=0,"PIDE SIN FCST",IF(ABS(G1475)&gt;Parametros!$B$14,IF(G1475&gt;0,"SOBRE FCST","BAJO FCST"),"")))</f>
        <v/>
      </c>
    </row>
    <row r="1476" customFormat="false" ht="15" hidden="false" customHeight="false" outlineLevel="0" collapsed="false">
      <c r="A1476" s="3" t="n">
        <v>30001057</v>
      </c>
      <c r="B1476" s="3" t="s">
        <v>294</v>
      </c>
      <c r="C1476" s="3" t="s">
        <v>1377</v>
      </c>
      <c r="D1476" s="23" t="n">
        <v>1501.92</v>
      </c>
      <c r="E1476" s="23" t="n">
        <v>1197.88274376325</v>
      </c>
      <c r="F1476" s="23" t="n">
        <f aca="false">D1476-E1476</f>
        <v>304.037256236753</v>
      </c>
      <c r="G1476" s="24" t="n">
        <f aca="false">IF(E1476&gt;0,D1476/E1476-1,"")</f>
        <v>0.25381220141931</v>
      </c>
      <c r="H1476" s="3" t="str">
        <f aca="false">IF(MAX(D1476,E1476)&lt;Parametros!$B$16,"",IF(E1476=0,"PIDE SIN FCST",IF(ABS(G1476)&gt;Parametros!$B$14,IF(G1476&gt;0,"SOBRE FCST","BAJO FCST"),"")))</f>
        <v>SOBRE FCST</v>
      </c>
    </row>
    <row r="1477" customFormat="false" ht="15" hidden="false" customHeight="false" outlineLevel="0" collapsed="false">
      <c r="A1477" s="3" t="n">
        <v>30001152</v>
      </c>
      <c r="B1477" s="3" t="s">
        <v>577</v>
      </c>
      <c r="C1477" s="3" t="s">
        <v>1376</v>
      </c>
      <c r="D1477" s="23" t="n">
        <v>304</v>
      </c>
      <c r="E1477" s="23" t="n">
        <v>0</v>
      </c>
      <c r="F1477" s="23" t="n">
        <f aca="false">D1477-E1477</f>
        <v>304</v>
      </c>
      <c r="G1477" s="24" t="str">
        <f aca="false">IF(E1477&gt;0,D1477/E1477-1,"")</f>
        <v/>
      </c>
      <c r="H1477" s="3" t="str">
        <f aca="false">IF(MAX(D1477,E1477)&lt;Parametros!$B$16,"",IF(E1477=0,"PIDE SIN FCST",IF(ABS(G1477)&gt;Parametros!$B$14,IF(G1477&gt;0,"SOBRE FCST","BAJO FCST"),"")))</f>
        <v/>
      </c>
    </row>
    <row r="1478" customFormat="false" ht="15" hidden="false" customHeight="false" outlineLevel="0" collapsed="false">
      <c r="A1478" s="3" t="n">
        <v>30000360</v>
      </c>
      <c r="B1478" s="3" t="s">
        <v>382</v>
      </c>
      <c r="C1478" s="3" t="s">
        <v>1380</v>
      </c>
      <c r="D1478" s="23" t="n">
        <v>3828</v>
      </c>
      <c r="E1478" s="23" t="n">
        <v>3525</v>
      </c>
      <c r="F1478" s="23" t="n">
        <f aca="false">D1478-E1478</f>
        <v>303</v>
      </c>
      <c r="G1478" s="24" t="n">
        <f aca="false">IF(E1478&gt;0,D1478/E1478-1,"")</f>
        <v>0.0859574468085107</v>
      </c>
      <c r="H1478" s="3" t="str">
        <f aca="false">IF(MAX(D1478,E1478)&lt;Parametros!$B$16,"",IF(E1478=0,"PIDE SIN FCST",IF(ABS(G1478)&gt;Parametros!$B$14,IF(G1478&gt;0,"SOBRE FCST","BAJO FCST"),"")))</f>
        <v/>
      </c>
    </row>
    <row r="1479" customFormat="false" ht="15" hidden="false" customHeight="false" outlineLevel="0" collapsed="false">
      <c r="A1479" s="3" t="n">
        <v>30001897</v>
      </c>
      <c r="B1479" s="3" t="s">
        <v>409</v>
      </c>
      <c r="C1479" s="3" t="s">
        <v>1375</v>
      </c>
      <c r="D1479" s="23" t="n">
        <v>6021.6</v>
      </c>
      <c r="E1479" s="23" t="n">
        <v>6323.9264534209</v>
      </c>
      <c r="F1479" s="23" t="n">
        <f aca="false">D1479-E1479</f>
        <v>-302.326453420896</v>
      </c>
      <c r="G1479" s="24" t="n">
        <f aca="false">IF(E1479&gt;0,D1479/E1479-1,"")</f>
        <v>-0.0478067630368082</v>
      </c>
      <c r="H1479" s="3" t="str">
        <f aca="false">IF(MAX(D1479,E1479)&lt;Parametros!$B$16,"",IF(E1479=0,"PIDE SIN FCST",IF(ABS(G1479)&gt;Parametros!$B$14,IF(G1479&gt;0,"SOBRE FCST","BAJO FCST"),"")))</f>
        <v/>
      </c>
    </row>
    <row r="1480" customFormat="false" ht="15" hidden="false" customHeight="false" outlineLevel="0" collapsed="false">
      <c r="A1480" s="3" t="n">
        <v>30002273</v>
      </c>
      <c r="B1480" s="3" t="s">
        <v>512</v>
      </c>
      <c r="C1480" s="3" t="s">
        <v>1379</v>
      </c>
      <c r="D1480" s="23" t="n">
        <v>648</v>
      </c>
      <c r="E1480" s="23" t="n">
        <v>950.0926</v>
      </c>
      <c r="F1480" s="23" t="n">
        <f aca="false">D1480-E1480</f>
        <v>-302.0926</v>
      </c>
      <c r="G1480" s="24" t="n">
        <f aca="false">IF(E1480&gt;0,D1480/E1480-1,"")</f>
        <v>-0.317961217674993</v>
      </c>
      <c r="H1480" s="3" t="str">
        <f aca="false">IF(MAX(D1480,E1480)&lt;Parametros!$B$16,"",IF(E1480=0,"PIDE SIN FCST",IF(ABS(G1480)&gt;Parametros!$B$14,IF(G1480&gt;0,"SOBRE FCST","BAJO FCST"),"")))</f>
        <v/>
      </c>
    </row>
    <row r="1481" customFormat="false" ht="15" hidden="false" customHeight="false" outlineLevel="0" collapsed="false">
      <c r="A1481" s="3" t="n">
        <v>30000516</v>
      </c>
      <c r="B1481" s="3" t="s">
        <v>281</v>
      </c>
      <c r="C1481" s="3" t="s">
        <v>1379</v>
      </c>
      <c r="D1481" s="23" t="n">
        <v>5592</v>
      </c>
      <c r="E1481" s="23" t="n">
        <v>5290.68</v>
      </c>
      <c r="F1481" s="23" t="n">
        <f aca="false">D1481-E1481</f>
        <v>301.32</v>
      </c>
      <c r="G1481" s="24" t="n">
        <f aca="false">IF(E1481&gt;0,D1481/E1481-1,"")</f>
        <v>0.0569529814693006</v>
      </c>
      <c r="H1481" s="3" t="str">
        <f aca="false">IF(MAX(D1481,E1481)&lt;Parametros!$B$16,"",IF(E1481=0,"PIDE SIN FCST",IF(ABS(G1481)&gt;Parametros!$B$14,IF(G1481&gt;0,"SOBRE FCST","BAJO FCST"),"")))</f>
        <v/>
      </c>
    </row>
    <row r="1482" customFormat="false" ht="15" hidden="false" customHeight="false" outlineLevel="0" collapsed="false">
      <c r="A1482" s="3" t="n">
        <v>30001407</v>
      </c>
      <c r="B1482" s="3" t="s">
        <v>537</v>
      </c>
      <c r="C1482" s="3" t="s">
        <v>1373</v>
      </c>
      <c r="D1482" s="23" t="n">
        <v>3532.5</v>
      </c>
      <c r="E1482" s="23" t="n">
        <v>3832.86675</v>
      </c>
      <c r="F1482" s="23" t="n">
        <f aca="false">D1482-E1482</f>
        <v>-300.36675</v>
      </c>
      <c r="G1482" s="24" t="n">
        <f aca="false">IF(E1482&gt;0,D1482/E1482-1,"")</f>
        <v>-0.0783660819933278</v>
      </c>
      <c r="H1482" s="3" t="str">
        <f aca="false">IF(MAX(D1482,E1482)&lt;Parametros!$B$16,"",IF(E1482=0,"PIDE SIN FCST",IF(ABS(G1482)&gt;Parametros!$B$14,IF(G1482&gt;0,"SOBRE FCST","BAJO FCST"),"")))</f>
        <v/>
      </c>
    </row>
    <row r="1483" customFormat="false" ht="15" hidden="false" customHeight="false" outlineLevel="0" collapsed="false">
      <c r="A1483" s="3" t="n">
        <v>30001482</v>
      </c>
      <c r="B1483" s="3" t="s">
        <v>566</v>
      </c>
      <c r="C1483" s="3" t="s">
        <v>1372</v>
      </c>
      <c r="D1483" s="23" t="n">
        <v>0</v>
      </c>
      <c r="E1483" s="23" t="n">
        <v>300</v>
      </c>
      <c r="F1483" s="23" t="n">
        <f aca="false">D1483-E1483</f>
        <v>-300</v>
      </c>
      <c r="G1483" s="24" t="n">
        <f aca="false">IF(E1483&gt;0,D1483/E1483-1,"")</f>
        <v>-1</v>
      </c>
      <c r="H1483" s="3" t="str">
        <f aca="false">IF(MAX(D1483,E1483)&lt;Parametros!$B$16,"",IF(E1483=0,"PIDE SIN FCST",IF(ABS(G1483)&gt;Parametros!$B$14,IF(G1483&gt;0,"SOBRE FCST","BAJO FCST"),"")))</f>
        <v/>
      </c>
    </row>
    <row r="1484" customFormat="false" ht="15" hidden="false" customHeight="false" outlineLevel="0" collapsed="false">
      <c r="A1484" s="3" t="n">
        <v>30001481</v>
      </c>
      <c r="B1484" s="3" t="s">
        <v>588</v>
      </c>
      <c r="C1484" s="3" t="s">
        <v>1372</v>
      </c>
      <c r="D1484" s="23" t="n">
        <v>0</v>
      </c>
      <c r="E1484" s="23" t="n">
        <v>300</v>
      </c>
      <c r="F1484" s="23" t="n">
        <f aca="false">D1484-E1484</f>
        <v>-300</v>
      </c>
      <c r="G1484" s="24" t="n">
        <f aca="false">IF(E1484&gt;0,D1484/E1484-1,"")</f>
        <v>-1</v>
      </c>
      <c r="H1484" s="3" t="str">
        <f aca="false">IF(MAX(D1484,E1484)&lt;Parametros!$B$16,"",IF(E1484=0,"PIDE SIN FCST",IF(ABS(G1484)&gt;Parametros!$B$14,IF(G1484&gt;0,"SOBRE FCST","BAJO FCST"),"")))</f>
        <v/>
      </c>
    </row>
    <row r="1485" customFormat="false" ht="15" hidden="false" customHeight="false" outlineLevel="0" collapsed="false">
      <c r="A1485" s="3" t="n">
        <v>30001665</v>
      </c>
      <c r="B1485" s="3" t="s">
        <v>572</v>
      </c>
      <c r="C1485" s="3" t="s">
        <v>1375</v>
      </c>
      <c r="D1485" s="23" t="n">
        <v>1200</v>
      </c>
      <c r="E1485" s="23" t="n">
        <v>1500</v>
      </c>
      <c r="F1485" s="23" t="n">
        <f aca="false">D1485-E1485</f>
        <v>-300</v>
      </c>
      <c r="G1485" s="24" t="n">
        <f aca="false">IF(E1485&gt;0,D1485/E1485-1,"")</f>
        <v>-0.2</v>
      </c>
      <c r="H1485" s="3" t="str">
        <f aca="false">IF(MAX(D1485,E1485)&lt;Parametros!$B$16,"",IF(E1485=0,"PIDE SIN FCST",IF(ABS(G1485)&gt;Parametros!$B$14,IF(G1485&gt;0,"SOBRE FCST","BAJO FCST"),"")))</f>
        <v/>
      </c>
    </row>
    <row r="1486" customFormat="false" ht="15" hidden="false" customHeight="false" outlineLevel="0" collapsed="false">
      <c r="A1486" s="3" t="n">
        <v>30002303</v>
      </c>
      <c r="B1486" s="3" t="s">
        <v>637</v>
      </c>
      <c r="C1486" s="3" t="s">
        <v>1372</v>
      </c>
      <c r="D1486" s="23" t="n">
        <v>0</v>
      </c>
      <c r="E1486" s="23" t="n">
        <v>300</v>
      </c>
      <c r="F1486" s="23" t="n">
        <f aca="false">D1486-E1486</f>
        <v>-300</v>
      </c>
      <c r="G1486" s="24" t="n">
        <f aca="false">IF(E1486&gt;0,D1486/E1486-1,"")</f>
        <v>-1</v>
      </c>
      <c r="H1486" s="3" t="str">
        <f aca="false">IF(MAX(D1486,E1486)&lt;Parametros!$B$16,"",IF(E1486=0,"PIDE SIN FCST",IF(ABS(G1486)&gt;Parametros!$B$14,IF(G1486&gt;0,"SOBRE FCST","BAJO FCST"),"")))</f>
        <v/>
      </c>
    </row>
    <row r="1487" customFormat="false" ht="15" hidden="false" customHeight="false" outlineLevel="0" collapsed="false">
      <c r="A1487" s="3" t="n">
        <v>30002114</v>
      </c>
      <c r="B1487" s="3" t="s">
        <v>600</v>
      </c>
      <c r="C1487" s="3" t="s">
        <v>1379</v>
      </c>
      <c r="D1487" s="23" t="n">
        <v>300</v>
      </c>
      <c r="E1487" s="23" t="n">
        <v>600</v>
      </c>
      <c r="F1487" s="23" t="n">
        <f aca="false">D1487-E1487</f>
        <v>-300</v>
      </c>
      <c r="G1487" s="24" t="n">
        <f aca="false">IF(E1487&gt;0,D1487/E1487-1,"")</f>
        <v>-0.5</v>
      </c>
      <c r="H1487" s="3" t="str">
        <f aca="false">IF(MAX(D1487,E1487)&lt;Parametros!$B$16,"",IF(E1487=0,"PIDE SIN FCST",IF(ABS(G1487)&gt;Parametros!$B$14,IF(G1487&gt;0,"SOBRE FCST","BAJO FCST"),"")))</f>
        <v/>
      </c>
    </row>
    <row r="1488" customFormat="false" ht="15" hidden="false" customHeight="false" outlineLevel="0" collapsed="false">
      <c r="A1488" s="3" t="n">
        <v>30001665</v>
      </c>
      <c r="B1488" s="3" t="s">
        <v>572</v>
      </c>
      <c r="C1488" s="3" t="s">
        <v>1378</v>
      </c>
      <c r="D1488" s="23" t="n">
        <v>64</v>
      </c>
      <c r="E1488" s="23" t="n">
        <v>363.132896487416</v>
      </c>
      <c r="F1488" s="23" t="n">
        <f aca="false">D1488-E1488</f>
        <v>-299.132896487416</v>
      </c>
      <c r="G1488" s="24" t="n">
        <f aca="false">IF(E1488&gt;0,D1488/E1488-1,"")</f>
        <v>-0.823755984051371</v>
      </c>
      <c r="H1488" s="3" t="str">
        <f aca="false">IF(MAX(D1488,E1488)&lt;Parametros!$B$16,"",IF(E1488=0,"PIDE SIN FCST",IF(ABS(G1488)&gt;Parametros!$B$14,IF(G1488&gt;0,"SOBRE FCST","BAJO FCST"),"")))</f>
        <v/>
      </c>
    </row>
    <row r="1489" customFormat="false" ht="15" hidden="false" customHeight="false" outlineLevel="0" collapsed="false">
      <c r="A1489" s="3" t="n">
        <v>30001708</v>
      </c>
      <c r="B1489" s="3" t="s">
        <v>530</v>
      </c>
      <c r="C1489" s="3" t="s">
        <v>1377</v>
      </c>
      <c r="D1489" s="23" t="n">
        <v>934.08</v>
      </c>
      <c r="E1489" s="23" t="n">
        <v>635.330843649724</v>
      </c>
      <c r="F1489" s="23" t="n">
        <f aca="false">D1489-E1489</f>
        <v>298.749156350276</v>
      </c>
      <c r="G1489" s="24" t="n">
        <f aca="false">IF(E1489&gt;0,D1489/E1489-1,"")</f>
        <v>0.470226118149845</v>
      </c>
      <c r="H1489" s="3" t="str">
        <f aca="false">IF(MAX(D1489,E1489)&lt;Parametros!$B$16,"",IF(E1489=0,"PIDE SIN FCST",IF(ABS(G1489)&gt;Parametros!$B$14,IF(G1489&gt;0,"SOBRE FCST","BAJO FCST"),"")))</f>
        <v/>
      </c>
    </row>
    <row r="1490" customFormat="false" ht="15" hidden="false" customHeight="false" outlineLevel="0" collapsed="false">
      <c r="A1490" s="3" t="n">
        <v>30000498</v>
      </c>
      <c r="B1490" s="3" t="s">
        <v>450</v>
      </c>
      <c r="C1490" s="3" t="s">
        <v>1375</v>
      </c>
      <c r="D1490" s="23" t="n">
        <v>2716.2</v>
      </c>
      <c r="E1490" s="23" t="n">
        <v>2418.27272014377</v>
      </c>
      <c r="F1490" s="23" t="n">
        <f aca="false">D1490-E1490</f>
        <v>297.927279856232</v>
      </c>
      <c r="G1490" s="24" t="n">
        <f aca="false">IF(E1490&gt;0,D1490/E1490-1,"")</f>
        <v>0.12319837931204</v>
      </c>
      <c r="H1490" s="3" t="str">
        <f aca="false">IF(MAX(D1490,E1490)&lt;Parametros!$B$16,"",IF(E1490=0,"PIDE SIN FCST",IF(ABS(G1490)&gt;Parametros!$B$14,IF(G1490&gt;0,"SOBRE FCST","BAJO FCST"),"")))</f>
        <v/>
      </c>
    </row>
    <row r="1491" customFormat="false" ht="15" hidden="false" customHeight="false" outlineLevel="0" collapsed="false">
      <c r="A1491" s="3" t="n">
        <v>30002199</v>
      </c>
      <c r="B1491" s="3" t="s">
        <v>276</v>
      </c>
      <c r="C1491" s="3" t="s">
        <v>1373</v>
      </c>
      <c r="D1491" s="23" t="n">
        <v>1972.8</v>
      </c>
      <c r="E1491" s="23" t="n">
        <v>2268.99681128176</v>
      </c>
      <c r="F1491" s="23" t="n">
        <f aca="false">D1491-E1491</f>
        <v>-296.196811281759</v>
      </c>
      <c r="G1491" s="24" t="n">
        <f aca="false">IF(E1491&gt;0,D1491/E1491-1,"")</f>
        <v>-0.130540867139623</v>
      </c>
      <c r="H1491" s="3" t="str">
        <f aca="false">IF(MAX(D1491,E1491)&lt;Parametros!$B$16,"",IF(E1491=0,"PIDE SIN FCST",IF(ABS(G1491)&gt;Parametros!$B$14,IF(G1491&gt;0,"SOBRE FCST","BAJO FCST"),"")))</f>
        <v/>
      </c>
    </row>
    <row r="1492" customFormat="false" ht="15" hidden="false" customHeight="false" outlineLevel="0" collapsed="false">
      <c r="A1492" s="3" t="n">
        <v>30001409</v>
      </c>
      <c r="B1492" s="3" t="s">
        <v>270</v>
      </c>
      <c r="C1492" s="3" t="s">
        <v>1378</v>
      </c>
      <c r="D1492" s="23" t="n">
        <v>1360</v>
      </c>
      <c r="E1492" s="23" t="n">
        <v>1656.08383052491</v>
      </c>
      <c r="F1492" s="23" t="n">
        <f aca="false">D1492-E1492</f>
        <v>-296.08383052491</v>
      </c>
      <c r="G1492" s="24" t="n">
        <f aca="false">IF(E1492&gt;0,D1492/E1492-1,"")</f>
        <v>-0.178785533115835</v>
      </c>
      <c r="H1492" s="3" t="str">
        <f aca="false">IF(MAX(D1492,E1492)&lt;Parametros!$B$16,"",IF(E1492=0,"PIDE SIN FCST",IF(ABS(G1492)&gt;Parametros!$B$14,IF(G1492&gt;0,"SOBRE FCST","BAJO FCST"),"")))</f>
        <v/>
      </c>
    </row>
    <row r="1493" customFormat="false" ht="15" hidden="false" customHeight="false" outlineLevel="0" collapsed="false">
      <c r="A1493" s="3" t="n">
        <v>30000173</v>
      </c>
      <c r="B1493" s="3" t="s">
        <v>484</v>
      </c>
      <c r="C1493" s="3" t="s">
        <v>1378</v>
      </c>
      <c r="D1493" s="23" t="n">
        <v>394.8</v>
      </c>
      <c r="E1493" s="23" t="n">
        <v>690.6</v>
      </c>
      <c r="F1493" s="23" t="n">
        <f aca="false">D1493-E1493</f>
        <v>-295.8</v>
      </c>
      <c r="G1493" s="24" t="n">
        <f aca="false">IF(E1493&gt;0,D1493/E1493-1,"")</f>
        <v>-0.428323197219809</v>
      </c>
      <c r="H1493" s="3" t="str">
        <f aca="false">IF(MAX(D1493,E1493)&lt;Parametros!$B$16,"",IF(E1493=0,"PIDE SIN FCST",IF(ABS(G1493)&gt;Parametros!$B$14,IF(G1493&gt;0,"SOBRE FCST","BAJO FCST"),"")))</f>
        <v/>
      </c>
    </row>
    <row r="1494" customFormat="false" ht="15" hidden="false" customHeight="false" outlineLevel="0" collapsed="false">
      <c r="A1494" s="3" t="n">
        <v>30001897</v>
      </c>
      <c r="B1494" s="3" t="s">
        <v>409</v>
      </c>
      <c r="C1494" s="3" t="s">
        <v>1377</v>
      </c>
      <c r="D1494" s="23" t="n">
        <v>559.2</v>
      </c>
      <c r="E1494" s="23" t="n">
        <v>264.985456882948</v>
      </c>
      <c r="F1494" s="23" t="n">
        <f aca="false">D1494-E1494</f>
        <v>294.214543117053</v>
      </c>
      <c r="G1494" s="24" t="n">
        <f aca="false">IF(E1494&gt;0,D1494/E1494-1,"")</f>
        <v>1.11030449209526</v>
      </c>
      <c r="H1494" s="3" t="str">
        <f aca="false">IF(MAX(D1494,E1494)&lt;Parametros!$B$16,"",IF(E1494=0,"PIDE SIN FCST",IF(ABS(G1494)&gt;Parametros!$B$14,IF(G1494&gt;0,"SOBRE FCST","BAJO FCST"),"")))</f>
        <v/>
      </c>
    </row>
    <row r="1495" customFormat="false" ht="15" hidden="false" customHeight="false" outlineLevel="0" collapsed="false">
      <c r="A1495" s="3" t="n">
        <v>30002256</v>
      </c>
      <c r="B1495" s="3" t="s">
        <v>534</v>
      </c>
      <c r="C1495" s="3" t="s">
        <v>1380</v>
      </c>
      <c r="D1495" s="23" t="n">
        <v>1307.2</v>
      </c>
      <c r="E1495" s="23" t="n">
        <v>1600</v>
      </c>
      <c r="F1495" s="23" t="n">
        <f aca="false">D1495-E1495</f>
        <v>-292.8</v>
      </c>
      <c r="G1495" s="24" t="n">
        <f aca="false">IF(E1495&gt;0,D1495/E1495-1,"")</f>
        <v>-0.183</v>
      </c>
      <c r="H1495" s="3" t="str">
        <f aca="false">IF(MAX(D1495,E1495)&lt;Parametros!$B$16,"",IF(E1495=0,"PIDE SIN FCST",IF(ABS(G1495)&gt;Parametros!$B$14,IF(G1495&gt;0,"SOBRE FCST","BAJO FCST"),"")))</f>
        <v/>
      </c>
    </row>
    <row r="1496" customFormat="false" ht="15" hidden="false" customHeight="false" outlineLevel="0" collapsed="false">
      <c r="A1496" s="3" t="n">
        <v>30002176</v>
      </c>
      <c r="B1496" s="3" t="s">
        <v>548</v>
      </c>
      <c r="C1496" s="3" t="s">
        <v>1377</v>
      </c>
      <c r="D1496" s="23" t="n">
        <v>291.84</v>
      </c>
      <c r="E1496" s="23" t="n">
        <v>0</v>
      </c>
      <c r="F1496" s="23" t="n">
        <f aca="false">D1496-E1496</f>
        <v>291.84</v>
      </c>
      <c r="G1496" s="24" t="str">
        <f aca="false">IF(E1496&gt;0,D1496/E1496-1,"")</f>
        <v/>
      </c>
      <c r="H1496" s="3" t="str">
        <f aca="false">IF(MAX(D1496,E1496)&lt;Parametros!$B$16,"",IF(E1496=0,"PIDE SIN FCST",IF(ABS(G1496)&gt;Parametros!$B$14,IF(G1496&gt;0,"SOBRE FCST","BAJO FCST"),"")))</f>
        <v/>
      </c>
    </row>
    <row r="1497" customFormat="false" ht="15" hidden="false" customHeight="false" outlineLevel="0" collapsed="false">
      <c r="A1497" s="3" t="n">
        <v>30002358</v>
      </c>
      <c r="B1497" s="3" t="s">
        <v>493</v>
      </c>
      <c r="C1497" s="3" t="s">
        <v>1378</v>
      </c>
      <c r="D1497" s="23" t="n">
        <v>720</v>
      </c>
      <c r="E1497" s="23" t="n">
        <v>428.288129696632</v>
      </c>
      <c r="F1497" s="23" t="n">
        <f aca="false">D1497-E1497</f>
        <v>291.711870303368</v>
      </c>
      <c r="G1497" s="24" t="n">
        <f aca="false">IF(E1497&gt;0,D1497/E1497-1,"")</f>
        <v>0.681111266170265</v>
      </c>
      <c r="H1497" s="3" t="str">
        <f aca="false">IF(MAX(D1497,E1497)&lt;Parametros!$B$16,"",IF(E1497=0,"PIDE SIN FCST",IF(ABS(G1497)&gt;Parametros!$B$14,IF(G1497&gt;0,"SOBRE FCST","BAJO FCST"),"")))</f>
        <v/>
      </c>
    </row>
    <row r="1498" customFormat="false" ht="15" hidden="false" customHeight="false" outlineLevel="0" collapsed="false">
      <c r="A1498" s="3" t="n">
        <v>30001882</v>
      </c>
      <c r="B1498" s="3" t="s">
        <v>376</v>
      </c>
      <c r="C1498" s="3" t="s">
        <v>1373</v>
      </c>
      <c r="D1498" s="23" t="n">
        <v>1842</v>
      </c>
      <c r="E1498" s="23" t="n">
        <v>2132.975</v>
      </c>
      <c r="F1498" s="23" t="n">
        <f aca="false">D1498-E1498</f>
        <v>-290.975</v>
      </c>
      <c r="G1498" s="24" t="n">
        <f aca="false">IF(E1498&gt;0,D1498/E1498-1,"")</f>
        <v>-0.136417445117735</v>
      </c>
      <c r="H1498" s="3" t="str">
        <f aca="false">IF(MAX(D1498,E1498)&lt;Parametros!$B$16,"",IF(E1498=0,"PIDE SIN FCST",IF(ABS(G1498)&gt;Parametros!$B$14,IF(G1498&gt;0,"SOBRE FCST","BAJO FCST"),"")))</f>
        <v/>
      </c>
    </row>
    <row r="1499" customFormat="false" ht="15" hidden="false" customHeight="false" outlineLevel="0" collapsed="false">
      <c r="A1499" s="3" t="n">
        <v>30000207</v>
      </c>
      <c r="B1499" s="3" t="s">
        <v>300</v>
      </c>
      <c r="C1499" s="3" t="s">
        <v>1376</v>
      </c>
      <c r="D1499" s="23" t="n">
        <v>690</v>
      </c>
      <c r="E1499" s="23" t="n">
        <v>400</v>
      </c>
      <c r="F1499" s="23" t="n">
        <f aca="false">D1499-E1499</f>
        <v>290</v>
      </c>
      <c r="G1499" s="24" t="n">
        <f aca="false">IF(E1499&gt;0,D1499/E1499-1,"")</f>
        <v>0.725</v>
      </c>
      <c r="H1499" s="3" t="str">
        <f aca="false">IF(MAX(D1499,E1499)&lt;Parametros!$B$16,"",IF(E1499=0,"PIDE SIN FCST",IF(ABS(G1499)&gt;Parametros!$B$14,IF(G1499&gt;0,"SOBRE FCST","BAJO FCST"),"")))</f>
        <v/>
      </c>
    </row>
    <row r="1500" customFormat="false" ht="15" hidden="false" customHeight="false" outlineLevel="0" collapsed="false">
      <c r="A1500" s="3" t="n">
        <v>30000206</v>
      </c>
      <c r="B1500" s="3" t="s">
        <v>287</v>
      </c>
      <c r="C1500" s="3" t="s">
        <v>1376</v>
      </c>
      <c r="D1500" s="23" t="n">
        <v>690</v>
      </c>
      <c r="E1500" s="23" t="n">
        <v>400</v>
      </c>
      <c r="F1500" s="23" t="n">
        <f aca="false">D1500-E1500</f>
        <v>290</v>
      </c>
      <c r="G1500" s="24" t="n">
        <f aca="false">IF(E1500&gt;0,D1500/E1500-1,"")</f>
        <v>0.725</v>
      </c>
      <c r="H1500" s="3" t="str">
        <f aca="false">IF(MAX(D1500,E1500)&lt;Parametros!$B$16,"",IF(E1500=0,"PIDE SIN FCST",IF(ABS(G1500)&gt;Parametros!$B$14,IF(G1500&gt;0,"SOBRE FCST","BAJO FCST"),"")))</f>
        <v/>
      </c>
    </row>
    <row r="1501" customFormat="false" ht="15" hidden="false" customHeight="false" outlineLevel="0" collapsed="false">
      <c r="A1501" s="3" t="n">
        <v>30001887</v>
      </c>
      <c r="B1501" s="3" t="s">
        <v>310</v>
      </c>
      <c r="C1501" s="3" t="s">
        <v>1378</v>
      </c>
      <c r="D1501" s="23" t="n">
        <v>2364</v>
      </c>
      <c r="E1501" s="23" t="n">
        <v>2653.44142924008</v>
      </c>
      <c r="F1501" s="23" t="n">
        <f aca="false">D1501-E1501</f>
        <v>-289.441429240081</v>
      </c>
      <c r="G1501" s="24" t="n">
        <f aca="false">IF(E1501&gt;0,D1501/E1501-1,"")</f>
        <v>-0.109081521849523</v>
      </c>
      <c r="H1501" s="3" t="str">
        <f aca="false">IF(MAX(D1501,E1501)&lt;Parametros!$B$16,"",IF(E1501=0,"PIDE SIN FCST",IF(ABS(G1501)&gt;Parametros!$B$14,IF(G1501&gt;0,"SOBRE FCST","BAJO FCST"),"")))</f>
        <v/>
      </c>
    </row>
    <row r="1502" customFormat="false" ht="15" hidden="false" customHeight="false" outlineLevel="0" collapsed="false">
      <c r="A1502" s="3" t="n">
        <v>30001992</v>
      </c>
      <c r="B1502" s="3" t="s">
        <v>490</v>
      </c>
      <c r="C1502" s="3" t="s">
        <v>1373</v>
      </c>
      <c r="D1502" s="23" t="n">
        <v>408</v>
      </c>
      <c r="E1502" s="23" t="n">
        <v>696.916666666667</v>
      </c>
      <c r="F1502" s="23" t="n">
        <f aca="false">D1502-E1502</f>
        <v>-288.916666666667</v>
      </c>
      <c r="G1502" s="24" t="n">
        <f aca="false">IF(E1502&gt;0,D1502/E1502-1,"")</f>
        <v>-0.414564151620232</v>
      </c>
      <c r="H1502" s="3" t="str">
        <f aca="false">IF(MAX(D1502,E1502)&lt;Parametros!$B$16,"",IF(E1502=0,"PIDE SIN FCST",IF(ABS(G1502)&gt;Parametros!$B$14,IF(G1502&gt;0,"SOBRE FCST","BAJO FCST"),"")))</f>
        <v/>
      </c>
    </row>
    <row r="1503" customFormat="false" ht="15" hidden="false" customHeight="false" outlineLevel="0" collapsed="false">
      <c r="A1503" s="3" t="n">
        <v>30002064</v>
      </c>
      <c r="B1503" s="3" t="s">
        <v>509</v>
      </c>
      <c r="C1503" s="3" t="s">
        <v>1377</v>
      </c>
      <c r="D1503" s="23" t="n">
        <v>681.6</v>
      </c>
      <c r="E1503" s="23" t="n">
        <v>970.396948682703</v>
      </c>
      <c r="F1503" s="23" t="n">
        <f aca="false">D1503-E1503</f>
        <v>-288.796948682703</v>
      </c>
      <c r="G1503" s="24" t="n">
        <f aca="false">IF(E1503&gt;0,D1503/E1503-1,"")</f>
        <v>-0.297607024707508</v>
      </c>
      <c r="H1503" s="3" t="str">
        <f aca="false">IF(MAX(D1503,E1503)&lt;Parametros!$B$16,"",IF(E1503=0,"PIDE SIN FCST",IF(ABS(G1503)&gt;Parametros!$B$14,IF(G1503&gt;0,"SOBRE FCST","BAJO FCST"),"")))</f>
        <v/>
      </c>
    </row>
    <row r="1504" customFormat="false" ht="15" hidden="false" customHeight="false" outlineLevel="0" collapsed="false">
      <c r="A1504" s="3" t="n">
        <v>30000321</v>
      </c>
      <c r="B1504" s="3" t="s">
        <v>351</v>
      </c>
      <c r="C1504" s="3" t="s">
        <v>1376</v>
      </c>
      <c r="D1504" s="23" t="n">
        <v>688</v>
      </c>
      <c r="E1504" s="23" t="n">
        <v>400</v>
      </c>
      <c r="F1504" s="23" t="n">
        <f aca="false">D1504-E1504</f>
        <v>288</v>
      </c>
      <c r="G1504" s="24" t="n">
        <f aca="false">IF(E1504&gt;0,D1504/E1504-1,"")</f>
        <v>0.72</v>
      </c>
      <c r="H1504" s="3" t="str">
        <f aca="false">IF(MAX(D1504,E1504)&lt;Parametros!$B$16,"",IF(E1504=0,"PIDE SIN FCST",IF(ABS(G1504)&gt;Parametros!$B$14,IF(G1504&gt;0,"SOBRE FCST","BAJO FCST"),"")))</f>
        <v/>
      </c>
    </row>
    <row r="1505" customFormat="false" ht="15" hidden="false" customHeight="false" outlineLevel="0" collapsed="false">
      <c r="A1505" s="3" t="n">
        <v>30001404</v>
      </c>
      <c r="B1505" s="3" t="s">
        <v>305</v>
      </c>
      <c r="C1505" s="3" t="s">
        <v>1373</v>
      </c>
      <c r="D1505" s="23" t="n">
        <v>10080</v>
      </c>
      <c r="E1505" s="23" t="n">
        <v>9792.56158333333</v>
      </c>
      <c r="F1505" s="23" t="n">
        <f aca="false">D1505-E1505</f>
        <v>287.438416666668</v>
      </c>
      <c r="G1505" s="24" t="n">
        <f aca="false">IF(E1505&gt;0,D1505/E1505-1,"")</f>
        <v>0.0293527300513361</v>
      </c>
      <c r="H1505" s="3" t="str">
        <f aca="false">IF(MAX(D1505,E1505)&lt;Parametros!$B$16,"",IF(E1505=0,"PIDE SIN FCST",IF(ABS(G1505)&gt;Parametros!$B$14,IF(G1505&gt;0,"SOBRE FCST","BAJO FCST"),"")))</f>
        <v/>
      </c>
    </row>
    <row r="1506" customFormat="false" ht="15" hidden="false" customHeight="false" outlineLevel="0" collapsed="false">
      <c r="A1506" s="3" t="n">
        <v>30002261</v>
      </c>
      <c r="B1506" s="3" t="s">
        <v>545</v>
      </c>
      <c r="C1506" s="3" t="s">
        <v>1373</v>
      </c>
      <c r="D1506" s="23" t="n">
        <v>438.15</v>
      </c>
      <c r="E1506" s="23" t="n">
        <v>725.385416666667</v>
      </c>
      <c r="F1506" s="23" t="n">
        <f aca="false">D1506-E1506</f>
        <v>-287.235416666667</v>
      </c>
      <c r="G1506" s="24" t="n">
        <f aca="false">IF(E1506&gt;0,D1506/E1506-1,"")</f>
        <v>-0.395976276979192</v>
      </c>
      <c r="H1506" s="3" t="str">
        <f aca="false">IF(MAX(D1506,E1506)&lt;Parametros!$B$16,"",IF(E1506=0,"PIDE SIN FCST",IF(ABS(G1506)&gt;Parametros!$B$14,IF(G1506&gt;0,"SOBRE FCST","BAJO FCST"),"")))</f>
        <v/>
      </c>
    </row>
    <row r="1507" customFormat="false" ht="15" hidden="false" customHeight="false" outlineLevel="0" collapsed="false">
      <c r="A1507" s="3" t="n">
        <v>30000489</v>
      </c>
      <c r="B1507" s="3" t="s">
        <v>415</v>
      </c>
      <c r="C1507" s="3" t="s">
        <v>1377</v>
      </c>
      <c r="D1507" s="23" t="n">
        <v>928.8</v>
      </c>
      <c r="E1507" s="23" t="n">
        <v>1215.40455111543</v>
      </c>
      <c r="F1507" s="23" t="n">
        <f aca="false">D1507-E1507</f>
        <v>-286.604551115431</v>
      </c>
      <c r="G1507" s="24" t="n">
        <f aca="false">IF(E1507&gt;0,D1507/E1507-1,"")</f>
        <v>-0.235810003222714</v>
      </c>
      <c r="H1507" s="3" t="str">
        <f aca="false">IF(MAX(D1507,E1507)&lt;Parametros!$B$16,"",IF(E1507=0,"PIDE SIN FCST",IF(ABS(G1507)&gt;Parametros!$B$14,IF(G1507&gt;0,"SOBRE FCST","BAJO FCST"),"")))</f>
        <v>BAJO FCST</v>
      </c>
    </row>
    <row r="1508" customFormat="false" ht="15" hidden="false" customHeight="false" outlineLevel="0" collapsed="false">
      <c r="A1508" s="3" t="n">
        <v>30000401</v>
      </c>
      <c r="B1508" s="3" t="s">
        <v>234</v>
      </c>
      <c r="C1508" s="3" t="s">
        <v>1373</v>
      </c>
      <c r="D1508" s="23" t="n">
        <v>7212</v>
      </c>
      <c r="E1508" s="23" t="n">
        <v>7498.20833333333</v>
      </c>
      <c r="F1508" s="23" t="n">
        <f aca="false">D1508-E1508</f>
        <v>-286.208333333332</v>
      </c>
      <c r="G1508" s="24" t="n">
        <f aca="false">IF(E1508&gt;0,D1508/E1508-1,"")</f>
        <v>-0.038170229554838</v>
      </c>
      <c r="H1508" s="3" t="str">
        <f aca="false">IF(MAX(D1508,E1508)&lt;Parametros!$B$16,"",IF(E1508=0,"PIDE SIN FCST",IF(ABS(G1508)&gt;Parametros!$B$14,IF(G1508&gt;0,"SOBRE FCST","BAJO FCST"),"")))</f>
        <v/>
      </c>
    </row>
    <row r="1509" customFormat="false" ht="15" hidden="false" customHeight="false" outlineLevel="0" collapsed="false">
      <c r="A1509" s="3" t="n">
        <v>30000658</v>
      </c>
      <c r="B1509" s="3" t="s">
        <v>322</v>
      </c>
      <c r="C1509" s="3" t="s">
        <v>1376</v>
      </c>
      <c r="D1509" s="23" t="n">
        <v>285.6</v>
      </c>
      <c r="E1509" s="23" t="n">
        <v>0</v>
      </c>
      <c r="F1509" s="23" t="n">
        <f aca="false">D1509-E1509</f>
        <v>285.6</v>
      </c>
      <c r="G1509" s="24" t="str">
        <f aca="false">IF(E1509&gt;0,D1509/E1509-1,"")</f>
        <v/>
      </c>
      <c r="H1509" s="3" t="str">
        <f aca="false">IF(MAX(D1509,E1509)&lt;Parametros!$B$16,"",IF(E1509=0,"PIDE SIN FCST",IF(ABS(G1509)&gt;Parametros!$B$14,IF(G1509&gt;0,"SOBRE FCST","BAJO FCST"),"")))</f>
        <v/>
      </c>
    </row>
    <row r="1510" customFormat="false" ht="15" hidden="false" customHeight="false" outlineLevel="0" collapsed="false">
      <c r="A1510" s="3" t="n">
        <v>30000328</v>
      </c>
      <c r="B1510" s="3" t="s">
        <v>367</v>
      </c>
      <c r="C1510" s="3" t="s">
        <v>1378</v>
      </c>
      <c r="D1510" s="23" t="n">
        <v>2292</v>
      </c>
      <c r="E1510" s="23" t="n">
        <v>2007.23452941176</v>
      </c>
      <c r="F1510" s="23" t="n">
        <f aca="false">D1510-E1510</f>
        <v>284.765470588236</v>
      </c>
      <c r="G1510" s="24" t="n">
        <f aca="false">IF(E1510&gt;0,D1510/E1510-1,"")</f>
        <v>0.141869555557959</v>
      </c>
      <c r="H1510" s="3" t="str">
        <f aca="false">IF(MAX(D1510,E1510)&lt;Parametros!$B$16,"",IF(E1510=0,"PIDE SIN FCST",IF(ABS(G1510)&gt;Parametros!$B$14,IF(G1510&gt;0,"SOBRE FCST","BAJO FCST"),"")))</f>
        <v/>
      </c>
    </row>
    <row r="1511" customFormat="false" ht="15" hidden="false" customHeight="false" outlineLevel="0" collapsed="false">
      <c r="A1511" s="3" t="n">
        <v>30000052</v>
      </c>
      <c r="B1511" s="3" t="s">
        <v>602</v>
      </c>
      <c r="C1511" s="3" t="s">
        <v>1380</v>
      </c>
      <c r="D1511" s="23" t="n">
        <v>1154.4</v>
      </c>
      <c r="E1511" s="23" t="n">
        <v>870</v>
      </c>
      <c r="F1511" s="23" t="n">
        <f aca="false">D1511-E1511</f>
        <v>284.4</v>
      </c>
      <c r="G1511" s="24" t="n">
        <f aca="false">IF(E1511&gt;0,D1511/E1511-1,"")</f>
        <v>0.326896551724138</v>
      </c>
      <c r="H1511" s="3" t="str">
        <f aca="false">IF(MAX(D1511,E1511)&lt;Parametros!$B$16,"",IF(E1511=0,"PIDE SIN FCST",IF(ABS(G1511)&gt;Parametros!$B$14,IF(G1511&gt;0,"SOBRE FCST","BAJO FCST"),"")))</f>
        <v>SOBRE FCST</v>
      </c>
    </row>
    <row r="1512" customFormat="false" ht="15" hidden="false" customHeight="false" outlineLevel="0" collapsed="false">
      <c r="A1512" s="3" t="n">
        <v>30001873</v>
      </c>
      <c r="B1512" s="3" t="s">
        <v>299</v>
      </c>
      <c r="C1512" s="3" t="s">
        <v>1378</v>
      </c>
      <c r="D1512" s="23" t="n">
        <v>1517.4</v>
      </c>
      <c r="E1512" s="23" t="n">
        <v>1800</v>
      </c>
      <c r="F1512" s="23" t="n">
        <f aca="false">D1512-E1512</f>
        <v>-282.6</v>
      </c>
      <c r="G1512" s="24" t="n">
        <f aca="false">IF(E1512&gt;0,D1512/E1512-1,"")</f>
        <v>-0.157</v>
      </c>
      <c r="H1512" s="3" t="str">
        <f aca="false">IF(MAX(D1512,E1512)&lt;Parametros!$B$16,"",IF(E1512=0,"PIDE SIN FCST",IF(ABS(G1512)&gt;Parametros!$B$14,IF(G1512&gt;0,"SOBRE FCST","BAJO FCST"),"")))</f>
        <v/>
      </c>
    </row>
    <row r="1513" customFormat="false" ht="15" hidden="false" customHeight="false" outlineLevel="0" collapsed="false">
      <c r="A1513" s="3" t="n">
        <v>30001698</v>
      </c>
      <c r="B1513" s="3" t="s">
        <v>539</v>
      </c>
      <c r="C1513" s="3" t="s">
        <v>1372</v>
      </c>
      <c r="D1513" s="23" t="n">
        <v>1896.48</v>
      </c>
      <c r="E1513" s="23" t="n">
        <v>1614.72</v>
      </c>
      <c r="F1513" s="23" t="n">
        <f aca="false">D1513-E1513</f>
        <v>281.76</v>
      </c>
      <c r="G1513" s="24" t="n">
        <f aca="false">IF(E1513&gt;0,D1513/E1513-1,"")</f>
        <v>0.174494649227111</v>
      </c>
      <c r="H1513" s="3" t="str">
        <f aca="false">IF(MAX(D1513,E1513)&lt;Parametros!$B$16,"",IF(E1513=0,"PIDE SIN FCST",IF(ABS(G1513)&gt;Parametros!$B$14,IF(G1513&gt;0,"SOBRE FCST","BAJO FCST"),"")))</f>
        <v/>
      </c>
    </row>
    <row r="1514" customFormat="false" ht="15" hidden="false" customHeight="false" outlineLevel="0" collapsed="false">
      <c r="A1514" s="3" t="n">
        <v>30001093</v>
      </c>
      <c r="B1514" s="3" t="s">
        <v>327</v>
      </c>
      <c r="C1514" s="3" t="s">
        <v>1373</v>
      </c>
      <c r="D1514" s="23" t="n">
        <v>3506.4</v>
      </c>
      <c r="E1514" s="23" t="n">
        <v>3787.38259160504</v>
      </c>
      <c r="F1514" s="23" t="n">
        <f aca="false">D1514-E1514</f>
        <v>-280.982591605038</v>
      </c>
      <c r="G1514" s="24" t="n">
        <f aca="false">IF(E1514&gt;0,D1514/E1514-1,"")</f>
        <v>-0.0741891226484097</v>
      </c>
      <c r="H1514" s="3" t="str">
        <f aca="false">IF(MAX(D1514,E1514)&lt;Parametros!$B$16,"",IF(E1514=0,"PIDE SIN FCST",IF(ABS(G1514)&gt;Parametros!$B$14,IF(G1514&gt;0,"SOBRE FCST","BAJO FCST"),"")))</f>
        <v/>
      </c>
    </row>
    <row r="1515" customFormat="false" ht="15" hidden="false" customHeight="false" outlineLevel="0" collapsed="false">
      <c r="A1515" s="3" t="n">
        <v>30002289</v>
      </c>
      <c r="B1515" s="3" t="s">
        <v>585</v>
      </c>
      <c r="C1515" s="3" t="s">
        <v>1373</v>
      </c>
      <c r="D1515" s="23" t="n">
        <v>280.8</v>
      </c>
      <c r="E1515" s="23" t="n">
        <v>0</v>
      </c>
      <c r="F1515" s="23" t="n">
        <f aca="false">D1515-E1515</f>
        <v>280.8</v>
      </c>
      <c r="G1515" s="24" t="str">
        <f aca="false">IF(E1515&gt;0,D1515/E1515-1,"")</f>
        <v/>
      </c>
      <c r="H1515" s="3" t="str">
        <f aca="false">IF(MAX(D1515,E1515)&lt;Parametros!$B$16,"",IF(E1515=0,"PIDE SIN FCST",IF(ABS(G1515)&gt;Parametros!$B$14,IF(G1515&gt;0,"SOBRE FCST","BAJO FCST"),"")))</f>
        <v/>
      </c>
    </row>
    <row r="1516" customFormat="false" ht="15" hidden="false" customHeight="false" outlineLevel="0" collapsed="false">
      <c r="A1516" s="3" t="n">
        <v>30000079</v>
      </c>
      <c r="B1516" s="3" t="s">
        <v>435</v>
      </c>
      <c r="C1516" s="3" t="s">
        <v>1379</v>
      </c>
      <c r="D1516" s="23" t="n">
        <v>64</v>
      </c>
      <c r="E1516" s="23" t="n">
        <v>344.390120982153</v>
      </c>
      <c r="F1516" s="23" t="n">
        <f aca="false">D1516-E1516</f>
        <v>-280.390120982153</v>
      </c>
      <c r="G1516" s="24" t="n">
        <f aca="false">IF(E1516&gt;0,D1516/E1516-1,"")</f>
        <v>-0.814164239620228</v>
      </c>
      <c r="H1516" s="3" t="str">
        <f aca="false">IF(MAX(D1516,E1516)&lt;Parametros!$B$16,"",IF(E1516=0,"PIDE SIN FCST",IF(ABS(G1516)&gt;Parametros!$B$14,IF(G1516&gt;0,"SOBRE FCST","BAJO FCST"),"")))</f>
        <v/>
      </c>
    </row>
    <row r="1517" customFormat="false" ht="15" hidden="false" customHeight="false" outlineLevel="0" collapsed="false">
      <c r="A1517" s="3" t="n">
        <v>30001983</v>
      </c>
      <c r="B1517" s="3" t="s">
        <v>458</v>
      </c>
      <c r="C1517" s="3" t="s">
        <v>1377</v>
      </c>
      <c r="D1517" s="23" t="n">
        <v>635.592</v>
      </c>
      <c r="E1517" s="23" t="n">
        <v>355.704051448286</v>
      </c>
      <c r="F1517" s="23" t="n">
        <f aca="false">D1517-E1517</f>
        <v>279.887948551714</v>
      </c>
      <c r="G1517" s="24" t="n">
        <f aca="false">IF(E1517&gt;0,D1517/E1517-1,"")</f>
        <v>0.786856228969341</v>
      </c>
      <c r="H1517" s="3" t="str">
        <f aca="false">IF(MAX(D1517,E1517)&lt;Parametros!$B$16,"",IF(E1517=0,"PIDE SIN FCST",IF(ABS(G1517)&gt;Parametros!$B$14,IF(G1517&gt;0,"SOBRE FCST","BAJO FCST"),"")))</f>
        <v/>
      </c>
    </row>
    <row r="1518" customFormat="false" ht="15" hidden="false" customHeight="false" outlineLevel="0" collapsed="false">
      <c r="A1518" s="3" t="n">
        <v>30002094</v>
      </c>
      <c r="B1518" s="3" t="s">
        <v>452</v>
      </c>
      <c r="C1518" s="3" t="s">
        <v>1379</v>
      </c>
      <c r="D1518" s="23" t="n">
        <v>630.432</v>
      </c>
      <c r="E1518" s="23" t="n">
        <v>908.801506200296</v>
      </c>
      <c r="F1518" s="23" t="n">
        <f aca="false">D1518-E1518</f>
        <v>-278.369506200296</v>
      </c>
      <c r="G1518" s="24" t="n">
        <f aca="false">IF(E1518&gt;0,D1518/E1518-1,"")</f>
        <v>-0.306303966598999</v>
      </c>
      <c r="H1518" s="3" t="str">
        <f aca="false">IF(MAX(D1518,E1518)&lt;Parametros!$B$16,"",IF(E1518=0,"PIDE SIN FCST",IF(ABS(G1518)&gt;Parametros!$B$14,IF(G1518&gt;0,"SOBRE FCST","BAJO FCST"),"")))</f>
        <v/>
      </c>
    </row>
    <row r="1519" customFormat="false" ht="15" hidden="false" customHeight="false" outlineLevel="0" collapsed="false">
      <c r="A1519" s="3" t="n">
        <v>30001816</v>
      </c>
      <c r="B1519" s="3" t="s">
        <v>421</v>
      </c>
      <c r="C1519" s="3" t="s">
        <v>1377</v>
      </c>
      <c r="D1519" s="23" t="n">
        <v>1192.32</v>
      </c>
      <c r="E1519" s="23" t="n">
        <v>1467.9154275049</v>
      </c>
      <c r="F1519" s="23" t="n">
        <f aca="false">D1519-E1519</f>
        <v>-275.595427504901</v>
      </c>
      <c r="G1519" s="24" t="n">
        <f aca="false">IF(E1519&gt;0,D1519/E1519-1,"")</f>
        <v>-0.187746121023706</v>
      </c>
      <c r="H1519" s="3" t="str">
        <f aca="false">IF(MAX(D1519,E1519)&lt;Parametros!$B$16,"",IF(E1519=0,"PIDE SIN FCST",IF(ABS(G1519)&gt;Parametros!$B$14,IF(G1519&gt;0,"SOBRE FCST","BAJO FCST"),"")))</f>
        <v/>
      </c>
    </row>
    <row r="1520" customFormat="false" ht="15" hidden="false" customHeight="false" outlineLevel="0" collapsed="false">
      <c r="A1520" s="3" t="n">
        <v>30000039</v>
      </c>
      <c r="B1520" s="3" t="s">
        <v>406</v>
      </c>
      <c r="C1520" s="3" t="s">
        <v>1380</v>
      </c>
      <c r="D1520" s="23" t="n">
        <v>425.5</v>
      </c>
      <c r="E1520" s="23" t="n">
        <v>700</v>
      </c>
      <c r="F1520" s="23" t="n">
        <f aca="false">D1520-E1520</f>
        <v>-274.5</v>
      </c>
      <c r="G1520" s="24" t="n">
        <f aca="false">IF(E1520&gt;0,D1520/E1520-1,"")</f>
        <v>-0.392142857142857</v>
      </c>
      <c r="H1520" s="3" t="str">
        <f aca="false">IF(MAX(D1520,E1520)&lt;Parametros!$B$16,"",IF(E1520=0,"PIDE SIN FCST",IF(ABS(G1520)&gt;Parametros!$B$14,IF(G1520&gt;0,"SOBRE FCST","BAJO FCST"),"")))</f>
        <v/>
      </c>
    </row>
    <row r="1521" customFormat="false" ht="15" hidden="false" customHeight="false" outlineLevel="0" collapsed="false">
      <c r="A1521" s="3" t="n">
        <v>30001149</v>
      </c>
      <c r="B1521" s="3" t="s">
        <v>536</v>
      </c>
      <c r="C1521" s="3" t="s">
        <v>1378</v>
      </c>
      <c r="D1521" s="23" t="n">
        <v>288</v>
      </c>
      <c r="E1521" s="23" t="n">
        <v>560.933834145297</v>
      </c>
      <c r="F1521" s="23" t="n">
        <f aca="false">D1521-E1521</f>
        <v>-272.933834145297</v>
      </c>
      <c r="G1521" s="24" t="n">
        <f aca="false">IF(E1521&gt;0,D1521/E1521-1,"")</f>
        <v>-0.486570460776663</v>
      </c>
      <c r="H1521" s="3" t="str">
        <f aca="false">IF(MAX(D1521,E1521)&lt;Parametros!$B$16,"",IF(E1521=0,"PIDE SIN FCST",IF(ABS(G1521)&gt;Parametros!$B$14,IF(G1521&gt;0,"SOBRE FCST","BAJO FCST"),"")))</f>
        <v/>
      </c>
    </row>
    <row r="1522" customFormat="false" ht="15" hidden="false" customHeight="false" outlineLevel="0" collapsed="false">
      <c r="A1522" s="3" t="n">
        <v>30000498</v>
      </c>
      <c r="B1522" s="3" t="s">
        <v>450</v>
      </c>
      <c r="C1522" s="3" t="s">
        <v>1378</v>
      </c>
      <c r="D1522" s="23" t="n">
        <v>1063.8</v>
      </c>
      <c r="E1522" s="23" t="n">
        <v>1336.57141035237</v>
      </c>
      <c r="F1522" s="23" t="n">
        <f aca="false">D1522-E1522</f>
        <v>-272.771410352367</v>
      </c>
      <c r="G1522" s="24" t="n">
        <f aca="false">IF(E1522&gt;0,D1522/E1522-1,"")</f>
        <v>-0.204082930578662</v>
      </c>
      <c r="H1522" s="3" t="str">
        <f aca="false">IF(MAX(D1522,E1522)&lt;Parametros!$B$16,"",IF(E1522=0,"PIDE SIN FCST",IF(ABS(G1522)&gt;Parametros!$B$14,IF(G1522&gt;0,"SOBRE FCST","BAJO FCST"),"")))</f>
        <v>BAJO FCST</v>
      </c>
    </row>
    <row r="1523" customFormat="false" ht="15" hidden="false" customHeight="false" outlineLevel="0" collapsed="false">
      <c r="A1523" s="3" t="n">
        <v>30001017</v>
      </c>
      <c r="B1523" s="3" t="s">
        <v>360</v>
      </c>
      <c r="C1523" s="3" t="s">
        <v>1375</v>
      </c>
      <c r="D1523" s="23" t="n">
        <v>9947.04</v>
      </c>
      <c r="E1523" s="23" t="n">
        <v>9674.29248197657</v>
      </c>
      <c r="F1523" s="23" t="n">
        <f aca="false">D1523-E1523</f>
        <v>272.747518023427</v>
      </c>
      <c r="G1523" s="24" t="n">
        <f aca="false">IF(E1523&gt;0,D1523/E1523-1,"")</f>
        <v>0.0281930196478515</v>
      </c>
      <c r="H1523" s="3" t="str">
        <f aca="false">IF(MAX(D1523,E1523)&lt;Parametros!$B$16,"",IF(E1523=0,"PIDE SIN FCST",IF(ABS(G1523)&gt;Parametros!$B$14,IF(G1523&gt;0,"SOBRE FCST","BAJO FCST"),"")))</f>
        <v/>
      </c>
    </row>
    <row r="1524" customFormat="false" ht="15" hidden="false" customHeight="false" outlineLevel="0" collapsed="false">
      <c r="A1524" s="3" t="n">
        <v>30000117</v>
      </c>
      <c r="B1524" s="3" t="s">
        <v>553</v>
      </c>
      <c r="C1524" s="3" t="s">
        <v>1373</v>
      </c>
      <c r="D1524" s="23" t="n">
        <v>5408</v>
      </c>
      <c r="E1524" s="23" t="n">
        <v>5135.29544101621</v>
      </c>
      <c r="F1524" s="23" t="n">
        <f aca="false">D1524-E1524</f>
        <v>272.704558983787</v>
      </c>
      <c r="G1524" s="24" t="n">
        <f aca="false">IF(E1524&gt;0,D1524/E1524-1,"")</f>
        <v>0.0531039668731936</v>
      </c>
      <c r="H1524" s="3" t="str">
        <f aca="false">IF(MAX(D1524,E1524)&lt;Parametros!$B$16,"",IF(E1524=0,"PIDE SIN FCST",IF(ABS(G1524)&gt;Parametros!$B$14,IF(G1524&gt;0,"SOBRE FCST","BAJO FCST"),"")))</f>
        <v/>
      </c>
    </row>
    <row r="1525" customFormat="false" ht="15" hidden="false" customHeight="false" outlineLevel="0" collapsed="false">
      <c r="A1525" s="3" t="n">
        <v>30000192</v>
      </c>
      <c r="B1525" s="3" t="s">
        <v>311</v>
      </c>
      <c r="C1525" s="3" t="s">
        <v>1380</v>
      </c>
      <c r="D1525" s="23" t="n">
        <v>3228</v>
      </c>
      <c r="E1525" s="23" t="n">
        <v>3500</v>
      </c>
      <c r="F1525" s="23" t="n">
        <f aca="false">D1525-E1525</f>
        <v>-272</v>
      </c>
      <c r="G1525" s="24" t="n">
        <f aca="false">IF(E1525&gt;0,D1525/E1525-1,"")</f>
        <v>-0.0777142857142857</v>
      </c>
      <c r="H1525" s="3" t="str">
        <f aca="false">IF(MAX(D1525,E1525)&lt;Parametros!$B$16,"",IF(E1525=0,"PIDE SIN FCST",IF(ABS(G1525)&gt;Parametros!$B$14,IF(G1525&gt;0,"SOBRE FCST","BAJO FCST"),"")))</f>
        <v/>
      </c>
    </row>
    <row r="1526" customFormat="false" ht="15" hidden="false" customHeight="false" outlineLevel="0" collapsed="false">
      <c r="A1526" s="3" t="n">
        <v>30002273</v>
      </c>
      <c r="B1526" s="3" t="s">
        <v>512</v>
      </c>
      <c r="C1526" s="3" t="s">
        <v>1378</v>
      </c>
      <c r="D1526" s="23" t="n">
        <v>201.6</v>
      </c>
      <c r="E1526" s="23" t="n">
        <v>472.8</v>
      </c>
      <c r="F1526" s="23" t="n">
        <f aca="false">D1526-E1526</f>
        <v>-271.2</v>
      </c>
      <c r="G1526" s="24" t="n">
        <f aca="false">IF(E1526&gt;0,D1526/E1526-1,"")</f>
        <v>-0.573604060913706</v>
      </c>
      <c r="H1526" s="3" t="str">
        <f aca="false">IF(MAX(D1526,E1526)&lt;Parametros!$B$16,"",IF(E1526=0,"PIDE SIN FCST",IF(ABS(G1526)&gt;Parametros!$B$14,IF(G1526&gt;0,"SOBRE FCST","BAJO FCST"),"")))</f>
        <v/>
      </c>
    </row>
    <row r="1527" customFormat="false" ht="15" hidden="false" customHeight="false" outlineLevel="0" collapsed="false">
      <c r="A1527" s="3" t="n">
        <v>30001032</v>
      </c>
      <c r="B1527" s="3" t="s">
        <v>316</v>
      </c>
      <c r="C1527" s="3" t="s">
        <v>1377</v>
      </c>
      <c r="D1527" s="23" t="n">
        <v>831.6</v>
      </c>
      <c r="E1527" s="23" t="n">
        <v>1102.42250940356</v>
      </c>
      <c r="F1527" s="23" t="n">
        <f aca="false">D1527-E1527</f>
        <v>-270.822509403558</v>
      </c>
      <c r="G1527" s="24" t="n">
        <f aca="false">IF(E1527&gt;0,D1527/E1527-1,"")</f>
        <v>-0.245661266069468</v>
      </c>
      <c r="H1527" s="3" t="str">
        <f aca="false">IF(MAX(D1527,E1527)&lt;Parametros!$B$16,"",IF(E1527=0,"PIDE SIN FCST",IF(ABS(G1527)&gt;Parametros!$B$14,IF(G1527&gt;0,"SOBRE FCST","BAJO FCST"),"")))</f>
        <v>BAJO FCST</v>
      </c>
    </row>
    <row r="1528" customFormat="false" ht="15" hidden="false" customHeight="false" outlineLevel="0" collapsed="false">
      <c r="A1528" s="3" t="n">
        <v>30001019</v>
      </c>
      <c r="B1528" s="3" t="s">
        <v>355</v>
      </c>
      <c r="C1528" s="3" t="s">
        <v>1377</v>
      </c>
      <c r="D1528" s="23" t="n">
        <v>1882.32</v>
      </c>
      <c r="E1528" s="23" t="n">
        <v>2153.03347999317</v>
      </c>
      <c r="F1528" s="23" t="n">
        <f aca="false">D1528-E1528</f>
        <v>-270.713479993165</v>
      </c>
      <c r="G1528" s="24" t="n">
        <f aca="false">IF(E1528&gt;0,D1528/E1528-1,"")</f>
        <v>-0.125735843176031</v>
      </c>
      <c r="H1528" s="3" t="str">
        <f aca="false">IF(MAX(D1528,E1528)&lt;Parametros!$B$16,"",IF(E1528=0,"PIDE SIN FCST",IF(ABS(G1528)&gt;Parametros!$B$14,IF(G1528&gt;0,"SOBRE FCST","BAJO FCST"),"")))</f>
        <v/>
      </c>
    </row>
    <row r="1529" customFormat="false" ht="15" hidden="false" customHeight="false" outlineLevel="0" collapsed="false">
      <c r="A1529" s="3" t="n">
        <v>30001918</v>
      </c>
      <c r="B1529" s="3" t="s">
        <v>532</v>
      </c>
      <c r="C1529" s="3" t="s">
        <v>1378</v>
      </c>
      <c r="D1529" s="23" t="n">
        <v>592.2</v>
      </c>
      <c r="E1529" s="23" t="n">
        <v>862.575065495737</v>
      </c>
      <c r="F1529" s="23" t="n">
        <f aca="false">D1529-E1529</f>
        <v>-270.375065495737</v>
      </c>
      <c r="G1529" s="24" t="n">
        <f aca="false">IF(E1529&gt;0,D1529/E1529-1,"")</f>
        <v>-0.313451056390492</v>
      </c>
      <c r="H1529" s="3" t="str">
        <f aca="false">IF(MAX(D1529,E1529)&lt;Parametros!$B$16,"",IF(E1529=0,"PIDE SIN FCST",IF(ABS(G1529)&gt;Parametros!$B$14,IF(G1529&gt;0,"SOBRE FCST","BAJO FCST"),"")))</f>
        <v/>
      </c>
    </row>
    <row r="1530" customFormat="false" ht="15" hidden="false" customHeight="false" outlineLevel="0" collapsed="false">
      <c r="A1530" s="3" t="n">
        <v>30001773</v>
      </c>
      <c r="B1530" s="3" t="s">
        <v>345</v>
      </c>
      <c r="C1530" s="3" t="s">
        <v>1377</v>
      </c>
      <c r="D1530" s="23" t="n">
        <v>270.28</v>
      </c>
      <c r="E1530" s="23" t="n">
        <v>0</v>
      </c>
      <c r="F1530" s="23" t="n">
        <f aca="false">D1530-E1530</f>
        <v>270.28</v>
      </c>
      <c r="G1530" s="24" t="str">
        <f aca="false">IF(E1530&gt;0,D1530/E1530-1,"")</f>
        <v/>
      </c>
      <c r="H1530" s="3" t="str">
        <f aca="false">IF(MAX(D1530,E1530)&lt;Parametros!$B$16,"",IF(E1530=0,"PIDE SIN FCST",IF(ABS(G1530)&gt;Parametros!$B$14,IF(G1530&gt;0,"SOBRE FCST","BAJO FCST"),"")))</f>
        <v/>
      </c>
    </row>
    <row r="1531" customFormat="false" ht="15" hidden="false" customHeight="false" outlineLevel="0" collapsed="false">
      <c r="A1531" s="3" t="n">
        <v>30001954</v>
      </c>
      <c r="B1531" s="3" t="s">
        <v>470</v>
      </c>
      <c r="C1531" s="3" t="s">
        <v>1379</v>
      </c>
      <c r="D1531" s="23" t="n">
        <v>1320</v>
      </c>
      <c r="E1531" s="23" t="n">
        <v>1050</v>
      </c>
      <c r="F1531" s="23" t="n">
        <f aca="false">D1531-E1531</f>
        <v>270</v>
      </c>
      <c r="G1531" s="24" t="n">
        <f aca="false">IF(E1531&gt;0,D1531/E1531-1,"")</f>
        <v>0.257142857142857</v>
      </c>
      <c r="H1531" s="3" t="str">
        <f aca="false">IF(MAX(D1531,E1531)&lt;Parametros!$B$16,"",IF(E1531=0,"PIDE SIN FCST",IF(ABS(G1531)&gt;Parametros!$B$14,IF(G1531&gt;0,"SOBRE FCST","BAJO FCST"),"")))</f>
        <v>SOBRE FCST</v>
      </c>
    </row>
    <row r="1532" customFormat="false" ht="15" hidden="false" customHeight="false" outlineLevel="0" collapsed="false">
      <c r="A1532" s="3" t="n">
        <v>30000493</v>
      </c>
      <c r="B1532" s="3" t="s">
        <v>557</v>
      </c>
      <c r="C1532" s="3" t="s">
        <v>1373</v>
      </c>
      <c r="D1532" s="23" t="n">
        <v>361.8</v>
      </c>
      <c r="E1532" s="23" t="n">
        <v>631.456618087389</v>
      </c>
      <c r="F1532" s="23" t="n">
        <f aca="false">D1532-E1532</f>
        <v>-269.656618087389</v>
      </c>
      <c r="G1532" s="24" t="n">
        <f aca="false">IF(E1532&gt;0,D1532/E1532-1,"")</f>
        <v>-0.427039024318327</v>
      </c>
      <c r="H1532" s="3" t="str">
        <f aca="false">IF(MAX(D1532,E1532)&lt;Parametros!$B$16,"",IF(E1532=0,"PIDE SIN FCST",IF(ABS(G1532)&gt;Parametros!$B$14,IF(G1532&gt;0,"SOBRE FCST","BAJO FCST"),"")))</f>
        <v/>
      </c>
    </row>
    <row r="1533" customFormat="false" ht="15" hidden="false" customHeight="false" outlineLevel="0" collapsed="false">
      <c r="A1533" s="3" t="n">
        <v>30002198</v>
      </c>
      <c r="B1533" s="3" t="s">
        <v>362</v>
      </c>
      <c r="C1533" s="3" t="s">
        <v>1379</v>
      </c>
      <c r="D1533" s="23" t="n">
        <v>2769.6</v>
      </c>
      <c r="E1533" s="23" t="n">
        <v>2500</v>
      </c>
      <c r="F1533" s="23" t="n">
        <f aca="false">D1533-E1533</f>
        <v>269.6</v>
      </c>
      <c r="G1533" s="24" t="n">
        <f aca="false">IF(E1533&gt;0,D1533/E1533-1,"")</f>
        <v>0.10784</v>
      </c>
      <c r="H1533" s="3" t="str">
        <f aca="false">IF(MAX(D1533,E1533)&lt;Parametros!$B$16,"",IF(E1533=0,"PIDE SIN FCST",IF(ABS(G1533)&gt;Parametros!$B$14,IF(G1533&gt;0,"SOBRE FCST","BAJO FCST"),"")))</f>
        <v/>
      </c>
    </row>
    <row r="1534" customFormat="false" ht="15" hidden="false" customHeight="false" outlineLevel="0" collapsed="false">
      <c r="A1534" s="3" t="n">
        <v>30000667</v>
      </c>
      <c r="B1534" s="3" t="s">
        <v>608</v>
      </c>
      <c r="C1534" s="3" t="s">
        <v>1378</v>
      </c>
      <c r="D1534" s="23" t="n">
        <v>42.56</v>
      </c>
      <c r="E1534" s="23" t="n">
        <v>312.16</v>
      </c>
      <c r="F1534" s="23" t="n">
        <f aca="false">D1534-E1534</f>
        <v>-269.6</v>
      </c>
      <c r="G1534" s="24" t="n">
        <f aca="false">IF(E1534&gt;0,D1534/E1534-1,"")</f>
        <v>-0.863659661711943</v>
      </c>
      <c r="H1534" s="3" t="str">
        <f aca="false">IF(MAX(D1534,E1534)&lt;Parametros!$B$16,"",IF(E1534=0,"PIDE SIN FCST",IF(ABS(G1534)&gt;Parametros!$B$14,IF(G1534&gt;0,"SOBRE FCST","BAJO FCST"),"")))</f>
        <v/>
      </c>
    </row>
    <row r="1535" customFormat="false" ht="15" hidden="false" customHeight="false" outlineLevel="0" collapsed="false">
      <c r="A1535" s="3" t="n">
        <v>30000495</v>
      </c>
      <c r="B1535" s="3" t="s">
        <v>613</v>
      </c>
      <c r="C1535" s="3" t="s">
        <v>1375</v>
      </c>
      <c r="D1535" s="23" t="n">
        <v>16.2</v>
      </c>
      <c r="E1535" s="23" t="n">
        <v>285.720964085244</v>
      </c>
      <c r="F1535" s="23" t="n">
        <f aca="false">D1535-E1535</f>
        <v>-269.520964085244</v>
      </c>
      <c r="G1535" s="24" t="n">
        <f aca="false">IF(E1535&gt;0,D1535/E1535-1,"")</f>
        <v>-0.943301325291739</v>
      </c>
      <c r="H1535" s="3" t="str">
        <f aca="false">IF(MAX(D1535,E1535)&lt;Parametros!$B$16,"",IF(E1535=0,"PIDE SIN FCST",IF(ABS(G1535)&gt;Parametros!$B$14,IF(G1535&gt;0,"SOBRE FCST","BAJO FCST"),"")))</f>
        <v/>
      </c>
    </row>
    <row r="1536" customFormat="false" ht="15" hidden="false" customHeight="false" outlineLevel="0" collapsed="false">
      <c r="A1536" s="3" t="n">
        <v>30001081</v>
      </c>
      <c r="B1536" s="3" t="s">
        <v>267</v>
      </c>
      <c r="C1536" s="3" t="s">
        <v>1379</v>
      </c>
      <c r="D1536" s="23" t="n">
        <v>6409.92</v>
      </c>
      <c r="E1536" s="23" t="n">
        <v>6679.21355580266</v>
      </c>
      <c r="F1536" s="23" t="n">
        <f aca="false">D1536-E1536</f>
        <v>-269.293555802662</v>
      </c>
      <c r="G1536" s="24" t="n">
        <f aca="false">IF(E1536&gt;0,D1536/E1536-1,"")</f>
        <v>-0.0403181532605301</v>
      </c>
      <c r="H1536" s="3" t="str">
        <f aca="false">IF(MAX(D1536,E1536)&lt;Parametros!$B$16,"",IF(E1536=0,"PIDE SIN FCST",IF(ABS(G1536)&gt;Parametros!$B$14,IF(G1536&gt;0,"SOBRE FCST","BAJO FCST"),"")))</f>
        <v/>
      </c>
    </row>
    <row r="1537" customFormat="false" ht="15" hidden="false" customHeight="false" outlineLevel="0" collapsed="false">
      <c r="A1537" s="3" t="n">
        <v>30000469</v>
      </c>
      <c r="B1537" s="3" t="s">
        <v>428</v>
      </c>
      <c r="C1537" s="3" t="s">
        <v>1377</v>
      </c>
      <c r="D1537" s="23" t="n">
        <v>1024.8</v>
      </c>
      <c r="E1537" s="23" t="n">
        <v>1293.86259824361</v>
      </c>
      <c r="F1537" s="23" t="n">
        <f aca="false">D1537-E1537</f>
        <v>-269.062598243605</v>
      </c>
      <c r="G1537" s="24" t="n">
        <f aca="false">IF(E1537&gt;0,D1537/E1537-1,"")</f>
        <v>-0.207952991769646</v>
      </c>
      <c r="H1537" s="3" t="str">
        <f aca="false">IF(MAX(D1537,E1537)&lt;Parametros!$B$16,"",IF(E1537=0,"PIDE SIN FCST",IF(ABS(G1537)&gt;Parametros!$B$14,IF(G1537&gt;0,"SOBRE FCST","BAJO FCST"),"")))</f>
        <v>BAJO FCST</v>
      </c>
    </row>
    <row r="1538" customFormat="false" ht="15" hidden="false" customHeight="false" outlineLevel="0" collapsed="false">
      <c r="A1538" s="3" t="n">
        <v>30001901</v>
      </c>
      <c r="B1538" s="3" t="s">
        <v>425</v>
      </c>
      <c r="C1538" s="3" t="s">
        <v>1378</v>
      </c>
      <c r="D1538" s="23" t="n">
        <v>432</v>
      </c>
      <c r="E1538" s="23" t="n">
        <v>700.820393306217</v>
      </c>
      <c r="F1538" s="23" t="n">
        <f aca="false">D1538-E1538</f>
        <v>-268.820393306217</v>
      </c>
      <c r="G1538" s="24" t="n">
        <f aca="false">IF(E1538&gt;0,D1538/E1538-1,"")</f>
        <v>-0.38357958169285</v>
      </c>
      <c r="H1538" s="3" t="str">
        <f aca="false">IF(MAX(D1538,E1538)&lt;Parametros!$B$16,"",IF(E1538=0,"PIDE SIN FCST",IF(ABS(G1538)&gt;Parametros!$B$14,IF(G1538&gt;0,"SOBRE FCST","BAJO FCST"),"")))</f>
        <v/>
      </c>
    </row>
    <row r="1539" customFormat="false" ht="15" hidden="false" customHeight="false" outlineLevel="0" collapsed="false">
      <c r="A1539" s="3" t="n">
        <v>30000559</v>
      </c>
      <c r="B1539" s="3" t="s">
        <v>399</v>
      </c>
      <c r="C1539" s="3" t="s">
        <v>1377</v>
      </c>
      <c r="D1539" s="23" t="n">
        <v>268.8</v>
      </c>
      <c r="E1539" s="23" t="n">
        <v>0</v>
      </c>
      <c r="F1539" s="23" t="n">
        <f aca="false">D1539-E1539</f>
        <v>268.8</v>
      </c>
      <c r="G1539" s="24" t="str">
        <f aca="false">IF(E1539&gt;0,D1539/E1539-1,"")</f>
        <v/>
      </c>
      <c r="H1539" s="3" t="str">
        <f aca="false">IF(MAX(D1539,E1539)&lt;Parametros!$B$16,"",IF(E1539=0,"PIDE SIN FCST",IF(ABS(G1539)&gt;Parametros!$B$14,IF(G1539&gt;0,"SOBRE FCST","BAJO FCST"),"")))</f>
        <v/>
      </c>
    </row>
    <row r="1540" customFormat="false" ht="15" hidden="false" customHeight="false" outlineLevel="0" collapsed="false">
      <c r="A1540" s="3" t="n">
        <v>30000560</v>
      </c>
      <c r="B1540" s="3" t="s">
        <v>384</v>
      </c>
      <c r="C1540" s="3" t="s">
        <v>1372</v>
      </c>
      <c r="D1540" s="23" t="n">
        <v>268.8</v>
      </c>
      <c r="E1540" s="23" t="n">
        <v>0</v>
      </c>
      <c r="F1540" s="23" t="n">
        <f aca="false">D1540-E1540</f>
        <v>268.8</v>
      </c>
      <c r="G1540" s="24" t="str">
        <f aca="false">IF(E1540&gt;0,D1540/E1540-1,"")</f>
        <v/>
      </c>
      <c r="H1540" s="3" t="str">
        <f aca="false">IF(MAX(D1540,E1540)&lt;Parametros!$B$16,"",IF(E1540=0,"PIDE SIN FCST",IF(ABS(G1540)&gt;Parametros!$B$14,IF(G1540&gt;0,"SOBRE FCST","BAJO FCST"),"")))</f>
        <v/>
      </c>
    </row>
    <row r="1541" customFormat="false" ht="15" hidden="false" customHeight="false" outlineLevel="0" collapsed="false">
      <c r="A1541" s="3" t="n">
        <v>30000069</v>
      </c>
      <c r="B1541" s="3" t="s">
        <v>433</v>
      </c>
      <c r="C1541" s="3" t="s">
        <v>1373</v>
      </c>
      <c r="D1541" s="23" t="n">
        <v>10188</v>
      </c>
      <c r="E1541" s="23" t="n">
        <v>9919.61325320097</v>
      </c>
      <c r="F1541" s="23" t="n">
        <f aca="false">D1541-E1541</f>
        <v>268.386746799031</v>
      </c>
      <c r="G1541" s="24" t="n">
        <f aca="false">IF(E1541&gt;0,D1541/E1541-1,"")</f>
        <v>0.0270561704320906</v>
      </c>
      <c r="H1541" s="3" t="str">
        <f aca="false">IF(MAX(D1541,E1541)&lt;Parametros!$B$16,"",IF(E1541=0,"PIDE SIN FCST",IF(ABS(G1541)&gt;Parametros!$B$14,IF(G1541&gt;0,"SOBRE FCST","BAJO FCST"),"")))</f>
        <v/>
      </c>
    </row>
    <row r="1542" customFormat="false" ht="15" hidden="false" customHeight="false" outlineLevel="0" collapsed="false">
      <c r="A1542" s="3" t="n">
        <v>30001895</v>
      </c>
      <c r="B1542" s="3" t="s">
        <v>341</v>
      </c>
      <c r="C1542" s="3" t="s">
        <v>1377</v>
      </c>
      <c r="D1542" s="23" t="n">
        <v>1231.2</v>
      </c>
      <c r="E1542" s="23" t="n">
        <v>963.954088262392</v>
      </c>
      <c r="F1542" s="23" t="n">
        <f aca="false">D1542-E1542</f>
        <v>267.245911737608</v>
      </c>
      <c r="G1542" s="24" t="n">
        <f aca="false">IF(E1542&gt;0,D1542/E1542-1,"")</f>
        <v>0.27723925339571</v>
      </c>
      <c r="H1542" s="3" t="str">
        <f aca="false">IF(MAX(D1542,E1542)&lt;Parametros!$B$16,"",IF(E1542=0,"PIDE SIN FCST",IF(ABS(G1542)&gt;Parametros!$B$14,IF(G1542&gt;0,"SOBRE FCST","BAJO FCST"),"")))</f>
        <v>SOBRE FCST</v>
      </c>
    </row>
    <row r="1543" customFormat="false" ht="15" hidden="false" customHeight="false" outlineLevel="0" collapsed="false">
      <c r="A1543" s="3" t="n">
        <v>30000653</v>
      </c>
      <c r="B1543" s="3" t="s">
        <v>596</v>
      </c>
      <c r="C1543" s="3" t="s">
        <v>1378</v>
      </c>
      <c r="D1543" s="23" t="n">
        <v>6.08</v>
      </c>
      <c r="E1543" s="23" t="n">
        <v>272.56</v>
      </c>
      <c r="F1543" s="23" t="n">
        <f aca="false">D1543-E1543</f>
        <v>-266.48</v>
      </c>
      <c r="G1543" s="24" t="n">
        <f aca="false">IF(E1543&gt;0,D1543/E1543-1,"")</f>
        <v>-0.977692985030819</v>
      </c>
      <c r="H1543" s="3" t="str">
        <f aca="false">IF(MAX(D1543,E1543)&lt;Parametros!$B$16,"",IF(E1543=0,"PIDE SIN FCST",IF(ABS(G1543)&gt;Parametros!$B$14,IF(G1543&gt;0,"SOBRE FCST","BAJO FCST"),"")))</f>
        <v/>
      </c>
    </row>
    <row r="1544" customFormat="false" ht="15" hidden="false" customHeight="false" outlineLevel="0" collapsed="false">
      <c r="A1544" s="3" t="n">
        <v>30002268</v>
      </c>
      <c r="B1544" s="3" t="s">
        <v>370</v>
      </c>
      <c r="C1544" s="3" t="s">
        <v>1378</v>
      </c>
      <c r="D1544" s="23" t="n">
        <v>13.56</v>
      </c>
      <c r="E1544" s="23" t="n">
        <v>279.16</v>
      </c>
      <c r="F1544" s="23" t="n">
        <f aca="false">D1544-E1544</f>
        <v>-265.6</v>
      </c>
      <c r="G1544" s="24" t="n">
        <f aca="false">IF(E1544&gt;0,D1544/E1544-1,"")</f>
        <v>-0.951425705688494</v>
      </c>
      <c r="H1544" s="3" t="str">
        <f aca="false">IF(MAX(D1544,E1544)&lt;Parametros!$B$16,"",IF(E1544=0,"PIDE SIN FCST",IF(ABS(G1544)&gt;Parametros!$B$14,IF(G1544&gt;0,"SOBRE FCST","BAJO FCST"),"")))</f>
        <v/>
      </c>
    </row>
    <row r="1545" customFormat="false" ht="15" hidden="false" customHeight="false" outlineLevel="0" collapsed="false">
      <c r="A1545" s="3" t="n">
        <v>30000660</v>
      </c>
      <c r="B1545" s="3" t="s">
        <v>388</v>
      </c>
      <c r="C1545" s="3" t="s">
        <v>1372</v>
      </c>
      <c r="D1545" s="23" t="n">
        <v>0</v>
      </c>
      <c r="E1545" s="23" t="n">
        <v>264.803261189218</v>
      </c>
      <c r="F1545" s="23" t="n">
        <f aca="false">D1545-E1545</f>
        <v>-264.803261189218</v>
      </c>
      <c r="G1545" s="24" t="n">
        <f aca="false">IF(E1545&gt;0,D1545/E1545-1,"")</f>
        <v>-1</v>
      </c>
      <c r="H1545" s="3" t="str">
        <f aca="false">IF(MAX(D1545,E1545)&lt;Parametros!$B$16,"",IF(E1545=0,"PIDE SIN FCST",IF(ABS(G1545)&gt;Parametros!$B$14,IF(G1545&gt;0,"SOBRE FCST","BAJO FCST"),"")))</f>
        <v/>
      </c>
    </row>
    <row r="1546" customFormat="false" ht="15" hidden="false" customHeight="false" outlineLevel="0" collapsed="false">
      <c r="A1546" s="3" t="n">
        <v>30002126</v>
      </c>
      <c r="B1546" s="3" t="s">
        <v>624</v>
      </c>
      <c r="C1546" s="3" t="s">
        <v>1375</v>
      </c>
      <c r="D1546" s="23" t="n">
        <v>367.92</v>
      </c>
      <c r="E1546" s="23" t="n">
        <v>632.551529096572</v>
      </c>
      <c r="F1546" s="23" t="n">
        <f aca="false">D1546-E1546</f>
        <v>-264.631529096572</v>
      </c>
      <c r="G1546" s="24" t="n">
        <f aca="false">IF(E1546&gt;0,D1546/E1546-1,"")</f>
        <v>-0.418355686333612</v>
      </c>
      <c r="H1546" s="3" t="str">
        <f aca="false">IF(MAX(D1546,E1546)&lt;Parametros!$B$16,"",IF(E1546=0,"PIDE SIN FCST",IF(ABS(G1546)&gt;Parametros!$B$14,IF(G1546&gt;0,"SOBRE FCST","BAJO FCST"),"")))</f>
        <v/>
      </c>
    </row>
    <row r="1547" customFormat="false" ht="15" hidden="false" customHeight="false" outlineLevel="0" collapsed="false">
      <c r="A1547" s="3" t="n">
        <v>30001924</v>
      </c>
      <c r="B1547" s="3" t="s">
        <v>563</v>
      </c>
      <c r="C1547" s="3" t="s">
        <v>1373</v>
      </c>
      <c r="D1547" s="23" t="n">
        <v>2352</v>
      </c>
      <c r="E1547" s="23" t="n">
        <v>2616.625</v>
      </c>
      <c r="F1547" s="23" t="n">
        <f aca="false">D1547-E1547</f>
        <v>-264.625</v>
      </c>
      <c r="G1547" s="24" t="n">
        <f aca="false">IF(E1547&gt;0,D1547/E1547-1,"")</f>
        <v>-0.101132183633497</v>
      </c>
      <c r="H1547" s="3" t="str">
        <f aca="false">IF(MAX(D1547,E1547)&lt;Parametros!$B$16,"",IF(E1547=0,"PIDE SIN FCST",IF(ABS(G1547)&gt;Parametros!$B$14,IF(G1547&gt;0,"SOBRE FCST","BAJO FCST"),"")))</f>
        <v/>
      </c>
    </row>
    <row r="1548" customFormat="false" ht="15" hidden="false" customHeight="false" outlineLevel="0" collapsed="false">
      <c r="A1548" s="3" t="n">
        <v>30001760</v>
      </c>
      <c r="B1548" s="3" t="s">
        <v>301</v>
      </c>
      <c r="C1548" s="3" t="s">
        <v>1372</v>
      </c>
      <c r="D1548" s="23" t="n">
        <v>3364.2</v>
      </c>
      <c r="E1548" s="23" t="n">
        <v>3100</v>
      </c>
      <c r="F1548" s="23" t="n">
        <f aca="false">D1548-E1548</f>
        <v>264.2</v>
      </c>
      <c r="G1548" s="24" t="n">
        <f aca="false">IF(E1548&gt;0,D1548/E1548-1,"")</f>
        <v>0.0852258064516129</v>
      </c>
      <c r="H1548" s="3" t="str">
        <f aca="false">IF(MAX(D1548,E1548)&lt;Parametros!$B$16,"",IF(E1548=0,"PIDE SIN FCST",IF(ABS(G1548)&gt;Parametros!$B$14,IF(G1548&gt;0,"SOBRE FCST","BAJO FCST"),"")))</f>
        <v/>
      </c>
    </row>
    <row r="1549" customFormat="false" ht="15" hidden="false" customHeight="false" outlineLevel="0" collapsed="false">
      <c r="A1549" s="3" t="n">
        <v>30001075</v>
      </c>
      <c r="B1549" s="3" t="s">
        <v>297</v>
      </c>
      <c r="C1549" s="3" t="s">
        <v>1376</v>
      </c>
      <c r="D1549" s="23" t="n">
        <v>264</v>
      </c>
      <c r="E1549" s="23" t="n">
        <v>0</v>
      </c>
      <c r="F1549" s="23" t="n">
        <f aca="false">D1549-E1549</f>
        <v>264</v>
      </c>
      <c r="G1549" s="24" t="str">
        <f aca="false">IF(E1549&gt;0,D1549/E1549-1,"")</f>
        <v/>
      </c>
      <c r="H1549" s="3" t="str">
        <f aca="false">IF(MAX(D1549,E1549)&lt;Parametros!$B$16,"",IF(E1549=0,"PIDE SIN FCST",IF(ABS(G1549)&gt;Parametros!$B$14,IF(G1549&gt;0,"SOBRE FCST","BAJO FCST"),"")))</f>
        <v/>
      </c>
    </row>
    <row r="1550" customFormat="false" ht="15" hidden="false" customHeight="false" outlineLevel="0" collapsed="false">
      <c r="A1550" s="3" t="n">
        <v>30002138</v>
      </c>
      <c r="B1550" s="3" t="s">
        <v>494</v>
      </c>
      <c r="C1550" s="3" t="s">
        <v>1377</v>
      </c>
      <c r="D1550" s="23" t="n">
        <v>264</v>
      </c>
      <c r="E1550" s="23" t="n">
        <v>0</v>
      </c>
      <c r="F1550" s="23" t="n">
        <f aca="false">D1550-E1550</f>
        <v>264</v>
      </c>
      <c r="G1550" s="24" t="str">
        <f aca="false">IF(E1550&gt;0,D1550/E1550-1,"")</f>
        <v/>
      </c>
      <c r="H1550" s="3" t="str">
        <f aca="false">IF(MAX(D1550,E1550)&lt;Parametros!$B$16,"",IF(E1550=0,"PIDE SIN FCST",IF(ABS(G1550)&gt;Parametros!$B$14,IF(G1550&gt;0,"SOBRE FCST","BAJO FCST"),"")))</f>
        <v/>
      </c>
    </row>
    <row r="1551" customFormat="false" ht="15" hidden="false" customHeight="false" outlineLevel="0" collapsed="false">
      <c r="A1551" s="3" t="n">
        <v>30002125</v>
      </c>
      <c r="B1551" s="3" t="s">
        <v>430</v>
      </c>
      <c r="C1551" s="3" t="s">
        <v>1380</v>
      </c>
      <c r="D1551" s="23" t="n">
        <v>3344</v>
      </c>
      <c r="E1551" s="23" t="n">
        <v>3081.26925</v>
      </c>
      <c r="F1551" s="23" t="n">
        <f aca="false">D1551-E1551</f>
        <v>262.73075</v>
      </c>
      <c r="G1551" s="24" t="n">
        <f aca="false">IF(E1551&gt;0,D1551/E1551-1,"")</f>
        <v>0.0852670535040065</v>
      </c>
      <c r="H1551" s="3" t="str">
        <f aca="false">IF(MAX(D1551,E1551)&lt;Parametros!$B$16,"",IF(E1551=0,"PIDE SIN FCST",IF(ABS(G1551)&gt;Parametros!$B$14,IF(G1551&gt;0,"SOBRE FCST","BAJO FCST"),"")))</f>
        <v/>
      </c>
    </row>
    <row r="1552" customFormat="false" ht="15" hidden="false" customHeight="false" outlineLevel="0" collapsed="false">
      <c r="A1552" s="3" t="n">
        <v>30000169</v>
      </c>
      <c r="B1552" s="3" t="s">
        <v>519</v>
      </c>
      <c r="C1552" s="3" t="s">
        <v>1375</v>
      </c>
      <c r="D1552" s="23" t="n">
        <v>1737.6</v>
      </c>
      <c r="E1552" s="23" t="n">
        <v>2000</v>
      </c>
      <c r="F1552" s="23" t="n">
        <f aca="false">D1552-E1552</f>
        <v>-262.4</v>
      </c>
      <c r="G1552" s="24" t="n">
        <f aca="false">IF(E1552&gt;0,D1552/E1552-1,"")</f>
        <v>-0.1312</v>
      </c>
      <c r="H1552" s="3" t="str">
        <f aca="false">IF(MAX(D1552,E1552)&lt;Parametros!$B$16,"",IF(E1552=0,"PIDE SIN FCST",IF(ABS(G1552)&gt;Parametros!$B$14,IF(G1552&gt;0,"SOBRE FCST","BAJO FCST"),"")))</f>
        <v/>
      </c>
    </row>
    <row r="1553" customFormat="false" ht="15" hidden="false" customHeight="false" outlineLevel="0" collapsed="false">
      <c r="A1553" s="3" t="n">
        <v>30001689</v>
      </c>
      <c r="B1553" s="3" t="s">
        <v>358</v>
      </c>
      <c r="C1553" s="3" t="s">
        <v>1377</v>
      </c>
      <c r="D1553" s="23" t="n">
        <v>670.8</v>
      </c>
      <c r="E1553" s="23" t="n">
        <v>408.621826655881</v>
      </c>
      <c r="F1553" s="23" t="n">
        <f aca="false">D1553-E1553</f>
        <v>262.178173344119</v>
      </c>
      <c r="G1553" s="24" t="n">
        <f aca="false">IF(E1553&gt;0,D1553/E1553-1,"")</f>
        <v>0.641615685314116</v>
      </c>
      <c r="H1553" s="3" t="str">
        <f aca="false">IF(MAX(D1553,E1553)&lt;Parametros!$B$16,"",IF(E1553=0,"PIDE SIN FCST",IF(ABS(G1553)&gt;Parametros!$B$14,IF(G1553&gt;0,"SOBRE FCST","BAJO FCST"),"")))</f>
        <v/>
      </c>
    </row>
    <row r="1554" customFormat="false" ht="15" hidden="false" customHeight="false" outlineLevel="0" collapsed="false">
      <c r="A1554" s="3" t="n">
        <v>30002176</v>
      </c>
      <c r="B1554" s="3" t="s">
        <v>548</v>
      </c>
      <c r="C1554" s="3" t="s">
        <v>1378</v>
      </c>
      <c r="D1554" s="23" t="n">
        <v>188.48</v>
      </c>
      <c r="E1554" s="23" t="n">
        <v>450</v>
      </c>
      <c r="F1554" s="23" t="n">
        <f aca="false">D1554-E1554</f>
        <v>-261.52</v>
      </c>
      <c r="G1554" s="24" t="n">
        <f aca="false">IF(E1554&gt;0,D1554/E1554-1,"")</f>
        <v>-0.581155555555556</v>
      </c>
      <c r="H1554" s="3" t="str">
        <f aca="false">IF(MAX(D1554,E1554)&lt;Parametros!$B$16,"",IF(E1554=0,"PIDE SIN FCST",IF(ABS(G1554)&gt;Parametros!$B$14,IF(G1554&gt;0,"SOBRE FCST","BAJO FCST"),"")))</f>
        <v/>
      </c>
    </row>
    <row r="1555" customFormat="false" ht="15" hidden="false" customHeight="false" outlineLevel="0" collapsed="false">
      <c r="A1555" s="3" t="n">
        <v>30000053</v>
      </c>
      <c r="B1555" s="3" t="s">
        <v>525</v>
      </c>
      <c r="C1555" s="3" t="s">
        <v>1380</v>
      </c>
      <c r="D1555" s="23" t="n">
        <v>188.7</v>
      </c>
      <c r="E1555" s="23" t="n">
        <v>450</v>
      </c>
      <c r="F1555" s="23" t="n">
        <f aca="false">D1555-E1555</f>
        <v>-261.3</v>
      </c>
      <c r="G1555" s="24" t="n">
        <f aca="false">IF(E1555&gt;0,D1555/E1555-1,"")</f>
        <v>-0.580666666666667</v>
      </c>
      <c r="H1555" s="3" t="str">
        <f aca="false">IF(MAX(D1555,E1555)&lt;Parametros!$B$16,"",IF(E1555=0,"PIDE SIN FCST",IF(ABS(G1555)&gt;Parametros!$B$14,IF(G1555&gt;0,"SOBRE FCST","BAJO FCST"),"")))</f>
        <v/>
      </c>
    </row>
    <row r="1556" customFormat="false" ht="15" hidden="false" customHeight="false" outlineLevel="0" collapsed="false">
      <c r="A1556" s="3" t="n">
        <v>30000498</v>
      </c>
      <c r="B1556" s="3" t="s">
        <v>450</v>
      </c>
      <c r="C1556" s="3" t="s">
        <v>1377</v>
      </c>
      <c r="D1556" s="23" t="n">
        <v>918</v>
      </c>
      <c r="E1556" s="23" t="n">
        <v>658.72468017248</v>
      </c>
      <c r="F1556" s="23" t="n">
        <f aca="false">D1556-E1556</f>
        <v>259.27531982752</v>
      </c>
      <c r="G1556" s="24" t="n">
        <f aca="false">IF(E1556&gt;0,D1556/E1556-1,"")</f>
        <v>0.393601951819432</v>
      </c>
      <c r="H1556" s="3" t="str">
        <f aca="false">IF(MAX(D1556,E1556)&lt;Parametros!$B$16,"",IF(E1556=0,"PIDE SIN FCST",IF(ABS(G1556)&gt;Parametros!$B$14,IF(G1556&gt;0,"SOBRE FCST","BAJO FCST"),"")))</f>
        <v/>
      </c>
    </row>
    <row r="1557" customFormat="false" ht="15" hidden="false" customHeight="false" outlineLevel="0" collapsed="false">
      <c r="A1557" s="3" t="n">
        <v>30001540</v>
      </c>
      <c r="B1557" s="3" t="s">
        <v>501</v>
      </c>
      <c r="C1557" s="3" t="s">
        <v>1379</v>
      </c>
      <c r="D1557" s="23" t="n">
        <v>1459.2</v>
      </c>
      <c r="E1557" s="23" t="n">
        <v>1200</v>
      </c>
      <c r="F1557" s="23" t="n">
        <f aca="false">D1557-E1557</f>
        <v>259.2</v>
      </c>
      <c r="G1557" s="24" t="n">
        <f aca="false">IF(E1557&gt;0,D1557/E1557-1,"")</f>
        <v>0.216</v>
      </c>
      <c r="H1557" s="3" t="str">
        <f aca="false">IF(MAX(D1557,E1557)&lt;Parametros!$B$16,"",IF(E1557=0,"PIDE SIN FCST",IF(ABS(G1557)&gt;Parametros!$B$14,IF(G1557&gt;0,"SOBRE FCST","BAJO FCST"),"")))</f>
        <v>SOBRE FCST</v>
      </c>
    </row>
    <row r="1558" customFormat="false" ht="15" hidden="false" customHeight="false" outlineLevel="0" collapsed="false">
      <c r="A1558" s="3" t="n">
        <v>30001020</v>
      </c>
      <c r="B1558" s="3" t="s">
        <v>461</v>
      </c>
      <c r="C1558" s="3" t="s">
        <v>1379</v>
      </c>
      <c r="D1558" s="23" t="n">
        <v>690</v>
      </c>
      <c r="E1558" s="23" t="n">
        <v>431.287532747868</v>
      </c>
      <c r="F1558" s="23" t="n">
        <f aca="false">D1558-E1558</f>
        <v>258.712467252132</v>
      </c>
      <c r="G1558" s="24" t="n">
        <f aca="false">IF(E1558&gt;0,D1558/E1558-1,"")</f>
        <v>0.599860760184264</v>
      </c>
      <c r="H1558" s="3" t="str">
        <f aca="false">IF(MAX(D1558,E1558)&lt;Parametros!$B$16,"",IF(E1558=0,"PIDE SIN FCST",IF(ABS(G1558)&gt;Parametros!$B$14,IF(G1558&gt;0,"SOBRE FCST","BAJO FCST"),"")))</f>
        <v/>
      </c>
    </row>
    <row r="1559" customFormat="false" ht="15" hidden="false" customHeight="false" outlineLevel="0" collapsed="false">
      <c r="A1559" s="3" t="n">
        <v>30001494</v>
      </c>
      <c r="B1559" s="3" t="s">
        <v>411</v>
      </c>
      <c r="C1559" s="3" t="s">
        <v>1376</v>
      </c>
      <c r="D1559" s="23" t="n">
        <v>258.4</v>
      </c>
      <c r="E1559" s="23" t="n">
        <v>0</v>
      </c>
      <c r="F1559" s="23" t="n">
        <f aca="false">D1559-E1559</f>
        <v>258.4</v>
      </c>
      <c r="G1559" s="24" t="str">
        <f aca="false">IF(E1559&gt;0,D1559/E1559-1,"")</f>
        <v/>
      </c>
      <c r="H1559" s="3" t="str">
        <f aca="false">IF(MAX(D1559,E1559)&lt;Parametros!$B$16,"",IF(E1559=0,"PIDE SIN FCST",IF(ABS(G1559)&gt;Parametros!$B$14,IF(G1559&gt;0,"SOBRE FCST","BAJO FCST"),"")))</f>
        <v/>
      </c>
    </row>
    <row r="1560" customFormat="false" ht="15" hidden="false" customHeight="false" outlineLevel="0" collapsed="false">
      <c r="A1560" s="3" t="n">
        <v>30001983</v>
      </c>
      <c r="B1560" s="3" t="s">
        <v>458</v>
      </c>
      <c r="C1560" s="3" t="s">
        <v>1379</v>
      </c>
      <c r="D1560" s="23" t="n">
        <v>1467.144</v>
      </c>
      <c r="E1560" s="23" t="n">
        <v>1725.15013099147</v>
      </c>
      <c r="F1560" s="23" t="n">
        <f aca="false">D1560-E1560</f>
        <v>-258.006130991473</v>
      </c>
      <c r="G1560" s="24" t="n">
        <f aca="false">IF(E1560&gt;0,D1560/E1560-1,"")</f>
        <v>-0.149555755384137</v>
      </c>
      <c r="H1560" s="3" t="str">
        <f aca="false">IF(MAX(D1560,E1560)&lt;Parametros!$B$16,"",IF(E1560=0,"PIDE SIN FCST",IF(ABS(G1560)&gt;Parametros!$B$14,IF(G1560&gt;0,"SOBRE FCST","BAJO FCST"),"")))</f>
        <v/>
      </c>
    </row>
    <row r="1561" customFormat="false" ht="15" hidden="false" customHeight="false" outlineLevel="0" collapsed="false">
      <c r="A1561" s="3" t="n">
        <v>30000421</v>
      </c>
      <c r="B1561" s="3" t="s">
        <v>464</v>
      </c>
      <c r="C1561" s="3" t="s">
        <v>1373</v>
      </c>
      <c r="D1561" s="23" t="n">
        <v>720</v>
      </c>
      <c r="E1561" s="23" t="n">
        <v>976.166666666667</v>
      </c>
      <c r="F1561" s="23" t="n">
        <f aca="false">D1561-E1561</f>
        <v>-256.166666666667</v>
      </c>
      <c r="G1561" s="24" t="n">
        <f aca="false">IF(E1561&gt;0,D1561/E1561-1,"")</f>
        <v>-0.262421034659382</v>
      </c>
      <c r="H1561" s="3" t="str">
        <f aca="false">IF(MAX(D1561,E1561)&lt;Parametros!$B$16,"",IF(E1561=0,"PIDE SIN FCST",IF(ABS(G1561)&gt;Parametros!$B$14,IF(G1561&gt;0,"SOBRE FCST","BAJO FCST"),"")))</f>
        <v/>
      </c>
    </row>
    <row r="1562" customFormat="false" ht="15" hidden="false" customHeight="false" outlineLevel="0" collapsed="false">
      <c r="A1562" s="3" t="n">
        <v>30000194</v>
      </c>
      <c r="B1562" s="3" t="s">
        <v>268</v>
      </c>
      <c r="C1562" s="3" t="s">
        <v>1377</v>
      </c>
      <c r="D1562" s="23" t="n">
        <v>1944</v>
      </c>
      <c r="E1562" s="23" t="n">
        <v>2200</v>
      </c>
      <c r="F1562" s="23" t="n">
        <f aca="false">D1562-E1562</f>
        <v>-256</v>
      </c>
      <c r="G1562" s="24" t="n">
        <f aca="false">IF(E1562&gt;0,D1562/E1562-1,"")</f>
        <v>-0.116363636363636</v>
      </c>
      <c r="H1562" s="3" t="str">
        <f aca="false">IF(MAX(D1562,E1562)&lt;Parametros!$B$16,"",IF(E1562=0,"PIDE SIN FCST",IF(ABS(G1562)&gt;Parametros!$B$14,IF(G1562&gt;0,"SOBRE FCST","BAJO FCST"),"")))</f>
        <v/>
      </c>
    </row>
    <row r="1563" customFormat="false" ht="15" hidden="false" customHeight="false" outlineLevel="0" collapsed="false">
      <c r="A1563" s="3" t="n">
        <v>30000494</v>
      </c>
      <c r="B1563" s="3" t="s">
        <v>611</v>
      </c>
      <c r="C1563" s="3" t="s">
        <v>1373</v>
      </c>
      <c r="D1563" s="23" t="n">
        <v>334.8</v>
      </c>
      <c r="E1563" s="23" t="n">
        <v>590.674111170461</v>
      </c>
      <c r="F1563" s="23" t="n">
        <f aca="false">D1563-E1563</f>
        <v>-255.874111170461</v>
      </c>
      <c r="G1563" s="24" t="n">
        <f aca="false">IF(E1563&gt;0,D1563/E1563-1,"")</f>
        <v>-0.433189988068766</v>
      </c>
      <c r="H1563" s="3" t="str">
        <f aca="false">IF(MAX(D1563,E1563)&lt;Parametros!$B$16,"",IF(E1563=0,"PIDE SIN FCST",IF(ABS(G1563)&gt;Parametros!$B$14,IF(G1563&gt;0,"SOBRE FCST","BAJO FCST"),"")))</f>
        <v/>
      </c>
    </row>
    <row r="1564" customFormat="false" ht="15" hidden="false" customHeight="false" outlineLevel="0" collapsed="false">
      <c r="A1564" s="3" t="n">
        <v>30001873</v>
      </c>
      <c r="B1564" s="3" t="s">
        <v>299</v>
      </c>
      <c r="C1564" s="3" t="s">
        <v>1375</v>
      </c>
      <c r="D1564" s="23" t="n">
        <v>9055.8</v>
      </c>
      <c r="E1564" s="23" t="n">
        <v>8800</v>
      </c>
      <c r="F1564" s="23" t="n">
        <f aca="false">D1564-E1564</f>
        <v>255.799999999999</v>
      </c>
      <c r="G1564" s="24" t="n">
        <f aca="false">IF(E1564&gt;0,D1564/E1564-1,"")</f>
        <v>0.0290681818181817</v>
      </c>
      <c r="H1564" s="3" t="str">
        <f aca="false">IF(MAX(D1564,E1564)&lt;Parametros!$B$16,"",IF(E1564=0,"PIDE SIN FCST",IF(ABS(G1564)&gt;Parametros!$B$14,IF(G1564&gt;0,"SOBRE FCST","BAJO FCST"),"")))</f>
        <v/>
      </c>
    </row>
    <row r="1565" customFormat="false" ht="15" hidden="false" customHeight="false" outlineLevel="0" collapsed="false">
      <c r="A1565" s="3" t="n">
        <v>30001982</v>
      </c>
      <c r="B1565" s="3" t="s">
        <v>565</v>
      </c>
      <c r="C1565" s="3" t="s">
        <v>1377</v>
      </c>
      <c r="D1565" s="23" t="n">
        <v>223.2</v>
      </c>
      <c r="E1565" s="23" t="n">
        <v>478.701806961165</v>
      </c>
      <c r="F1565" s="23" t="n">
        <f aca="false">D1565-E1565</f>
        <v>-255.501806961165</v>
      </c>
      <c r="G1565" s="24" t="n">
        <f aca="false">IF(E1565&gt;0,D1565/E1565-1,"")</f>
        <v>-0.533738964937504</v>
      </c>
      <c r="H1565" s="3" t="str">
        <f aca="false">IF(MAX(D1565,E1565)&lt;Parametros!$B$16,"",IF(E1565=0,"PIDE SIN FCST",IF(ABS(G1565)&gt;Parametros!$B$14,IF(G1565&gt;0,"SOBRE FCST","BAJO FCST"),"")))</f>
        <v/>
      </c>
    </row>
    <row r="1566" customFormat="false" ht="15" hidden="false" customHeight="false" outlineLevel="0" collapsed="false">
      <c r="A1566" s="3" t="n">
        <v>30001709</v>
      </c>
      <c r="B1566" s="3" t="s">
        <v>343</v>
      </c>
      <c r="C1566" s="3" t="s">
        <v>1373</v>
      </c>
      <c r="D1566" s="23" t="n">
        <v>1478.4</v>
      </c>
      <c r="E1566" s="23" t="n">
        <v>1223.20342303407</v>
      </c>
      <c r="F1566" s="23" t="n">
        <f aca="false">D1566-E1566</f>
        <v>255.196576965932</v>
      </c>
      <c r="G1566" s="24" t="n">
        <f aca="false">IF(E1566&gt;0,D1566/E1566-1,"")</f>
        <v>0.208629711264979</v>
      </c>
      <c r="H1566" s="3" t="str">
        <f aca="false">IF(MAX(D1566,E1566)&lt;Parametros!$B$16,"",IF(E1566=0,"PIDE SIN FCST",IF(ABS(G1566)&gt;Parametros!$B$14,IF(G1566&gt;0,"SOBRE FCST","BAJO FCST"),"")))</f>
        <v>SOBRE FCST</v>
      </c>
    </row>
    <row r="1567" customFormat="false" ht="15" hidden="false" customHeight="false" outlineLevel="0" collapsed="false">
      <c r="A1567" s="3" t="n">
        <v>30000302</v>
      </c>
      <c r="B1567" s="3" t="s">
        <v>251</v>
      </c>
      <c r="C1567" s="3" t="s">
        <v>1376</v>
      </c>
      <c r="D1567" s="23" t="n">
        <v>255</v>
      </c>
      <c r="E1567" s="23" t="n">
        <v>0</v>
      </c>
      <c r="F1567" s="23" t="n">
        <f aca="false">D1567-E1567</f>
        <v>255</v>
      </c>
      <c r="G1567" s="24" t="str">
        <f aca="false">IF(E1567&gt;0,D1567/E1567-1,"")</f>
        <v/>
      </c>
      <c r="H1567" s="3" t="str">
        <f aca="false">IF(MAX(D1567,E1567)&lt;Parametros!$B$16,"",IF(E1567=0,"PIDE SIN FCST",IF(ABS(G1567)&gt;Parametros!$B$14,IF(G1567&gt;0,"SOBRE FCST","BAJO FCST"),"")))</f>
        <v/>
      </c>
    </row>
    <row r="1568" customFormat="false" ht="15" hidden="false" customHeight="false" outlineLevel="0" collapsed="false">
      <c r="A1568" s="3" t="n">
        <v>30000038</v>
      </c>
      <c r="B1568" s="3" t="s">
        <v>215</v>
      </c>
      <c r="C1568" s="3" t="s">
        <v>1376</v>
      </c>
      <c r="D1568" s="23" t="n">
        <v>1854.72</v>
      </c>
      <c r="E1568" s="23" t="n">
        <v>1600</v>
      </c>
      <c r="F1568" s="23" t="n">
        <f aca="false">D1568-E1568</f>
        <v>254.72</v>
      </c>
      <c r="G1568" s="24" t="n">
        <f aca="false">IF(E1568&gt;0,D1568/E1568-1,"")</f>
        <v>0.1592</v>
      </c>
      <c r="H1568" s="3" t="str">
        <f aca="false">IF(MAX(D1568,E1568)&lt;Parametros!$B$16,"",IF(E1568=0,"PIDE SIN FCST",IF(ABS(G1568)&gt;Parametros!$B$14,IF(G1568&gt;0,"SOBRE FCST","BAJO FCST"),"")))</f>
        <v/>
      </c>
    </row>
    <row r="1569" customFormat="false" ht="15" hidden="false" customHeight="false" outlineLevel="0" collapsed="false">
      <c r="A1569" s="3" t="n">
        <v>30000674</v>
      </c>
      <c r="B1569" s="3" t="s">
        <v>480</v>
      </c>
      <c r="C1569" s="3" t="s">
        <v>1377</v>
      </c>
      <c r="D1569" s="23" t="n">
        <v>345.6</v>
      </c>
      <c r="E1569" s="23" t="n">
        <v>600</v>
      </c>
      <c r="F1569" s="23" t="n">
        <f aca="false">D1569-E1569</f>
        <v>-254.4</v>
      </c>
      <c r="G1569" s="24" t="n">
        <f aca="false">IF(E1569&gt;0,D1569/E1569-1,"")</f>
        <v>-0.424</v>
      </c>
      <c r="H1569" s="3" t="str">
        <f aca="false">IF(MAX(D1569,E1569)&lt;Parametros!$B$16,"",IF(E1569=0,"PIDE SIN FCST",IF(ABS(G1569)&gt;Parametros!$B$14,IF(G1569&gt;0,"SOBRE FCST","BAJO FCST"),"")))</f>
        <v/>
      </c>
    </row>
    <row r="1570" customFormat="false" ht="15" hidden="false" customHeight="false" outlineLevel="0" collapsed="false">
      <c r="A1570" s="3" t="n">
        <v>30001745</v>
      </c>
      <c r="B1570" s="3" t="s">
        <v>445</v>
      </c>
      <c r="C1570" s="3" t="s">
        <v>1375</v>
      </c>
      <c r="D1570" s="23" t="n">
        <v>1953.72</v>
      </c>
      <c r="E1570" s="23" t="n">
        <v>1700</v>
      </c>
      <c r="F1570" s="23" t="n">
        <f aca="false">D1570-E1570</f>
        <v>253.72</v>
      </c>
      <c r="G1570" s="24" t="n">
        <f aca="false">IF(E1570&gt;0,D1570/E1570-1,"")</f>
        <v>0.14924705882353</v>
      </c>
      <c r="H1570" s="3" t="str">
        <f aca="false">IF(MAX(D1570,E1570)&lt;Parametros!$B$16,"",IF(E1570=0,"PIDE SIN FCST",IF(ABS(G1570)&gt;Parametros!$B$14,IF(G1570&gt;0,"SOBRE FCST","BAJO FCST"),"")))</f>
        <v/>
      </c>
    </row>
    <row r="1571" customFormat="false" ht="15" hidden="false" customHeight="false" outlineLevel="0" collapsed="false">
      <c r="A1571" s="3" t="n">
        <v>30001918</v>
      </c>
      <c r="B1571" s="3" t="s">
        <v>532</v>
      </c>
      <c r="C1571" s="3" t="s">
        <v>1373</v>
      </c>
      <c r="D1571" s="23" t="n">
        <v>252</v>
      </c>
      <c r="E1571" s="23" t="n">
        <v>0</v>
      </c>
      <c r="F1571" s="23" t="n">
        <f aca="false">D1571-E1571</f>
        <v>252</v>
      </c>
      <c r="G1571" s="24" t="str">
        <f aca="false">IF(E1571&gt;0,D1571/E1571-1,"")</f>
        <v/>
      </c>
      <c r="H1571" s="3" t="str">
        <f aca="false">IF(MAX(D1571,E1571)&lt;Parametros!$B$16,"",IF(E1571=0,"PIDE SIN FCST",IF(ABS(G1571)&gt;Parametros!$B$14,IF(G1571&gt;0,"SOBRE FCST","BAJO FCST"),"")))</f>
        <v/>
      </c>
    </row>
    <row r="1572" customFormat="false" ht="15" hidden="false" customHeight="false" outlineLevel="0" collapsed="false">
      <c r="A1572" s="3" t="n">
        <v>30002288</v>
      </c>
      <c r="B1572" s="3" t="s">
        <v>455</v>
      </c>
      <c r="C1572" s="3" t="s">
        <v>1378</v>
      </c>
      <c r="D1572" s="23" t="n">
        <v>218.4</v>
      </c>
      <c r="E1572" s="23" t="n">
        <v>470.157694770708</v>
      </c>
      <c r="F1572" s="23" t="n">
        <f aca="false">D1572-E1572</f>
        <v>-251.757694770708</v>
      </c>
      <c r="G1572" s="24" t="n">
        <f aca="false">IF(E1572&gt;0,D1572/E1572-1,"")</f>
        <v>-0.535475006728303</v>
      </c>
      <c r="H1572" s="3" t="str">
        <f aca="false">IF(MAX(D1572,E1572)&lt;Parametros!$B$16,"",IF(E1572=0,"PIDE SIN FCST",IF(ABS(G1572)&gt;Parametros!$B$14,IF(G1572&gt;0,"SOBRE FCST","BAJO FCST"),"")))</f>
        <v/>
      </c>
    </row>
    <row r="1573" customFormat="false" ht="15" hidden="false" customHeight="false" outlineLevel="0" collapsed="false">
      <c r="A1573" s="3" t="n">
        <v>30000069</v>
      </c>
      <c r="B1573" s="3" t="s">
        <v>433</v>
      </c>
      <c r="C1573" s="3" t="s">
        <v>1377</v>
      </c>
      <c r="D1573" s="23" t="n">
        <v>180</v>
      </c>
      <c r="E1573" s="23" t="n">
        <v>431.287532747868</v>
      </c>
      <c r="F1573" s="23" t="n">
        <f aca="false">D1573-E1573</f>
        <v>-251.287532747868</v>
      </c>
      <c r="G1573" s="24" t="n">
        <f aca="false">IF(E1573&gt;0,D1573/E1573-1,"")</f>
        <v>-0.582645019082366</v>
      </c>
      <c r="H1573" s="3" t="str">
        <f aca="false">IF(MAX(D1573,E1573)&lt;Parametros!$B$16,"",IF(E1573=0,"PIDE SIN FCST",IF(ABS(G1573)&gt;Parametros!$B$14,IF(G1573&gt;0,"SOBRE FCST","BAJO FCST"),"")))</f>
        <v/>
      </c>
    </row>
    <row r="1574" customFormat="false" ht="15" hidden="false" customHeight="false" outlineLevel="0" collapsed="false">
      <c r="A1574" s="3" t="n">
        <v>30000043</v>
      </c>
      <c r="B1574" s="3" t="s">
        <v>546</v>
      </c>
      <c r="C1574" s="3" t="s">
        <v>1378</v>
      </c>
      <c r="D1574" s="23" t="n">
        <v>198.72</v>
      </c>
      <c r="E1574" s="23" t="n">
        <v>450</v>
      </c>
      <c r="F1574" s="23" t="n">
        <f aca="false">D1574-E1574</f>
        <v>-251.28</v>
      </c>
      <c r="G1574" s="24" t="n">
        <f aca="false">IF(E1574&gt;0,D1574/E1574-1,"")</f>
        <v>-0.5584</v>
      </c>
      <c r="H1574" s="3" t="str">
        <f aca="false">IF(MAX(D1574,E1574)&lt;Parametros!$B$16,"",IF(E1574=0,"PIDE SIN FCST",IF(ABS(G1574)&gt;Parametros!$B$14,IF(G1574&gt;0,"SOBRE FCST","BAJO FCST"),"")))</f>
        <v/>
      </c>
    </row>
    <row r="1575" customFormat="false" ht="15" hidden="false" customHeight="false" outlineLevel="0" collapsed="false">
      <c r="A1575" s="3" t="n">
        <v>30001536</v>
      </c>
      <c r="B1575" s="3" t="s">
        <v>440</v>
      </c>
      <c r="C1575" s="3" t="s">
        <v>1380</v>
      </c>
      <c r="D1575" s="23" t="n">
        <v>5011.2</v>
      </c>
      <c r="E1575" s="23" t="n">
        <v>5262.34178627411</v>
      </c>
      <c r="F1575" s="23" t="n">
        <f aca="false">D1575-E1575</f>
        <v>-251.141786274113</v>
      </c>
      <c r="G1575" s="24" t="n">
        <f aca="false">IF(E1575&gt;0,D1575/E1575-1,"")</f>
        <v>-0.0477243395571857</v>
      </c>
      <c r="H1575" s="3" t="str">
        <f aca="false">IF(MAX(D1575,E1575)&lt;Parametros!$B$16,"",IF(E1575=0,"PIDE SIN FCST",IF(ABS(G1575)&gt;Parametros!$B$14,IF(G1575&gt;0,"SOBRE FCST","BAJO FCST"),"")))</f>
        <v/>
      </c>
    </row>
    <row r="1576" customFormat="false" ht="15" hidden="false" customHeight="false" outlineLevel="0" collapsed="false">
      <c r="A1576" s="3" t="n">
        <v>30001899</v>
      </c>
      <c r="B1576" s="3" t="s">
        <v>582</v>
      </c>
      <c r="C1576" s="3" t="s">
        <v>1373</v>
      </c>
      <c r="D1576" s="23" t="n">
        <v>92.16</v>
      </c>
      <c r="E1576" s="23" t="n">
        <v>343.069628322168</v>
      </c>
      <c r="F1576" s="23" t="n">
        <f aca="false">D1576-E1576</f>
        <v>-250.909628322168</v>
      </c>
      <c r="G1576" s="24" t="n">
        <f aca="false">IF(E1576&gt;0,D1576/E1576-1,"")</f>
        <v>-0.731366485425358</v>
      </c>
      <c r="H1576" s="3" t="str">
        <f aca="false">IF(MAX(D1576,E1576)&lt;Parametros!$B$16,"",IF(E1576=0,"PIDE SIN FCST",IF(ABS(G1576)&gt;Parametros!$B$14,IF(G1576&gt;0,"SOBRE FCST","BAJO FCST"),"")))</f>
        <v/>
      </c>
    </row>
    <row r="1577" customFormat="false" ht="15" hidden="false" customHeight="false" outlineLevel="0" collapsed="false">
      <c r="A1577" s="3" t="n">
        <v>30001820</v>
      </c>
      <c r="B1577" s="3" t="s">
        <v>619</v>
      </c>
      <c r="C1577" s="3" t="s">
        <v>1380</v>
      </c>
      <c r="D1577" s="23" t="n">
        <v>449.92</v>
      </c>
      <c r="E1577" s="23" t="n">
        <v>700</v>
      </c>
      <c r="F1577" s="23" t="n">
        <f aca="false">D1577-E1577</f>
        <v>-250.08</v>
      </c>
      <c r="G1577" s="24" t="n">
        <f aca="false">IF(E1577&gt;0,D1577/E1577-1,"")</f>
        <v>-0.357257142857143</v>
      </c>
      <c r="H1577" s="3" t="str">
        <f aca="false">IF(MAX(D1577,E1577)&lt;Parametros!$B$16,"",IF(E1577=0,"PIDE SIN FCST",IF(ABS(G1577)&gt;Parametros!$B$14,IF(G1577&gt;0,"SOBRE FCST","BAJO FCST"),"")))</f>
        <v/>
      </c>
    </row>
    <row r="1578" customFormat="false" ht="15" hidden="false" customHeight="false" outlineLevel="0" collapsed="false">
      <c r="A1578" s="3" t="n">
        <v>30001074</v>
      </c>
      <c r="B1578" s="3" t="s">
        <v>256</v>
      </c>
      <c r="C1578" s="3" t="s">
        <v>1376</v>
      </c>
      <c r="D1578" s="23" t="n">
        <v>248.16</v>
      </c>
      <c r="E1578" s="23" t="n">
        <v>0</v>
      </c>
      <c r="F1578" s="23" t="n">
        <f aca="false">D1578-E1578</f>
        <v>248.16</v>
      </c>
      <c r="G1578" s="24" t="str">
        <f aca="false">IF(E1578&gt;0,D1578/E1578-1,"")</f>
        <v/>
      </c>
      <c r="H1578" s="3" t="str">
        <f aca="false">IF(MAX(D1578,E1578)&lt;Parametros!$B$16,"",IF(E1578=0,"PIDE SIN FCST",IF(ABS(G1578)&gt;Parametros!$B$14,IF(G1578&gt;0,"SOBRE FCST","BAJO FCST"),"")))</f>
        <v/>
      </c>
    </row>
    <row r="1579" customFormat="false" ht="15" hidden="false" customHeight="false" outlineLevel="0" collapsed="false">
      <c r="A1579" s="3" t="n">
        <v>30001689</v>
      </c>
      <c r="B1579" s="3" t="s">
        <v>358</v>
      </c>
      <c r="C1579" s="3" t="s">
        <v>1379</v>
      </c>
      <c r="D1579" s="23" t="n">
        <v>1752.4</v>
      </c>
      <c r="E1579" s="23" t="n">
        <v>2000</v>
      </c>
      <c r="F1579" s="23" t="n">
        <f aca="false">D1579-E1579</f>
        <v>-247.6</v>
      </c>
      <c r="G1579" s="24" t="n">
        <f aca="false">IF(E1579&gt;0,D1579/E1579-1,"")</f>
        <v>-0.1238</v>
      </c>
      <c r="H1579" s="3" t="str">
        <f aca="false">IF(MAX(D1579,E1579)&lt;Parametros!$B$16,"",IF(E1579=0,"PIDE SIN FCST",IF(ABS(G1579)&gt;Parametros!$B$14,IF(G1579&gt;0,"SOBRE FCST","BAJO FCST"),"")))</f>
        <v/>
      </c>
    </row>
    <row r="1580" customFormat="false" ht="15" hidden="false" customHeight="false" outlineLevel="0" collapsed="false">
      <c r="A1580" s="3" t="n">
        <v>30000673</v>
      </c>
      <c r="B1580" s="3" t="s">
        <v>531</v>
      </c>
      <c r="C1580" s="3" t="s">
        <v>1378</v>
      </c>
      <c r="D1580" s="23" t="n">
        <v>114.8</v>
      </c>
      <c r="E1580" s="23" t="n">
        <v>360</v>
      </c>
      <c r="F1580" s="23" t="n">
        <f aca="false">D1580-E1580</f>
        <v>-245.2</v>
      </c>
      <c r="G1580" s="24" t="n">
        <f aca="false">IF(E1580&gt;0,D1580/E1580-1,"")</f>
        <v>-0.681111111111111</v>
      </c>
      <c r="H1580" s="3" t="str">
        <f aca="false">IF(MAX(D1580,E1580)&lt;Parametros!$B$16,"",IF(E1580=0,"PIDE SIN FCST",IF(ABS(G1580)&gt;Parametros!$B$14,IF(G1580&gt;0,"SOBRE FCST","BAJO FCST"),"")))</f>
        <v/>
      </c>
    </row>
    <row r="1581" customFormat="false" ht="15" hidden="false" customHeight="false" outlineLevel="0" collapsed="false">
      <c r="A1581" s="3" t="n">
        <v>30002094</v>
      </c>
      <c r="B1581" s="3" t="s">
        <v>452</v>
      </c>
      <c r="C1581" s="3" t="s">
        <v>1377</v>
      </c>
      <c r="D1581" s="23" t="n">
        <v>563.904</v>
      </c>
      <c r="E1581" s="23" t="n">
        <v>319.472246479903</v>
      </c>
      <c r="F1581" s="23" t="n">
        <f aca="false">D1581-E1581</f>
        <v>244.431753520098</v>
      </c>
      <c r="G1581" s="24" t="n">
        <f aca="false">IF(E1581&gt;0,D1581/E1581-1,"")</f>
        <v>0.765111073695331</v>
      </c>
      <c r="H1581" s="3" t="str">
        <f aca="false">IF(MAX(D1581,E1581)&lt;Parametros!$B$16,"",IF(E1581=0,"PIDE SIN FCST",IF(ABS(G1581)&gt;Parametros!$B$14,IF(G1581&gt;0,"SOBRE FCST","BAJO FCST"),"")))</f>
        <v/>
      </c>
    </row>
    <row r="1582" customFormat="false" ht="15" hidden="false" customHeight="false" outlineLevel="0" collapsed="false">
      <c r="A1582" s="3" t="n">
        <v>30002078</v>
      </c>
      <c r="B1582" s="3" t="s">
        <v>339</v>
      </c>
      <c r="C1582" s="3" t="s">
        <v>1377</v>
      </c>
      <c r="D1582" s="23" t="n">
        <v>1668</v>
      </c>
      <c r="E1582" s="23" t="n">
        <v>1423.9193971263</v>
      </c>
      <c r="F1582" s="23" t="n">
        <f aca="false">D1582-E1582</f>
        <v>244.080602873705</v>
      </c>
      <c r="G1582" s="24" t="n">
        <f aca="false">IF(E1582&gt;0,D1582/E1582-1,"")</f>
        <v>0.171414620354424</v>
      </c>
      <c r="H1582" s="3" t="str">
        <f aca="false">IF(MAX(D1582,E1582)&lt;Parametros!$B$16,"",IF(E1582=0,"PIDE SIN FCST",IF(ABS(G1582)&gt;Parametros!$B$14,IF(G1582&gt;0,"SOBRE FCST","BAJO FCST"),"")))</f>
        <v/>
      </c>
    </row>
    <row r="1583" customFormat="false" ht="15" hidden="false" customHeight="false" outlineLevel="0" collapsed="false">
      <c r="A1583" s="3" t="n">
        <v>30002268</v>
      </c>
      <c r="B1583" s="3" t="s">
        <v>370</v>
      </c>
      <c r="C1583" s="3" t="s">
        <v>1376</v>
      </c>
      <c r="D1583" s="23" t="n">
        <v>244.08</v>
      </c>
      <c r="E1583" s="23" t="n">
        <v>0</v>
      </c>
      <c r="F1583" s="23" t="n">
        <f aca="false">D1583-E1583</f>
        <v>244.08</v>
      </c>
      <c r="G1583" s="24" t="str">
        <f aca="false">IF(E1583&gt;0,D1583/E1583-1,"")</f>
        <v/>
      </c>
      <c r="H1583" s="3" t="str">
        <f aca="false">IF(MAX(D1583,E1583)&lt;Parametros!$B$16,"",IF(E1583=0,"PIDE SIN FCST",IF(ABS(G1583)&gt;Parametros!$B$14,IF(G1583&gt;0,"SOBRE FCST","BAJO FCST"),"")))</f>
        <v/>
      </c>
    </row>
    <row r="1584" customFormat="false" ht="15" hidden="false" customHeight="false" outlineLevel="0" collapsed="false">
      <c r="A1584" s="3" t="n">
        <v>30001995</v>
      </c>
      <c r="B1584" s="3" t="s">
        <v>468</v>
      </c>
      <c r="C1584" s="3" t="s">
        <v>1379</v>
      </c>
      <c r="D1584" s="23" t="n">
        <v>1956</v>
      </c>
      <c r="E1584" s="23" t="n">
        <v>2200</v>
      </c>
      <c r="F1584" s="23" t="n">
        <f aca="false">D1584-E1584</f>
        <v>-244</v>
      </c>
      <c r="G1584" s="24" t="n">
        <f aca="false">IF(E1584&gt;0,D1584/E1584-1,"")</f>
        <v>-0.110909090909091</v>
      </c>
      <c r="H1584" s="3" t="str">
        <f aca="false">IF(MAX(D1584,E1584)&lt;Parametros!$B$16,"",IF(E1584=0,"PIDE SIN FCST",IF(ABS(G1584)&gt;Parametros!$B$14,IF(G1584&gt;0,"SOBRE FCST","BAJO FCST"),"")))</f>
        <v/>
      </c>
    </row>
    <row r="1585" customFormat="false" ht="15" hidden="false" customHeight="false" outlineLevel="0" collapsed="false">
      <c r="A1585" s="3" t="n">
        <v>30001400</v>
      </c>
      <c r="B1585" s="3" t="s">
        <v>263</v>
      </c>
      <c r="C1585" s="3" t="s">
        <v>1373</v>
      </c>
      <c r="D1585" s="23" t="n">
        <v>1128</v>
      </c>
      <c r="E1585" s="23" t="n">
        <v>1371.69276771519</v>
      </c>
      <c r="F1585" s="23" t="n">
        <f aca="false">D1585-E1585</f>
        <v>-243.692767715185</v>
      </c>
      <c r="G1585" s="24" t="n">
        <f aca="false">IF(E1585&gt;0,D1585/E1585-1,"")</f>
        <v>-0.177658418452626</v>
      </c>
      <c r="H1585" s="3" t="str">
        <f aca="false">IF(MAX(D1585,E1585)&lt;Parametros!$B$16,"",IF(E1585=0,"PIDE SIN FCST",IF(ABS(G1585)&gt;Parametros!$B$14,IF(G1585&gt;0,"SOBRE FCST","BAJO FCST"),"")))</f>
        <v/>
      </c>
    </row>
    <row r="1586" customFormat="false" ht="15" hidden="false" customHeight="false" outlineLevel="0" collapsed="false">
      <c r="A1586" s="3" t="n">
        <v>30002282</v>
      </c>
      <c r="B1586" s="3" t="s">
        <v>593</v>
      </c>
      <c r="C1586" s="3" t="s">
        <v>1378</v>
      </c>
      <c r="D1586" s="23" t="n">
        <v>156</v>
      </c>
      <c r="E1586" s="23" t="n">
        <v>399.65</v>
      </c>
      <c r="F1586" s="23" t="n">
        <f aca="false">D1586-E1586</f>
        <v>-243.65</v>
      </c>
      <c r="G1586" s="24" t="n">
        <f aca="false">IF(E1586&gt;0,D1586/E1586-1,"")</f>
        <v>-0.609658451144752</v>
      </c>
      <c r="H1586" s="3" t="str">
        <f aca="false">IF(MAX(D1586,E1586)&lt;Parametros!$B$16,"",IF(E1586=0,"PIDE SIN FCST",IF(ABS(G1586)&gt;Parametros!$B$14,IF(G1586&gt;0,"SOBRE FCST","BAJO FCST"),"")))</f>
        <v/>
      </c>
    </row>
    <row r="1587" customFormat="false" ht="15" hidden="false" customHeight="false" outlineLevel="0" collapsed="false">
      <c r="A1587" s="3" t="n">
        <v>30002125</v>
      </c>
      <c r="B1587" s="3" t="s">
        <v>430</v>
      </c>
      <c r="C1587" s="3" t="s">
        <v>1377</v>
      </c>
      <c r="D1587" s="23" t="n">
        <v>988</v>
      </c>
      <c r="E1587" s="23" t="n">
        <v>1231.07590488613</v>
      </c>
      <c r="F1587" s="23" t="n">
        <f aca="false">D1587-E1587</f>
        <v>-243.075904886127</v>
      </c>
      <c r="G1587" s="24" t="n">
        <f aca="false">IF(E1587&gt;0,D1587/E1587-1,"")</f>
        <v>-0.197449973573004</v>
      </c>
      <c r="H1587" s="3" t="str">
        <f aca="false">IF(MAX(D1587,E1587)&lt;Parametros!$B$16,"",IF(E1587=0,"PIDE SIN FCST",IF(ABS(G1587)&gt;Parametros!$B$14,IF(G1587&gt;0,"SOBRE FCST","BAJO FCST"),"")))</f>
        <v/>
      </c>
    </row>
    <row r="1588" customFormat="false" ht="15" hidden="false" customHeight="false" outlineLevel="0" collapsed="false">
      <c r="A1588" s="3" t="n">
        <v>30000662</v>
      </c>
      <c r="B1588" s="3" t="s">
        <v>628</v>
      </c>
      <c r="C1588" s="3" t="s">
        <v>1380</v>
      </c>
      <c r="D1588" s="23" t="n">
        <v>407.36</v>
      </c>
      <c r="E1588" s="23" t="n">
        <v>650</v>
      </c>
      <c r="F1588" s="23" t="n">
        <f aca="false">D1588-E1588</f>
        <v>-242.64</v>
      </c>
      <c r="G1588" s="24" t="n">
        <f aca="false">IF(E1588&gt;0,D1588/E1588-1,"")</f>
        <v>-0.373292307692308</v>
      </c>
      <c r="H1588" s="3" t="str">
        <f aca="false">IF(MAX(D1588,E1588)&lt;Parametros!$B$16,"",IF(E1588=0,"PIDE SIN FCST",IF(ABS(G1588)&gt;Parametros!$B$14,IF(G1588&gt;0,"SOBRE FCST","BAJO FCST"),"")))</f>
        <v/>
      </c>
    </row>
    <row r="1589" customFormat="false" ht="15" hidden="false" customHeight="false" outlineLevel="0" collapsed="false">
      <c r="A1589" s="3" t="n">
        <v>30001410</v>
      </c>
      <c r="B1589" s="3" t="s">
        <v>324</v>
      </c>
      <c r="C1589" s="3" t="s">
        <v>1375</v>
      </c>
      <c r="D1589" s="23" t="n">
        <v>1166.4</v>
      </c>
      <c r="E1589" s="23" t="n">
        <v>1408.73</v>
      </c>
      <c r="F1589" s="23" t="n">
        <f aca="false">D1589-E1589</f>
        <v>-242.33</v>
      </c>
      <c r="G1589" s="24" t="n">
        <f aca="false">IF(E1589&gt;0,D1589/E1589-1,"")</f>
        <v>-0.172020188396641</v>
      </c>
      <c r="H1589" s="3" t="str">
        <f aca="false">IF(MAX(D1589,E1589)&lt;Parametros!$B$16,"",IF(E1589=0,"PIDE SIN FCST",IF(ABS(G1589)&gt;Parametros!$B$14,IF(G1589&gt;0,"SOBRE FCST","BAJO FCST"),"")))</f>
        <v/>
      </c>
    </row>
    <row r="1590" customFormat="false" ht="15" hidden="false" customHeight="false" outlineLevel="0" collapsed="false">
      <c r="A1590" s="3" t="n">
        <v>30000653</v>
      </c>
      <c r="B1590" s="3" t="s">
        <v>596</v>
      </c>
      <c r="C1590" s="3" t="s">
        <v>1373</v>
      </c>
      <c r="D1590" s="23" t="n">
        <v>449.92</v>
      </c>
      <c r="E1590" s="23" t="n">
        <v>691.84</v>
      </c>
      <c r="F1590" s="23" t="n">
        <f aca="false">D1590-E1590</f>
        <v>-241.92</v>
      </c>
      <c r="G1590" s="24" t="n">
        <f aca="false">IF(E1590&gt;0,D1590/E1590-1,"")</f>
        <v>-0.349676225716929</v>
      </c>
      <c r="H1590" s="3" t="str">
        <f aca="false">IF(MAX(D1590,E1590)&lt;Parametros!$B$16,"",IF(E1590=0,"PIDE SIN FCST",IF(ABS(G1590)&gt;Parametros!$B$14,IF(G1590&gt;0,"SOBRE FCST","BAJO FCST"),"")))</f>
        <v/>
      </c>
    </row>
    <row r="1591" customFormat="false" ht="15" hidden="false" customHeight="false" outlineLevel="0" collapsed="false">
      <c r="A1591" s="3" t="n">
        <v>30001033</v>
      </c>
      <c r="B1591" s="3" t="s">
        <v>477</v>
      </c>
      <c r="C1591" s="3" t="s">
        <v>1377</v>
      </c>
      <c r="D1591" s="23" t="n">
        <v>896.4</v>
      </c>
      <c r="E1591" s="23" t="n">
        <v>655.004233192242</v>
      </c>
      <c r="F1591" s="23" t="n">
        <f aca="false">D1591-E1591</f>
        <v>241.395766807758</v>
      </c>
      <c r="G1591" s="24" t="n">
        <f aca="false">IF(E1591&gt;0,D1591/E1591-1,"")</f>
        <v>0.36854077359361</v>
      </c>
      <c r="H1591" s="3" t="str">
        <f aca="false">IF(MAX(D1591,E1591)&lt;Parametros!$B$16,"",IF(E1591=0,"PIDE SIN FCST",IF(ABS(G1591)&gt;Parametros!$B$14,IF(G1591&gt;0,"SOBRE FCST","BAJO FCST"),"")))</f>
        <v/>
      </c>
    </row>
    <row r="1592" customFormat="false" ht="15" hidden="false" customHeight="false" outlineLevel="0" collapsed="false">
      <c r="A1592" s="3" t="n">
        <v>30001815</v>
      </c>
      <c r="B1592" s="3" t="s">
        <v>332</v>
      </c>
      <c r="C1592" s="3" t="s">
        <v>1373</v>
      </c>
      <c r="D1592" s="23" t="n">
        <v>190</v>
      </c>
      <c r="E1592" s="23" t="n">
        <v>431.287532747868</v>
      </c>
      <c r="F1592" s="23" t="n">
        <f aca="false">D1592-E1592</f>
        <v>-241.287532747868</v>
      </c>
      <c r="G1592" s="24" t="n">
        <f aca="false">IF(E1592&gt;0,D1592/E1592-1,"")</f>
        <v>-0.559458631253609</v>
      </c>
      <c r="H1592" s="3" t="str">
        <f aca="false">IF(MAX(D1592,E1592)&lt;Parametros!$B$16,"",IF(E1592=0,"PIDE SIN FCST",IF(ABS(G1592)&gt;Parametros!$B$14,IF(G1592&gt;0,"SOBRE FCST","BAJO FCST"),"")))</f>
        <v/>
      </c>
    </row>
    <row r="1593" customFormat="false" ht="15" hidden="false" customHeight="false" outlineLevel="0" collapsed="false">
      <c r="A1593" s="3" t="n">
        <v>30001946</v>
      </c>
      <c r="B1593" s="3" t="s">
        <v>400</v>
      </c>
      <c r="C1593" s="3" t="s">
        <v>1375</v>
      </c>
      <c r="D1593" s="23" t="n">
        <v>7363.2</v>
      </c>
      <c r="E1593" s="23" t="n">
        <v>7122.06970027998</v>
      </c>
      <c r="F1593" s="23" t="n">
        <f aca="false">D1593-E1593</f>
        <v>241.130299720023</v>
      </c>
      <c r="G1593" s="24" t="n">
        <f aca="false">IF(E1593&gt;0,D1593/E1593-1,"")</f>
        <v>0.0338567733633024</v>
      </c>
      <c r="H1593" s="3" t="str">
        <f aca="false">IF(MAX(D1593,E1593)&lt;Parametros!$B$16,"",IF(E1593=0,"PIDE SIN FCST",IF(ABS(G1593)&gt;Parametros!$B$14,IF(G1593&gt;0,"SOBRE FCST","BAJO FCST"),"")))</f>
        <v/>
      </c>
    </row>
    <row r="1594" customFormat="false" ht="15" hidden="false" customHeight="false" outlineLevel="0" collapsed="false">
      <c r="A1594" s="3" t="n">
        <v>30000559</v>
      </c>
      <c r="B1594" s="3" t="s">
        <v>399</v>
      </c>
      <c r="C1594" s="3" t="s">
        <v>1379</v>
      </c>
      <c r="D1594" s="23" t="n">
        <v>1103.2</v>
      </c>
      <c r="E1594" s="23" t="n">
        <v>862.575065495737</v>
      </c>
      <c r="F1594" s="23" t="n">
        <f aca="false">D1594-E1594</f>
        <v>240.624934504263</v>
      </c>
      <c r="G1594" s="24" t="n">
        <f aca="false">IF(E1594&gt;0,D1594/E1594-1,"")</f>
        <v>0.278961152634261</v>
      </c>
      <c r="H1594" s="3" t="str">
        <f aca="false">IF(MAX(D1594,E1594)&lt;Parametros!$B$16,"",IF(E1594=0,"PIDE SIN FCST",IF(ABS(G1594)&gt;Parametros!$B$14,IF(G1594&gt;0,"SOBRE FCST","BAJO FCST"),"")))</f>
        <v>SOBRE FCST</v>
      </c>
    </row>
    <row r="1595" customFormat="false" ht="15" hidden="false" customHeight="false" outlineLevel="0" collapsed="false">
      <c r="A1595" s="3" t="n">
        <v>30001494</v>
      </c>
      <c r="B1595" s="3" t="s">
        <v>411</v>
      </c>
      <c r="C1595" s="3" t="s">
        <v>1375</v>
      </c>
      <c r="D1595" s="23" t="n">
        <v>2743.8</v>
      </c>
      <c r="E1595" s="23" t="n">
        <v>2984.04346982309</v>
      </c>
      <c r="F1595" s="23" t="n">
        <f aca="false">D1595-E1595</f>
        <v>-240.243469823089</v>
      </c>
      <c r="G1595" s="24" t="n">
        <f aca="false">IF(E1595&gt;0,D1595/E1595-1,"")</f>
        <v>-0.0805093733561902</v>
      </c>
      <c r="H1595" s="3" t="str">
        <f aca="false">IF(MAX(D1595,E1595)&lt;Parametros!$B$16,"",IF(E1595=0,"PIDE SIN FCST",IF(ABS(G1595)&gt;Parametros!$B$14,IF(G1595&gt;0,"SOBRE FCST","BAJO FCST"),"")))</f>
        <v/>
      </c>
    </row>
    <row r="1596" customFormat="false" ht="15" hidden="false" customHeight="false" outlineLevel="0" collapsed="false">
      <c r="A1596" s="3" t="n">
        <v>30000516</v>
      </c>
      <c r="B1596" s="3" t="s">
        <v>281</v>
      </c>
      <c r="C1596" s="3" t="s">
        <v>1377</v>
      </c>
      <c r="D1596" s="23" t="n">
        <v>1968</v>
      </c>
      <c r="E1596" s="23" t="n">
        <v>2208.18147345296</v>
      </c>
      <c r="F1596" s="23" t="n">
        <f aca="false">D1596-E1596</f>
        <v>-240.181473452962</v>
      </c>
      <c r="G1596" s="24" t="n">
        <f aca="false">IF(E1596&gt;0,D1596/E1596-1,"")</f>
        <v>-0.108768901623555</v>
      </c>
      <c r="H1596" s="3" t="str">
        <f aca="false">IF(MAX(D1596,E1596)&lt;Parametros!$B$16,"",IF(E1596=0,"PIDE SIN FCST",IF(ABS(G1596)&gt;Parametros!$B$14,IF(G1596&gt;0,"SOBRE FCST","BAJO FCST"),"")))</f>
        <v/>
      </c>
    </row>
    <row r="1597" customFormat="false" ht="15" hidden="false" customHeight="false" outlineLevel="0" collapsed="false">
      <c r="A1597" s="3" t="n">
        <v>30000073</v>
      </c>
      <c r="B1597" s="3" t="s">
        <v>496</v>
      </c>
      <c r="C1597" s="3" t="s">
        <v>1375</v>
      </c>
      <c r="D1597" s="23" t="n">
        <v>240</v>
      </c>
      <c r="E1597" s="23" t="n">
        <v>0</v>
      </c>
      <c r="F1597" s="23" t="n">
        <f aca="false">D1597-E1597</f>
        <v>240</v>
      </c>
      <c r="G1597" s="24" t="str">
        <f aca="false">IF(E1597&gt;0,D1597/E1597-1,"")</f>
        <v/>
      </c>
      <c r="H1597" s="3" t="str">
        <f aca="false">IF(MAX(D1597,E1597)&lt;Parametros!$B$16,"",IF(E1597=0,"PIDE SIN FCST",IF(ABS(G1597)&gt;Parametros!$B$14,IF(G1597&gt;0,"SOBRE FCST","BAJO FCST"),"")))</f>
        <v/>
      </c>
    </row>
    <row r="1598" customFormat="false" ht="15" hidden="false" customHeight="false" outlineLevel="0" collapsed="false">
      <c r="A1598" s="3" t="n">
        <v>30000301</v>
      </c>
      <c r="B1598" s="3" t="s">
        <v>323</v>
      </c>
      <c r="C1598" s="3" t="s">
        <v>1379</v>
      </c>
      <c r="D1598" s="23" t="n">
        <v>160</v>
      </c>
      <c r="E1598" s="23" t="n">
        <v>400</v>
      </c>
      <c r="F1598" s="23" t="n">
        <f aca="false">D1598-E1598</f>
        <v>-240</v>
      </c>
      <c r="G1598" s="24" t="n">
        <f aca="false">IF(E1598&gt;0,D1598/E1598-1,"")</f>
        <v>-0.6</v>
      </c>
      <c r="H1598" s="3" t="str">
        <f aca="false">IF(MAX(D1598,E1598)&lt;Parametros!$B$16,"",IF(E1598=0,"PIDE SIN FCST",IF(ABS(G1598)&gt;Parametros!$B$14,IF(G1598&gt;0,"SOBRE FCST","BAJO FCST"),"")))</f>
        <v/>
      </c>
    </row>
    <row r="1599" customFormat="false" ht="15" hidden="false" customHeight="false" outlineLevel="0" collapsed="false">
      <c r="A1599" s="3" t="n">
        <v>30002285</v>
      </c>
      <c r="B1599" s="3" t="s">
        <v>575</v>
      </c>
      <c r="C1599" s="3" t="s">
        <v>1377</v>
      </c>
      <c r="D1599" s="23" t="n">
        <v>66</v>
      </c>
      <c r="E1599" s="23" t="n">
        <v>305.42334636501</v>
      </c>
      <c r="F1599" s="23" t="n">
        <f aca="false">D1599-E1599</f>
        <v>-239.42334636501</v>
      </c>
      <c r="G1599" s="24" t="n">
        <f aca="false">IF(E1599&gt;0,D1599/E1599-1,"")</f>
        <v>-0.783906499665144</v>
      </c>
      <c r="H1599" s="3" t="str">
        <f aca="false">IF(MAX(D1599,E1599)&lt;Parametros!$B$16,"",IF(E1599=0,"PIDE SIN FCST",IF(ABS(G1599)&gt;Parametros!$B$14,IF(G1599&gt;0,"SOBRE FCST","BAJO FCST"),"")))</f>
        <v/>
      </c>
    </row>
    <row r="1600" customFormat="false" ht="15" hidden="false" customHeight="false" outlineLevel="0" collapsed="false">
      <c r="A1600" s="3" t="n">
        <v>30002289</v>
      </c>
      <c r="B1600" s="3" t="s">
        <v>585</v>
      </c>
      <c r="C1600" s="3" t="s">
        <v>1375</v>
      </c>
      <c r="D1600" s="23" t="n">
        <v>2515.2</v>
      </c>
      <c r="E1600" s="23" t="n">
        <v>2754.46125048302</v>
      </c>
      <c r="F1600" s="23" t="n">
        <f aca="false">D1600-E1600</f>
        <v>-239.261250483021</v>
      </c>
      <c r="G1600" s="24" t="n">
        <f aca="false">IF(E1600&gt;0,D1600/E1600-1,"")</f>
        <v>-0.0868631753091697</v>
      </c>
      <c r="H1600" s="3" t="str">
        <f aca="false">IF(MAX(D1600,E1600)&lt;Parametros!$B$16,"",IF(E1600=0,"PIDE SIN FCST",IF(ABS(G1600)&gt;Parametros!$B$14,IF(G1600&gt;0,"SOBRE FCST","BAJO FCST"),"")))</f>
        <v/>
      </c>
    </row>
    <row r="1601" customFormat="false" ht="15" hidden="false" customHeight="false" outlineLevel="0" collapsed="false">
      <c r="A1601" s="3" t="n">
        <v>30002286</v>
      </c>
      <c r="B1601" s="3" t="s">
        <v>320</v>
      </c>
      <c r="C1601" s="3" t="s">
        <v>1379</v>
      </c>
      <c r="D1601" s="23" t="n">
        <v>2838.384</v>
      </c>
      <c r="E1601" s="23" t="n">
        <v>2600</v>
      </c>
      <c r="F1601" s="23" t="n">
        <f aca="false">D1601-E1601</f>
        <v>238.384</v>
      </c>
      <c r="G1601" s="24" t="n">
        <f aca="false">IF(E1601&gt;0,D1601/E1601-1,"")</f>
        <v>0.0916861538461538</v>
      </c>
      <c r="H1601" s="3" t="str">
        <f aca="false">IF(MAX(D1601,E1601)&lt;Parametros!$B$16,"",IF(E1601=0,"PIDE SIN FCST",IF(ABS(G1601)&gt;Parametros!$B$14,IF(G1601&gt;0,"SOBRE FCST","BAJO FCST"),"")))</f>
        <v/>
      </c>
    </row>
    <row r="1602" customFormat="false" ht="15" hidden="false" customHeight="false" outlineLevel="0" collapsed="false">
      <c r="A1602" s="3" t="n">
        <v>30000636</v>
      </c>
      <c r="B1602" s="3" t="s">
        <v>479</v>
      </c>
      <c r="C1602" s="3" t="s">
        <v>1373</v>
      </c>
      <c r="D1602" s="23" t="n">
        <v>1569.6</v>
      </c>
      <c r="E1602" s="23" t="n">
        <v>1807.2</v>
      </c>
      <c r="F1602" s="23" t="n">
        <f aca="false">D1602-E1602</f>
        <v>-237.6</v>
      </c>
      <c r="G1602" s="24" t="n">
        <f aca="false">IF(E1602&gt;0,D1602/E1602-1,"")</f>
        <v>-0.131474103585657</v>
      </c>
      <c r="H1602" s="3" t="str">
        <f aca="false">IF(MAX(D1602,E1602)&lt;Parametros!$B$16,"",IF(E1602=0,"PIDE SIN FCST",IF(ABS(G1602)&gt;Parametros!$B$14,IF(G1602&gt;0,"SOBRE FCST","BAJO FCST"),"")))</f>
        <v/>
      </c>
    </row>
    <row r="1603" customFormat="false" ht="15" hidden="false" customHeight="false" outlineLevel="0" collapsed="false">
      <c r="A1603" s="3" t="n">
        <v>30000245</v>
      </c>
      <c r="B1603" s="3" t="s">
        <v>398</v>
      </c>
      <c r="C1603" s="3" t="s">
        <v>1377</v>
      </c>
      <c r="D1603" s="23" t="n">
        <v>2100</v>
      </c>
      <c r="E1603" s="23" t="n">
        <v>1863.05922540797</v>
      </c>
      <c r="F1603" s="23" t="n">
        <f aca="false">D1603-E1603</f>
        <v>236.940774592031</v>
      </c>
      <c r="G1603" s="24" t="n">
        <f aca="false">IF(E1603&gt;0,D1603/E1603-1,"")</f>
        <v>0.127178337307096</v>
      </c>
      <c r="H1603" s="3" t="str">
        <f aca="false">IF(MAX(D1603,E1603)&lt;Parametros!$B$16,"",IF(E1603=0,"PIDE SIN FCST",IF(ABS(G1603)&gt;Parametros!$B$14,IF(G1603&gt;0,"SOBRE FCST","BAJO FCST"),"")))</f>
        <v/>
      </c>
    </row>
    <row r="1604" customFormat="false" ht="15" hidden="false" customHeight="false" outlineLevel="0" collapsed="false">
      <c r="A1604" s="3" t="n">
        <v>30001851</v>
      </c>
      <c r="B1604" s="3" t="s">
        <v>499</v>
      </c>
      <c r="C1604" s="3" t="s">
        <v>1377</v>
      </c>
      <c r="D1604" s="23" t="n">
        <v>923.4</v>
      </c>
      <c r="E1604" s="23" t="n">
        <v>686.778516821334</v>
      </c>
      <c r="F1604" s="23" t="n">
        <f aca="false">D1604-E1604</f>
        <v>236.621483178666</v>
      </c>
      <c r="G1604" s="24" t="n">
        <f aca="false">IF(E1604&gt;0,D1604/E1604-1,"")</f>
        <v>0.344538271630625</v>
      </c>
      <c r="H1604" s="3" t="str">
        <f aca="false">IF(MAX(D1604,E1604)&lt;Parametros!$B$16,"",IF(E1604=0,"PIDE SIN FCST",IF(ABS(G1604)&gt;Parametros!$B$14,IF(G1604&gt;0,"SOBRE FCST","BAJO FCST"),"")))</f>
        <v/>
      </c>
    </row>
    <row r="1605" customFormat="false" ht="15" hidden="false" customHeight="false" outlineLevel="0" collapsed="false">
      <c r="A1605" s="3" t="n">
        <v>30001752</v>
      </c>
      <c r="B1605" s="3" t="s">
        <v>475</v>
      </c>
      <c r="C1605" s="3" t="s">
        <v>1379</v>
      </c>
      <c r="D1605" s="23" t="n">
        <v>1436.4</v>
      </c>
      <c r="E1605" s="23" t="n">
        <v>1200</v>
      </c>
      <c r="F1605" s="23" t="n">
        <f aca="false">D1605-E1605</f>
        <v>236.4</v>
      </c>
      <c r="G1605" s="24" t="n">
        <f aca="false">IF(E1605&gt;0,D1605/E1605-1,"")</f>
        <v>0.197</v>
      </c>
      <c r="H1605" s="3" t="str">
        <f aca="false">IF(MAX(D1605,E1605)&lt;Parametros!$B$16,"",IF(E1605=0,"PIDE SIN FCST",IF(ABS(G1605)&gt;Parametros!$B$14,IF(G1605&gt;0,"SOBRE FCST","BAJO FCST"),"")))</f>
        <v/>
      </c>
    </row>
    <row r="1606" customFormat="false" ht="15" hidden="false" customHeight="false" outlineLevel="0" collapsed="false">
      <c r="A1606" s="3" t="n">
        <v>30001149</v>
      </c>
      <c r="B1606" s="3" t="s">
        <v>536</v>
      </c>
      <c r="C1606" s="3" t="s">
        <v>1377</v>
      </c>
      <c r="D1606" s="23" t="n">
        <v>1014</v>
      </c>
      <c r="E1606" s="23" t="n">
        <v>778.352534852411</v>
      </c>
      <c r="F1606" s="23" t="n">
        <f aca="false">D1606-E1606</f>
        <v>235.647465147589</v>
      </c>
      <c r="G1606" s="24" t="n">
        <f aca="false">IF(E1606&gt;0,D1606/E1606-1,"")</f>
        <v>0.302751586968586</v>
      </c>
      <c r="H1606" s="3" t="str">
        <f aca="false">IF(MAX(D1606,E1606)&lt;Parametros!$B$16,"",IF(E1606=0,"PIDE SIN FCST",IF(ABS(G1606)&gt;Parametros!$B$14,IF(G1606&gt;0,"SOBRE FCST","BAJO FCST"),"")))</f>
        <v>SOBRE FCST</v>
      </c>
    </row>
    <row r="1607" customFormat="false" ht="15" hidden="false" customHeight="false" outlineLevel="0" collapsed="false">
      <c r="A1607" s="3" t="n">
        <v>30001376</v>
      </c>
      <c r="B1607" s="3" t="s">
        <v>404</v>
      </c>
      <c r="C1607" s="3" t="s">
        <v>1375</v>
      </c>
      <c r="D1607" s="23" t="n">
        <v>4981.5</v>
      </c>
      <c r="E1607" s="23" t="n">
        <v>4745.99662674168</v>
      </c>
      <c r="F1607" s="23" t="n">
        <f aca="false">D1607-E1607</f>
        <v>235.503373258319</v>
      </c>
      <c r="G1607" s="24" t="n">
        <f aca="false">IF(E1607&gt;0,D1607/E1607-1,"")</f>
        <v>0.0496214792761034</v>
      </c>
      <c r="H1607" s="3" t="str">
        <f aca="false">IF(MAX(D1607,E1607)&lt;Parametros!$B$16,"",IF(E1607=0,"PIDE SIN FCST",IF(ABS(G1607)&gt;Parametros!$B$14,IF(G1607&gt;0,"SOBRE FCST","BAJO FCST"),"")))</f>
        <v/>
      </c>
    </row>
    <row r="1608" customFormat="false" ht="15" hidden="false" customHeight="false" outlineLevel="0" collapsed="false">
      <c r="A1608" s="3" t="n">
        <v>30001780</v>
      </c>
      <c r="B1608" s="3" t="s">
        <v>340</v>
      </c>
      <c r="C1608" s="3" t="s">
        <v>1373</v>
      </c>
      <c r="D1608" s="23" t="n">
        <v>765.072</v>
      </c>
      <c r="E1608" s="23" t="n">
        <v>1000</v>
      </c>
      <c r="F1608" s="23" t="n">
        <f aca="false">D1608-E1608</f>
        <v>-234.928</v>
      </c>
      <c r="G1608" s="24" t="n">
        <f aca="false">IF(E1608&gt;0,D1608/E1608-1,"")</f>
        <v>-0.234928</v>
      </c>
      <c r="H1608" s="3" t="str">
        <f aca="false">IF(MAX(D1608,E1608)&lt;Parametros!$B$16,"",IF(E1608=0,"PIDE SIN FCST",IF(ABS(G1608)&gt;Parametros!$B$14,IF(G1608&gt;0,"SOBRE FCST","BAJO FCST"),"")))</f>
        <v>BAJO FCST</v>
      </c>
    </row>
    <row r="1609" customFormat="false" ht="15" hidden="false" customHeight="false" outlineLevel="0" collapsed="false">
      <c r="A1609" s="3" t="n">
        <v>30001661</v>
      </c>
      <c r="B1609" s="3" t="s">
        <v>431</v>
      </c>
      <c r="C1609" s="3" t="s">
        <v>1379</v>
      </c>
      <c r="D1609" s="23" t="n">
        <v>855.36</v>
      </c>
      <c r="E1609" s="23" t="n">
        <v>1088.8</v>
      </c>
      <c r="F1609" s="23" t="n">
        <f aca="false">D1609-E1609</f>
        <v>-233.44</v>
      </c>
      <c r="G1609" s="24" t="n">
        <f aca="false">IF(E1609&gt;0,D1609/E1609-1,"")</f>
        <v>-0.214401175606172</v>
      </c>
      <c r="H1609" s="3" t="str">
        <f aca="false">IF(MAX(D1609,E1609)&lt;Parametros!$B$16,"",IF(E1609=0,"PIDE SIN FCST",IF(ABS(G1609)&gt;Parametros!$B$14,IF(G1609&gt;0,"SOBRE FCST","BAJO FCST"),"")))</f>
        <v>BAJO FCST</v>
      </c>
    </row>
    <row r="1610" customFormat="false" ht="15" hidden="false" customHeight="false" outlineLevel="0" collapsed="false">
      <c r="A1610" s="3" t="n">
        <v>30001362</v>
      </c>
      <c r="B1610" s="3" t="s">
        <v>293</v>
      </c>
      <c r="C1610" s="3" t="s">
        <v>1377</v>
      </c>
      <c r="D1610" s="23" t="n">
        <v>883.2</v>
      </c>
      <c r="E1610" s="23" t="n">
        <v>650</v>
      </c>
      <c r="F1610" s="23" t="n">
        <f aca="false">D1610-E1610</f>
        <v>233.2</v>
      </c>
      <c r="G1610" s="24" t="n">
        <f aca="false">IF(E1610&gt;0,D1610/E1610-1,"")</f>
        <v>0.358769230769231</v>
      </c>
      <c r="H1610" s="3" t="str">
        <f aca="false">IF(MAX(D1610,E1610)&lt;Parametros!$B$16,"",IF(E1610=0,"PIDE SIN FCST",IF(ABS(G1610)&gt;Parametros!$B$14,IF(G1610&gt;0,"SOBRE FCST","BAJO FCST"),"")))</f>
        <v/>
      </c>
    </row>
    <row r="1611" customFormat="false" ht="15" hidden="false" customHeight="false" outlineLevel="0" collapsed="false">
      <c r="A1611" s="3" t="n">
        <v>30000666</v>
      </c>
      <c r="B1611" s="3" t="s">
        <v>592</v>
      </c>
      <c r="C1611" s="3" t="s">
        <v>1378</v>
      </c>
      <c r="D1611" s="23" t="n">
        <v>79.04</v>
      </c>
      <c r="E1611" s="23" t="n">
        <v>312.16</v>
      </c>
      <c r="F1611" s="23" t="n">
        <f aca="false">D1611-E1611</f>
        <v>-233.12</v>
      </c>
      <c r="G1611" s="24" t="n">
        <f aca="false">IF(E1611&gt;0,D1611/E1611-1,"")</f>
        <v>-0.746796514607893</v>
      </c>
      <c r="H1611" s="3" t="str">
        <f aca="false">IF(MAX(D1611,E1611)&lt;Parametros!$B$16,"",IF(E1611=0,"PIDE SIN FCST",IF(ABS(G1611)&gt;Parametros!$B$14,IF(G1611&gt;0,"SOBRE FCST","BAJO FCST"),"")))</f>
        <v/>
      </c>
    </row>
    <row r="1612" customFormat="false" ht="15" hidden="false" customHeight="false" outlineLevel="0" collapsed="false">
      <c r="A1612" s="3" t="n">
        <v>30001540</v>
      </c>
      <c r="B1612" s="3" t="s">
        <v>501</v>
      </c>
      <c r="C1612" s="3" t="s">
        <v>1378</v>
      </c>
      <c r="D1612" s="23" t="n">
        <v>158.08</v>
      </c>
      <c r="E1612" s="23" t="n">
        <v>390.4</v>
      </c>
      <c r="F1612" s="23" t="n">
        <f aca="false">D1612-E1612</f>
        <v>-232.32</v>
      </c>
      <c r="G1612" s="24" t="n">
        <f aca="false">IF(E1612&gt;0,D1612/E1612-1,"")</f>
        <v>-0.595081967213115</v>
      </c>
      <c r="H1612" s="3" t="str">
        <f aca="false">IF(MAX(D1612,E1612)&lt;Parametros!$B$16,"",IF(E1612=0,"PIDE SIN FCST",IF(ABS(G1612)&gt;Parametros!$B$14,IF(G1612&gt;0,"SOBRE FCST","BAJO FCST"),"")))</f>
        <v/>
      </c>
    </row>
    <row r="1613" customFormat="false" ht="15" hidden="false" customHeight="false" outlineLevel="0" collapsed="false">
      <c r="A1613" s="3" t="n">
        <v>30002272</v>
      </c>
      <c r="B1613" s="3" t="s">
        <v>368</v>
      </c>
      <c r="C1613" s="3" t="s">
        <v>1377</v>
      </c>
      <c r="D1613" s="23" t="n">
        <v>174</v>
      </c>
      <c r="E1613" s="23" t="n">
        <v>406.198897996055</v>
      </c>
      <c r="F1613" s="23" t="n">
        <f aca="false">D1613-E1613</f>
        <v>-232.198897996055</v>
      </c>
      <c r="G1613" s="24" t="n">
        <f aca="false">IF(E1613&gt;0,D1613/E1613-1,"")</f>
        <v>-0.571638424283244</v>
      </c>
      <c r="H1613" s="3" t="str">
        <f aca="false">IF(MAX(D1613,E1613)&lt;Parametros!$B$16,"",IF(E1613=0,"PIDE SIN FCST",IF(ABS(G1613)&gt;Parametros!$B$14,IF(G1613&gt;0,"SOBRE FCST","BAJO FCST"),"")))</f>
        <v/>
      </c>
    </row>
    <row r="1614" customFormat="false" ht="15" hidden="false" customHeight="false" outlineLevel="0" collapsed="false">
      <c r="A1614" s="3" t="n">
        <v>30001401</v>
      </c>
      <c r="B1614" s="3" t="s">
        <v>304</v>
      </c>
      <c r="C1614" s="3" t="s">
        <v>1379</v>
      </c>
      <c r="D1614" s="23" t="n">
        <v>4082.4</v>
      </c>
      <c r="E1614" s="23" t="n">
        <v>3850.30026198295</v>
      </c>
      <c r="F1614" s="23" t="n">
        <f aca="false">D1614-E1614</f>
        <v>232.099738017053</v>
      </c>
      <c r="G1614" s="24" t="n">
        <f aca="false">IF(E1614&gt;0,D1614/E1614-1,"")</f>
        <v>0.0602809449197397</v>
      </c>
      <c r="H1614" s="3" t="str">
        <f aca="false">IF(MAX(D1614,E1614)&lt;Parametros!$B$16,"",IF(E1614=0,"PIDE SIN FCST",IF(ABS(G1614)&gt;Parametros!$B$14,IF(G1614&gt;0,"SOBRE FCST","BAJO FCST"),"")))</f>
        <v/>
      </c>
    </row>
    <row r="1615" customFormat="false" ht="15" hidden="false" customHeight="false" outlineLevel="0" collapsed="false">
      <c r="A1615" s="3" t="n">
        <v>30000600</v>
      </c>
      <c r="B1615" s="3" t="s">
        <v>338</v>
      </c>
      <c r="C1615" s="3" t="s">
        <v>1377</v>
      </c>
      <c r="D1615" s="23" t="n">
        <v>3370.08</v>
      </c>
      <c r="E1615" s="23" t="n">
        <v>3600</v>
      </c>
      <c r="F1615" s="23" t="n">
        <f aca="false">D1615-E1615</f>
        <v>-229.92</v>
      </c>
      <c r="G1615" s="24" t="n">
        <f aca="false">IF(E1615&gt;0,D1615/E1615-1,"")</f>
        <v>-0.0638666666666667</v>
      </c>
      <c r="H1615" s="3" t="str">
        <f aca="false">IF(MAX(D1615,E1615)&lt;Parametros!$B$16,"",IF(E1615=0,"PIDE SIN FCST",IF(ABS(G1615)&gt;Parametros!$B$14,IF(G1615&gt;0,"SOBRE FCST","BAJO FCST"),"")))</f>
        <v/>
      </c>
    </row>
    <row r="1616" customFormat="false" ht="15" hidden="false" customHeight="false" outlineLevel="0" collapsed="false">
      <c r="A1616" s="3" t="n">
        <v>30001522</v>
      </c>
      <c r="B1616" s="3" t="s">
        <v>453</v>
      </c>
      <c r="C1616" s="3" t="s">
        <v>1379</v>
      </c>
      <c r="D1616" s="23" t="n">
        <v>1003.2</v>
      </c>
      <c r="E1616" s="23" t="n">
        <v>773.6</v>
      </c>
      <c r="F1616" s="23" t="n">
        <f aca="false">D1616-E1616</f>
        <v>229.6</v>
      </c>
      <c r="G1616" s="24" t="n">
        <f aca="false">IF(E1616&gt;0,D1616/E1616-1,"")</f>
        <v>0.296794208893485</v>
      </c>
      <c r="H1616" s="3" t="str">
        <f aca="false">IF(MAX(D1616,E1616)&lt;Parametros!$B$16,"",IF(E1616=0,"PIDE SIN FCST",IF(ABS(G1616)&gt;Parametros!$B$14,IF(G1616&gt;0,"SOBRE FCST","BAJO FCST"),"")))</f>
        <v>SOBRE FCST</v>
      </c>
    </row>
    <row r="1617" customFormat="false" ht="15" hidden="false" customHeight="false" outlineLevel="0" collapsed="false">
      <c r="A1617" s="3" t="n">
        <v>30001149</v>
      </c>
      <c r="B1617" s="3" t="s">
        <v>536</v>
      </c>
      <c r="C1617" s="3" t="s">
        <v>1373</v>
      </c>
      <c r="D1617" s="23" t="n">
        <v>930</v>
      </c>
      <c r="E1617" s="23" t="n">
        <v>1159.40833333333</v>
      </c>
      <c r="F1617" s="23" t="n">
        <f aca="false">D1617-E1617</f>
        <v>-229.408333333334</v>
      </c>
      <c r="G1617" s="24" t="n">
        <f aca="false">IF(E1617&gt;0,D1617/E1617-1,"")</f>
        <v>-0.197866728000633</v>
      </c>
      <c r="H1617" s="3" t="str">
        <f aca="false">IF(MAX(D1617,E1617)&lt;Parametros!$B$16,"",IF(E1617=0,"PIDE SIN FCST",IF(ABS(G1617)&gt;Parametros!$B$14,IF(G1617&gt;0,"SOBRE FCST","BAJO FCST"),"")))</f>
        <v/>
      </c>
    </row>
    <row r="1618" customFormat="false" ht="15" hidden="false" customHeight="false" outlineLevel="0" collapsed="false">
      <c r="A1618" s="3" t="n">
        <v>30001018</v>
      </c>
      <c r="B1618" s="3" t="s">
        <v>385</v>
      </c>
      <c r="C1618" s="3" t="s">
        <v>1373</v>
      </c>
      <c r="D1618" s="23" t="n">
        <v>1457.28</v>
      </c>
      <c r="E1618" s="23" t="n">
        <v>1228.43795489122</v>
      </c>
      <c r="F1618" s="23" t="n">
        <f aca="false">D1618-E1618</f>
        <v>228.842045108776</v>
      </c>
      <c r="G1618" s="24" t="n">
        <f aca="false">IF(E1618&gt;0,D1618/E1618-1,"")</f>
        <v>0.186287019379045</v>
      </c>
      <c r="H1618" s="3" t="str">
        <f aca="false">IF(MAX(D1618,E1618)&lt;Parametros!$B$16,"",IF(E1618=0,"PIDE SIN FCST",IF(ABS(G1618)&gt;Parametros!$B$14,IF(G1618&gt;0,"SOBRE FCST","BAJO FCST"),"")))</f>
        <v/>
      </c>
    </row>
    <row r="1619" customFormat="false" ht="15" hidden="false" customHeight="false" outlineLevel="0" collapsed="false">
      <c r="A1619" s="3" t="n">
        <v>30000489</v>
      </c>
      <c r="B1619" s="3" t="s">
        <v>415</v>
      </c>
      <c r="C1619" s="3" t="s">
        <v>1375</v>
      </c>
      <c r="D1619" s="23" t="n">
        <v>6955.2</v>
      </c>
      <c r="E1619" s="23" t="n">
        <v>7182.59085769073</v>
      </c>
      <c r="F1619" s="23" t="n">
        <f aca="false">D1619-E1619</f>
        <v>-227.390857690726</v>
      </c>
      <c r="G1619" s="24" t="n">
        <f aca="false">IF(E1619&gt;0,D1619/E1619-1,"")</f>
        <v>-0.0316586120796855</v>
      </c>
      <c r="H1619" s="3" t="str">
        <f aca="false">IF(MAX(D1619,E1619)&lt;Parametros!$B$16,"",IF(E1619=0,"PIDE SIN FCST",IF(ABS(G1619)&gt;Parametros!$B$14,IF(G1619&gt;0,"SOBRE FCST","BAJO FCST"),"")))</f>
        <v/>
      </c>
    </row>
    <row r="1620" customFormat="false" ht="15" hidden="false" customHeight="false" outlineLevel="0" collapsed="false">
      <c r="A1620" s="3" t="n">
        <v>30001094</v>
      </c>
      <c r="B1620" s="3" t="s">
        <v>326</v>
      </c>
      <c r="C1620" s="3" t="s">
        <v>1376</v>
      </c>
      <c r="D1620" s="23" t="n">
        <v>64.8</v>
      </c>
      <c r="E1620" s="23" t="n">
        <v>292.119471045544</v>
      </c>
      <c r="F1620" s="23" t="n">
        <f aca="false">D1620-E1620</f>
        <v>-227.319471045544</v>
      </c>
      <c r="G1620" s="24" t="n">
        <f aca="false">IF(E1620&gt;0,D1620/E1620-1,"")</f>
        <v>-0.77817295174447</v>
      </c>
      <c r="H1620" s="3" t="str">
        <f aca="false">IF(MAX(D1620,E1620)&lt;Parametros!$B$16,"",IF(E1620=0,"PIDE SIN FCST",IF(ABS(G1620)&gt;Parametros!$B$14,IF(G1620&gt;0,"SOBRE FCST","BAJO FCST"),"")))</f>
        <v/>
      </c>
    </row>
    <row r="1621" customFormat="false" ht="15" hidden="false" customHeight="false" outlineLevel="0" collapsed="false">
      <c r="A1621" s="3" t="n">
        <v>30001093</v>
      </c>
      <c r="B1621" s="3" t="s">
        <v>327</v>
      </c>
      <c r="C1621" s="3" t="s">
        <v>1377</v>
      </c>
      <c r="D1621" s="23" t="n">
        <v>1987.2</v>
      </c>
      <c r="E1621" s="23" t="n">
        <v>2213.80556645737</v>
      </c>
      <c r="F1621" s="23" t="n">
        <f aca="false">D1621-E1621</f>
        <v>-226.605566457374</v>
      </c>
      <c r="G1621" s="24" t="n">
        <f aca="false">IF(E1621&gt;0,D1621/E1621-1,"")</f>
        <v>-0.102360193637058</v>
      </c>
      <c r="H1621" s="3" t="str">
        <f aca="false">IF(MAX(D1621,E1621)&lt;Parametros!$B$16,"",IF(E1621=0,"PIDE SIN FCST",IF(ABS(G1621)&gt;Parametros!$B$14,IF(G1621&gt;0,"SOBRE FCST","BAJO FCST"),"")))</f>
        <v/>
      </c>
    </row>
    <row r="1622" customFormat="false" ht="15" hidden="false" customHeight="false" outlineLevel="0" collapsed="false">
      <c r="A1622" s="3" t="n">
        <v>30001773</v>
      </c>
      <c r="B1622" s="3" t="s">
        <v>345</v>
      </c>
      <c r="C1622" s="3" t="s">
        <v>1378</v>
      </c>
      <c r="D1622" s="23" t="n">
        <v>1281.5</v>
      </c>
      <c r="E1622" s="23" t="n">
        <v>1508.01621438601</v>
      </c>
      <c r="F1622" s="23" t="n">
        <f aca="false">D1622-E1622</f>
        <v>-226.516214386012</v>
      </c>
      <c r="G1622" s="24" t="n">
        <f aca="false">IF(E1622&gt;0,D1622/E1622-1,"")</f>
        <v>-0.150208076163318</v>
      </c>
      <c r="H1622" s="3" t="str">
        <f aca="false">IF(MAX(D1622,E1622)&lt;Parametros!$B$16,"",IF(E1622=0,"PIDE SIN FCST",IF(ABS(G1622)&gt;Parametros!$B$14,IF(G1622&gt;0,"SOBRE FCST","BAJO FCST"),"")))</f>
        <v/>
      </c>
    </row>
    <row r="1623" customFormat="false" ht="15" hidden="false" customHeight="false" outlineLevel="0" collapsed="false">
      <c r="A1623" s="3" t="n">
        <v>30001829</v>
      </c>
      <c r="B1623" s="3" t="s">
        <v>504</v>
      </c>
      <c r="C1623" s="3" t="s">
        <v>1380</v>
      </c>
      <c r="D1623" s="23" t="n">
        <v>4305.6</v>
      </c>
      <c r="E1623" s="23" t="n">
        <v>4531.6808612315</v>
      </c>
      <c r="F1623" s="23" t="n">
        <f aca="false">D1623-E1623</f>
        <v>-226.0808612315</v>
      </c>
      <c r="G1623" s="24" t="n">
        <f aca="false">IF(E1623&gt;0,D1623/E1623-1,"")</f>
        <v>-0.0498889635335136</v>
      </c>
      <c r="H1623" s="3" t="str">
        <f aca="false">IF(MAX(D1623,E1623)&lt;Parametros!$B$16,"",IF(E1623=0,"PIDE SIN FCST",IF(ABS(G1623)&gt;Parametros!$B$14,IF(G1623&gt;0,"SOBRE FCST","BAJO FCST"),"")))</f>
        <v/>
      </c>
    </row>
    <row r="1624" customFormat="false" ht="15" hidden="false" customHeight="false" outlineLevel="0" collapsed="false">
      <c r="A1624" s="3" t="n">
        <v>30001765</v>
      </c>
      <c r="B1624" s="3" t="s">
        <v>438</v>
      </c>
      <c r="C1624" s="3" t="s">
        <v>1377</v>
      </c>
      <c r="D1624" s="23" t="n">
        <v>1760.4</v>
      </c>
      <c r="E1624" s="23" t="n">
        <v>1534.8</v>
      </c>
      <c r="F1624" s="23" t="n">
        <f aca="false">D1624-E1624</f>
        <v>225.6</v>
      </c>
      <c r="G1624" s="24" t="n">
        <f aca="false">IF(E1624&gt;0,D1624/E1624-1,"")</f>
        <v>0.146989835809226</v>
      </c>
      <c r="H1624" s="3" t="str">
        <f aca="false">IF(MAX(D1624,E1624)&lt;Parametros!$B$16,"",IF(E1624=0,"PIDE SIN FCST",IF(ABS(G1624)&gt;Parametros!$B$14,IF(G1624&gt;0,"SOBRE FCST","BAJO FCST"),"")))</f>
        <v/>
      </c>
    </row>
    <row r="1625" customFormat="false" ht="15" hidden="false" customHeight="false" outlineLevel="0" collapsed="false">
      <c r="A1625" s="3" t="n">
        <v>30000171</v>
      </c>
      <c r="B1625" s="3" t="s">
        <v>502</v>
      </c>
      <c r="C1625" s="3" t="s">
        <v>1373</v>
      </c>
      <c r="D1625" s="23" t="n">
        <v>1125.6</v>
      </c>
      <c r="E1625" s="23" t="n">
        <v>900</v>
      </c>
      <c r="F1625" s="23" t="n">
        <f aca="false">D1625-E1625</f>
        <v>225.6</v>
      </c>
      <c r="G1625" s="24" t="n">
        <f aca="false">IF(E1625&gt;0,D1625/E1625-1,"")</f>
        <v>0.250666666666667</v>
      </c>
      <c r="H1625" s="3" t="str">
        <f aca="false">IF(MAX(D1625,E1625)&lt;Parametros!$B$16,"",IF(E1625=0,"PIDE SIN FCST",IF(ABS(G1625)&gt;Parametros!$B$14,IF(G1625&gt;0,"SOBRE FCST","BAJO FCST"),"")))</f>
        <v>SOBRE FCST</v>
      </c>
    </row>
    <row r="1626" customFormat="false" ht="15" hidden="false" customHeight="false" outlineLevel="0" collapsed="false">
      <c r="A1626" s="3" t="n">
        <v>30002113</v>
      </c>
      <c r="B1626" s="3" t="s">
        <v>498</v>
      </c>
      <c r="C1626" s="3" t="s">
        <v>1378</v>
      </c>
      <c r="D1626" s="23" t="n">
        <v>275</v>
      </c>
      <c r="E1626" s="23" t="n">
        <v>500</v>
      </c>
      <c r="F1626" s="23" t="n">
        <f aca="false">D1626-E1626</f>
        <v>-225</v>
      </c>
      <c r="G1626" s="24" t="n">
        <f aca="false">IF(E1626&gt;0,D1626/E1626-1,"")</f>
        <v>-0.45</v>
      </c>
      <c r="H1626" s="3" t="str">
        <f aca="false">IF(MAX(D1626,E1626)&lt;Parametros!$B$16,"",IF(E1626=0,"PIDE SIN FCST",IF(ABS(G1626)&gt;Parametros!$B$14,IF(G1626&gt;0,"SOBRE FCST","BAJO FCST"),"")))</f>
        <v/>
      </c>
    </row>
    <row r="1627" customFormat="false" ht="15" hidden="false" customHeight="false" outlineLevel="0" collapsed="false">
      <c r="A1627" s="3" t="n">
        <v>30000360</v>
      </c>
      <c r="B1627" s="3" t="s">
        <v>382</v>
      </c>
      <c r="C1627" s="3" t="s">
        <v>1378</v>
      </c>
      <c r="D1627" s="23" t="n">
        <v>900</v>
      </c>
      <c r="E1627" s="23" t="n">
        <v>1124.72</v>
      </c>
      <c r="F1627" s="23" t="n">
        <f aca="false">D1627-E1627</f>
        <v>-224.72</v>
      </c>
      <c r="G1627" s="24" t="n">
        <f aca="false">IF(E1627&gt;0,D1627/E1627-1,"")</f>
        <v>-0.199800839320009</v>
      </c>
      <c r="H1627" s="3" t="str">
        <f aca="false">IF(MAX(D1627,E1627)&lt;Parametros!$B$16,"",IF(E1627=0,"PIDE SIN FCST",IF(ABS(G1627)&gt;Parametros!$B$14,IF(G1627&gt;0,"SOBRE FCST","BAJO FCST"),"")))</f>
        <v/>
      </c>
    </row>
    <row r="1628" customFormat="false" ht="15" hidden="false" customHeight="false" outlineLevel="0" collapsed="false">
      <c r="A1628" s="3" t="n">
        <v>30002184</v>
      </c>
      <c r="B1628" s="3" t="s">
        <v>379</v>
      </c>
      <c r="C1628" s="3" t="s">
        <v>1377</v>
      </c>
      <c r="D1628" s="23" t="n">
        <v>163.2</v>
      </c>
      <c r="E1628" s="23" t="n">
        <v>387.445735256044</v>
      </c>
      <c r="F1628" s="23" t="n">
        <f aca="false">D1628-E1628</f>
        <v>-224.245735256044</v>
      </c>
      <c r="G1628" s="24" t="n">
        <f aca="false">IF(E1628&gt;0,D1628/E1628-1,"")</f>
        <v>-0.578779722811637</v>
      </c>
      <c r="H1628" s="3" t="str">
        <f aca="false">IF(MAX(D1628,E1628)&lt;Parametros!$B$16,"",IF(E1628=0,"PIDE SIN FCST",IF(ABS(G1628)&gt;Parametros!$B$14,IF(G1628&gt;0,"SOBRE FCST","BAJO FCST"),"")))</f>
        <v/>
      </c>
    </row>
    <row r="1629" customFormat="false" ht="15" hidden="false" customHeight="false" outlineLevel="0" collapsed="false">
      <c r="A1629" s="3" t="n">
        <v>30001683</v>
      </c>
      <c r="B1629" s="3" t="s">
        <v>466</v>
      </c>
      <c r="C1629" s="3" t="s">
        <v>1375</v>
      </c>
      <c r="D1629" s="23" t="n">
        <v>3376</v>
      </c>
      <c r="E1629" s="23" t="n">
        <v>3600</v>
      </c>
      <c r="F1629" s="23" t="n">
        <f aca="false">D1629-E1629</f>
        <v>-224</v>
      </c>
      <c r="G1629" s="24" t="n">
        <f aca="false">IF(E1629&gt;0,D1629/E1629-1,"")</f>
        <v>-0.0622222222222222</v>
      </c>
      <c r="H1629" s="3" t="str">
        <f aca="false">IF(MAX(D1629,E1629)&lt;Parametros!$B$16,"",IF(E1629=0,"PIDE SIN FCST",IF(ABS(G1629)&gt;Parametros!$B$14,IF(G1629&gt;0,"SOBRE FCST","BAJO FCST"),"")))</f>
        <v/>
      </c>
    </row>
    <row r="1630" customFormat="false" ht="15" hidden="false" customHeight="false" outlineLevel="0" collapsed="false">
      <c r="A1630" s="3" t="n">
        <v>30001423</v>
      </c>
      <c r="B1630" s="3" t="s">
        <v>328</v>
      </c>
      <c r="C1630" s="3" t="s">
        <v>1373</v>
      </c>
      <c r="D1630" s="23" t="n">
        <v>8226</v>
      </c>
      <c r="E1630" s="23" t="n">
        <v>8002.38541666667</v>
      </c>
      <c r="F1630" s="23" t="n">
        <f aca="false">D1630-E1630</f>
        <v>223.614583333333</v>
      </c>
      <c r="G1630" s="24" t="n">
        <f aca="false">IF(E1630&gt;0,D1630/E1630-1,"")</f>
        <v>0.0279434908080793</v>
      </c>
      <c r="H1630" s="3" t="str">
        <f aca="false">IF(MAX(D1630,E1630)&lt;Parametros!$B$16,"",IF(E1630=0,"PIDE SIN FCST",IF(ABS(G1630)&gt;Parametros!$B$14,IF(G1630&gt;0,"SOBRE FCST","BAJO FCST"),"")))</f>
        <v/>
      </c>
    </row>
    <row r="1631" customFormat="false" ht="15" hidden="false" customHeight="false" outlineLevel="0" collapsed="false">
      <c r="A1631" s="3" t="n">
        <v>30000499</v>
      </c>
      <c r="B1631" s="3" t="s">
        <v>562</v>
      </c>
      <c r="C1631" s="3" t="s">
        <v>1373</v>
      </c>
      <c r="D1631" s="23" t="n">
        <v>901.8</v>
      </c>
      <c r="E1631" s="23" t="n">
        <v>1125.05616690048</v>
      </c>
      <c r="F1631" s="23" t="n">
        <f aca="false">D1631-E1631</f>
        <v>-223.256166900481</v>
      </c>
      <c r="G1631" s="24" t="n">
        <f aca="false">IF(E1631&gt;0,D1631/E1631-1,"")</f>
        <v>-0.198440018790839</v>
      </c>
      <c r="H1631" s="3" t="str">
        <f aca="false">IF(MAX(D1631,E1631)&lt;Parametros!$B$16,"",IF(E1631=0,"PIDE SIN FCST",IF(ABS(G1631)&gt;Parametros!$B$14,IF(G1631&gt;0,"SOBRE FCST","BAJO FCST"),"")))</f>
        <v/>
      </c>
    </row>
    <row r="1632" customFormat="false" ht="15" hidden="false" customHeight="false" outlineLevel="0" collapsed="false">
      <c r="A1632" s="3" t="n">
        <v>30000384</v>
      </c>
      <c r="B1632" s="3" t="s">
        <v>262</v>
      </c>
      <c r="C1632" s="3" t="s">
        <v>1375</v>
      </c>
      <c r="D1632" s="23" t="n">
        <v>12120</v>
      </c>
      <c r="E1632" s="23" t="n">
        <v>12342.45</v>
      </c>
      <c r="F1632" s="23" t="n">
        <f aca="false">D1632-E1632</f>
        <v>-222.450000000001</v>
      </c>
      <c r="G1632" s="24" t="n">
        <f aca="false">IF(E1632&gt;0,D1632/E1632-1,"")</f>
        <v>-0.0180231639585334</v>
      </c>
      <c r="H1632" s="3" t="str">
        <f aca="false">IF(MAX(D1632,E1632)&lt;Parametros!$B$16,"",IF(E1632=0,"PIDE SIN FCST",IF(ABS(G1632)&gt;Parametros!$B$14,IF(G1632&gt;0,"SOBRE FCST","BAJO FCST"),"")))</f>
        <v/>
      </c>
    </row>
    <row r="1633" customFormat="false" ht="15" hidden="false" customHeight="false" outlineLevel="0" collapsed="false">
      <c r="A1633" s="3" t="n">
        <v>30000658</v>
      </c>
      <c r="B1633" s="3" t="s">
        <v>322</v>
      </c>
      <c r="C1633" s="3" t="s">
        <v>1377</v>
      </c>
      <c r="D1633" s="23" t="n">
        <v>564</v>
      </c>
      <c r="E1633" s="23" t="n">
        <v>786.414078031683</v>
      </c>
      <c r="F1633" s="23" t="n">
        <f aca="false">D1633-E1633</f>
        <v>-222.414078031683</v>
      </c>
      <c r="G1633" s="24" t="n">
        <f aca="false">IF(E1633&gt;0,D1633/E1633-1,"")</f>
        <v>-0.282820570288319</v>
      </c>
      <c r="H1633" s="3" t="str">
        <f aca="false">IF(MAX(D1633,E1633)&lt;Parametros!$B$16,"",IF(E1633=0,"PIDE SIN FCST",IF(ABS(G1633)&gt;Parametros!$B$14,IF(G1633&gt;0,"SOBRE FCST","BAJO FCST"),"")))</f>
        <v/>
      </c>
    </row>
    <row r="1634" customFormat="false" ht="15" hidden="false" customHeight="false" outlineLevel="0" collapsed="false">
      <c r="A1634" s="3" t="n">
        <v>30001876</v>
      </c>
      <c r="B1634" s="3" t="s">
        <v>373</v>
      </c>
      <c r="C1634" s="3" t="s">
        <v>1377</v>
      </c>
      <c r="D1634" s="23" t="n">
        <v>221.4</v>
      </c>
      <c r="E1634" s="23" t="n">
        <v>0</v>
      </c>
      <c r="F1634" s="23" t="n">
        <f aca="false">D1634-E1634</f>
        <v>221.4</v>
      </c>
      <c r="G1634" s="24" t="str">
        <f aca="false">IF(E1634&gt;0,D1634/E1634-1,"")</f>
        <v/>
      </c>
      <c r="H1634" s="3" t="str">
        <f aca="false">IF(MAX(D1634,E1634)&lt;Parametros!$B$16,"",IF(E1634=0,"PIDE SIN FCST",IF(ABS(G1634)&gt;Parametros!$B$14,IF(G1634&gt;0,"SOBRE FCST","BAJO FCST"),"")))</f>
        <v/>
      </c>
    </row>
    <row r="1635" customFormat="false" ht="15" hidden="false" customHeight="false" outlineLevel="0" collapsed="false">
      <c r="A1635" s="3" t="n">
        <v>30001094</v>
      </c>
      <c r="B1635" s="3" t="s">
        <v>326</v>
      </c>
      <c r="C1635" s="3" t="s">
        <v>1378</v>
      </c>
      <c r="D1635" s="23" t="n">
        <v>1072.8</v>
      </c>
      <c r="E1635" s="23" t="n">
        <v>1293.86259824361</v>
      </c>
      <c r="F1635" s="23" t="n">
        <f aca="false">D1635-E1635</f>
        <v>-221.062598243605</v>
      </c>
      <c r="G1635" s="24" t="n">
        <f aca="false">IF(E1635&gt;0,D1635/E1635-1,"")</f>
        <v>-0.170854771243634</v>
      </c>
      <c r="H1635" s="3" t="str">
        <f aca="false">IF(MAX(D1635,E1635)&lt;Parametros!$B$16,"",IF(E1635=0,"PIDE SIN FCST",IF(ABS(G1635)&gt;Parametros!$B$14,IF(G1635&gt;0,"SOBRE FCST","BAJO FCST"),"")))</f>
        <v/>
      </c>
    </row>
    <row r="1636" customFormat="false" ht="15" hidden="false" customHeight="false" outlineLevel="0" collapsed="false">
      <c r="A1636" s="3" t="n">
        <v>30000436</v>
      </c>
      <c r="B1636" s="3" t="s">
        <v>559</v>
      </c>
      <c r="C1636" s="3" t="s">
        <v>1380</v>
      </c>
      <c r="D1636" s="23" t="n">
        <v>2048</v>
      </c>
      <c r="E1636" s="23" t="n">
        <v>1827.23079520076</v>
      </c>
      <c r="F1636" s="23" t="n">
        <f aca="false">D1636-E1636</f>
        <v>220.769204799245</v>
      </c>
      <c r="G1636" s="24" t="n">
        <f aca="false">IF(E1636&gt;0,D1636/E1636-1,"")</f>
        <v>0.120821740405809</v>
      </c>
      <c r="H1636" s="3" t="str">
        <f aca="false">IF(MAX(D1636,E1636)&lt;Parametros!$B$16,"",IF(E1636=0,"PIDE SIN FCST",IF(ABS(G1636)&gt;Parametros!$B$14,IF(G1636&gt;0,"SOBRE FCST","BAJO FCST"),"")))</f>
        <v/>
      </c>
    </row>
    <row r="1637" customFormat="false" ht="15" hidden="false" customHeight="false" outlineLevel="0" collapsed="false">
      <c r="A1637" s="3" t="n">
        <v>30001019</v>
      </c>
      <c r="B1637" s="3" t="s">
        <v>355</v>
      </c>
      <c r="C1637" s="3" t="s">
        <v>1373</v>
      </c>
      <c r="D1637" s="23" t="n">
        <v>1385.52</v>
      </c>
      <c r="E1637" s="23" t="n">
        <v>1605.87154656517</v>
      </c>
      <c r="F1637" s="23" t="n">
        <f aca="false">D1637-E1637</f>
        <v>-220.351546565173</v>
      </c>
      <c r="G1637" s="24" t="n">
        <f aca="false">IF(E1637&gt;0,D1637/E1637-1,"")</f>
        <v>-0.137216172138106</v>
      </c>
      <c r="H1637" s="3" t="str">
        <f aca="false">IF(MAX(D1637,E1637)&lt;Parametros!$B$16,"",IF(E1637=0,"PIDE SIN FCST",IF(ABS(G1637)&gt;Parametros!$B$14,IF(G1637&gt;0,"SOBRE FCST","BAJO FCST"),"")))</f>
        <v/>
      </c>
    </row>
    <row r="1638" customFormat="false" ht="15" hidden="false" customHeight="false" outlineLevel="0" collapsed="false">
      <c r="A1638" s="3" t="n">
        <v>30000469</v>
      </c>
      <c r="B1638" s="3" t="s">
        <v>428</v>
      </c>
      <c r="C1638" s="3" t="s">
        <v>1372</v>
      </c>
      <c r="D1638" s="23" t="n">
        <v>642.6</v>
      </c>
      <c r="E1638" s="23" t="n">
        <v>862.575065495737</v>
      </c>
      <c r="F1638" s="23" t="n">
        <f aca="false">D1638-E1638</f>
        <v>-219.975065495737</v>
      </c>
      <c r="G1638" s="24" t="n">
        <f aca="false">IF(E1638&gt;0,D1638/E1638-1,"")</f>
        <v>-0.255021359062023</v>
      </c>
      <c r="H1638" s="3" t="str">
        <f aca="false">IF(MAX(D1638,E1638)&lt;Parametros!$B$16,"",IF(E1638=0,"PIDE SIN FCST",IF(ABS(G1638)&gt;Parametros!$B$14,IF(G1638&gt;0,"SOBRE FCST","BAJO FCST"),"")))</f>
        <v/>
      </c>
    </row>
    <row r="1639" customFormat="false" ht="15" hidden="false" customHeight="false" outlineLevel="0" collapsed="false">
      <c r="A1639" s="3" t="n">
        <v>30000627</v>
      </c>
      <c r="B1639" s="3" t="s">
        <v>308</v>
      </c>
      <c r="C1639" s="3" t="s">
        <v>1373</v>
      </c>
      <c r="D1639" s="23" t="n">
        <v>9280.64</v>
      </c>
      <c r="E1639" s="23" t="n">
        <v>9500</v>
      </c>
      <c r="F1639" s="23" t="n">
        <f aca="false">D1639-E1639</f>
        <v>-219.360000000001</v>
      </c>
      <c r="G1639" s="24" t="n">
        <f aca="false">IF(E1639&gt;0,D1639/E1639-1,"")</f>
        <v>-0.0230905263157896</v>
      </c>
      <c r="H1639" s="3" t="str">
        <f aca="false">IF(MAX(D1639,E1639)&lt;Parametros!$B$16,"",IF(E1639=0,"PIDE SIN FCST",IF(ABS(G1639)&gt;Parametros!$B$14,IF(G1639&gt;0,"SOBRE FCST","BAJO FCST"),"")))</f>
        <v/>
      </c>
    </row>
    <row r="1640" customFormat="false" ht="15" hidden="false" customHeight="false" outlineLevel="0" collapsed="false">
      <c r="A1640" s="3" t="n">
        <v>30001766</v>
      </c>
      <c r="B1640" s="3" t="s">
        <v>414</v>
      </c>
      <c r="C1640" s="3" t="s">
        <v>1377</v>
      </c>
      <c r="D1640" s="23" t="n">
        <v>1533.6</v>
      </c>
      <c r="E1640" s="23" t="n">
        <v>1750</v>
      </c>
      <c r="F1640" s="23" t="n">
        <f aca="false">D1640-E1640</f>
        <v>-216.4</v>
      </c>
      <c r="G1640" s="24" t="n">
        <f aca="false">IF(E1640&gt;0,D1640/E1640-1,"")</f>
        <v>-0.123657142857143</v>
      </c>
      <c r="H1640" s="3" t="str">
        <f aca="false">IF(MAX(D1640,E1640)&lt;Parametros!$B$16,"",IF(E1640=0,"PIDE SIN FCST",IF(ABS(G1640)&gt;Parametros!$B$14,IF(G1640&gt;0,"SOBRE FCST","BAJO FCST"),"")))</f>
        <v/>
      </c>
    </row>
    <row r="1641" customFormat="false" ht="15" hidden="false" customHeight="false" outlineLevel="0" collapsed="false">
      <c r="A1641" s="3" t="n">
        <v>30000178</v>
      </c>
      <c r="B1641" s="3" t="s">
        <v>359</v>
      </c>
      <c r="C1641" s="3" t="s">
        <v>1372</v>
      </c>
      <c r="D1641" s="23" t="n">
        <v>1713.6</v>
      </c>
      <c r="E1641" s="23" t="n">
        <v>1497.6</v>
      </c>
      <c r="F1641" s="23" t="n">
        <f aca="false">D1641-E1641</f>
        <v>216</v>
      </c>
      <c r="G1641" s="24" t="n">
        <f aca="false">IF(E1641&gt;0,D1641/E1641-1,"")</f>
        <v>0.144230769230769</v>
      </c>
      <c r="H1641" s="3" t="str">
        <f aca="false">IF(MAX(D1641,E1641)&lt;Parametros!$B$16,"",IF(E1641=0,"PIDE SIN FCST",IF(ABS(G1641)&gt;Parametros!$B$14,IF(G1641&gt;0,"SOBRE FCST","BAJO FCST"),"")))</f>
        <v/>
      </c>
    </row>
    <row r="1642" customFormat="false" ht="15" hidden="false" customHeight="false" outlineLevel="0" collapsed="false">
      <c r="A1642" s="3" t="n">
        <v>30000673</v>
      </c>
      <c r="B1642" s="3" t="s">
        <v>531</v>
      </c>
      <c r="C1642" s="3" t="s">
        <v>1376</v>
      </c>
      <c r="D1642" s="23" t="n">
        <v>213.2</v>
      </c>
      <c r="E1642" s="23" t="n">
        <v>0</v>
      </c>
      <c r="F1642" s="23" t="n">
        <f aca="false">D1642-E1642</f>
        <v>213.2</v>
      </c>
      <c r="G1642" s="24" t="str">
        <f aca="false">IF(E1642&gt;0,D1642/E1642-1,"")</f>
        <v/>
      </c>
      <c r="H1642" s="3" t="str">
        <f aca="false">IF(MAX(D1642,E1642)&lt;Parametros!$B$16,"",IF(E1642=0,"PIDE SIN FCST",IF(ABS(G1642)&gt;Parametros!$B$14,IF(G1642&gt;0,"SOBRE FCST","BAJO FCST"),"")))</f>
        <v/>
      </c>
    </row>
    <row r="1643" customFormat="false" ht="15" hidden="false" customHeight="false" outlineLevel="0" collapsed="false">
      <c r="A1643" s="3" t="n">
        <v>30000171</v>
      </c>
      <c r="B1643" s="3" t="s">
        <v>502</v>
      </c>
      <c r="C1643" s="3" t="s">
        <v>1375</v>
      </c>
      <c r="D1643" s="23" t="n">
        <v>2112.6</v>
      </c>
      <c r="E1643" s="23" t="n">
        <v>1900</v>
      </c>
      <c r="F1643" s="23" t="n">
        <f aca="false">D1643-E1643</f>
        <v>212.6</v>
      </c>
      <c r="G1643" s="24" t="n">
        <f aca="false">IF(E1643&gt;0,D1643/E1643-1,"")</f>
        <v>0.111894736842105</v>
      </c>
      <c r="H1643" s="3" t="str">
        <f aca="false">IF(MAX(D1643,E1643)&lt;Parametros!$B$16,"",IF(E1643=0,"PIDE SIN FCST",IF(ABS(G1643)&gt;Parametros!$B$14,IF(G1643&gt;0,"SOBRE FCST","BAJO FCST"),"")))</f>
        <v/>
      </c>
    </row>
    <row r="1644" customFormat="false" ht="15" hidden="false" customHeight="false" outlineLevel="0" collapsed="false">
      <c r="A1644" s="3" t="n">
        <v>30002293</v>
      </c>
      <c r="B1644" s="3" t="s">
        <v>454</v>
      </c>
      <c r="C1644" s="3" t="s">
        <v>1373</v>
      </c>
      <c r="D1644" s="23" t="n">
        <v>1512</v>
      </c>
      <c r="E1644" s="23" t="n">
        <v>1300</v>
      </c>
      <c r="F1644" s="23" t="n">
        <f aca="false">D1644-E1644</f>
        <v>212</v>
      </c>
      <c r="G1644" s="24" t="n">
        <f aca="false">IF(E1644&gt;0,D1644/E1644-1,"")</f>
        <v>0.163076923076923</v>
      </c>
      <c r="H1644" s="3" t="str">
        <f aca="false">IF(MAX(D1644,E1644)&lt;Parametros!$B$16,"",IF(E1644=0,"PIDE SIN FCST",IF(ABS(G1644)&gt;Parametros!$B$14,IF(G1644&gt;0,"SOBRE FCST","BAJO FCST"),"")))</f>
        <v/>
      </c>
    </row>
    <row r="1645" customFormat="false" ht="15" hidden="false" customHeight="false" outlineLevel="0" collapsed="false">
      <c r="A1645" s="3" t="n">
        <v>30002347</v>
      </c>
      <c r="B1645" s="3" t="s">
        <v>271</v>
      </c>
      <c r="C1645" s="3" t="s">
        <v>1378</v>
      </c>
      <c r="D1645" s="23" t="n">
        <v>220</v>
      </c>
      <c r="E1645" s="23" t="n">
        <v>431.287532747868</v>
      </c>
      <c r="F1645" s="23" t="n">
        <f aca="false">D1645-E1645</f>
        <v>-211.287532747868</v>
      </c>
      <c r="G1645" s="24" t="n">
        <f aca="false">IF(E1645&gt;0,D1645/E1645-1,"")</f>
        <v>-0.489899467767336</v>
      </c>
      <c r="H1645" s="3" t="str">
        <f aca="false">IF(MAX(D1645,E1645)&lt;Parametros!$B$16,"",IF(E1645=0,"PIDE SIN FCST",IF(ABS(G1645)&gt;Parametros!$B$14,IF(G1645&gt;0,"SOBRE FCST","BAJO FCST"),"")))</f>
        <v/>
      </c>
    </row>
    <row r="1646" customFormat="false" ht="15" hidden="false" customHeight="false" outlineLevel="0" collapsed="false">
      <c r="A1646" s="3" t="n">
        <v>30000252</v>
      </c>
      <c r="B1646" s="3" t="s">
        <v>405</v>
      </c>
      <c r="C1646" s="3" t="s">
        <v>1373</v>
      </c>
      <c r="D1646" s="23" t="n">
        <v>1410</v>
      </c>
      <c r="E1646" s="23" t="n">
        <v>1199.179551886</v>
      </c>
      <c r="F1646" s="23" t="n">
        <f aca="false">D1646-E1646</f>
        <v>210.820448114002</v>
      </c>
      <c r="G1646" s="24" t="n">
        <f aca="false">IF(E1646&gt;0,D1646/E1646-1,"")</f>
        <v>0.175803905080299</v>
      </c>
      <c r="H1646" s="3" t="str">
        <f aca="false">IF(MAX(D1646,E1646)&lt;Parametros!$B$16,"",IF(E1646=0,"PIDE SIN FCST",IF(ABS(G1646)&gt;Parametros!$B$14,IF(G1646&gt;0,"SOBRE FCST","BAJO FCST"),"")))</f>
        <v/>
      </c>
    </row>
    <row r="1647" customFormat="false" ht="15" hidden="false" customHeight="false" outlineLevel="0" collapsed="false">
      <c r="A1647" s="3" t="n">
        <v>30001540</v>
      </c>
      <c r="B1647" s="3" t="s">
        <v>501</v>
      </c>
      <c r="C1647" s="3" t="s">
        <v>1377</v>
      </c>
      <c r="D1647" s="23" t="n">
        <v>480.32</v>
      </c>
      <c r="E1647" s="23" t="n">
        <v>270</v>
      </c>
      <c r="F1647" s="23" t="n">
        <f aca="false">D1647-E1647</f>
        <v>210.32</v>
      </c>
      <c r="G1647" s="24" t="n">
        <f aca="false">IF(E1647&gt;0,D1647/E1647-1,"")</f>
        <v>0.778962962962963</v>
      </c>
      <c r="H1647" s="3" t="str">
        <f aca="false">IF(MAX(D1647,E1647)&lt;Parametros!$B$16,"",IF(E1647=0,"PIDE SIN FCST",IF(ABS(G1647)&gt;Parametros!$B$14,IF(G1647&gt;0,"SOBRE FCST","BAJO FCST"),"")))</f>
        <v/>
      </c>
    </row>
    <row r="1648" customFormat="false" ht="15" hidden="false" customHeight="false" outlineLevel="0" collapsed="false">
      <c r="A1648" s="3" t="n">
        <v>30001898</v>
      </c>
      <c r="B1648" s="3" t="s">
        <v>486</v>
      </c>
      <c r="C1648" s="3" t="s">
        <v>1379</v>
      </c>
      <c r="D1648" s="23" t="n">
        <v>1272</v>
      </c>
      <c r="E1648" s="23" t="n">
        <v>1482.24343782774</v>
      </c>
      <c r="F1648" s="23" t="n">
        <f aca="false">D1648-E1648</f>
        <v>-210.243437827744</v>
      </c>
      <c r="G1648" s="24" t="n">
        <f aca="false">IF(E1648&gt;0,D1648/E1648-1,"")</f>
        <v>-0.141841368605321</v>
      </c>
      <c r="H1648" s="3" t="str">
        <f aca="false">IF(MAX(D1648,E1648)&lt;Parametros!$B$16,"",IF(E1648=0,"PIDE SIN FCST",IF(ABS(G1648)&gt;Parametros!$B$14,IF(G1648&gt;0,"SOBRE FCST","BAJO FCST"),"")))</f>
        <v/>
      </c>
    </row>
    <row r="1649" customFormat="false" ht="15" hidden="false" customHeight="false" outlineLevel="0" collapsed="false">
      <c r="A1649" s="3" t="n">
        <v>30000073</v>
      </c>
      <c r="B1649" s="3" t="s">
        <v>496</v>
      </c>
      <c r="C1649" s="3" t="s">
        <v>1376</v>
      </c>
      <c r="D1649" s="23" t="n">
        <v>210</v>
      </c>
      <c r="E1649" s="23" t="n">
        <v>0</v>
      </c>
      <c r="F1649" s="23" t="n">
        <f aca="false">D1649-E1649</f>
        <v>210</v>
      </c>
      <c r="G1649" s="24" t="str">
        <f aca="false">IF(E1649&gt;0,D1649/E1649-1,"")</f>
        <v/>
      </c>
      <c r="H1649" s="3" t="str">
        <f aca="false">IF(MAX(D1649,E1649)&lt;Parametros!$B$16,"",IF(E1649=0,"PIDE SIN FCST",IF(ABS(G1649)&gt;Parametros!$B$14,IF(G1649&gt;0,"SOBRE FCST","BAJO FCST"),"")))</f>
        <v/>
      </c>
    </row>
    <row r="1650" customFormat="false" ht="15" hidden="false" customHeight="false" outlineLevel="0" collapsed="false">
      <c r="A1650" s="3" t="n">
        <v>30000055</v>
      </c>
      <c r="B1650" s="3" t="s">
        <v>417</v>
      </c>
      <c r="C1650" s="3" t="s">
        <v>1376</v>
      </c>
      <c r="D1650" s="23" t="n">
        <v>110.4</v>
      </c>
      <c r="E1650" s="23" t="n">
        <v>320</v>
      </c>
      <c r="F1650" s="23" t="n">
        <f aca="false">D1650-E1650</f>
        <v>-209.6</v>
      </c>
      <c r="G1650" s="24" t="n">
        <f aca="false">IF(E1650&gt;0,D1650/E1650-1,"")</f>
        <v>-0.655</v>
      </c>
      <c r="H1650" s="3" t="str">
        <f aca="false">IF(MAX(D1650,E1650)&lt;Parametros!$B$16,"",IF(E1650=0,"PIDE SIN FCST",IF(ABS(G1650)&gt;Parametros!$B$14,IF(G1650&gt;0,"SOBRE FCST","BAJO FCST"),"")))</f>
        <v/>
      </c>
    </row>
    <row r="1651" customFormat="false" ht="15" hidden="false" customHeight="false" outlineLevel="0" collapsed="false">
      <c r="A1651" s="3" t="n">
        <v>30000176</v>
      </c>
      <c r="B1651" s="3" t="s">
        <v>366</v>
      </c>
      <c r="C1651" s="3" t="s">
        <v>1372</v>
      </c>
      <c r="D1651" s="23" t="n">
        <v>1473.6</v>
      </c>
      <c r="E1651" s="23" t="n">
        <v>1264</v>
      </c>
      <c r="F1651" s="23" t="n">
        <f aca="false">D1651-E1651</f>
        <v>209.6</v>
      </c>
      <c r="G1651" s="24" t="n">
        <f aca="false">IF(E1651&gt;0,D1651/E1651-1,"")</f>
        <v>0.165822784810127</v>
      </c>
      <c r="H1651" s="3" t="str">
        <f aca="false">IF(MAX(D1651,E1651)&lt;Parametros!$B$16,"",IF(E1651=0,"PIDE SIN FCST",IF(ABS(G1651)&gt;Parametros!$B$14,IF(G1651&gt;0,"SOBRE FCST","BAJO FCST"),"")))</f>
        <v/>
      </c>
    </row>
    <row r="1652" customFormat="false" ht="15" hidden="false" customHeight="false" outlineLevel="0" collapsed="false">
      <c r="A1652" s="3" t="n">
        <v>30000055</v>
      </c>
      <c r="B1652" s="3" t="s">
        <v>417</v>
      </c>
      <c r="C1652" s="3" t="s">
        <v>1377</v>
      </c>
      <c r="D1652" s="23" t="n">
        <v>220.8</v>
      </c>
      <c r="E1652" s="23" t="n">
        <v>430</v>
      </c>
      <c r="F1652" s="23" t="n">
        <f aca="false">D1652-E1652</f>
        <v>-209.2</v>
      </c>
      <c r="G1652" s="24" t="n">
        <f aca="false">IF(E1652&gt;0,D1652/E1652-1,"")</f>
        <v>-0.486511627906977</v>
      </c>
      <c r="H1652" s="3" t="str">
        <f aca="false">IF(MAX(D1652,E1652)&lt;Parametros!$B$16,"",IF(E1652=0,"PIDE SIN FCST",IF(ABS(G1652)&gt;Parametros!$B$14,IF(G1652&gt;0,"SOBRE FCST","BAJO FCST"),"")))</f>
        <v/>
      </c>
    </row>
    <row r="1653" customFormat="false" ht="15" hidden="false" customHeight="false" outlineLevel="0" collapsed="false">
      <c r="A1653" s="3" t="n">
        <v>30002291</v>
      </c>
      <c r="B1653" s="3" t="s">
        <v>483</v>
      </c>
      <c r="C1653" s="3" t="s">
        <v>1377</v>
      </c>
      <c r="D1653" s="23" t="n">
        <v>405</v>
      </c>
      <c r="E1653" s="23" t="n">
        <v>195.806881190773</v>
      </c>
      <c r="F1653" s="23" t="n">
        <f aca="false">D1653-E1653</f>
        <v>209.193118809227</v>
      </c>
      <c r="G1653" s="24" t="n">
        <f aca="false">IF(E1653&gt;0,D1653/E1653-1,"")</f>
        <v>1.06836449024185</v>
      </c>
      <c r="H1653" s="3" t="str">
        <f aca="false">IF(MAX(D1653,E1653)&lt;Parametros!$B$16,"",IF(E1653=0,"PIDE SIN FCST",IF(ABS(G1653)&gt;Parametros!$B$14,IF(G1653&gt;0,"SOBRE FCST","BAJO FCST"),"")))</f>
        <v/>
      </c>
    </row>
    <row r="1654" customFormat="false" ht="15" hidden="false" customHeight="false" outlineLevel="0" collapsed="false">
      <c r="A1654" s="3" t="n">
        <v>30000050</v>
      </c>
      <c r="B1654" s="3" t="s">
        <v>604</v>
      </c>
      <c r="C1654" s="3" t="s">
        <v>1377</v>
      </c>
      <c r="D1654" s="23" t="n">
        <v>759</v>
      </c>
      <c r="E1654" s="23" t="n">
        <v>550</v>
      </c>
      <c r="F1654" s="23" t="n">
        <f aca="false">D1654-E1654</f>
        <v>209</v>
      </c>
      <c r="G1654" s="24" t="n">
        <f aca="false">IF(E1654&gt;0,D1654/E1654-1,"")</f>
        <v>0.38</v>
      </c>
      <c r="H1654" s="3" t="str">
        <f aca="false">IF(MAX(D1654,E1654)&lt;Parametros!$B$16,"",IF(E1654=0,"PIDE SIN FCST",IF(ABS(G1654)&gt;Parametros!$B$14,IF(G1654&gt;0,"SOBRE FCST","BAJO FCST"),"")))</f>
        <v/>
      </c>
    </row>
    <row r="1655" customFormat="false" ht="15" hidden="false" customHeight="false" outlineLevel="0" collapsed="false">
      <c r="A1655" s="3" t="n">
        <v>30000041</v>
      </c>
      <c r="B1655" s="3" t="s">
        <v>419</v>
      </c>
      <c r="C1655" s="3" t="s">
        <v>1373</v>
      </c>
      <c r="D1655" s="23" t="n">
        <v>791.2</v>
      </c>
      <c r="E1655" s="23" t="n">
        <v>1000</v>
      </c>
      <c r="F1655" s="23" t="n">
        <f aca="false">D1655-E1655</f>
        <v>-208.8</v>
      </c>
      <c r="G1655" s="24" t="n">
        <f aca="false">IF(E1655&gt;0,D1655/E1655-1,"")</f>
        <v>-0.2088</v>
      </c>
      <c r="H1655" s="3" t="str">
        <f aca="false">IF(MAX(D1655,E1655)&lt;Parametros!$B$16,"",IF(E1655=0,"PIDE SIN FCST",IF(ABS(G1655)&gt;Parametros!$B$14,IF(G1655&gt;0,"SOBRE FCST","BAJO FCST"),"")))</f>
        <v>BAJO FCST</v>
      </c>
    </row>
    <row r="1656" customFormat="false" ht="15" hidden="false" customHeight="false" outlineLevel="0" collapsed="false">
      <c r="A1656" s="3" t="n">
        <v>30001597</v>
      </c>
      <c r="B1656" s="3" t="s">
        <v>265</v>
      </c>
      <c r="C1656" s="3" t="s">
        <v>1376</v>
      </c>
      <c r="D1656" s="23" t="n">
        <v>208</v>
      </c>
      <c r="E1656" s="23" t="n">
        <v>0</v>
      </c>
      <c r="F1656" s="23" t="n">
        <f aca="false">D1656-E1656</f>
        <v>208</v>
      </c>
      <c r="G1656" s="24" t="str">
        <f aca="false">IF(E1656&gt;0,D1656/E1656-1,"")</f>
        <v/>
      </c>
      <c r="H1656" s="3" t="str">
        <f aca="false">IF(MAX(D1656,E1656)&lt;Parametros!$B$16,"",IF(E1656=0,"PIDE SIN FCST",IF(ABS(G1656)&gt;Parametros!$B$14,IF(G1656&gt;0,"SOBRE FCST","BAJO FCST"),"")))</f>
        <v/>
      </c>
    </row>
    <row r="1657" customFormat="false" ht="15" hidden="false" customHeight="false" outlineLevel="0" collapsed="false">
      <c r="A1657" s="3" t="n">
        <v>30001152</v>
      </c>
      <c r="B1657" s="3" t="s">
        <v>577</v>
      </c>
      <c r="C1657" s="3" t="s">
        <v>1378</v>
      </c>
      <c r="D1657" s="23" t="n">
        <v>42.56</v>
      </c>
      <c r="E1657" s="23" t="n">
        <v>250</v>
      </c>
      <c r="F1657" s="23" t="n">
        <f aca="false">D1657-E1657</f>
        <v>-207.44</v>
      </c>
      <c r="G1657" s="24" t="n">
        <f aca="false">IF(E1657&gt;0,D1657/E1657-1,"")</f>
        <v>-0.82976</v>
      </c>
      <c r="H1657" s="3" t="str">
        <f aca="false">IF(MAX(D1657,E1657)&lt;Parametros!$B$16,"",IF(E1657=0,"PIDE SIN FCST",IF(ABS(G1657)&gt;Parametros!$B$14,IF(G1657&gt;0,"SOBRE FCST","BAJO FCST"),"")))</f>
        <v/>
      </c>
    </row>
    <row r="1658" customFormat="false" ht="15" hidden="false" customHeight="false" outlineLevel="0" collapsed="false">
      <c r="A1658" s="3" t="n">
        <v>30001407</v>
      </c>
      <c r="B1658" s="3" t="s">
        <v>537</v>
      </c>
      <c r="C1658" s="3" t="s">
        <v>1378</v>
      </c>
      <c r="D1658" s="23" t="n">
        <v>562.5</v>
      </c>
      <c r="E1658" s="23" t="n">
        <v>355.13923928339</v>
      </c>
      <c r="F1658" s="23" t="n">
        <f aca="false">D1658-E1658</f>
        <v>207.36076071661</v>
      </c>
      <c r="G1658" s="24" t="n">
        <f aca="false">IF(E1658&gt;0,D1658/E1658-1,"")</f>
        <v>0.5838858052831</v>
      </c>
      <c r="H1658" s="3" t="str">
        <f aca="false">IF(MAX(D1658,E1658)&lt;Parametros!$B$16,"",IF(E1658=0,"PIDE SIN FCST",IF(ABS(G1658)&gt;Parametros!$B$14,IF(G1658&gt;0,"SOBRE FCST","BAJO FCST"),"")))</f>
        <v/>
      </c>
    </row>
    <row r="1659" customFormat="false" ht="15" hidden="false" customHeight="false" outlineLevel="0" collapsed="false">
      <c r="A1659" s="3" t="n">
        <v>30000674</v>
      </c>
      <c r="B1659" s="3" t="s">
        <v>480</v>
      </c>
      <c r="C1659" s="3" t="s">
        <v>1375</v>
      </c>
      <c r="D1659" s="23" t="n">
        <v>907.2</v>
      </c>
      <c r="E1659" s="23" t="n">
        <v>700</v>
      </c>
      <c r="F1659" s="23" t="n">
        <f aca="false">D1659-E1659</f>
        <v>207.2</v>
      </c>
      <c r="G1659" s="24" t="n">
        <f aca="false">IF(E1659&gt;0,D1659/E1659-1,"")</f>
        <v>0.296</v>
      </c>
      <c r="H1659" s="3" t="str">
        <f aca="false">IF(MAX(D1659,E1659)&lt;Parametros!$B$16,"",IF(E1659=0,"PIDE SIN FCST",IF(ABS(G1659)&gt;Parametros!$B$14,IF(G1659&gt;0,"SOBRE FCST","BAJO FCST"),"")))</f>
        <v/>
      </c>
    </row>
    <row r="1660" customFormat="false" ht="15" hidden="false" customHeight="false" outlineLevel="0" collapsed="false">
      <c r="A1660" s="3" t="n">
        <v>30001773</v>
      </c>
      <c r="B1660" s="3" t="s">
        <v>345</v>
      </c>
      <c r="C1660" s="3" t="s">
        <v>1372</v>
      </c>
      <c r="D1660" s="23" t="n">
        <v>205.04</v>
      </c>
      <c r="E1660" s="23" t="n">
        <v>0</v>
      </c>
      <c r="F1660" s="23" t="n">
        <f aca="false">D1660-E1660</f>
        <v>205.04</v>
      </c>
      <c r="G1660" s="24" t="str">
        <f aca="false">IF(E1660&gt;0,D1660/E1660-1,"")</f>
        <v/>
      </c>
      <c r="H1660" s="3" t="str">
        <f aca="false">IF(MAX(D1660,E1660)&lt;Parametros!$B$16,"",IF(E1660=0,"PIDE SIN FCST",IF(ABS(G1660)&gt;Parametros!$B$14,IF(G1660&gt;0,"SOBRE FCST","BAJO FCST"),"")))</f>
        <v/>
      </c>
    </row>
    <row r="1661" customFormat="false" ht="15" hidden="false" customHeight="false" outlineLevel="0" collapsed="false">
      <c r="A1661" s="3" t="n">
        <v>30002114</v>
      </c>
      <c r="B1661" s="3" t="s">
        <v>600</v>
      </c>
      <c r="C1661" s="3" t="s">
        <v>1380</v>
      </c>
      <c r="D1661" s="23" t="n">
        <v>445</v>
      </c>
      <c r="E1661" s="23" t="n">
        <v>650</v>
      </c>
      <c r="F1661" s="23" t="n">
        <f aca="false">D1661-E1661</f>
        <v>-205</v>
      </c>
      <c r="G1661" s="24" t="n">
        <f aca="false">IF(E1661&gt;0,D1661/E1661-1,"")</f>
        <v>-0.315384615384615</v>
      </c>
      <c r="H1661" s="3" t="str">
        <f aca="false">IF(MAX(D1661,E1661)&lt;Parametros!$B$16,"",IF(E1661=0,"PIDE SIN FCST",IF(ABS(G1661)&gt;Parametros!$B$14,IF(G1661&gt;0,"SOBRE FCST","BAJO FCST"),"")))</f>
        <v/>
      </c>
    </row>
    <row r="1662" customFormat="false" ht="15" hidden="false" customHeight="false" outlineLevel="0" collapsed="false">
      <c r="A1662" s="3" t="n">
        <v>30001143</v>
      </c>
      <c r="B1662" s="3" t="s">
        <v>503</v>
      </c>
      <c r="C1662" s="3" t="s">
        <v>1378</v>
      </c>
      <c r="D1662" s="23" t="n">
        <v>295</v>
      </c>
      <c r="E1662" s="23" t="n">
        <v>500</v>
      </c>
      <c r="F1662" s="23" t="n">
        <f aca="false">D1662-E1662</f>
        <v>-205</v>
      </c>
      <c r="G1662" s="24" t="n">
        <f aca="false">IF(E1662&gt;0,D1662/E1662-1,"")</f>
        <v>-0.41</v>
      </c>
      <c r="H1662" s="3" t="str">
        <f aca="false">IF(MAX(D1662,E1662)&lt;Parametros!$B$16,"",IF(E1662=0,"PIDE SIN FCST",IF(ABS(G1662)&gt;Parametros!$B$14,IF(G1662&gt;0,"SOBRE FCST","BAJO FCST"),"")))</f>
        <v/>
      </c>
    </row>
    <row r="1663" customFormat="false" ht="15" hidden="false" customHeight="false" outlineLevel="0" collapsed="false">
      <c r="A1663" s="3" t="n">
        <v>30000640</v>
      </c>
      <c r="B1663" s="3" t="s">
        <v>606</v>
      </c>
      <c r="C1663" s="3" t="s">
        <v>1378</v>
      </c>
      <c r="D1663" s="23" t="n">
        <v>85.12</v>
      </c>
      <c r="E1663" s="23" t="n">
        <v>290</v>
      </c>
      <c r="F1663" s="23" t="n">
        <f aca="false">D1663-E1663</f>
        <v>-204.88</v>
      </c>
      <c r="G1663" s="24" t="n">
        <f aca="false">IF(E1663&gt;0,D1663/E1663-1,"")</f>
        <v>-0.70648275862069</v>
      </c>
      <c r="H1663" s="3" t="str">
        <f aca="false">IF(MAX(D1663,E1663)&lt;Parametros!$B$16,"",IF(E1663=0,"PIDE SIN FCST",IF(ABS(G1663)&gt;Parametros!$B$14,IF(G1663&gt;0,"SOBRE FCST","BAJO FCST"),"")))</f>
        <v/>
      </c>
    </row>
    <row r="1664" customFormat="false" ht="15" hidden="false" customHeight="false" outlineLevel="0" collapsed="false">
      <c r="A1664" s="3" t="n">
        <v>30001036</v>
      </c>
      <c r="B1664" s="3" t="s">
        <v>610</v>
      </c>
      <c r="C1664" s="3" t="s">
        <v>1373</v>
      </c>
      <c r="D1664" s="23" t="n">
        <v>199.8</v>
      </c>
      <c r="E1664" s="23" t="n">
        <v>404.179253361923</v>
      </c>
      <c r="F1664" s="23" t="n">
        <f aca="false">D1664-E1664</f>
        <v>-204.379253361923</v>
      </c>
      <c r="G1664" s="24" t="n">
        <f aca="false">IF(E1664&gt;0,D1664/E1664-1,"")</f>
        <v>-0.505664879287882</v>
      </c>
      <c r="H1664" s="3" t="str">
        <f aca="false">IF(MAX(D1664,E1664)&lt;Parametros!$B$16,"",IF(E1664=0,"PIDE SIN FCST",IF(ABS(G1664)&gt;Parametros!$B$14,IF(G1664&gt;0,"SOBRE FCST","BAJO FCST"),"")))</f>
        <v/>
      </c>
    </row>
    <row r="1665" customFormat="false" ht="15" hidden="false" customHeight="false" outlineLevel="0" collapsed="false">
      <c r="A1665" s="3" t="n">
        <v>30000334</v>
      </c>
      <c r="B1665" s="3" t="s">
        <v>447</v>
      </c>
      <c r="C1665" s="3" t="s">
        <v>1376</v>
      </c>
      <c r="D1665" s="23" t="n">
        <v>564</v>
      </c>
      <c r="E1665" s="23" t="n">
        <v>768</v>
      </c>
      <c r="F1665" s="23" t="n">
        <f aca="false">D1665-E1665</f>
        <v>-204</v>
      </c>
      <c r="G1665" s="24" t="n">
        <f aca="false">IF(E1665&gt;0,D1665/E1665-1,"")</f>
        <v>-0.265625</v>
      </c>
      <c r="H1665" s="3" t="str">
        <f aca="false">IF(MAX(D1665,E1665)&lt;Parametros!$B$16,"",IF(E1665=0,"PIDE SIN FCST",IF(ABS(G1665)&gt;Parametros!$B$14,IF(G1665&gt;0,"SOBRE FCST","BAJO FCST"),"")))</f>
        <v/>
      </c>
    </row>
    <row r="1666" customFormat="false" ht="15" hidden="false" customHeight="false" outlineLevel="0" collapsed="false">
      <c r="A1666" s="3" t="n">
        <v>30002297</v>
      </c>
      <c r="B1666" s="3" t="s">
        <v>567</v>
      </c>
      <c r="C1666" s="3" t="s">
        <v>1375</v>
      </c>
      <c r="D1666" s="23" t="n">
        <v>2904</v>
      </c>
      <c r="E1666" s="23" t="n">
        <v>2700</v>
      </c>
      <c r="F1666" s="23" t="n">
        <f aca="false">D1666-E1666</f>
        <v>204</v>
      </c>
      <c r="G1666" s="24" t="n">
        <f aca="false">IF(E1666&gt;0,D1666/E1666-1,"")</f>
        <v>0.0755555555555556</v>
      </c>
      <c r="H1666" s="3" t="str">
        <f aca="false">IF(MAX(D1666,E1666)&lt;Parametros!$B$16,"",IF(E1666=0,"PIDE SIN FCST",IF(ABS(G1666)&gt;Parametros!$B$14,IF(G1666&gt;0,"SOBRE FCST","BAJO FCST"),"")))</f>
        <v/>
      </c>
    </row>
    <row r="1667" customFormat="false" ht="15" hidden="false" customHeight="false" outlineLevel="0" collapsed="false">
      <c r="A1667" s="3" t="n">
        <v>30000384</v>
      </c>
      <c r="B1667" s="3" t="s">
        <v>262</v>
      </c>
      <c r="C1667" s="3" t="s">
        <v>1377</v>
      </c>
      <c r="D1667" s="23" t="n">
        <v>1416</v>
      </c>
      <c r="E1667" s="23" t="n">
        <v>1619.50737122814</v>
      </c>
      <c r="F1667" s="23" t="n">
        <f aca="false">D1667-E1667</f>
        <v>-203.507371228135</v>
      </c>
      <c r="G1667" s="24" t="n">
        <f aca="false">IF(E1667&gt;0,D1667/E1667-1,"")</f>
        <v>-0.125660046285438</v>
      </c>
      <c r="H1667" s="3" t="str">
        <f aca="false">IF(MAX(D1667,E1667)&lt;Parametros!$B$16,"",IF(E1667=0,"PIDE SIN FCST",IF(ABS(G1667)&gt;Parametros!$B$14,IF(G1667&gt;0,"SOBRE FCST","BAJO FCST"),"")))</f>
        <v/>
      </c>
    </row>
    <row r="1668" customFormat="false" ht="15" hidden="false" customHeight="false" outlineLevel="0" collapsed="false">
      <c r="A1668" s="3" t="n">
        <v>30002081</v>
      </c>
      <c r="B1668" s="3" t="s">
        <v>579</v>
      </c>
      <c r="C1668" s="3" t="s">
        <v>1380</v>
      </c>
      <c r="D1668" s="23" t="n">
        <v>997.12</v>
      </c>
      <c r="E1668" s="23" t="n">
        <v>1200</v>
      </c>
      <c r="F1668" s="23" t="n">
        <f aca="false">D1668-E1668</f>
        <v>-202.88</v>
      </c>
      <c r="G1668" s="24" t="n">
        <f aca="false">IF(E1668&gt;0,D1668/E1668-1,"")</f>
        <v>-0.169066666666667</v>
      </c>
      <c r="H1668" s="3" t="str">
        <f aca="false">IF(MAX(D1668,E1668)&lt;Parametros!$B$16,"",IF(E1668=0,"PIDE SIN FCST",IF(ABS(G1668)&gt;Parametros!$B$14,IF(G1668&gt;0,"SOBRE FCST","BAJO FCST"),"")))</f>
        <v/>
      </c>
    </row>
    <row r="1669" customFormat="false" ht="15" hidden="false" customHeight="false" outlineLevel="0" collapsed="false">
      <c r="A1669" s="3" t="n">
        <v>30000613</v>
      </c>
      <c r="B1669" s="3" t="s">
        <v>529</v>
      </c>
      <c r="C1669" s="3" t="s">
        <v>1378</v>
      </c>
      <c r="D1669" s="23" t="n">
        <v>48</v>
      </c>
      <c r="E1669" s="23" t="n">
        <v>250</v>
      </c>
      <c r="F1669" s="23" t="n">
        <f aca="false">D1669-E1669</f>
        <v>-202</v>
      </c>
      <c r="G1669" s="24" t="n">
        <f aca="false">IF(E1669&gt;0,D1669/E1669-1,"")</f>
        <v>-0.808</v>
      </c>
      <c r="H1669" s="3" t="str">
        <f aca="false">IF(MAX(D1669,E1669)&lt;Parametros!$B$16,"",IF(E1669=0,"PIDE SIN FCST",IF(ABS(G1669)&gt;Parametros!$B$14,IF(G1669&gt;0,"SOBRE FCST","BAJO FCST"),"")))</f>
        <v/>
      </c>
    </row>
    <row r="1670" customFormat="false" ht="15" hidden="false" customHeight="false" outlineLevel="0" collapsed="false">
      <c r="A1670" s="3" t="n">
        <v>30002199</v>
      </c>
      <c r="B1670" s="3" t="s">
        <v>276</v>
      </c>
      <c r="C1670" s="3" t="s">
        <v>1376</v>
      </c>
      <c r="D1670" s="23" t="n">
        <v>201.6</v>
      </c>
      <c r="E1670" s="23" t="n">
        <v>0</v>
      </c>
      <c r="F1670" s="23" t="n">
        <f aca="false">D1670-E1670</f>
        <v>201.6</v>
      </c>
      <c r="G1670" s="24" t="str">
        <f aca="false">IF(E1670&gt;0,D1670/E1670-1,"")</f>
        <v/>
      </c>
      <c r="H1670" s="3" t="str">
        <f aca="false">IF(MAX(D1670,E1670)&lt;Parametros!$B$16,"",IF(E1670=0,"PIDE SIN FCST",IF(ABS(G1670)&gt;Parametros!$B$14,IF(G1670&gt;0,"SOBRE FCST","BAJO FCST"),"")))</f>
        <v/>
      </c>
    </row>
    <row r="1671" customFormat="false" ht="15" hidden="false" customHeight="false" outlineLevel="0" collapsed="false">
      <c r="A1671" s="3" t="n">
        <v>30000636</v>
      </c>
      <c r="B1671" s="3" t="s">
        <v>479</v>
      </c>
      <c r="C1671" s="3" t="s">
        <v>1379</v>
      </c>
      <c r="D1671" s="23" t="n">
        <v>201.6</v>
      </c>
      <c r="E1671" s="23" t="n">
        <v>0</v>
      </c>
      <c r="F1671" s="23" t="n">
        <f aca="false">D1671-E1671</f>
        <v>201.6</v>
      </c>
      <c r="G1671" s="24" t="str">
        <f aca="false">IF(E1671&gt;0,D1671/E1671-1,"")</f>
        <v/>
      </c>
      <c r="H1671" s="3" t="str">
        <f aca="false">IF(MAX(D1671,E1671)&lt;Parametros!$B$16,"",IF(E1671=0,"PIDE SIN FCST",IF(ABS(G1671)&gt;Parametros!$B$14,IF(G1671&gt;0,"SOBRE FCST","BAJO FCST"),"")))</f>
        <v/>
      </c>
    </row>
    <row r="1672" customFormat="false" ht="15" hidden="false" customHeight="false" outlineLevel="0" collapsed="false">
      <c r="A1672" s="3" t="n">
        <v>30001860</v>
      </c>
      <c r="B1672" s="3" t="s">
        <v>626</v>
      </c>
      <c r="C1672" s="3" t="s">
        <v>1379</v>
      </c>
      <c r="D1672" s="23" t="n">
        <v>149.025</v>
      </c>
      <c r="E1672" s="23" t="n">
        <v>350</v>
      </c>
      <c r="F1672" s="23" t="n">
        <f aca="false">D1672-E1672</f>
        <v>-200.975</v>
      </c>
      <c r="G1672" s="24" t="n">
        <f aca="false">IF(E1672&gt;0,D1672/E1672-1,"")</f>
        <v>-0.574214285714286</v>
      </c>
      <c r="H1672" s="3" t="str">
        <f aca="false">IF(MAX(D1672,E1672)&lt;Parametros!$B$16,"",IF(E1672=0,"PIDE SIN FCST",IF(ABS(G1672)&gt;Parametros!$B$14,IF(G1672&gt;0,"SOBRE FCST","BAJO FCST"),"")))</f>
        <v/>
      </c>
    </row>
    <row r="1673" customFormat="false" ht="15" hidden="false" customHeight="false" outlineLevel="0" collapsed="false">
      <c r="A1673" s="3" t="n">
        <v>30000551</v>
      </c>
      <c r="B1673" s="3" t="s">
        <v>245</v>
      </c>
      <c r="C1673" s="3" t="s">
        <v>1373</v>
      </c>
      <c r="D1673" s="23" t="n">
        <v>5376</v>
      </c>
      <c r="E1673" s="23" t="n">
        <v>5175.45039297442</v>
      </c>
      <c r="F1673" s="23" t="n">
        <f aca="false">D1673-E1673</f>
        <v>200.549607025581</v>
      </c>
      <c r="G1673" s="24" t="n">
        <f aca="false">IF(E1673&gt;0,D1673/E1673-1,"")</f>
        <v>0.0387501747283336</v>
      </c>
      <c r="H1673" s="3" t="str">
        <f aca="false">IF(MAX(D1673,E1673)&lt;Parametros!$B$16,"",IF(E1673=0,"PIDE SIN FCST",IF(ABS(G1673)&gt;Parametros!$B$14,IF(G1673&gt;0,"SOBRE FCST","BAJO FCST"),"")))</f>
        <v/>
      </c>
    </row>
    <row r="1674" customFormat="false" ht="15" hidden="false" customHeight="false" outlineLevel="0" collapsed="false">
      <c r="A1674" s="3" t="n">
        <v>30000327</v>
      </c>
      <c r="B1674" s="3" t="s">
        <v>423</v>
      </c>
      <c r="C1674" s="3" t="s">
        <v>1378</v>
      </c>
      <c r="D1674" s="23" t="n">
        <v>1476</v>
      </c>
      <c r="E1674" s="23" t="n">
        <v>1275.89635549872</v>
      </c>
      <c r="F1674" s="23" t="n">
        <f aca="false">D1674-E1674</f>
        <v>200.103644501279</v>
      </c>
      <c r="G1674" s="24" t="n">
        <f aca="false">IF(E1674&gt;0,D1674/E1674-1,"")</f>
        <v>0.156833777006176</v>
      </c>
      <c r="H1674" s="3" t="str">
        <f aca="false">IF(MAX(D1674,E1674)&lt;Parametros!$B$16,"",IF(E1674=0,"PIDE SIN FCST",IF(ABS(G1674)&gt;Parametros!$B$14,IF(G1674&gt;0,"SOBRE FCST","BAJO FCST"),"")))</f>
        <v/>
      </c>
    </row>
    <row r="1675" customFormat="false" ht="15" hidden="false" customHeight="false" outlineLevel="0" collapsed="false">
      <c r="A1675" s="3" t="n">
        <v>30002303</v>
      </c>
      <c r="B1675" s="3" t="s">
        <v>637</v>
      </c>
      <c r="C1675" s="3" t="s">
        <v>1377</v>
      </c>
      <c r="D1675" s="23" t="n">
        <v>0</v>
      </c>
      <c r="E1675" s="23" t="n">
        <v>200</v>
      </c>
      <c r="F1675" s="23" t="n">
        <f aca="false">D1675-E1675</f>
        <v>-200</v>
      </c>
      <c r="G1675" s="24" t="n">
        <f aca="false">IF(E1675&gt;0,D1675/E1675-1,"")</f>
        <v>-1</v>
      </c>
      <c r="H1675" s="3" t="str">
        <f aca="false">IF(MAX(D1675,E1675)&lt;Parametros!$B$16,"",IF(E1675=0,"PIDE SIN FCST",IF(ABS(G1675)&gt;Parametros!$B$14,IF(G1675&gt;0,"SOBRE FCST","BAJO FCST"),"")))</f>
        <v/>
      </c>
    </row>
    <row r="1676" customFormat="false" ht="15" hidden="false" customHeight="false" outlineLevel="0" collapsed="false">
      <c r="A1676" s="3" t="n">
        <v>30000321</v>
      </c>
      <c r="B1676" s="3" t="s">
        <v>351</v>
      </c>
      <c r="C1676" s="3" t="s">
        <v>1375</v>
      </c>
      <c r="D1676" s="23" t="n">
        <v>4800</v>
      </c>
      <c r="E1676" s="23" t="n">
        <v>5000</v>
      </c>
      <c r="F1676" s="23" t="n">
        <f aca="false">D1676-E1676</f>
        <v>-200</v>
      </c>
      <c r="G1676" s="24" t="n">
        <f aca="false">IF(E1676&gt;0,D1676/E1676-1,"")</f>
        <v>-0.04</v>
      </c>
      <c r="H1676" s="3" t="str">
        <f aca="false">IF(MAX(D1676,E1676)&lt;Parametros!$B$16,"",IF(E1676=0,"PIDE SIN FCST",IF(ABS(G1676)&gt;Parametros!$B$14,IF(G1676&gt;0,"SOBRE FCST","BAJO FCST"),"")))</f>
        <v/>
      </c>
    </row>
    <row r="1677" customFormat="false" ht="15" hidden="false" customHeight="false" outlineLevel="0" collapsed="false">
      <c r="A1677" s="3" t="n">
        <v>30001142</v>
      </c>
      <c r="B1677" s="3" t="s">
        <v>521</v>
      </c>
      <c r="C1677" s="3" t="s">
        <v>1373</v>
      </c>
      <c r="D1677" s="23" t="n">
        <v>650</v>
      </c>
      <c r="E1677" s="23" t="n">
        <v>450</v>
      </c>
      <c r="F1677" s="23" t="n">
        <f aca="false">D1677-E1677</f>
        <v>200</v>
      </c>
      <c r="G1677" s="24" t="n">
        <f aca="false">IF(E1677&gt;0,D1677/E1677-1,"")</f>
        <v>0.444444444444444</v>
      </c>
      <c r="H1677" s="3" t="str">
        <f aca="false">IF(MAX(D1677,E1677)&lt;Parametros!$B$16,"",IF(E1677=0,"PIDE SIN FCST",IF(ABS(G1677)&gt;Parametros!$B$14,IF(G1677&gt;0,"SOBRE FCST","BAJO FCST"),"")))</f>
        <v/>
      </c>
    </row>
    <row r="1678" customFormat="false" ht="15" hidden="false" customHeight="false" outlineLevel="0" collapsed="false">
      <c r="A1678" s="3" t="n">
        <v>30002302</v>
      </c>
      <c r="B1678" s="3" t="s">
        <v>634</v>
      </c>
      <c r="C1678" s="3" t="s">
        <v>1377</v>
      </c>
      <c r="D1678" s="23" t="n">
        <v>0</v>
      </c>
      <c r="E1678" s="23" t="n">
        <v>200</v>
      </c>
      <c r="F1678" s="23" t="n">
        <f aca="false">D1678-E1678</f>
        <v>-200</v>
      </c>
      <c r="G1678" s="24" t="n">
        <f aca="false">IF(E1678&gt;0,D1678/E1678-1,"")</f>
        <v>-1</v>
      </c>
      <c r="H1678" s="3" t="str">
        <f aca="false">IF(MAX(D1678,E1678)&lt;Parametros!$B$16,"",IF(E1678=0,"PIDE SIN FCST",IF(ABS(G1678)&gt;Parametros!$B$14,IF(G1678&gt;0,"SOBRE FCST","BAJO FCST"),"")))</f>
        <v/>
      </c>
    </row>
    <row r="1679" customFormat="false" ht="15" hidden="false" customHeight="false" outlineLevel="0" collapsed="false">
      <c r="A1679" s="3" t="n">
        <v>30002282</v>
      </c>
      <c r="B1679" s="3" t="s">
        <v>593</v>
      </c>
      <c r="C1679" s="3" t="s">
        <v>1377</v>
      </c>
      <c r="D1679" s="23" t="n">
        <v>60</v>
      </c>
      <c r="E1679" s="23" t="n">
        <v>259.261417069185</v>
      </c>
      <c r="F1679" s="23" t="n">
        <f aca="false">D1679-E1679</f>
        <v>-199.261417069185</v>
      </c>
      <c r="G1679" s="24" t="n">
        <f aca="false">IF(E1679&gt;0,D1679/E1679-1,"")</f>
        <v>-0.768573354731033</v>
      </c>
      <c r="H1679" s="3" t="str">
        <f aca="false">IF(MAX(D1679,E1679)&lt;Parametros!$B$16,"",IF(E1679=0,"PIDE SIN FCST",IF(ABS(G1679)&gt;Parametros!$B$14,IF(G1679&gt;0,"SOBRE FCST","BAJO FCST"),"")))</f>
        <v/>
      </c>
    </row>
    <row r="1680" customFormat="false" ht="15" hidden="false" customHeight="false" outlineLevel="0" collapsed="false">
      <c r="A1680" s="3" t="n">
        <v>30001760</v>
      </c>
      <c r="B1680" s="3" t="s">
        <v>301</v>
      </c>
      <c r="C1680" s="3" t="s">
        <v>1377</v>
      </c>
      <c r="D1680" s="23" t="n">
        <v>1474.2</v>
      </c>
      <c r="E1680" s="23" t="n">
        <v>1275</v>
      </c>
      <c r="F1680" s="23" t="n">
        <f aca="false">D1680-E1680</f>
        <v>199.2</v>
      </c>
      <c r="G1680" s="24" t="n">
        <f aca="false">IF(E1680&gt;0,D1680/E1680-1,"")</f>
        <v>0.156235294117647</v>
      </c>
      <c r="H1680" s="3" t="str">
        <f aca="false">IF(MAX(D1680,E1680)&lt;Parametros!$B$16,"",IF(E1680=0,"PIDE SIN FCST",IF(ABS(G1680)&gt;Parametros!$B$14,IF(G1680&gt;0,"SOBRE FCST","BAJO FCST"),"")))</f>
        <v/>
      </c>
    </row>
    <row r="1681" customFormat="false" ht="15" hidden="false" customHeight="false" outlineLevel="0" collapsed="false">
      <c r="A1681" s="3" t="n">
        <v>30000169</v>
      </c>
      <c r="B1681" s="3" t="s">
        <v>519</v>
      </c>
      <c r="C1681" s="3" t="s">
        <v>1373</v>
      </c>
      <c r="D1681" s="23" t="n">
        <v>3024</v>
      </c>
      <c r="E1681" s="23" t="n">
        <v>2825</v>
      </c>
      <c r="F1681" s="23" t="n">
        <f aca="false">D1681-E1681</f>
        <v>199</v>
      </c>
      <c r="G1681" s="24" t="n">
        <f aca="false">IF(E1681&gt;0,D1681/E1681-1,"")</f>
        <v>0.0704424778761061</v>
      </c>
      <c r="H1681" s="3" t="str">
        <f aca="false">IF(MAX(D1681,E1681)&lt;Parametros!$B$16,"",IF(E1681=0,"PIDE SIN FCST",IF(ABS(G1681)&gt;Parametros!$B$14,IF(G1681&gt;0,"SOBRE FCST","BAJO FCST"),"")))</f>
        <v/>
      </c>
    </row>
    <row r="1682" customFormat="false" ht="15" hidden="false" customHeight="false" outlineLevel="0" collapsed="false">
      <c r="A1682" s="3" t="n">
        <v>30002172</v>
      </c>
      <c r="B1682" s="3" t="s">
        <v>491</v>
      </c>
      <c r="C1682" s="3" t="s">
        <v>1379</v>
      </c>
      <c r="D1682" s="23" t="n">
        <v>585.6</v>
      </c>
      <c r="E1682" s="23" t="n">
        <v>386.655368083014</v>
      </c>
      <c r="F1682" s="23" t="n">
        <f aca="false">D1682-E1682</f>
        <v>198.944631916986</v>
      </c>
      <c r="G1682" s="24" t="n">
        <f aca="false">IF(E1682&gt;0,D1682/E1682-1,"")</f>
        <v>0.514527013819379</v>
      </c>
      <c r="H1682" s="3" t="str">
        <f aca="false">IF(MAX(D1682,E1682)&lt;Parametros!$B$16,"",IF(E1682=0,"PIDE SIN FCST",IF(ABS(G1682)&gt;Parametros!$B$14,IF(G1682&gt;0,"SOBRE FCST","BAJO FCST"),"")))</f>
        <v/>
      </c>
    </row>
    <row r="1683" customFormat="false" ht="15" hidden="false" customHeight="false" outlineLevel="0" collapsed="false">
      <c r="A1683" s="3" t="n">
        <v>30002046</v>
      </c>
      <c r="B1683" s="3" t="s">
        <v>620</v>
      </c>
      <c r="C1683" s="3" t="s">
        <v>1375</v>
      </c>
      <c r="D1683" s="23" t="n">
        <v>748.44</v>
      </c>
      <c r="E1683" s="23" t="n">
        <v>550</v>
      </c>
      <c r="F1683" s="23" t="n">
        <f aca="false">D1683-E1683</f>
        <v>198.44</v>
      </c>
      <c r="G1683" s="24" t="n">
        <f aca="false">IF(E1683&gt;0,D1683/E1683-1,"")</f>
        <v>0.3608</v>
      </c>
      <c r="H1683" s="3" t="str">
        <f aca="false">IF(MAX(D1683,E1683)&lt;Parametros!$B$16,"",IF(E1683=0,"PIDE SIN FCST",IF(ABS(G1683)&gt;Parametros!$B$14,IF(G1683&gt;0,"SOBRE FCST","BAJO FCST"),"")))</f>
        <v/>
      </c>
    </row>
    <row r="1684" customFormat="false" ht="15" hidden="false" customHeight="false" outlineLevel="0" collapsed="false">
      <c r="A1684" s="3" t="n">
        <v>30002292</v>
      </c>
      <c r="B1684" s="3" t="s">
        <v>443</v>
      </c>
      <c r="C1684" s="3" t="s">
        <v>1377</v>
      </c>
      <c r="D1684" s="23" t="n">
        <v>198</v>
      </c>
      <c r="E1684" s="23" t="n">
        <v>0</v>
      </c>
      <c r="F1684" s="23" t="n">
        <f aca="false">D1684-E1684</f>
        <v>198</v>
      </c>
      <c r="G1684" s="24" t="str">
        <f aca="false">IF(E1684&gt;0,D1684/E1684-1,"")</f>
        <v/>
      </c>
      <c r="H1684" s="3" t="str">
        <f aca="false">IF(MAX(D1684,E1684)&lt;Parametros!$B$16,"",IF(E1684=0,"PIDE SIN FCST",IF(ABS(G1684)&gt;Parametros!$B$14,IF(G1684&gt;0,"SOBRE FCST","BAJO FCST"),"")))</f>
        <v/>
      </c>
    </row>
    <row r="1685" customFormat="false" ht="15" hidden="false" customHeight="false" outlineLevel="0" collapsed="false">
      <c r="A1685" s="3" t="n">
        <v>30001474</v>
      </c>
      <c r="B1685" s="3" t="s">
        <v>514</v>
      </c>
      <c r="C1685" s="3" t="s">
        <v>1377</v>
      </c>
      <c r="D1685" s="23" t="n">
        <v>1020.6</v>
      </c>
      <c r="E1685" s="23" t="n">
        <v>822.727847796205</v>
      </c>
      <c r="F1685" s="23" t="n">
        <f aca="false">D1685-E1685</f>
        <v>197.872152203795</v>
      </c>
      <c r="G1685" s="24" t="n">
        <f aca="false">IF(E1685&gt;0,D1685/E1685-1,"")</f>
        <v>0.240507420204414</v>
      </c>
      <c r="H1685" s="3" t="str">
        <f aca="false">IF(MAX(D1685,E1685)&lt;Parametros!$B$16,"",IF(E1685=0,"PIDE SIN FCST",IF(ABS(G1685)&gt;Parametros!$B$14,IF(G1685&gt;0,"SOBRE FCST","BAJO FCST"),"")))</f>
        <v>SOBRE FCST</v>
      </c>
    </row>
    <row r="1686" customFormat="false" ht="15" hidden="false" customHeight="false" outlineLevel="0" collapsed="false">
      <c r="A1686" s="3" t="n">
        <v>30001051</v>
      </c>
      <c r="B1686" s="3" t="s">
        <v>226</v>
      </c>
      <c r="C1686" s="3" t="s">
        <v>1378</v>
      </c>
      <c r="D1686" s="23" t="n">
        <v>2652</v>
      </c>
      <c r="E1686" s="23" t="n">
        <v>2455.86800544577</v>
      </c>
      <c r="F1686" s="23" t="n">
        <f aca="false">D1686-E1686</f>
        <v>196.13199455423</v>
      </c>
      <c r="G1686" s="24" t="n">
        <f aca="false">IF(E1686&gt;0,D1686/E1686-1,"")</f>
        <v>0.0798625960838761</v>
      </c>
      <c r="H1686" s="3" t="str">
        <f aca="false">IF(MAX(D1686,E1686)&lt;Parametros!$B$16,"",IF(E1686=0,"PIDE SIN FCST",IF(ABS(G1686)&gt;Parametros!$B$14,IF(G1686&gt;0,"SOBRE FCST","BAJO FCST"),"")))</f>
        <v/>
      </c>
    </row>
    <row r="1687" customFormat="false" ht="15" hidden="false" customHeight="false" outlineLevel="0" collapsed="false">
      <c r="A1687" s="3" t="n">
        <v>30002064</v>
      </c>
      <c r="B1687" s="3" t="s">
        <v>509</v>
      </c>
      <c r="C1687" s="3" t="s">
        <v>1373</v>
      </c>
      <c r="D1687" s="23" t="n">
        <v>451.2</v>
      </c>
      <c r="E1687" s="23" t="n">
        <v>646.931299121803</v>
      </c>
      <c r="F1687" s="23" t="n">
        <f aca="false">D1687-E1687</f>
        <v>-195.731299121803</v>
      </c>
      <c r="G1687" s="24" t="n">
        <f aca="false">IF(E1687&gt;0,D1687/E1687-1,"")</f>
        <v>-0.302553454110976</v>
      </c>
      <c r="H1687" s="3" t="str">
        <f aca="false">IF(MAX(D1687,E1687)&lt;Parametros!$B$16,"",IF(E1687=0,"PIDE SIN FCST",IF(ABS(G1687)&gt;Parametros!$B$14,IF(G1687&gt;0,"SOBRE FCST","BAJO FCST"),"")))</f>
        <v/>
      </c>
    </row>
    <row r="1688" customFormat="false" ht="15" hidden="false" customHeight="false" outlineLevel="0" collapsed="false">
      <c r="A1688" s="3" t="n">
        <v>30002061</v>
      </c>
      <c r="B1688" s="3" t="s">
        <v>516</v>
      </c>
      <c r="C1688" s="3" t="s">
        <v>1375</v>
      </c>
      <c r="D1688" s="23" t="n">
        <v>3578.5</v>
      </c>
      <c r="E1688" s="23" t="n">
        <v>3773.76591154385</v>
      </c>
      <c r="F1688" s="23" t="n">
        <f aca="false">D1688-E1688</f>
        <v>-195.265911543848</v>
      </c>
      <c r="G1688" s="24" t="n">
        <f aca="false">IF(E1688&gt;0,D1688/E1688-1,"")</f>
        <v>-0.0517429846261885</v>
      </c>
      <c r="H1688" s="3" t="str">
        <f aca="false">IF(MAX(D1688,E1688)&lt;Parametros!$B$16,"",IF(E1688=0,"PIDE SIN FCST",IF(ABS(G1688)&gt;Parametros!$B$14,IF(G1688&gt;0,"SOBRE FCST","BAJO FCST"),"")))</f>
        <v/>
      </c>
    </row>
    <row r="1689" customFormat="false" ht="15" hidden="false" customHeight="false" outlineLevel="0" collapsed="false">
      <c r="A1689" s="3" t="n">
        <v>30000634</v>
      </c>
      <c r="B1689" s="3" t="s">
        <v>471</v>
      </c>
      <c r="C1689" s="3" t="s">
        <v>1376</v>
      </c>
      <c r="D1689" s="23" t="n">
        <v>595.2</v>
      </c>
      <c r="E1689" s="23" t="n">
        <v>400</v>
      </c>
      <c r="F1689" s="23" t="n">
        <f aca="false">D1689-E1689</f>
        <v>195.2</v>
      </c>
      <c r="G1689" s="24" t="n">
        <f aca="false">IF(E1689&gt;0,D1689/E1689-1,"")</f>
        <v>0.488</v>
      </c>
      <c r="H1689" s="3" t="str">
        <f aca="false">IF(MAX(D1689,E1689)&lt;Parametros!$B$16,"",IF(E1689=0,"PIDE SIN FCST",IF(ABS(G1689)&gt;Parametros!$B$14,IF(G1689&gt;0,"SOBRE FCST","BAJO FCST"),"")))</f>
        <v/>
      </c>
    </row>
    <row r="1690" customFormat="false" ht="15" hidden="false" customHeight="false" outlineLevel="0" collapsed="false">
      <c r="A1690" s="3" t="n">
        <v>30001980</v>
      </c>
      <c r="B1690" s="3" t="s">
        <v>389</v>
      </c>
      <c r="C1690" s="3" t="s">
        <v>1379</v>
      </c>
      <c r="D1690" s="23" t="n">
        <v>598.5</v>
      </c>
      <c r="E1690" s="23" t="n">
        <v>404.187586906141</v>
      </c>
      <c r="F1690" s="23" t="n">
        <f aca="false">D1690-E1690</f>
        <v>194.312413093859</v>
      </c>
      <c r="G1690" s="24" t="n">
        <f aca="false">IF(E1690&gt;0,D1690/E1690-1,"")</f>
        <v>0.480748096647958</v>
      </c>
      <c r="H1690" s="3" t="str">
        <f aca="false">IF(MAX(D1690,E1690)&lt;Parametros!$B$16,"",IF(E1690=0,"PIDE SIN FCST",IF(ABS(G1690)&gt;Parametros!$B$14,IF(G1690&gt;0,"SOBRE FCST","BAJO FCST"),"")))</f>
        <v/>
      </c>
    </row>
    <row r="1691" customFormat="false" ht="15" hidden="false" customHeight="false" outlineLevel="0" collapsed="false">
      <c r="A1691" s="3" t="n">
        <v>30000599</v>
      </c>
      <c r="B1691" s="3" t="s">
        <v>333</v>
      </c>
      <c r="C1691" s="3" t="s">
        <v>1377</v>
      </c>
      <c r="D1691" s="23" t="n">
        <v>2393.04</v>
      </c>
      <c r="E1691" s="23" t="n">
        <v>2200</v>
      </c>
      <c r="F1691" s="23" t="n">
        <f aca="false">D1691-E1691</f>
        <v>193.04</v>
      </c>
      <c r="G1691" s="24" t="n">
        <f aca="false">IF(E1691&gt;0,D1691/E1691-1,"")</f>
        <v>0.0877454545454546</v>
      </c>
      <c r="H1691" s="3" t="str">
        <f aca="false">IF(MAX(D1691,E1691)&lt;Parametros!$B$16,"",IF(E1691=0,"PIDE SIN FCST",IF(ABS(G1691)&gt;Parametros!$B$14,IF(G1691&gt;0,"SOBRE FCST","BAJO FCST"),"")))</f>
        <v/>
      </c>
    </row>
    <row r="1692" customFormat="false" ht="15" hidden="false" customHeight="false" outlineLevel="0" collapsed="false">
      <c r="A1692" s="3" t="n">
        <v>30002093</v>
      </c>
      <c r="B1692" s="3" t="s">
        <v>488</v>
      </c>
      <c r="C1692" s="3" t="s">
        <v>1377</v>
      </c>
      <c r="D1692" s="23" t="n">
        <v>448.272</v>
      </c>
      <c r="E1692" s="23" t="n">
        <v>255.577797183922</v>
      </c>
      <c r="F1692" s="23" t="n">
        <f aca="false">D1692-E1692</f>
        <v>192.694202816078</v>
      </c>
      <c r="G1692" s="24" t="n">
        <f aca="false">IF(E1692&gt;0,D1692/E1692-1,"")</f>
        <v>0.753955175055402</v>
      </c>
      <c r="H1692" s="3" t="str">
        <f aca="false">IF(MAX(D1692,E1692)&lt;Parametros!$B$16,"",IF(E1692=0,"PIDE SIN FCST",IF(ABS(G1692)&gt;Parametros!$B$14,IF(G1692&gt;0,"SOBRE FCST","BAJO FCST"),"")))</f>
        <v/>
      </c>
    </row>
    <row r="1693" customFormat="false" ht="15" hidden="false" customHeight="false" outlineLevel="0" collapsed="false">
      <c r="A1693" s="3" t="n">
        <v>30001764</v>
      </c>
      <c r="B1693" s="3" t="s">
        <v>390</v>
      </c>
      <c r="C1693" s="3" t="s">
        <v>1377</v>
      </c>
      <c r="D1693" s="23" t="n">
        <v>2619</v>
      </c>
      <c r="E1693" s="23" t="n">
        <v>2426.4</v>
      </c>
      <c r="F1693" s="23" t="n">
        <f aca="false">D1693-E1693</f>
        <v>192.6</v>
      </c>
      <c r="G1693" s="24" t="n">
        <f aca="false">IF(E1693&gt;0,D1693/E1693-1,"")</f>
        <v>0.0793768545994065</v>
      </c>
      <c r="H1693" s="3" t="str">
        <f aca="false">IF(MAX(D1693,E1693)&lt;Parametros!$B$16,"",IF(E1693=0,"PIDE SIN FCST",IF(ABS(G1693)&gt;Parametros!$B$14,IF(G1693&gt;0,"SOBRE FCST","BAJO FCST"),"")))</f>
        <v/>
      </c>
    </row>
    <row r="1694" customFormat="false" ht="15" hidden="false" customHeight="false" outlineLevel="0" collapsed="false">
      <c r="A1694" s="3" t="n">
        <v>30000660</v>
      </c>
      <c r="B1694" s="3" t="s">
        <v>388</v>
      </c>
      <c r="C1694" s="3" t="s">
        <v>1376</v>
      </c>
      <c r="D1694" s="23" t="n">
        <v>0</v>
      </c>
      <c r="E1694" s="23" t="n">
        <v>192.005042934848</v>
      </c>
      <c r="F1694" s="23" t="n">
        <f aca="false">D1694-E1694</f>
        <v>-192.005042934848</v>
      </c>
      <c r="G1694" s="24" t="n">
        <f aca="false">IF(E1694&gt;0,D1694/E1694-1,"")</f>
        <v>-1</v>
      </c>
      <c r="H1694" s="3" t="str">
        <f aca="false">IF(MAX(D1694,E1694)&lt;Parametros!$B$16,"",IF(E1694=0,"PIDE SIN FCST",IF(ABS(G1694)&gt;Parametros!$B$14,IF(G1694&gt;0,"SOBRE FCST","BAJO FCST"),"")))</f>
        <v/>
      </c>
    </row>
    <row r="1695" customFormat="false" ht="15" hidden="false" customHeight="false" outlineLevel="0" collapsed="false">
      <c r="A1695" s="3" t="n">
        <v>30002081</v>
      </c>
      <c r="B1695" s="3" t="s">
        <v>579</v>
      </c>
      <c r="C1695" s="3" t="s">
        <v>1373</v>
      </c>
      <c r="D1695" s="23" t="n">
        <v>158.08</v>
      </c>
      <c r="E1695" s="23" t="n">
        <v>350</v>
      </c>
      <c r="F1695" s="23" t="n">
        <f aca="false">D1695-E1695</f>
        <v>-191.92</v>
      </c>
      <c r="G1695" s="24" t="n">
        <f aca="false">IF(E1695&gt;0,D1695/E1695-1,"")</f>
        <v>-0.548342857142857</v>
      </c>
      <c r="H1695" s="3" t="str">
        <f aca="false">IF(MAX(D1695,E1695)&lt;Parametros!$B$16,"",IF(E1695=0,"PIDE SIN FCST",IF(ABS(G1695)&gt;Parametros!$B$14,IF(G1695&gt;0,"SOBRE FCST","BAJO FCST"),"")))</f>
        <v/>
      </c>
    </row>
    <row r="1696" customFormat="false" ht="15" hidden="false" customHeight="false" outlineLevel="0" collapsed="false">
      <c r="A1696" s="3" t="n">
        <v>30001400</v>
      </c>
      <c r="B1696" s="3" t="s">
        <v>263</v>
      </c>
      <c r="C1696" s="3" t="s">
        <v>1377</v>
      </c>
      <c r="D1696" s="23" t="n">
        <v>648.6</v>
      </c>
      <c r="E1696" s="23" t="n">
        <v>457.230922571729</v>
      </c>
      <c r="F1696" s="23" t="n">
        <f aca="false">D1696-E1696</f>
        <v>191.369077428272</v>
      </c>
      <c r="G1696" s="24" t="n">
        <f aca="false">IF(E1696&gt;0,D1696/E1696-1,"")</f>
        <v>0.41853922816922</v>
      </c>
      <c r="H1696" s="3" t="str">
        <f aca="false">IF(MAX(D1696,E1696)&lt;Parametros!$B$16,"",IF(E1696=0,"PIDE SIN FCST",IF(ABS(G1696)&gt;Parametros!$B$14,IF(G1696&gt;0,"SOBRE FCST","BAJO FCST"),"")))</f>
        <v/>
      </c>
    </row>
    <row r="1697" customFormat="false" ht="15" hidden="false" customHeight="false" outlineLevel="0" collapsed="false">
      <c r="A1697" s="3" t="n">
        <v>30001739</v>
      </c>
      <c r="B1697" s="3" t="s">
        <v>429</v>
      </c>
      <c r="C1697" s="3" t="s">
        <v>1372</v>
      </c>
      <c r="D1697" s="23" t="n">
        <v>240</v>
      </c>
      <c r="E1697" s="23" t="n">
        <v>431.287532747868</v>
      </c>
      <c r="F1697" s="23" t="n">
        <f aca="false">D1697-E1697</f>
        <v>-191.287532747868</v>
      </c>
      <c r="G1697" s="24" t="n">
        <f aca="false">IF(E1697&gt;0,D1697/E1697-1,"")</f>
        <v>-0.443526692109821</v>
      </c>
      <c r="H1697" s="3" t="str">
        <f aca="false">IF(MAX(D1697,E1697)&lt;Parametros!$B$16,"",IF(E1697=0,"PIDE SIN FCST",IF(ABS(G1697)&gt;Parametros!$B$14,IF(G1697&gt;0,"SOBRE FCST","BAJO FCST"),"")))</f>
        <v/>
      </c>
    </row>
    <row r="1698" customFormat="false" ht="15" hidden="false" customHeight="false" outlineLevel="0" collapsed="false">
      <c r="A1698" s="3" t="n">
        <v>30002325</v>
      </c>
      <c r="B1698" s="3" t="s">
        <v>505</v>
      </c>
      <c r="C1698" s="3" t="s">
        <v>1377</v>
      </c>
      <c r="D1698" s="23" t="n">
        <v>387</v>
      </c>
      <c r="E1698" s="23" t="n">
        <v>196.337832221023</v>
      </c>
      <c r="F1698" s="23" t="n">
        <f aca="false">D1698-E1698</f>
        <v>190.662167778977</v>
      </c>
      <c r="G1698" s="24" t="n">
        <f aca="false">IF(E1698&gt;0,D1698/E1698-1,"")</f>
        <v>0.971092354551128</v>
      </c>
      <c r="H1698" s="3" t="str">
        <f aca="false">IF(MAX(D1698,E1698)&lt;Parametros!$B$16,"",IF(E1698=0,"PIDE SIN FCST",IF(ABS(G1698)&gt;Parametros!$B$14,IF(G1698&gt;0,"SOBRE FCST","BAJO FCST"),"")))</f>
        <v/>
      </c>
    </row>
    <row r="1699" customFormat="false" ht="15" hidden="false" customHeight="false" outlineLevel="0" collapsed="false">
      <c r="A1699" s="3" t="n">
        <v>30000612</v>
      </c>
      <c r="B1699" s="3" t="s">
        <v>580</v>
      </c>
      <c r="C1699" s="3" t="s">
        <v>1378</v>
      </c>
      <c r="D1699" s="23" t="n">
        <v>9.6</v>
      </c>
      <c r="E1699" s="23" t="n">
        <v>200</v>
      </c>
      <c r="F1699" s="23" t="n">
        <f aca="false">D1699-E1699</f>
        <v>-190.4</v>
      </c>
      <c r="G1699" s="24" t="n">
        <f aca="false">IF(E1699&gt;0,D1699/E1699-1,"")</f>
        <v>-0.952</v>
      </c>
      <c r="H1699" s="3" t="str">
        <f aca="false">IF(MAX(D1699,E1699)&lt;Parametros!$B$16,"",IF(E1699=0,"PIDE SIN FCST",IF(ABS(G1699)&gt;Parametros!$B$14,IF(G1699&gt;0,"SOBRE FCST","BAJO FCST"),"")))</f>
        <v/>
      </c>
    </row>
    <row r="1700" customFormat="false" ht="15" hidden="false" customHeight="false" outlineLevel="0" collapsed="false">
      <c r="A1700" s="3" t="n">
        <v>30000560</v>
      </c>
      <c r="B1700" s="3" t="s">
        <v>384</v>
      </c>
      <c r="C1700" s="3" t="s">
        <v>1378</v>
      </c>
      <c r="D1700" s="23" t="n">
        <v>1484</v>
      </c>
      <c r="E1700" s="23" t="n">
        <v>1293.86259824361</v>
      </c>
      <c r="F1700" s="23" t="n">
        <f aca="false">D1700-E1700</f>
        <v>190.137401756395</v>
      </c>
      <c r="G1700" s="24" t="n">
        <f aca="false">IF(E1700&gt;0,D1700/E1700-1,"")</f>
        <v>0.146953317929202</v>
      </c>
      <c r="H1700" s="3" t="str">
        <f aca="false">IF(MAX(D1700,E1700)&lt;Parametros!$B$16,"",IF(E1700=0,"PIDE SIN FCST",IF(ABS(G1700)&gt;Parametros!$B$14,IF(G1700&gt;0,"SOBRE FCST","BAJO FCST"),"")))</f>
        <v/>
      </c>
    </row>
    <row r="1701" customFormat="false" ht="15" hidden="false" customHeight="false" outlineLevel="0" collapsed="false">
      <c r="A1701" s="3" t="n">
        <v>30002114</v>
      </c>
      <c r="B1701" s="3" t="s">
        <v>600</v>
      </c>
      <c r="C1701" s="3" t="s">
        <v>1375</v>
      </c>
      <c r="D1701" s="23" t="n">
        <v>990</v>
      </c>
      <c r="E1701" s="23" t="n">
        <v>800</v>
      </c>
      <c r="F1701" s="23" t="n">
        <f aca="false">D1701-E1701</f>
        <v>190</v>
      </c>
      <c r="G1701" s="24" t="n">
        <f aca="false">IF(E1701&gt;0,D1701/E1701-1,"")</f>
        <v>0.2375</v>
      </c>
      <c r="H1701" s="3" t="str">
        <f aca="false">IF(MAX(D1701,E1701)&lt;Parametros!$B$16,"",IF(E1701=0,"PIDE SIN FCST",IF(ABS(G1701)&gt;Parametros!$B$14,IF(G1701&gt;0,"SOBRE FCST","BAJO FCST"),"")))</f>
        <v/>
      </c>
    </row>
    <row r="1702" customFormat="false" ht="15" hidden="false" customHeight="false" outlineLevel="0" collapsed="false">
      <c r="A1702" s="3" t="n">
        <v>30000188</v>
      </c>
      <c r="B1702" s="3" t="s">
        <v>418</v>
      </c>
      <c r="C1702" s="3" t="s">
        <v>1380</v>
      </c>
      <c r="D1702" s="23" t="n">
        <v>1590</v>
      </c>
      <c r="E1702" s="23" t="n">
        <v>1400</v>
      </c>
      <c r="F1702" s="23" t="n">
        <f aca="false">D1702-E1702</f>
        <v>190</v>
      </c>
      <c r="G1702" s="24" t="n">
        <f aca="false">IF(E1702&gt;0,D1702/E1702-1,"")</f>
        <v>0.135714285714286</v>
      </c>
      <c r="H1702" s="3" t="str">
        <f aca="false">IF(MAX(D1702,E1702)&lt;Parametros!$B$16,"",IF(E1702=0,"PIDE SIN FCST",IF(ABS(G1702)&gt;Parametros!$B$14,IF(G1702&gt;0,"SOBRE FCST","BAJO FCST"),"")))</f>
        <v/>
      </c>
    </row>
    <row r="1703" customFormat="false" ht="15" hidden="false" customHeight="false" outlineLevel="0" collapsed="false">
      <c r="A1703" s="3" t="n">
        <v>30001751</v>
      </c>
      <c r="B1703" s="3" t="s">
        <v>264</v>
      </c>
      <c r="C1703" s="3" t="s">
        <v>1377</v>
      </c>
      <c r="D1703" s="23" t="n">
        <v>2160</v>
      </c>
      <c r="E1703" s="23" t="n">
        <v>2350</v>
      </c>
      <c r="F1703" s="23" t="n">
        <f aca="false">D1703-E1703</f>
        <v>-190</v>
      </c>
      <c r="G1703" s="24" t="n">
        <f aca="false">IF(E1703&gt;0,D1703/E1703-1,"")</f>
        <v>-0.0808510638297872</v>
      </c>
      <c r="H1703" s="3" t="str">
        <f aca="false">IF(MAX(D1703,E1703)&lt;Parametros!$B$16,"",IF(E1703=0,"PIDE SIN FCST",IF(ABS(G1703)&gt;Parametros!$B$14,IF(G1703&gt;0,"SOBRE FCST","BAJO FCST"),"")))</f>
        <v/>
      </c>
    </row>
    <row r="1704" customFormat="false" ht="15" hidden="false" customHeight="false" outlineLevel="0" collapsed="false">
      <c r="A1704" s="3" t="n">
        <v>30001075</v>
      </c>
      <c r="B1704" s="3" t="s">
        <v>297</v>
      </c>
      <c r="C1704" s="3" t="s">
        <v>1378</v>
      </c>
      <c r="D1704" s="23" t="n">
        <v>1679.04</v>
      </c>
      <c r="E1704" s="23" t="n">
        <v>1489.5502150384</v>
      </c>
      <c r="F1704" s="23" t="n">
        <f aca="false">D1704-E1704</f>
        <v>189.489784961605</v>
      </c>
      <c r="G1704" s="24" t="n">
        <f aca="false">IF(E1704&gt;0,D1704/E1704-1,"")</f>
        <v>0.127212753922983</v>
      </c>
      <c r="H1704" s="3" t="str">
        <f aca="false">IF(MAX(D1704,E1704)&lt;Parametros!$B$16,"",IF(E1704=0,"PIDE SIN FCST",IF(ABS(G1704)&gt;Parametros!$B$14,IF(G1704&gt;0,"SOBRE FCST","BAJO FCST"),"")))</f>
        <v/>
      </c>
    </row>
    <row r="1705" customFormat="false" ht="15" hidden="false" customHeight="false" outlineLevel="0" collapsed="false">
      <c r="A1705" s="3" t="n">
        <v>30001707</v>
      </c>
      <c r="B1705" s="3" t="s">
        <v>549</v>
      </c>
      <c r="C1705" s="3" t="s">
        <v>1373</v>
      </c>
      <c r="D1705" s="23" t="n">
        <v>887.04</v>
      </c>
      <c r="E1705" s="23" t="n">
        <v>697.738907266356</v>
      </c>
      <c r="F1705" s="23" t="n">
        <f aca="false">D1705-E1705</f>
        <v>189.301092733644</v>
      </c>
      <c r="G1705" s="24" t="n">
        <f aca="false">IF(E1705&gt;0,D1705/E1705-1,"")</f>
        <v>0.271306488375858</v>
      </c>
      <c r="H1705" s="3" t="str">
        <f aca="false">IF(MAX(D1705,E1705)&lt;Parametros!$B$16,"",IF(E1705=0,"PIDE SIN FCST",IF(ABS(G1705)&gt;Parametros!$B$14,IF(G1705&gt;0,"SOBRE FCST","BAJO FCST"),"")))</f>
        <v/>
      </c>
    </row>
    <row r="1706" customFormat="false" ht="15" hidden="false" customHeight="false" outlineLevel="0" collapsed="false">
      <c r="A1706" s="3" t="n">
        <v>30000436</v>
      </c>
      <c r="B1706" s="3" t="s">
        <v>559</v>
      </c>
      <c r="C1706" s="3" t="s">
        <v>1378</v>
      </c>
      <c r="D1706" s="23" t="n">
        <v>593.92</v>
      </c>
      <c r="E1706" s="23" t="n">
        <v>783.216072449157</v>
      </c>
      <c r="F1706" s="23" t="n">
        <f aca="false">D1706-E1706</f>
        <v>-189.296072449157</v>
      </c>
      <c r="G1706" s="24" t="n">
        <f aca="false">IF(E1706&gt;0,D1706/E1706-1,"")</f>
        <v>-0.241690740407329</v>
      </c>
      <c r="H1706" s="3" t="str">
        <f aca="false">IF(MAX(D1706,E1706)&lt;Parametros!$B$16,"",IF(E1706=0,"PIDE SIN FCST",IF(ABS(G1706)&gt;Parametros!$B$14,IF(G1706&gt;0,"SOBRE FCST","BAJO FCST"),"")))</f>
        <v/>
      </c>
    </row>
    <row r="1707" customFormat="false" ht="15" hidden="false" customHeight="false" outlineLevel="0" collapsed="false">
      <c r="A1707" s="3" t="n">
        <v>30001506</v>
      </c>
      <c r="B1707" s="3" t="s">
        <v>352</v>
      </c>
      <c r="C1707" s="3" t="s">
        <v>1378</v>
      </c>
      <c r="D1707" s="23" t="n">
        <v>696.9</v>
      </c>
      <c r="E1707" s="23" t="n">
        <v>886.011068638521</v>
      </c>
      <c r="F1707" s="23" t="n">
        <f aca="false">D1707-E1707</f>
        <v>-189.111068638521</v>
      </c>
      <c r="G1707" s="24" t="n">
        <f aca="false">IF(E1707&gt;0,D1707/E1707-1,"")</f>
        <v>-0.213440977581823</v>
      </c>
      <c r="H1707" s="3" t="str">
        <f aca="false">IF(MAX(D1707,E1707)&lt;Parametros!$B$16,"",IF(E1707=0,"PIDE SIN FCST",IF(ABS(G1707)&gt;Parametros!$B$14,IF(G1707&gt;0,"SOBRE FCST","BAJO FCST"),"")))</f>
        <v/>
      </c>
    </row>
    <row r="1708" customFormat="false" ht="15" hidden="false" customHeight="false" outlineLevel="0" collapsed="false">
      <c r="A1708" s="3" t="n">
        <v>30001657</v>
      </c>
      <c r="B1708" s="3" t="s">
        <v>395</v>
      </c>
      <c r="C1708" s="3" t="s">
        <v>1379</v>
      </c>
      <c r="D1708" s="23" t="n">
        <v>1244.16</v>
      </c>
      <c r="E1708" s="23" t="n">
        <v>1433.12</v>
      </c>
      <c r="F1708" s="23" t="n">
        <f aca="false">D1708-E1708</f>
        <v>-188.96</v>
      </c>
      <c r="G1708" s="24" t="n">
        <f aca="false">IF(E1708&gt;0,D1708/E1708-1,"")</f>
        <v>-0.131852182650441</v>
      </c>
      <c r="H1708" s="3" t="str">
        <f aca="false">IF(MAX(D1708,E1708)&lt;Parametros!$B$16,"",IF(E1708=0,"PIDE SIN FCST",IF(ABS(G1708)&gt;Parametros!$B$14,IF(G1708&gt;0,"SOBRE FCST","BAJO FCST"),"")))</f>
        <v/>
      </c>
    </row>
    <row r="1709" customFormat="false" ht="15" hidden="false" customHeight="false" outlineLevel="0" collapsed="false">
      <c r="A1709" s="3" t="n">
        <v>30002085</v>
      </c>
      <c r="B1709" s="3" t="s">
        <v>607</v>
      </c>
      <c r="C1709" s="3" t="s">
        <v>1380</v>
      </c>
      <c r="D1709" s="23" t="n">
        <v>907.2</v>
      </c>
      <c r="E1709" s="23" t="n">
        <v>1094.48927337501</v>
      </c>
      <c r="F1709" s="23" t="n">
        <f aca="false">D1709-E1709</f>
        <v>-187.289273375012</v>
      </c>
      <c r="G1709" s="24" t="n">
        <f aca="false">IF(E1709&gt;0,D1709/E1709-1,"")</f>
        <v>-0.171120245699146</v>
      </c>
      <c r="H1709" s="3" t="str">
        <f aca="false">IF(MAX(D1709,E1709)&lt;Parametros!$B$16,"",IF(E1709=0,"PIDE SIN FCST",IF(ABS(G1709)&gt;Parametros!$B$14,IF(G1709&gt;0,"SOBRE FCST","BAJO FCST"),"")))</f>
        <v/>
      </c>
    </row>
    <row r="1710" customFormat="false" ht="15" hidden="false" customHeight="false" outlineLevel="0" collapsed="false">
      <c r="A1710" s="3" t="n">
        <v>30001410</v>
      </c>
      <c r="B1710" s="3" t="s">
        <v>324</v>
      </c>
      <c r="C1710" s="3" t="s">
        <v>1379</v>
      </c>
      <c r="D1710" s="23" t="n">
        <v>1321.92</v>
      </c>
      <c r="E1710" s="23" t="n">
        <v>1506.99057815411</v>
      </c>
      <c r="F1710" s="23" t="n">
        <f aca="false">D1710-E1710</f>
        <v>-185.070578154107</v>
      </c>
      <c r="G1710" s="24" t="n">
        <f aca="false">IF(E1710&gt;0,D1710/E1710-1,"")</f>
        <v>-0.122808052576412</v>
      </c>
      <c r="H1710" s="3" t="str">
        <f aca="false">IF(MAX(D1710,E1710)&lt;Parametros!$B$16,"",IF(E1710=0,"PIDE SIN FCST",IF(ABS(G1710)&gt;Parametros!$B$14,IF(G1710&gt;0,"SOBRE FCST","BAJO FCST"),"")))</f>
        <v/>
      </c>
    </row>
    <row r="1711" customFormat="false" ht="15" hidden="false" customHeight="false" outlineLevel="0" collapsed="false">
      <c r="A1711" s="3" t="n">
        <v>30002169</v>
      </c>
      <c r="B1711" s="3" t="s">
        <v>377</v>
      </c>
      <c r="C1711" s="3" t="s">
        <v>1379</v>
      </c>
      <c r="D1711" s="23" t="n">
        <v>1047.6</v>
      </c>
      <c r="E1711" s="23" t="n">
        <v>862.575065495737</v>
      </c>
      <c r="F1711" s="23" t="n">
        <f aca="false">D1711-E1711</f>
        <v>185.024934504263</v>
      </c>
      <c r="G1711" s="24" t="n">
        <f aca="false">IF(E1711&gt;0,D1711/E1711-1,"")</f>
        <v>0.214502994470315</v>
      </c>
      <c r="H1711" s="3" t="str">
        <f aca="false">IF(MAX(D1711,E1711)&lt;Parametros!$B$16,"",IF(E1711=0,"PIDE SIN FCST",IF(ABS(G1711)&gt;Parametros!$B$14,IF(G1711&gt;0,"SOBRE FCST","BAJO FCST"),"")))</f>
        <v>SOBRE FCST</v>
      </c>
    </row>
    <row r="1712" customFormat="false" ht="15" hidden="false" customHeight="false" outlineLevel="0" collapsed="false">
      <c r="A1712" s="3" t="n">
        <v>30002262</v>
      </c>
      <c r="B1712" s="3" t="s">
        <v>522</v>
      </c>
      <c r="C1712" s="3" t="s">
        <v>1378</v>
      </c>
      <c r="D1712" s="23" t="n">
        <v>345</v>
      </c>
      <c r="E1712" s="23" t="n">
        <v>160</v>
      </c>
      <c r="F1712" s="23" t="n">
        <f aca="false">D1712-E1712</f>
        <v>185</v>
      </c>
      <c r="G1712" s="24" t="n">
        <f aca="false">IF(E1712&gt;0,D1712/E1712-1,"")</f>
        <v>1.15625</v>
      </c>
      <c r="H1712" s="3" t="str">
        <f aca="false">IF(MAX(D1712,E1712)&lt;Parametros!$B$16,"",IF(E1712=0,"PIDE SIN FCST",IF(ABS(G1712)&gt;Parametros!$B$14,IF(G1712&gt;0,"SOBRE FCST","BAJO FCST"),"")))</f>
        <v/>
      </c>
    </row>
    <row r="1713" customFormat="false" ht="15" hidden="false" customHeight="false" outlineLevel="0" collapsed="false">
      <c r="A1713" s="3" t="n">
        <v>30002261</v>
      </c>
      <c r="B1713" s="3" t="s">
        <v>545</v>
      </c>
      <c r="C1713" s="3" t="s">
        <v>1378</v>
      </c>
      <c r="D1713" s="23" t="n">
        <v>345</v>
      </c>
      <c r="E1713" s="23" t="n">
        <v>160</v>
      </c>
      <c r="F1713" s="23" t="n">
        <f aca="false">D1713-E1713</f>
        <v>185</v>
      </c>
      <c r="G1713" s="24" t="n">
        <f aca="false">IF(E1713&gt;0,D1713/E1713-1,"")</f>
        <v>1.15625</v>
      </c>
      <c r="H1713" s="3" t="str">
        <f aca="false">IF(MAX(D1713,E1713)&lt;Parametros!$B$16,"",IF(E1713=0,"PIDE SIN FCST",IF(ABS(G1713)&gt;Parametros!$B$14,IF(G1713&gt;0,"SOBRE FCST","BAJO FCST"),"")))</f>
        <v/>
      </c>
    </row>
    <row r="1714" customFormat="false" ht="15" hidden="false" customHeight="false" outlineLevel="0" collapsed="false">
      <c r="A1714" s="3" t="n">
        <v>30000627</v>
      </c>
      <c r="B1714" s="3" t="s">
        <v>308</v>
      </c>
      <c r="C1714" s="3" t="s">
        <v>1376</v>
      </c>
      <c r="D1714" s="23" t="n">
        <v>184.96</v>
      </c>
      <c r="E1714" s="23" t="n">
        <v>0</v>
      </c>
      <c r="F1714" s="23" t="n">
        <f aca="false">D1714-E1714</f>
        <v>184.96</v>
      </c>
      <c r="G1714" s="24" t="str">
        <f aca="false">IF(E1714&gt;0,D1714/E1714-1,"")</f>
        <v/>
      </c>
      <c r="H1714" s="3" t="str">
        <f aca="false">IF(MAX(D1714,E1714)&lt;Parametros!$B$16,"",IF(E1714=0,"PIDE SIN FCST",IF(ABS(G1714)&gt;Parametros!$B$14,IF(G1714&gt;0,"SOBRE FCST","BAJO FCST"),"")))</f>
        <v/>
      </c>
    </row>
    <row r="1715" customFormat="false" ht="15" hidden="false" customHeight="false" outlineLevel="0" collapsed="false">
      <c r="A1715" s="3" t="n">
        <v>30000542</v>
      </c>
      <c r="B1715" s="3" t="s">
        <v>616</v>
      </c>
      <c r="C1715" s="3" t="s">
        <v>1376</v>
      </c>
      <c r="D1715" s="23" t="n">
        <v>184.8</v>
      </c>
      <c r="E1715" s="23" t="n">
        <v>0</v>
      </c>
      <c r="F1715" s="23" t="n">
        <f aca="false">D1715-E1715</f>
        <v>184.8</v>
      </c>
      <c r="G1715" s="24" t="str">
        <f aca="false">IF(E1715&gt;0,D1715/E1715-1,"")</f>
        <v/>
      </c>
      <c r="H1715" s="3" t="str">
        <f aca="false">IF(MAX(D1715,E1715)&lt;Parametros!$B$16,"",IF(E1715=0,"PIDE SIN FCST",IF(ABS(G1715)&gt;Parametros!$B$14,IF(G1715&gt;0,"SOBRE FCST","BAJO FCST"),"")))</f>
        <v/>
      </c>
    </row>
    <row r="1716" customFormat="false" ht="15" hidden="false" customHeight="false" outlineLevel="0" collapsed="false">
      <c r="A1716" s="3" t="n">
        <v>30001423</v>
      </c>
      <c r="B1716" s="3" t="s">
        <v>328</v>
      </c>
      <c r="C1716" s="3" t="s">
        <v>1375</v>
      </c>
      <c r="D1716" s="23" t="n">
        <v>8815.5</v>
      </c>
      <c r="E1716" s="23" t="n">
        <v>9000</v>
      </c>
      <c r="F1716" s="23" t="n">
        <f aca="false">D1716-E1716</f>
        <v>-184.5</v>
      </c>
      <c r="G1716" s="24" t="n">
        <f aca="false">IF(E1716&gt;0,D1716/E1716-1,"")</f>
        <v>-0.0205</v>
      </c>
      <c r="H1716" s="3" t="str">
        <f aca="false">IF(MAX(D1716,E1716)&lt;Parametros!$B$16,"",IF(E1716=0,"PIDE SIN FCST",IF(ABS(G1716)&gt;Parametros!$B$14,IF(G1716&gt;0,"SOBRE FCST","BAJO FCST"),"")))</f>
        <v/>
      </c>
    </row>
    <row r="1717" customFormat="false" ht="15" hidden="false" customHeight="false" outlineLevel="0" collapsed="false">
      <c r="A1717" s="3" t="n">
        <v>30001342</v>
      </c>
      <c r="B1717" s="3" t="s">
        <v>603</v>
      </c>
      <c r="C1717" s="3" t="s">
        <v>1375</v>
      </c>
      <c r="D1717" s="23" t="n">
        <v>184</v>
      </c>
      <c r="E1717" s="23" t="n">
        <v>0</v>
      </c>
      <c r="F1717" s="23" t="n">
        <f aca="false">D1717-E1717</f>
        <v>184</v>
      </c>
      <c r="G1717" s="24" t="str">
        <f aca="false">IF(E1717&gt;0,D1717/E1717-1,"")</f>
        <v/>
      </c>
      <c r="H1717" s="3" t="str">
        <f aca="false">IF(MAX(D1717,E1717)&lt;Parametros!$B$16,"",IF(E1717=0,"PIDE SIN FCST",IF(ABS(G1717)&gt;Parametros!$B$14,IF(G1717&gt;0,"SOBRE FCST","BAJO FCST"),"")))</f>
        <v/>
      </c>
    </row>
    <row r="1718" customFormat="false" ht="15" hidden="false" customHeight="false" outlineLevel="0" collapsed="false">
      <c r="A1718" s="3" t="n">
        <v>30001031</v>
      </c>
      <c r="B1718" s="3" t="s">
        <v>334</v>
      </c>
      <c r="C1718" s="3" t="s">
        <v>1379</v>
      </c>
      <c r="D1718" s="23" t="n">
        <v>3207.6</v>
      </c>
      <c r="E1718" s="23" t="n">
        <v>3023.75374689462</v>
      </c>
      <c r="F1718" s="23" t="n">
        <f aca="false">D1718-E1718</f>
        <v>183.846253105382</v>
      </c>
      <c r="G1718" s="24" t="n">
        <f aca="false">IF(E1718&gt;0,D1718/E1718-1,"")</f>
        <v>0.0608006697946852</v>
      </c>
      <c r="H1718" s="3" t="str">
        <f aca="false">IF(MAX(D1718,E1718)&lt;Parametros!$B$16,"",IF(E1718=0,"PIDE SIN FCST",IF(ABS(G1718)&gt;Parametros!$B$14,IF(G1718&gt;0,"SOBRE FCST","BAJO FCST"),"")))</f>
        <v/>
      </c>
    </row>
    <row r="1719" customFormat="false" ht="15" hidden="false" customHeight="false" outlineLevel="0" collapsed="false">
      <c r="A1719" s="3" t="n">
        <v>30001656</v>
      </c>
      <c r="B1719" s="3" t="s">
        <v>350</v>
      </c>
      <c r="C1719" s="3" t="s">
        <v>1375</v>
      </c>
      <c r="D1719" s="23" t="n">
        <v>2216.16</v>
      </c>
      <c r="E1719" s="23" t="n">
        <v>2400</v>
      </c>
      <c r="F1719" s="23" t="n">
        <f aca="false">D1719-E1719</f>
        <v>-183.84</v>
      </c>
      <c r="G1719" s="24" t="n">
        <f aca="false">IF(E1719&gt;0,D1719/E1719-1,"")</f>
        <v>-0.0766000000000001</v>
      </c>
      <c r="H1719" s="3" t="str">
        <f aca="false">IF(MAX(D1719,E1719)&lt;Parametros!$B$16,"",IF(E1719=0,"PIDE SIN FCST",IF(ABS(G1719)&gt;Parametros!$B$14,IF(G1719&gt;0,"SOBRE FCST","BAJO FCST"),"")))</f>
        <v/>
      </c>
    </row>
    <row r="1720" customFormat="false" ht="15" hidden="false" customHeight="false" outlineLevel="0" collapsed="false">
      <c r="A1720" s="3" t="n">
        <v>30000334</v>
      </c>
      <c r="B1720" s="3" t="s">
        <v>447</v>
      </c>
      <c r="C1720" s="3" t="s">
        <v>1377</v>
      </c>
      <c r="D1720" s="23" t="n">
        <v>804</v>
      </c>
      <c r="E1720" s="23" t="n">
        <v>620.84715401851</v>
      </c>
      <c r="F1720" s="23" t="n">
        <f aca="false">D1720-E1720</f>
        <v>183.15284598149</v>
      </c>
      <c r="G1720" s="24" t="n">
        <f aca="false">IF(E1720&gt;0,D1720/E1720-1,"")</f>
        <v>0.29500472829103</v>
      </c>
      <c r="H1720" s="3" t="str">
        <f aca="false">IF(MAX(D1720,E1720)&lt;Parametros!$B$16,"",IF(E1720=0,"PIDE SIN FCST",IF(ABS(G1720)&gt;Parametros!$B$14,IF(G1720&gt;0,"SOBRE FCST","BAJO FCST"),"")))</f>
        <v/>
      </c>
    </row>
    <row r="1721" customFormat="false" ht="15" hidden="false" customHeight="false" outlineLevel="0" collapsed="false">
      <c r="A1721" s="3" t="n">
        <v>30002178</v>
      </c>
      <c r="B1721" s="3" t="s">
        <v>527</v>
      </c>
      <c r="C1721" s="3" t="s">
        <v>1380</v>
      </c>
      <c r="D1721" s="23" t="n">
        <v>2183.1</v>
      </c>
      <c r="E1721" s="23" t="n">
        <v>2000</v>
      </c>
      <c r="F1721" s="23" t="n">
        <f aca="false">D1721-E1721</f>
        <v>183.1</v>
      </c>
      <c r="G1721" s="24" t="n">
        <f aca="false">IF(E1721&gt;0,D1721/E1721-1,"")</f>
        <v>0.09155</v>
      </c>
      <c r="H1721" s="3" t="str">
        <f aca="false">IF(MAX(D1721,E1721)&lt;Parametros!$B$16,"",IF(E1721=0,"PIDE SIN FCST",IF(ABS(G1721)&gt;Parametros!$B$14,IF(G1721&gt;0,"SOBRE FCST","BAJO FCST"),"")))</f>
        <v/>
      </c>
    </row>
    <row r="1722" customFormat="false" ht="15" hidden="false" customHeight="false" outlineLevel="0" collapsed="false">
      <c r="A1722" s="3" t="n">
        <v>30000041</v>
      </c>
      <c r="B1722" s="3" t="s">
        <v>419</v>
      </c>
      <c r="C1722" s="3" t="s">
        <v>1377</v>
      </c>
      <c r="D1722" s="23" t="n">
        <v>717.6</v>
      </c>
      <c r="E1722" s="23" t="n">
        <v>900</v>
      </c>
      <c r="F1722" s="23" t="n">
        <f aca="false">D1722-E1722</f>
        <v>-182.4</v>
      </c>
      <c r="G1722" s="24" t="n">
        <f aca="false">IF(E1722&gt;0,D1722/E1722-1,"")</f>
        <v>-0.202666666666667</v>
      </c>
      <c r="H1722" s="3" t="str">
        <f aca="false">IF(MAX(D1722,E1722)&lt;Parametros!$B$16,"",IF(E1722=0,"PIDE SIN FCST",IF(ABS(G1722)&gt;Parametros!$B$14,IF(G1722&gt;0,"SOBRE FCST","BAJO FCST"),"")))</f>
        <v/>
      </c>
    </row>
    <row r="1723" customFormat="false" ht="15" hidden="false" customHeight="false" outlineLevel="0" collapsed="false">
      <c r="A1723" s="3" t="n">
        <v>30002078</v>
      </c>
      <c r="B1723" s="3" t="s">
        <v>339</v>
      </c>
      <c r="C1723" s="3" t="s">
        <v>1379</v>
      </c>
      <c r="D1723" s="23" t="n">
        <v>3192</v>
      </c>
      <c r="E1723" s="23" t="n">
        <v>3374.24</v>
      </c>
      <c r="F1723" s="23" t="n">
        <f aca="false">D1723-E1723</f>
        <v>-182.24</v>
      </c>
      <c r="G1723" s="24" t="n">
        <f aca="false">IF(E1723&gt;0,D1723/E1723-1,"")</f>
        <v>-0.05400919910854</v>
      </c>
      <c r="H1723" s="3" t="str">
        <f aca="false">IF(MAX(D1723,E1723)&lt;Parametros!$B$16,"",IF(E1723=0,"PIDE SIN FCST",IF(ABS(G1723)&gt;Parametros!$B$14,IF(G1723&gt;0,"SOBRE FCST","BAJO FCST"),"")))</f>
        <v/>
      </c>
    </row>
    <row r="1724" customFormat="false" ht="15" hidden="false" customHeight="false" outlineLevel="0" collapsed="false">
      <c r="A1724" s="3" t="n">
        <v>30002359</v>
      </c>
      <c r="B1724" s="3" t="s">
        <v>401</v>
      </c>
      <c r="C1724" s="3" t="s">
        <v>1377</v>
      </c>
      <c r="D1724" s="23" t="n">
        <v>948</v>
      </c>
      <c r="E1724" s="23" t="n">
        <v>765.951650360965</v>
      </c>
      <c r="F1724" s="23" t="n">
        <f aca="false">D1724-E1724</f>
        <v>182.048349639035</v>
      </c>
      <c r="G1724" s="24" t="n">
        <f aca="false">IF(E1724&gt;0,D1724/E1724-1,"")</f>
        <v>0.237676032884377</v>
      </c>
      <c r="H1724" s="3" t="str">
        <f aca="false">IF(MAX(D1724,E1724)&lt;Parametros!$B$16,"",IF(E1724=0,"PIDE SIN FCST",IF(ABS(G1724)&gt;Parametros!$B$14,IF(G1724&gt;0,"SOBRE FCST","BAJO FCST"),"")))</f>
        <v/>
      </c>
    </row>
    <row r="1725" customFormat="false" ht="15" hidden="false" customHeight="false" outlineLevel="0" collapsed="false">
      <c r="A1725" s="3" t="n">
        <v>30001409</v>
      </c>
      <c r="B1725" s="3" t="s">
        <v>270</v>
      </c>
      <c r="C1725" s="3" t="s">
        <v>1372</v>
      </c>
      <c r="D1725" s="23" t="n">
        <v>5032</v>
      </c>
      <c r="E1725" s="23" t="n">
        <v>4850.16854778029</v>
      </c>
      <c r="F1725" s="23" t="n">
        <f aca="false">D1725-E1725</f>
        <v>181.831452219714</v>
      </c>
      <c r="G1725" s="24" t="n">
        <f aca="false">IF(E1725&gt;0,D1725/E1725-1,"")</f>
        <v>0.0374897182290563</v>
      </c>
      <c r="H1725" s="3" t="str">
        <f aca="false">IF(MAX(D1725,E1725)&lt;Parametros!$B$16,"",IF(E1725=0,"PIDE SIN FCST",IF(ABS(G1725)&gt;Parametros!$B$14,IF(G1725&gt;0,"SOBRE FCST","BAJO FCST"),"")))</f>
        <v/>
      </c>
    </row>
    <row r="1726" customFormat="false" ht="15" hidden="false" customHeight="false" outlineLevel="0" collapsed="false">
      <c r="A1726" s="3" t="n">
        <v>30002315</v>
      </c>
      <c r="B1726" s="3" t="s">
        <v>260</v>
      </c>
      <c r="C1726" s="3" t="s">
        <v>1377</v>
      </c>
      <c r="D1726" s="23" t="n">
        <v>1152</v>
      </c>
      <c r="E1726" s="23" t="n">
        <v>970.376289562594</v>
      </c>
      <c r="F1726" s="23" t="n">
        <f aca="false">D1726-E1726</f>
        <v>181.623710437406</v>
      </c>
      <c r="G1726" s="24" t="n">
        <f aca="false">IF(E1726&gt;0,D1726/E1726-1,"")</f>
        <v>0.187168330874278</v>
      </c>
      <c r="H1726" s="3" t="str">
        <f aca="false">IF(MAX(D1726,E1726)&lt;Parametros!$B$16,"",IF(E1726=0,"PIDE SIN FCST",IF(ABS(G1726)&gt;Parametros!$B$14,IF(G1726&gt;0,"SOBRE FCST","BAJO FCST"),"")))</f>
        <v/>
      </c>
    </row>
    <row r="1727" customFormat="false" ht="15" hidden="false" customHeight="false" outlineLevel="0" collapsed="false">
      <c r="A1727" s="3" t="n">
        <v>30001402</v>
      </c>
      <c r="B1727" s="3" t="s">
        <v>460</v>
      </c>
      <c r="C1727" s="3" t="s">
        <v>1376</v>
      </c>
      <c r="D1727" s="23" t="n">
        <v>1825.2</v>
      </c>
      <c r="E1727" s="23" t="n">
        <v>2006.52488497671</v>
      </c>
      <c r="F1727" s="23" t="n">
        <f aca="false">D1727-E1727</f>
        <v>-181.324884976713</v>
      </c>
      <c r="G1727" s="24" t="n">
        <f aca="false">IF(E1727&gt;0,D1727/E1727-1,"")</f>
        <v>-0.0903676233144836</v>
      </c>
      <c r="H1727" s="3" t="str">
        <f aca="false">IF(MAX(D1727,E1727)&lt;Parametros!$B$16,"",IF(E1727=0,"PIDE SIN FCST",IF(ABS(G1727)&gt;Parametros!$B$14,IF(G1727&gt;0,"SOBRE FCST","BAJO FCST"),"")))</f>
        <v/>
      </c>
    </row>
    <row r="1728" customFormat="false" ht="15" hidden="false" customHeight="false" outlineLevel="0" collapsed="false">
      <c r="A1728" s="3" t="n">
        <v>30001942</v>
      </c>
      <c r="B1728" s="3" t="s">
        <v>342</v>
      </c>
      <c r="C1728" s="3" t="s">
        <v>1378</v>
      </c>
      <c r="D1728" s="23" t="n">
        <v>681.6</v>
      </c>
      <c r="E1728" s="23" t="n">
        <v>862.575065495737</v>
      </c>
      <c r="F1728" s="23" t="n">
        <f aca="false">D1728-E1728</f>
        <v>-180.975065495737</v>
      </c>
      <c r="G1728" s="24" t="n">
        <f aca="false">IF(E1728&gt;0,D1728/E1728-1,"")</f>
        <v>-0.209807902795946</v>
      </c>
      <c r="H1728" s="3" t="str">
        <f aca="false">IF(MAX(D1728,E1728)&lt;Parametros!$B$16,"",IF(E1728=0,"PIDE SIN FCST",IF(ABS(G1728)&gt;Parametros!$B$14,IF(G1728&gt;0,"SOBRE FCST","BAJO FCST"),"")))</f>
        <v/>
      </c>
    </row>
    <row r="1729" customFormat="false" ht="15" hidden="false" customHeight="false" outlineLevel="0" collapsed="false">
      <c r="A1729" s="3" t="n">
        <v>30001944</v>
      </c>
      <c r="B1729" s="3" t="s">
        <v>336</v>
      </c>
      <c r="C1729" s="3" t="s">
        <v>1380</v>
      </c>
      <c r="D1729" s="23" t="n">
        <v>7180.8</v>
      </c>
      <c r="E1729" s="23" t="n">
        <v>7000</v>
      </c>
      <c r="F1729" s="23" t="n">
        <f aca="false">D1729-E1729</f>
        <v>180.8</v>
      </c>
      <c r="G1729" s="24" t="n">
        <f aca="false">IF(E1729&gt;0,D1729/E1729-1,"")</f>
        <v>0.0258285714285715</v>
      </c>
      <c r="H1729" s="3" t="str">
        <f aca="false">IF(MAX(D1729,E1729)&lt;Parametros!$B$16,"",IF(E1729=0,"PIDE SIN FCST",IF(ABS(G1729)&gt;Parametros!$B$14,IF(G1729&gt;0,"SOBRE FCST","BAJO FCST"),"")))</f>
        <v/>
      </c>
    </row>
    <row r="1730" customFormat="false" ht="15" hidden="false" customHeight="false" outlineLevel="0" collapsed="false">
      <c r="A1730" s="3" t="n">
        <v>30000116</v>
      </c>
      <c r="B1730" s="3" t="s">
        <v>424</v>
      </c>
      <c r="C1730" s="3" t="s">
        <v>1377</v>
      </c>
      <c r="D1730" s="23" t="n">
        <v>180</v>
      </c>
      <c r="E1730" s="23" t="n">
        <v>0</v>
      </c>
      <c r="F1730" s="23" t="n">
        <f aca="false">D1730-E1730</f>
        <v>180</v>
      </c>
      <c r="G1730" s="24" t="str">
        <f aca="false">IF(E1730&gt;0,D1730/E1730-1,"")</f>
        <v/>
      </c>
      <c r="H1730" s="3" t="str">
        <f aca="false">IF(MAX(D1730,E1730)&lt;Parametros!$B$16,"",IF(E1730=0,"PIDE SIN FCST",IF(ABS(G1730)&gt;Parametros!$B$14,IF(G1730&gt;0,"SOBRE FCST","BAJO FCST"),"")))</f>
        <v/>
      </c>
    </row>
    <row r="1731" customFormat="false" ht="15" hidden="false" customHeight="false" outlineLevel="0" collapsed="false">
      <c r="A1731" s="3" t="n">
        <v>30001086</v>
      </c>
      <c r="B1731" s="3" t="s">
        <v>223</v>
      </c>
      <c r="C1731" s="3" t="s">
        <v>1373</v>
      </c>
      <c r="D1731" s="23" t="n">
        <v>13262.4</v>
      </c>
      <c r="E1731" s="23" t="n">
        <v>13082.440201941</v>
      </c>
      <c r="F1731" s="23" t="n">
        <f aca="false">D1731-E1731</f>
        <v>179.95979805897</v>
      </c>
      <c r="G1731" s="24" t="n">
        <f aca="false">IF(E1731&gt;0,D1731/E1731-1,"")</f>
        <v>0.0137558280627392</v>
      </c>
      <c r="H1731" s="3" t="str">
        <f aca="false">IF(MAX(D1731,E1731)&lt;Parametros!$B$16,"",IF(E1731=0,"PIDE SIN FCST",IF(ABS(G1731)&gt;Parametros!$B$14,IF(G1731&gt;0,"SOBRE FCST","BAJO FCST"),"")))</f>
        <v/>
      </c>
    </row>
    <row r="1732" customFormat="false" ht="15" hidden="false" customHeight="false" outlineLevel="0" collapsed="false">
      <c r="A1732" s="3" t="n">
        <v>30000355</v>
      </c>
      <c r="B1732" s="3" t="s">
        <v>583</v>
      </c>
      <c r="C1732" s="3" t="s">
        <v>1375</v>
      </c>
      <c r="D1732" s="23" t="n">
        <v>576</v>
      </c>
      <c r="E1732" s="23" t="n">
        <v>755.645161290323</v>
      </c>
      <c r="F1732" s="23" t="n">
        <f aca="false">D1732-E1732</f>
        <v>-179.645161290323</v>
      </c>
      <c r="G1732" s="24" t="n">
        <f aca="false">IF(E1732&gt;0,D1732/E1732-1,"")</f>
        <v>-0.237737459978656</v>
      </c>
      <c r="H1732" s="3" t="str">
        <f aca="false">IF(MAX(D1732,E1732)&lt;Parametros!$B$16,"",IF(E1732=0,"PIDE SIN FCST",IF(ABS(G1732)&gt;Parametros!$B$14,IF(G1732&gt;0,"SOBRE FCST","BAJO FCST"),"")))</f>
        <v/>
      </c>
    </row>
    <row r="1733" customFormat="false" ht="15" hidden="false" customHeight="false" outlineLevel="0" collapsed="false">
      <c r="A1733" s="3" t="n">
        <v>30000088</v>
      </c>
      <c r="B1733" s="3" t="s">
        <v>485</v>
      </c>
      <c r="C1733" s="3" t="s">
        <v>1379</v>
      </c>
      <c r="D1733" s="23" t="n">
        <v>36</v>
      </c>
      <c r="E1733" s="23" t="n">
        <v>215.643766373934</v>
      </c>
      <c r="F1733" s="23" t="n">
        <f aca="false">D1733-E1733</f>
        <v>-179.643766373934</v>
      </c>
      <c r="G1733" s="24" t="n">
        <f aca="false">IF(E1733&gt;0,D1733/E1733-1,"")</f>
        <v>-0.833058007632947</v>
      </c>
      <c r="H1733" s="3" t="str">
        <f aca="false">IF(MAX(D1733,E1733)&lt;Parametros!$B$16,"",IF(E1733=0,"PIDE SIN FCST",IF(ABS(G1733)&gt;Parametros!$B$14,IF(G1733&gt;0,"SOBRE FCST","BAJO FCST"),"")))</f>
        <v/>
      </c>
    </row>
    <row r="1734" customFormat="false" ht="15" hidden="false" customHeight="false" outlineLevel="0" collapsed="false">
      <c r="A1734" s="3" t="n">
        <v>30001079</v>
      </c>
      <c r="B1734" s="3" t="s">
        <v>282</v>
      </c>
      <c r="C1734" s="3" t="s">
        <v>1376</v>
      </c>
      <c r="D1734" s="23" t="n">
        <v>179.52</v>
      </c>
      <c r="E1734" s="23" t="n">
        <v>0</v>
      </c>
      <c r="F1734" s="23" t="n">
        <f aca="false">D1734-E1734</f>
        <v>179.52</v>
      </c>
      <c r="G1734" s="24" t="str">
        <f aca="false">IF(E1734&gt;0,D1734/E1734-1,"")</f>
        <v/>
      </c>
      <c r="H1734" s="3" t="str">
        <f aca="false">IF(MAX(D1734,E1734)&lt;Parametros!$B$16,"",IF(E1734=0,"PIDE SIN FCST",IF(ABS(G1734)&gt;Parametros!$B$14,IF(G1734&gt;0,"SOBRE FCST","BAJO FCST"),"")))</f>
        <v/>
      </c>
    </row>
    <row r="1735" customFormat="false" ht="15" hidden="false" customHeight="false" outlineLevel="0" collapsed="false">
      <c r="A1735" s="3" t="n">
        <v>30002162</v>
      </c>
      <c r="B1735" s="3" t="s">
        <v>601</v>
      </c>
      <c r="C1735" s="3" t="s">
        <v>1373</v>
      </c>
      <c r="D1735" s="23" t="n">
        <v>252</v>
      </c>
      <c r="E1735" s="23" t="n">
        <v>431.287532747868</v>
      </c>
      <c r="F1735" s="23" t="n">
        <f aca="false">D1735-E1735</f>
        <v>-179.287532747868</v>
      </c>
      <c r="G1735" s="24" t="n">
        <f aca="false">IF(E1735&gt;0,D1735/E1735-1,"")</f>
        <v>-0.415703026715312</v>
      </c>
      <c r="H1735" s="3" t="str">
        <f aca="false">IF(MAX(D1735,E1735)&lt;Parametros!$B$16,"",IF(E1735=0,"PIDE SIN FCST",IF(ABS(G1735)&gt;Parametros!$B$14,IF(G1735&gt;0,"SOBRE FCST","BAJO FCST"),"")))</f>
        <v/>
      </c>
    </row>
    <row r="1736" customFormat="false" ht="15" hidden="false" customHeight="false" outlineLevel="0" collapsed="false">
      <c r="A1736" s="3" t="n">
        <v>30000347</v>
      </c>
      <c r="B1736" s="3" t="s">
        <v>319</v>
      </c>
      <c r="C1736" s="3" t="s">
        <v>1377</v>
      </c>
      <c r="D1736" s="23" t="n">
        <v>1806</v>
      </c>
      <c r="E1736" s="23" t="n">
        <v>1626.89487605725</v>
      </c>
      <c r="F1736" s="23" t="n">
        <f aca="false">D1736-E1736</f>
        <v>179.105123942749</v>
      </c>
      <c r="G1736" s="24" t="n">
        <f aca="false">IF(E1736&gt;0,D1736/E1736-1,"")</f>
        <v>0.110090164139435</v>
      </c>
      <c r="H1736" s="3" t="str">
        <f aca="false">IF(MAX(D1736,E1736)&lt;Parametros!$B$16,"",IF(E1736=0,"PIDE SIN FCST",IF(ABS(G1736)&gt;Parametros!$B$14,IF(G1736&gt;0,"SOBRE FCST","BAJO FCST"),"")))</f>
        <v/>
      </c>
    </row>
    <row r="1737" customFormat="false" ht="15" hidden="false" customHeight="false" outlineLevel="0" collapsed="false">
      <c r="A1737" s="3" t="n">
        <v>30000490</v>
      </c>
      <c r="B1737" s="3" t="s">
        <v>396</v>
      </c>
      <c r="C1737" s="3" t="s">
        <v>1373</v>
      </c>
      <c r="D1737" s="23" t="n">
        <v>464.4</v>
      </c>
      <c r="E1737" s="23" t="n">
        <v>643.052709737817</v>
      </c>
      <c r="F1737" s="23" t="n">
        <f aca="false">D1737-E1737</f>
        <v>-178.652709737817</v>
      </c>
      <c r="G1737" s="24" t="n">
        <f aca="false">IF(E1737&gt;0,D1737/E1737-1,"")</f>
        <v>-0.277819698187193</v>
      </c>
      <c r="H1737" s="3" t="str">
        <f aca="false">IF(MAX(D1737,E1737)&lt;Parametros!$B$16,"",IF(E1737=0,"PIDE SIN FCST",IF(ABS(G1737)&gt;Parametros!$B$14,IF(G1737&gt;0,"SOBRE FCST","BAJO FCST"),"")))</f>
        <v/>
      </c>
    </row>
    <row r="1738" customFormat="false" ht="15" hidden="false" customHeight="false" outlineLevel="0" collapsed="false">
      <c r="A1738" s="3" t="n">
        <v>30001749</v>
      </c>
      <c r="B1738" s="3" t="s">
        <v>307</v>
      </c>
      <c r="C1738" s="3" t="s">
        <v>1376</v>
      </c>
      <c r="D1738" s="23" t="n">
        <v>221.4</v>
      </c>
      <c r="E1738" s="23" t="n">
        <v>400</v>
      </c>
      <c r="F1738" s="23" t="n">
        <f aca="false">D1738-E1738</f>
        <v>-178.6</v>
      </c>
      <c r="G1738" s="24" t="n">
        <f aca="false">IF(E1738&gt;0,D1738/E1738-1,"")</f>
        <v>-0.4465</v>
      </c>
      <c r="H1738" s="3" t="str">
        <f aca="false">IF(MAX(D1738,E1738)&lt;Parametros!$B$16,"",IF(E1738=0,"PIDE SIN FCST",IF(ABS(G1738)&gt;Parametros!$B$14,IF(G1738&gt;0,"SOBRE FCST","BAJO FCST"),"")))</f>
        <v/>
      </c>
    </row>
    <row r="1739" customFormat="false" ht="15" hidden="false" customHeight="false" outlineLevel="0" collapsed="false">
      <c r="A1739" s="3" t="n">
        <v>30000666</v>
      </c>
      <c r="B1739" s="3" t="s">
        <v>592</v>
      </c>
      <c r="C1739" s="3" t="s">
        <v>1380</v>
      </c>
      <c r="D1739" s="23" t="n">
        <v>1021.44</v>
      </c>
      <c r="E1739" s="23" t="n">
        <v>1200</v>
      </c>
      <c r="F1739" s="23" t="n">
        <f aca="false">D1739-E1739</f>
        <v>-178.56</v>
      </c>
      <c r="G1739" s="24" t="n">
        <f aca="false">IF(E1739&gt;0,D1739/E1739-1,"")</f>
        <v>-0.1488</v>
      </c>
      <c r="H1739" s="3" t="str">
        <f aca="false">IF(MAX(D1739,E1739)&lt;Parametros!$B$16,"",IF(E1739=0,"PIDE SIN FCST",IF(ABS(G1739)&gt;Parametros!$B$14,IF(G1739&gt;0,"SOBRE FCST","BAJO FCST"),"")))</f>
        <v/>
      </c>
    </row>
    <row r="1740" customFormat="false" ht="15" hidden="false" customHeight="false" outlineLevel="0" collapsed="false">
      <c r="A1740" s="3" t="n">
        <v>30002046</v>
      </c>
      <c r="B1740" s="3" t="s">
        <v>620</v>
      </c>
      <c r="C1740" s="3" t="s">
        <v>1378</v>
      </c>
      <c r="D1740" s="23" t="n">
        <v>21.78</v>
      </c>
      <c r="E1740" s="23" t="n">
        <v>200</v>
      </c>
      <c r="F1740" s="23" t="n">
        <f aca="false">D1740-E1740</f>
        <v>-178.22</v>
      </c>
      <c r="G1740" s="24" t="n">
        <f aca="false">IF(E1740&gt;0,D1740/E1740-1,"")</f>
        <v>-0.8911</v>
      </c>
      <c r="H1740" s="3" t="str">
        <f aca="false">IF(MAX(D1740,E1740)&lt;Parametros!$B$16,"",IF(E1740=0,"PIDE SIN FCST",IF(ABS(G1740)&gt;Parametros!$B$14,IF(G1740&gt;0,"SOBRE FCST","BAJO FCST"),"")))</f>
        <v/>
      </c>
    </row>
    <row r="1741" customFormat="false" ht="15" hidden="false" customHeight="false" outlineLevel="0" collapsed="false">
      <c r="A1741" s="3" t="n">
        <v>30001036</v>
      </c>
      <c r="B1741" s="3" t="s">
        <v>610</v>
      </c>
      <c r="C1741" s="3" t="s">
        <v>1378</v>
      </c>
      <c r="D1741" s="23" t="n">
        <v>253.8</v>
      </c>
      <c r="E1741" s="23" t="n">
        <v>431.287532747868</v>
      </c>
      <c r="F1741" s="23" t="n">
        <f aca="false">D1741-E1741</f>
        <v>-177.487532747868</v>
      </c>
      <c r="G1741" s="24" t="n">
        <f aca="false">IF(E1741&gt;0,D1741/E1741-1,"")</f>
        <v>-0.411529476906136</v>
      </c>
      <c r="H1741" s="3" t="str">
        <f aca="false">IF(MAX(D1741,E1741)&lt;Parametros!$B$16,"",IF(E1741=0,"PIDE SIN FCST",IF(ABS(G1741)&gt;Parametros!$B$14,IF(G1741&gt;0,"SOBRE FCST","BAJO FCST"),"")))</f>
        <v/>
      </c>
    </row>
    <row r="1742" customFormat="false" ht="15" hidden="false" customHeight="false" outlineLevel="0" collapsed="false">
      <c r="A1742" s="3" t="n">
        <v>30001707</v>
      </c>
      <c r="B1742" s="3" t="s">
        <v>549</v>
      </c>
      <c r="C1742" s="3" t="s">
        <v>1377</v>
      </c>
      <c r="D1742" s="23" t="n">
        <v>762.72</v>
      </c>
      <c r="E1742" s="23" t="n">
        <v>585.251467060679</v>
      </c>
      <c r="F1742" s="23" t="n">
        <f aca="false">D1742-E1742</f>
        <v>177.468532939321</v>
      </c>
      <c r="G1742" s="24" t="n">
        <f aca="false">IF(E1742&gt;0,D1742/E1742-1,"")</f>
        <v>0.303234665656841</v>
      </c>
      <c r="H1742" s="3" t="str">
        <f aca="false">IF(MAX(D1742,E1742)&lt;Parametros!$B$16,"",IF(E1742=0,"PIDE SIN FCST",IF(ABS(G1742)&gt;Parametros!$B$14,IF(G1742&gt;0,"SOBRE FCST","BAJO FCST"),"")))</f>
        <v/>
      </c>
    </row>
    <row r="1743" customFormat="false" ht="15" hidden="false" customHeight="false" outlineLevel="0" collapsed="false">
      <c r="A1743" s="3" t="n">
        <v>30001871</v>
      </c>
      <c r="B1743" s="3" t="s">
        <v>242</v>
      </c>
      <c r="C1743" s="3" t="s">
        <v>1375</v>
      </c>
      <c r="D1743" s="23" t="n">
        <v>6377.4</v>
      </c>
      <c r="E1743" s="23" t="n">
        <v>6200</v>
      </c>
      <c r="F1743" s="23" t="n">
        <f aca="false">D1743-E1743</f>
        <v>177.4</v>
      </c>
      <c r="G1743" s="24" t="n">
        <f aca="false">IF(E1743&gt;0,D1743/E1743-1,"")</f>
        <v>0.0286129032258065</v>
      </c>
      <c r="H1743" s="3" t="str">
        <f aca="false">IF(MAX(D1743,E1743)&lt;Parametros!$B$16,"",IF(E1743=0,"PIDE SIN FCST",IF(ABS(G1743)&gt;Parametros!$B$14,IF(G1743&gt;0,"SOBRE FCST","BAJO FCST"),"")))</f>
        <v/>
      </c>
    </row>
    <row r="1744" customFormat="false" ht="15" hidden="false" customHeight="false" outlineLevel="0" collapsed="false">
      <c r="A1744" s="3" t="n">
        <v>30001857</v>
      </c>
      <c r="B1744" s="3" t="s">
        <v>330</v>
      </c>
      <c r="C1744" s="3" t="s">
        <v>1373</v>
      </c>
      <c r="D1744" s="23" t="n">
        <v>786.24</v>
      </c>
      <c r="E1744" s="23" t="n">
        <v>610.194503761733</v>
      </c>
      <c r="F1744" s="23" t="n">
        <f aca="false">D1744-E1744</f>
        <v>176.045496238267</v>
      </c>
      <c r="G1744" s="24" t="n">
        <f aca="false">IF(E1744&gt;0,D1744/E1744-1,"")</f>
        <v>0.288507181157779</v>
      </c>
      <c r="H1744" s="3" t="str">
        <f aca="false">IF(MAX(D1744,E1744)&lt;Parametros!$B$16,"",IF(E1744=0,"PIDE SIN FCST",IF(ABS(G1744)&gt;Parametros!$B$14,IF(G1744&gt;0,"SOBRE FCST","BAJO FCST"),"")))</f>
        <v/>
      </c>
    </row>
    <row r="1745" customFormat="false" ht="15" hidden="false" customHeight="false" outlineLevel="0" collapsed="false">
      <c r="A1745" s="3" t="n">
        <v>30001083</v>
      </c>
      <c r="B1745" s="3" t="s">
        <v>397</v>
      </c>
      <c r="C1745" s="3" t="s">
        <v>1377</v>
      </c>
      <c r="D1745" s="23" t="n">
        <v>1230.24</v>
      </c>
      <c r="E1745" s="23" t="n">
        <v>1054.19614597718</v>
      </c>
      <c r="F1745" s="23" t="n">
        <f aca="false">D1745-E1745</f>
        <v>176.043854022816</v>
      </c>
      <c r="G1745" s="24" t="n">
        <f aca="false">IF(E1745&gt;0,D1745/E1745-1,"")</f>
        <v>0.166993452494206</v>
      </c>
      <c r="H1745" s="3" t="str">
        <f aca="false">IF(MAX(D1745,E1745)&lt;Parametros!$B$16,"",IF(E1745=0,"PIDE SIN FCST",IF(ABS(G1745)&gt;Parametros!$B$14,IF(G1745&gt;0,"SOBRE FCST","BAJO FCST"),"")))</f>
        <v/>
      </c>
    </row>
    <row r="1746" customFormat="false" ht="15" hidden="false" customHeight="false" outlineLevel="0" collapsed="false">
      <c r="A1746" s="3" t="n">
        <v>30000493</v>
      </c>
      <c r="B1746" s="3" t="s">
        <v>557</v>
      </c>
      <c r="C1746" s="3" t="s">
        <v>1380</v>
      </c>
      <c r="D1746" s="23" t="n">
        <v>3240</v>
      </c>
      <c r="E1746" s="23" t="n">
        <v>3064.32521685289</v>
      </c>
      <c r="F1746" s="23" t="n">
        <f aca="false">D1746-E1746</f>
        <v>175.674783147108</v>
      </c>
      <c r="G1746" s="24" t="n">
        <f aca="false">IF(E1746&gt;0,D1746/E1746-1,"")</f>
        <v>0.0573290270174158</v>
      </c>
      <c r="H1746" s="3" t="str">
        <f aca="false">IF(MAX(D1746,E1746)&lt;Parametros!$B$16,"",IF(E1746=0,"PIDE SIN FCST",IF(ABS(G1746)&gt;Parametros!$B$14,IF(G1746&gt;0,"SOBRE FCST","BAJO FCST"),"")))</f>
        <v/>
      </c>
    </row>
    <row r="1747" customFormat="false" ht="15" hidden="false" customHeight="false" outlineLevel="0" collapsed="false">
      <c r="A1747" s="3" t="n">
        <v>30002269</v>
      </c>
      <c r="B1747" s="3" t="s">
        <v>541</v>
      </c>
      <c r="C1747" s="3" t="s">
        <v>1373</v>
      </c>
      <c r="D1747" s="23" t="n">
        <v>252</v>
      </c>
      <c r="E1747" s="23" t="n">
        <v>427.395833333333</v>
      </c>
      <c r="F1747" s="23" t="n">
        <f aca="false">D1747-E1747</f>
        <v>-175.395833333333</v>
      </c>
      <c r="G1747" s="24" t="n">
        <f aca="false">IF(E1747&gt;0,D1747/E1747-1,"")</f>
        <v>-0.410382646843773</v>
      </c>
      <c r="H1747" s="3" t="str">
        <f aca="false">IF(MAX(D1747,E1747)&lt;Parametros!$B$16,"",IF(E1747=0,"PIDE SIN FCST",IF(ABS(G1747)&gt;Parametros!$B$14,IF(G1747&gt;0,"SOBRE FCST","BAJO FCST"),"")))</f>
        <v/>
      </c>
    </row>
    <row r="1748" customFormat="false" ht="15" hidden="false" customHeight="false" outlineLevel="0" collapsed="false">
      <c r="A1748" s="3" t="n">
        <v>30001047</v>
      </c>
      <c r="B1748" s="3" t="s">
        <v>374</v>
      </c>
      <c r="C1748" s="3" t="s">
        <v>1379</v>
      </c>
      <c r="D1748" s="23" t="n">
        <v>734.4</v>
      </c>
      <c r="E1748" s="23" t="n">
        <v>909.228225104126</v>
      </c>
      <c r="F1748" s="23" t="n">
        <f aca="false">D1748-E1748</f>
        <v>-174.828225104126</v>
      </c>
      <c r="G1748" s="24" t="n">
        <f aca="false">IF(E1748&gt;0,D1748/E1748-1,"")</f>
        <v>-0.192282003876534</v>
      </c>
      <c r="H1748" s="3" t="str">
        <f aca="false">IF(MAX(D1748,E1748)&lt;Parametros!$B$16,"",IF(E1748=0,"PIDE SIN FCST",IF(ABS(G1748)&gt;Parametros!$B$14,IF(G1748&gt;0,"SOBRE FCST","BAJO FCST"),"")))</f>
        <v/>
      </c>
    </row>
    <row r="1749" customFormat="false" ht="15" hidden="false" customHeight="false" outlineLevel="0" collapsed="false">
      <c r="A1749" s="3" t="n">
        <v>30002180</v>
      </c>
      <c r="B1749" s="3" t="s">
        <v>426</v>
      </c>
      <c r="C1749" s="3" t="s">
        <v>1377</v>
      </c>
      <c r="D1749" s="23" t="n">
        <v>513</v>
      </c>
      <c r="E1749" s="23" t="n">
        <v>687.823817832966</v>
      </c>
      <c r="F1749" s="23" t="n">
        <f aca="false">D1749-E1749</f>
        <v>-174.823817832965</v>
      </c>
      <c r="G1749" s="24" t="n">
        <f aca="false">IF(E1749&gt;0,D1749/E1749-1,"")</f>
        <v>-0.254169473781469</v>
      </c>
      <c r="H1749" s="3" t="str">
        <f aca="false">IF(MAX(D1749,E1749)&lt;Parametros!$B$16,"",IF(E1749=0,"PIDE SIN FCST",IF(ABS(G1749)&gt;Parametros!$B$14,IF(G1749&gt;0,"SOBRE FCST","BAJO FCST"),"")))</f>
        <v/>
      </c>
    </row>
    <row r="1750" customFormat="false" ht="15" hidden="false" customHeight="false" outlineLevel="0" collapsed="false">
      <c r="A1750" s="3" t="n">
        <v>30000172</v>
      </c>
      <c r="B1750" s="3" t="s">
        <v>495</v>
      </c>
      <c r="C1750" s="3" t="s">
        <v>1373</v>
      </c>
      <c r="D1750" s="23" t="n">
        <v>1024.8</v>
      </c>
      <c r="E1750" s="23" t="n">
        <v>850</v>
      </c>
      <c r="F1750" s="23" t="n">
        <f aca="false">D1750-E1750</f>
        <v>174.8</v>
      </c>
      <c r="G1750" s="24" t="n">
        <f aca="false">IF(E1750&gt;0,D1750/E1750-1,"")</f>
        <v>0.205647058823529</v>
      </c>
      <c r="H1750" s="3" t="str">
        <f aca="false">IF(MAX(D1750,E1750)&lt;Parametros!$B$16,"",IF(E1750=0,"PIDE SIN FCST",IF(ABS(G1750)&gt;Parametros!$B$14,IF(G1750&gt;0,"SOBRE FCST","BAJO FCST"),"")))</f>
        <v>SOBRE FCST</v>
      </c>
    </row>
    <row r="1751" customFormat="false" ht="15" hidden="false" customHeight="false" outlineLevel="0" collapsed="false">
      <c r="A1751" s="3" t="n">
        <v>30002289</v>
      </c>
      <c r="B1751" s="3" t="s">
        <v>585</v>
      </c>
      <c r="C1751" s="3" t="s">
        <v>1378</v>
      </c>
      <c r="D1751" s="23" t="n">
        <v>218.4</v>
      </c>
      <c r="E1751" s="23" t="n">
        <v>392.632554688768</v>
      </c>
      <c r="F1751" s="23" t="n">
        <f aca="false">D1751-E1751</f>
        <v>-174.232554688768</v>
      </c>
      <c r="G1751" s="24" t="n">
        <f aca="false">IF(E1751&gt;0,D1751/E1751-1,"")</f>
        <v>-0.443754733549486</v>
      </c>
      <c r="H1751" s="3" t="str">
        <f aca="false">IF(MAX(D1751,E1751)&lt;Parametros!$B$16,"",IF(E1751=0,"PIDE SIN FCST",IF(ABS(G1751)&gt;Parametros!$B$14,IF(G1751&gt;0,"SOBRE FCST","BAJO FCST"),"")))</f>
        <v/>
      </c>
    </row>
    <row r="1752" customFormat="false" ht="15" hidden="false" customHeight="false" outlineLevel="0" collapsed="false">
      <c r="A1752" s="3" t="n">
        <v>30000608</v>
      </c>
      <c r="B1752" s="3" t="s">
        <v>416</v>
      </c>
      <c r="C1752" s="3" t="s">
        <v>1378</v>
      </c>
      <c r="D1752" s="23" t="n">
        <v>13.44</v>
      </c>
      <c r="E1752" s="23" t="n">
        <v>186.88</v>
      </c>
      <c r="F1752" s="23" t="n">
        <f aca="false">D1752-E1752</f>
        <v>-173.44</v>
      </c>
      <c r="G1752" s="24" t="n">
        <f aca="false">IF(E1752&gt;0,D1752/E1752-1,"")</f>
        <v>-0.928082191780822</v>
      </c>
      <c r="H1752" s="3" t="str">
        <f aca="false">IF(MAX(D1752,E1752)&lt;Parametros!$B$16,"",IF(E1752=0,"PIDE SIN FCST",IF(ABS(G1752)&gt;Parametros!$B$14,IF(G1752&gt;0,"SOBRE FCST","BAJO FCST"),"")))</f>
        <v/>
      </c>
    </row>
    <row r="1753" customFormat="false" ht="15" hidden="false" customHeight="false" outlineLevel="0" collapsed="false">
      <c r="A1753" s="3" t="n">
        <v>30000466</v>
      </c>
      <c r="B1753" s="3" t="s">
        <v>266</v>
      </c>
      <c r="C1753" s="3" t="s">
        <v>1372</v>
      </c>
      <c r="D1753" s="23" t="n">
        <v>6432</v>
      </c>
      <c r="E1753" s="23" t="n">
        <v>6258.78557216409</v>
      </c>
      <c r="F1753" s="23" t="n">
        <f aca="false">D1753-E1753</f>
        <v>173.214427835912</v>
      </c>
      <c r="G1753" s="24" t="n">
        <f aca="false">IF(E1753&gt;0,D1753/E1753-1,"")</f>
        <v>0.0276754053703776</v>
      </c>
      <c r="H1753" s="3" t="str">
        <f aca="false">IF(MAX(D1753,E1753)&lt;Parametros!$B$16,"",IF(E1753=0,"PIDE SIN FCST",IF(ABS(G1753)&gt;Parametros!$B$14,IF(G1753&gt;0,"SOBRE FCST","BAJO FCST"),"")))</f>
        <v/>
      </c>
    </row>
    <row r="1754" customFormat="false" ht="15" hidden="false" customHeight="false" outlineLevel="0" collapsed="false">
      <c r="A1754" s="3" t="n">
        <v>30000441</v>
      </c>
      <c r="B1754" s="3" t="s">
        <v>229</v>
      </c>
      <c r="C1754" s="3" t="s">
        <v>1377</v>
      </c>
      <c r="D1754" s="23" t="n">
        <v>7590</v>
      </c>
      <c r="E1754" s="23" t="n">
        <v>7763.17558946163</v>
      </c>
      <c r="F1754" s="23" t="n">
        <f aca="false">D1754-E1754</f>
        <v>-173.17558946163</v>
      </c>
      <c r="G1754" s="24" t="n">
        <f aca="false">IF(E1754&gt;0,D1754/E1754-1,"")</f>
        <v>-0.022307313220728</v>
      </c>
      <c r="H1754" s="3" t="str">
        <f aca="false">IF(MAX(D1754,E1754)&lt;Parametros!$B$16,"",IF(E1754=0,"PIDE SIN FCST",IF(ABS(G1754)&gt;Parametros!$B$14,IF(G1754&gt;0,"SOBRE FCST","BAJO FCST"),"")))</f>
        <v/>
      </c>
    </row>
    <row r="1755" customFormat="false" ht="15" hidden="false" customHeight="false" outlineLevel="0" collapsed="false">
      <c r="A1755" s="3" t="n">
        <v>30000630</v>
      </c>
      <c r="B1755" s="3" t="s">
        <v>356</v>
      </c>
      <c r="C1755" s="3" t="s">
        <v>1373</v>
      </c>
      <c r="D1755" s="23" t="n">
        <v>6827.2</v>
      </c>
      <c r="E1755" s="23" t="n">
        <v>7000</v>
      </c>
      <c r="F1755" s="23" t="n">
        <f aca="false">D1755-E1755</f>
        <v>-172.8</v>
      </c>
      <c r="G1755" s="24" t="n">
        <f aca="false">IF(E1755&gt;0,D1755/E1755-1,"")</f>
        <v>-0.0246857142857143</v>
      </c>
      <c r="H1755" s="3" t="str">
        <f aca="false">IF(MAX(D1755,E1755)&lt;Parametros!$B$16,"",IF(E1755=0,"PIDE SIN FCST",IF(ABS(G1755)&gt;Parametros!$B$14,IF(G1755&gt;0,"SOBRE FCST","BAJO FCST"),"")))</f>
        <v/>
      </c>
    </row>
    <row r="1756" customFormat="false" ht="15" hidden="false" customHeight="false" outlineLevel="0" collapsed="false">
      <c r="A1756" s="3" t="n">
        <v>30000633</v>
      </c>
      <c r="B1756" s="3" t="s">
        <v>492</v>
      </c>
      <c r="C1756" s="3" t="s">
        <v>1379</v>
      </c>
      <c r="D1756" s="23" t="n">
        <v>172.8</v>
      </c>
      <c r="E1756" s="23" t="n">
        <v>0</v>
      </c>
      <c r="F1756" s="23" t="n">
        <f aca="false">D1756-E1756</f>
        <v>172.8</v>
      </c>
      <c r="G1756" s="24" t="str">
        <f aca="false">IF(E1756&gt;0,D1756/E1756-1,"")</f>
        <v/>
      </c>
      <c r="H1756" s="3" t="str">
        <f aca="false">IF(MAX(D1756,E1756)&lt;Parametros!$B$16,"",IF(E1756=0,"PIDE SIN FCST",IF(ABS(G1756)&gt;Parametros!$B$14,IF(G1756&gt;0,"SOBRE FCST","BAJO FCST"),"")))</f>
        <v/>
      </c>
    </row>
    <row r="1757" customFormat="false" ht="15" hidden="false" customHeight="false" outlineLevel="0" collapsed="false">
      <c r="A1757" s="3" t="n">
        <v>30002172</v>
      </c>
      <c r="B1757" s="3" t="s">
        <v>491</v>
      </c>
      <c r="C1757" s="3" t="s">
        <v>1377</v>
      </c>
      <c r="D1757" s="23" t="n">
        <v>172.8</v>
      </c>
      <c r="E1757" s="23" t="n">
        <v>0</v>
      </c>
      <c r="F1757" s="23" t="n">
        <f aca="false">D1757-E1757</f>
        <v>172.8</v>
      </c>
      <c r="G1757" s="24" t="str">
        <f aca="false">IF(E1757&gt;0,D1757/E1757-1,"")</f>
        <v/>
      </c>
      <c r="H1757" s="3" t="str">
        <f aca="false">IF(MAX(D1757,E1757)&lt;Parametros!$B$16,"",IF(E1757=0,"PIDE SIN FCST",IF(ABS(G1757)&gt;Parametros!$B$14,IF(G1757&gt;0,"SOBRE FCST","BAJO FCST"),"")))</f>
        <v/>
      </c>
    </row>
    <row r="1758" customFormat="false" ht="15" hidden="false" customHeight="false" outlineLevel="0" collapsed="false">
      <c r="A1758" s="3" t="n">
        <v>30002135</v>
      </c>
      <c r="B1758" s="3" t="s">
        <v>446</v>
      </c>
      <c r="C1758" s="3" t="s">
        <v>1379</v>
      </c>
      <c r="D1758" s="23" t="n">
        <v>1132.8</v>
      </c>
      <c r="E1758" s="23" t="n">
        <v>1305.5190180476</v>
      </c>
      <c r="F1758" s="23" t="n">
        <f aca="false">D1758-E1758</f>
        <v>-172.719018047601</v>
      </c>
      <c r="G1758" s="24" t="n">
        <f aca="false">IF(E1758&gt;0,D1758/E1758-1,"")</f>
        <v>-0.132299120625529</v>
      </c>
      <c r="H1758" s="3" t="str">
        <f aca="false">IF(MAX(D1758,E1758)&lt;Parametros!$B$16,"",IF(E1758=0,"PIDE SIN FCST",IF(ABS(G1758)&gt;Parametros!$B$14,IF(G1758&gt;0,"SOBRE FCST","BAJO FCST"),"")))</f>
        <v/>
      </c>
    </row>
    <row r="1759" customFormat="false" ht="15" hidden="false" customHeight="false" outlineLevel="0" collapsed="false">
      <c r="A1759" s="3" t="n">
        <v>30001828</v>
      </c>
      <c r="B1759" s="3" t="s">
        <v>510</v>
      </c>
      <c r="C1759" s="3" t="s">
        <v>1378</v>
      </c>
      <c r="D1759" s="23" t="n">
        <v>567.84</v>
      </c>
      <c r="E1759" s="23" t="n">
        <v>395.552720592545</v>
      </c>
      <c r="F1759" s="23" t="n">
        <f aca="false">D1759-E1759</f>
        <v>172.287279407455</v>
      </c>
      <c r="G1759" s="24" t="n">
        <f aca="false">IF(E1759&gt;0,D1759/E1759-1,"")</f>
        <v>0.435560850521684</v>
      </c>
      <c r="H1759" s="3" t="str">
        <f aca="false">IF(MAX(D1759,E1759)&lt;Parametros!$B$16,"",IF(E1759=0,"PIDE SIN FCST",IF(ABS(G1759)&gt;Parametros!$B$14,IF(G1759&gt;0,"SOBRE FCST","BAJO FCST"),"")))</f>
        <v/>
      </c>
    </row>
    <row r="1760" customFormat="false" ht="15" hidden="false" customHeight="false" outlineLevel="0" collapsed="false">
      <c r="A1760" s="3" t="n">
        <v>30000634</v>
      </c>
      <c r="B1760" s="3" t="s">
        <v>471</v>
      </c>
      <c r="C1760" s="3" t="s">
        <v>1377</v>
      </c>
      <c r="D1760" s="23" t="n">
        <v>672</v>
      </c>
      <c r="E1760" s="23" t="n">
        <v>500</v>
      </c>
      <c r="F1760" s="23" t="n">
        <f aca="false">D1760-E1760</f>
        <v>172</v>
      </c>
      <c r="G1760" s="24" t="n">
        <f aca="false">IF(E1760&gt;0,D1760/E1760-1,"")</f>
        <v>0.344</v>
      </c>
      <c r="H1760" s="3" t="str">
        <f aca="false">IF(MAX(D1760,E1760)&lt;Parametros!$B$16,"",IF(E1760=0,"PIDE SIN FCST",IF(ABS(G1760)&gt;Parametros!$B$14,IF(G1760&gt;0,"SOBRE FCST","BAJO FCST"),"")))</f>
        <v/>
      </c>
    </row>
    <row r="1761" customFormat="false" ht="15" hidden="false" customHeight="false" outlineLevel="0" collapsed="false">
      <c r="A1761" s="3" t="n">
        <v>30001537</v>
      </c>
      <c r="B1761" s="3" t="s">
        <v>571</v>
      </c>
      <c r="C1761" s="3" t="s">
        <v>1373</v>
      </c>
      <c r="D1761" s="23" t="n">
        <v>410.64</v>
      </c>
      <c r="E1761" s="23" t="n">
        <v>581.320512665907</v>
      </c>
      <c r="F1761" s="23" t="n">
        <f aca="false">D1761-E1761</f>
        <v>-170.680512665907</v>
      </c>
      <c r="G1761" s="24" t="n">
        <f aca="false">IF(E1761&gt;0,D1761/E1761-1,"")</f>
        <v>-0.293608274518259</v>
      </c>
      <c r="H1761" s="3" t="str">
        <f aca="false">IF(MAX(D1761,E1761)&lt;Parametros!$B$16,"",IF(E1761=0,"PIDE SIN FCST",IF(ABS(G1761)&gt;Parametros!$B$14,IF(G1761&gt;0,"SOBRE FCST","BAJO FCST"),"")))</f>
        <v/>
      </c>
    </row>
    <row r="1762" customFormat="false" ht="15" hidden="false" customHeight="false" outlineLevel="0" collapsed="false">
      <c r="A1762" s="3" t="n">
        <v>30001995</v>
      </c>
      <c r="B1762" s="3" t="s">
        <v>468</v>
      </c>
      <c r="C1762" s="3" t="s">
        <v>1375</v>
      </c>
      <c r="D1762" s="23" t="n">
        <v>1464</v>
      </c>
      <c r="E1762" s="23" t="n">
        <v>1293.86259824361</v>
      </c>
      <c r="F1762" s="23" t="n">
        <f aca="false">D1762-E1762</f>
        <v>170.137401756395</v>
      </c>
      <c r="G1762" s="24" t="n">
        <f aca="false">IF(E1762&gt;0,D1762/E1762-1,"")</f>
        <v>0.131495726043363</v>
      </c>
      <c r="H1762" s="3" t="str">
        <f aca="false">IF(MAX(D1762,E1762)&lt;Parametros!$B$16,"",IF(E1762=0,"PIDE SIN FCST",IF(ABS(G1762)&gt;Parametros!$B$14,IF(G1762&gt;0,"SOBRE FCST","BAJO FCST"),"")))</f>
        <v/>
      </c>
    </row>
    <row r="1763" customFormat="false" ht="15" hidden="false" customHeight="false" outlineLevel="0" collapsed="false">
      <c r="A1763" s="3" t="n">
        <v>30000302</v>
      </c>
      <c r="B1763" s="3" t="s">
        <v>251</v>
      </c>
      <c r="C1763" s="3" t="s">
        <v>1375</v>
      </c>
      <c r="D1763" s="23" t="n">
        <v>3370</v>
      </c>
      <c r="E1763" s="23" t="n">
        <v>3200</v>
      </c>
      <c r="F1763" s="23" t="n">
        <f aca="false">D1763-E1763</f>
        <v>170</v>
      </c>
      <c r="G1763" s="24" t="n">
        <f aca="false">IF(E1763&gt;0,D1763/E1763-1,"")</f>
        <v>0.0531250000000001</v>
      </c>
      <c r="H1763" s="3" t="str">
        <f aca="false">IF(MAX(D1763,E1763)&lt;Parametros!$B$16,"",IF(E1763=0,"PIDE SIN FCST",IF(ABS(G1763)&gt;Parametros!$B$14,IF(G1763&gt;0,"SOBRE FCST","BAJO FCST"),"")))</f>
        <v/>
      </c>
    </row>
    <row r="1764" customFormat="false" ht="15" hidden="false" customHeight="false" outlineLevel="0" collapsed="false">
      <c r="A1764" s="3" t="n">
        <v>30000073</v>
      </c>
      <c r="B1764" s="3" t="s">
        <v>496</v>
      </c>
      <c r="C1764" s="3" t="s">
        <v>1379</v>
      </c>
      <c r="D1764" s="23" t="n">
        <v>130</v>
      </c>
      <c r="E1764" s="23" t="n">
        <v>300</v>
      </c>
      <c r="F1764" s="23" t="n">
        <f aca="false">D1764-E1764</f>
        <v>-170</v>
      </c>
      <c r="G1764" s="24" t="n">
        <f aca="false">IF(E1764&gt;0,D1764/E1764-1,"")</f>
        <v>-0.566666666666667</v>
      </c>
      <c r="H1764" s="3" t="str">
        <f aca="false">IF(MAX(D1764,E1764)&lt;Parametros!$B$16,"",IF(E1764=0,"PIDE SIN FCST",IF(ABS(G1764)&gt;Parametros!$B$14,IF(G1764&gt;0,"SOBRE FCST","BAJO FCST"),"")))</f>
        <v/>
      </c>
    </row>
    <row r="1765" customFormat="false" ht="15" hidden="false" customHeight="false" outlineLevel="0" collapsed="false">
      <c r="A1765" s="3" t="n">
        <v>30000355</v>
      </c>
      <c r="B1765" s="3" t="s">
        <v>583</v>
      </c>
      <c r="C1765" s="3" t="s">
        <v>1378</v>
      </c>
      <c r="D1765" s="23" t="n">
        <v>1728</v>
      </c>
      <c r="E1765" s="23" t="n">
        <v>1559.19815638703</v>
      </c>
      <c r="F1765" s="23" t="n">
        <f aca="false">D1765-E1765</f>
        <v>168.801843612972</v>
      </c>
      <c r="G1765" s="24" t="n">
        <f aca="false">IF(E1765&gt;0,D1765/E1765-1,"")</f>
        <v>0.1082619569049</v>
      </c>
      <c r="H1765" s="3" t="str">
        <f aca="false">IF(MAX(D1765,E1765)&lt;Parametros!$B$16,"",IF(E1765=0,"PIDE SIN FCST",IF(ABS(G1765)&gt;Parametros!$B$14,IF(G1765&gt;0,"SOBRE FCST","BAJO FCST"),"")))</f>
        <v/>
      </c>
    </row>
    <row r="1766" customFormat="false" ht="15" hidden="false" customHeight="false" outlineLevel="0" collapsed="false">
      <c r="A1766" s="3" t="n">
        <v>30000176</v>
      </c>
      <c r="B1766" s="3" t="s">
        <v>366</v>
      </c>
      <c r="C1766" s="3" t="s">
        <v>1379</v>
      </c>
      <c r="D1766" s="23" t="n">
        <v>2131.2</v>
      </c>
      <c r="E1766" s="23" t="n">
        <v>2300</v>
      </c>
      <c r="F1766" s="23" t="n">
        <f aca="false">D1766-E1766</f>
        <v>-168.8</v>
      </c>
      <c r="G1766" s="24" t="n">
        <f aca="false">IF(E1766&gt;0,D1766/E1766-1,"")</f>
        <v>-0.0733913043478262</v>
      </c>
      <c r="H1766" s="3" t="str">
        <f aca="false">IF(MAX(D1766,E1766)&lt;Parametros!$B$16,"",IF(E1766=0,"PIDE SIN FCST",IF(ABS(G1766)&gt;Parametros!$B$14,IF(G1766&gt;0,"SOBRE FCST","BAJO FCST"),"")))</f>
        <v/>
      </c>
    </row>
    <row r="1767" customFormat="false" ht="15" hidden="false" customHeight="false" outlineLevel="0" collapsed="false">
      <c r="A1767" s="3" t="n">
        <v>30000327</v>
      </c>
      <c r="B1767" s="3" t="s">
        <v>423</v>
      </c>
      <c r="C1767" s="3" t="s">
        <v>1375</v>
      </c>
      <c r="D1767" s="23" t="n">
        <v>816</v>
      </c>
      <c r="E1767" s="23" t="n">
        <v>647.68</v>
      </c>
      <c r="F1767" s="23" t="n">
        <f aca="false">D1767-E1767</f>
        <v>168.32</v>
      </c>
      <c r="G1767" s="24" t="n">
        <f aca="false">IF(E1767&gt;0,D1767/E1767-1,"")</f>
        <v>0.259881422924901</v>
      </c>
      <c r="H1767" s="3" t="str">
        <f aca="false">IF(MAX(D1767,E1767)&lt;Parametros!$B$16,"",IF(E1767=0,"PIDE SIN FCST",IF(ABS(G1767)&gt;Parametros!$B$14,IF(G1767&gt;0,"SOBRE FCST","BAJO FCST"),"")))</f>
        <v/>
      </c>
    </row>
    <row r="1768" customFormat="false" ht="15" hidden="false" customHeight="false" outlineLevel="0" collapsed="false">
      <c r="A1768" s="3" t="n">
        <v>30002087</v>
      </c>
      <c r="B1768" s="3" t="s">
        <v>595</v>
      </c>
      <c r="C1768" s="3" t="s">
        <v>1380</v>
      </c>
      <c r="D1768" s="23" t="n">
        <v>806.4</v>
      </c>
      <c r="E1768" s="23" t="n">
        <v>974.57452115157</v>
      </c>
      <c r="F1768" s="23" t="n">
        <f aca="false">D1768-E1768</f>
        <v>-168.17452115157</v>
      </c>
      <c r="G1768" s="24" t="n">
        <f aca="false">IF(E1768&gt;0,D1768/E1768-1,"")</f>
        <v>-0.172561992440406</v>
      </c>
      <c r="H1768" s="3" t="str">
        <f aca="false">IF(MAX(D1768,E1768)&lt;Parametros!$B$16,"",IF(E1768=0,"PIDE SIN FCST",IF(ABS(G1768)&gt;Parametros!$B$14,IF(G1768&gt;0,"SOBRE FCST","BAJO FCST"),"")))</f>
        <v/>
      </c>
    </row>
    <row r="1769" customFormat="false" ht="15" hidden="false" customHeight="false" outlineLevel="0" collapsed="false">
      <c r="A1769" s="3" t="n">
        <v>30002178</v>
      </c>
      <c r="B1769" s="3" t="s">
        <v>527</v>
      </c>
      <c r="C1769" s="3" t="s">
        <v>1377</v>
      </c>
      <c r="D1769" s="23" t="n">
        <v>507.3</v>
      </c>
      <c r="E1769" s="23" t="n">
        <v>674.926041060787</v>
      </c>
      <c r="F1769" s="23" t="n">
        <f aca="false">D1769-E1769</f>
        <v>-167.626041060787</v>
      </c>
      <c r="G1769" s="24" t="n">
        <f aca="false">IF(E1769&gt;0,D1769/E1769-1,"")</f>
        <v>-0.24836208838131</v>
      </c>
      <c r="H1769" s="3" t="str">
        <f aca="false">IF(MAX(D1769,E1769)&lt;Parametros!$B$16,"",IF(E1769=0,"PIDE SIN FCST",IF(ABS(G1769)&gt;Parametros!$B$14,IF(G1769&gt;0,"SOBRE FCST","BAJO FCST"),"")))</f>
        <v/>
      </c>
    </row>
    <row r="1770" customFormat="false" ht="15" hidden="false" customHeight="false" outlineLevel="0" collapsed="false">
      <c r="A1770" s="3" t="n">
        <v>30001856</v>
      </c>
      <c r="B1770" s="3" t="s">
        <v>472</v>
      </c>
      <c r="C1770" s="3" t="s">
        <v>1373</v>
      </c>
      <c r="D1770" s="23" t="n">
        <v>581.28</v>
      </c>
      <c r="E1770" s="23" t="n">
        <v>413.84976333272</v>
      </c>
      <c r="F1770" s="23" t="n">
        <f aca="false">D1770-E1770</f>
        <v>167.43023666728</v>
      </c>
      <c r="G1770" s="24" t="n">
        <f aca="false">IF(E1770&gt;0,D1770/E1770-1,"")</f>
        <v>0.40456767528141</v>
      </c>
      <c r="H1770" s="3" t="str">
        <f aca="false">IF(MAX(D1770,E1770)&lt;Parametros!$B$16,"",IF(E1770=0,"PIDE SIN FCST",IF(ABS(G1770)&gt;Parametros!$B$14,IF(G1770&gt;0,"SOBRE FCST","BAJO FCST"),"")))</f>
        <v/>
      </c>
    </row>
    <row r="1771" customFormat="false" ht="15" hidden="false" customHeight="false" outlineLevel="0" collapsed="false">
      <c r="A1771" s="3" t="n">
        <v>30001403</v>
      </c>
      <c r="B1771" s="3" t="s">
        <v>465</v>
      </c>
      <c r="C1771" s="3" t="s">
        <v>1375</v>
      </c>
      <c r="D1771" s="23" t="n">
        <v>167.4</v>
      </c>
      <c r="E1771" s="23" t="n">
        <v>0</v>
      </c>
      <c r="F1771" s="23" t="n">
        <f aca="false">D1771-E1771</f>
        <v>167.4</v>
      </c>
      <c r="G1771" s="24" t="str">
        <f aca="false">IF(E1771&gt;0,D1771/E1771-1,"")</f>
        <v/>
      </c>
      <c r="H1771" s="3" t="str">
        <f aca="false">IF(MAX(D1771,E1771)&lt;Parametros!$B$16,"",IF(E1771=0,"PIDE SIN FCST",IF(ABS(G1771)&gt;Parametros!$B$14,IF(G1771&gt;0,"SOBRE FCST","BAJO FCST"),"")))</f>
        <v/>
      </c>
    </row>
    <row r="1772" customFormat="false" ht="15" hidden="false" customHeight="false" outlineLevel="0" collapsed="false">
      <c r="A1772" s="3" t="n">
        <v>30000648</v>
      </c>
      <c r="B1772" s="3" t="s">
        <v>487</v>
      </c>
      <c r="C1772" s="3" t="s">
        <v>1379</v>
      </c>
      <c r="D1772" s="23" t="n">
        <v>1732.8</v>
      </c>
      <c r="E1772" s="23" t="n">
        <v>1900</v>
      </c>
      <c r="F1772" s="23" t="n">
        <f aca="false">D1772-E1772</f>
        <v>-167.2</v>
      </c>
      <c r="G1772" s="24" t="n">
        <f aca="false">IF(E1772&gt;0,D1772/E1772-1,"")</f>
        <v>-0.0880000000000001</v>
      </c>
      <c r="H1772" s="3" t="str">
        <f aca="false">IF(MAX(D1772,E1772)&lt;Parametros!$B$16,"",IF(E1772=0,"PIDE SIN FCST",IF(ABS(G1772)&gt;Parametros!$B$14,IF(G1772&gt;0,"SOBRE FCST","BAJO FCST"),"")))</f>
        <v/>
      </c>
    </row>
    <row r="1773" customFormat="false" ht="15" hidden="false" customHeight="false" outlineLevel="0" collapsed="false">
      <c r="A1773" s="3" t="n">
        <v>30001056</v>
      </c>
      <c r="B1773" s="3" t="s">
        <v>259</v>
      </c>
      <c r="C1773" s="3" t="s">
        <v>1377</v>
      </c>
      <c r="D1773" s="23" t="n">
        <v>1774.08</v>
      </c>
      <c r="E1773" s="23" t="n">
        <v>1607.10372395155</v>
      </c>
      <c r="F1773" s="23" t="n">
        <f aca="false">D1773-E1773</f>
        <v>166.976276048451</v>
      </c>
      <c r="G1773" s="24" t="n">
        <f aca="false">IF(E1773&gt;0,D1773/E1773-1,"")</f>
        <v>0.10389887943131</v>
      </c>
      <c r="H1773" s="3" t="str">
        <f aca="false">IF(MAX(D1773,E1773)&lt;Parametros!$B$16,"",IF(E1773=0,"PIDE SIN FCST",IF(ABS(G1773)&gt;Parametros!$B$14,IF(G1773&gt;0,"SOBRE FCST","BAJO FCST"),"")))</f>
        <v/>
      </c>
    </row>
    <row r="1774" customFormat="false" ht="15" hidden="false" customHeight="false" outlineLevel="0" collapsed="false">
      <c r="A1774" s="3" t="n">
        <v>30002274</v>
      </c>
      <c r="B1774" s="3" t="s">
        <v>576</v>
      </c>
      <c r="C1774" s="3" t="s">
        <v>1380</v>
      </c>
      <c r="D1774" s="23" t="n">
        <v>3207.6</v>
      </c>
      <c r="E1774" s="23" t="n">
        <v>3374.4</v>
      </c>
      <c r="F1774" s="23" t="n">
        <f aca="false">D1774-E1774</f>
        <v>-166.800000000001</v>
      </c>
      <c r="G1774" s="24" t="n">
        <f aca="false">IF(E1774&gt;0,D1774/E1774-1,"")</f>
        <v>-0.0494310099573261</v>
      </c>
      <c r="H1774" s="3" t="str">
        <f aca="false">IF(MAX(D1774,E1774)&lt;Parametros!$B$16,"",IF(E1774=0,"PIDE SIN FCST",IF(ABS(G1774)&gt;Parametros!$B$14,IF(G1774&gt;0,"SOBRE FCST","BAJO FCST"),"")))</f>
        <v/>
      </c>
    </row>
    <row r="1775" customFormat="false" ht="15" hidden="false" customHeight="false" outlineLevel="0" collapsed="false">
      <c r="A1775" s="3" t="n">
        <v>30001342</v>
      </c>
      <c r="B1775" s="3" t="s">
        <v>603</v>
      </c>
      <c r="C1775" s="3" t="s">
        <v>1373</v>
      </c>
      <c r="D1775" s="23" t="n">
        <v>696</v>
      </c>
      <c r="E1775" s="23" t="n">
        <v>862.575065495737</v>
      </c>
      <c r="F1775" s="23" t="n">
        <f aca="false">D1775-E1775</f>
        <v>-166.575065495737</v>
      </c>
      <c r="G1775" s="24" t="n">
        <f aca="false">IF(E1775&gt;0,D1775/E1775-1,"")</f>
        <v>-0.193113703559241</v>
      </c>
      <c r="H1775" s="3" t="str">
        <f aca="false">IF(MAX(D1775,E1775)&lt;Parametros!$B$16,"",IF(E1775=0,"PIDE SIN FCST",IF(ABS(G1775)&gt;Parametros!$B$14,IF(G1775&gt;0,"SOBRE FCST","BAJO FCST"),"")))</f>
        <v/>
      </c>
    </row>
    <row r="1776" customFormat="false" ht="15" hidden="false" customHeight="false" outlineLevel="0" collapsed="false">
      <c r="A1776" s="3" t="n">
        <v>30001143</v>
      </c>
      <c r="B1776" s="3" t="s">
        <v>503</v>
      </c>
      <c r="C1776" s="3" t="s">
        <v>1380</v>
      </c>
      <c r="D1776" s="23" t="n">
        <v>1135</v>
      </c>
      <c r="E1776" s="23" t="n">
        <v>1300</v>
      </c>
      <c r="F1776" s="23" t="n">
        <f aca="false">D1776-E1776</f>
        <v>-165</v>
      </c>
      <c r="G1776" s="24" t="n">
        <f aca="false">IF(E1776&gt;0,D1776/E1776-1,"")</f>
        <v>-0.126923076923077</v>
      </c>
      <c r="H1776" s="3" t="str">
        <f aca="false">IF(MAX(D1776,E1776)&lt;Parametros!$B$16,"",IF(E1776=0,"PIDE SIN FCST",IF(ABS(G1776)&gt;Parametros!$B$14,IF(G1776&gt;0,"SOBRE FCST","BAJO FCST"),"")))</f>
        <v/>
      </c>
    </row>
    <row r="1777" customFormat="false" ht="15" hidden="false" customHeight="false" outlineLevel="0" collapsed="false">
      <c r="A1777" s="3" t="n">
        <v>30002347</v>
      </c>
      <c r="B1777" s="3" t="s">
        <v>271</v>
      </c>
      <c r="C1777" s="3" t="s">
        <v>1379</v>
      </c>
      <c r="D1777" s="23" t="n">
        <v>8965</v>
      </c>
      <c r="E1777" s="23" t="n">
        <v>8800</v>
      </c>
      <c r="F1777" s="23" t="n">
        <f aca="false">D1777-E1777</f>
        <v>165</v>
      </c>
      <c r="G1777" s="24" t="n">
        <f aca="false">IF(E1777&gt;0,D1777/E1777-1,"")</f>
        <v>0.01875</v>
      </c>
      <c r="H1777" s="3" t="str">
        <f aca="false">IF(MAX(D1777,E1777)&lt;Parametros!$B$16,"",IF(E1777=0,"PIDE SIN FCST",IF(ABS(G1777)&gt;Parametros!$B$14,IF(G1777&gt;0,"SOBRE FCST","BAJO FCST"),"")))</f>
        <v/>
      </c>
    </row>
    <row r="1778" customFormat="false" ht="15" hidden="false" customHeight="false" outlineLevel="0" collapsed="false">
      <c r="A1778" s="3" t="n">
        <v>30001767</v>
      </c>
      <c r="B1778" s="3" t="s">
        <v>469</v>
      </c>
      <c r="C1778" s="3" t="s">
        <v>1377</v>
      </c>
      <c r="D1778" s="23" t="n">
        <v>1285.2</v>
      </c>
      <c r="E1778" s="23" t="n">
        <v>1450</v>
      </c>
      <c r="F1778" s="23" t="n">
        <f aca="false">D1778-E1778</f>
        <v>-164.8</v>
      </c>
      <c r="G1778" s="24" t="n">
        <f aca="false">IF(E1778&gt;0,D1778/E1778-1,"")</f>
        <v>-0.113655172413793</v>
      </c>
      <c r="H1778" s="3" t="str">
        <f aca="false">IF(MAX(D1778,E1778)&lt;Parametros!$B$16,"",IF(E1778=0,"PIDE SIN FCST",IF(ABS(G1778)&gt;Parametros!$B$14,IF(G1778&gt;0,"SOBRE FCST","BAJO FCST"),"")))</f>
        <v/>
      </c>
    </row>
    <row r="1779" customFormat="false" ht="15" hidden="false" customHeight="false" outlineLevel="0" collapsed="false">
      <c r="A1779" s="3" t="n">
        <v>30001051</v>
      </c>
      <c r="B1779" s="3" t="s">
        <v>226</v>
      </c>
      <c r="C1779" s="3" t="s">
        <v>1377</v>
      </c>
      <c r="D1779" s="23" t="n">
        <v>3144</v>
      </c>
      <c r="E1779" s="23" t="n">
        <v>2979.34388948672</v>
      </c>
      <c r="F1779" s="23" t="n">
        <f aca="false">D1779-E1779</f>
        <v>164.656110513281</v>
      </c>
      <c r="G1779" s="24" t="n">
        <f aca="false">IF(E1779&gt;0,D1779/E1779-1,"")</f>
        <v>0.0552658963251294</v>
      </c>
      <c r="H1779" s="3" t="str">
        <f aca="false">IF(MAX(D1779,E1779)&lt;Parametros!$B$16,"",IF(E1779=0,"PIDE SIN FCST",IF(ABS(G1779)&gt;Parametros!$B$14,IF(G1779&gt;0,"SOBRE FCST","BAJO FCST"),"")))</f>
        <v/>
      </c>
    </row>
    <row r="1780" customFormat="false" ht="15" hidden="false" customHeight="false" outlineLevel="0" collapsed="false">
      <c r="A1780" s="3" t="n">
        <v>30001597</v>
      </c>
      <c r="B1780" s="3" t="s">
        <v>265</v>
      </c>
      <c r="C1780" s="3" t="s">
        <v>1377</v>
      </c>
      <c r="D1780" s="23" t="n">
        <v>1536</v>
      </c>
      <c r="E1780" s="23" t="n">
        <v>1700</v>
      </c>
      <c r="F1780" s="23" t="n">
        <f aca="false">D1780-E1780</f>
        <v>-164</v>
      </c>
      <c r="G1780" s="24" t="n">
        <f aca="false">IF(E1780&gt;0,D1780/E1780-1,"")</f>
        <v>-0.0964705882352941</v>
      </c>
      <c r="H1780" s="3" t="str">
        <f aca="false">IF(MAX(D1780,E1780)&lt;Parametros!$B$16,"",IF(E1780=0,"PIDE SIN FCST",IF(ABS(G1780)&gt;Parametros!$B$14,IF(G1780&gt;0,"SOBRE FCST","BAJO FCST"),"")))</f>
        <v/>
      </c>
    </row>
    <row r="1781" customFormat="false" ht="15" hidden="false" customHeight="false" outlineLevel="0" collapsed="false">
      <c r="A1781" s="3" t="n">
        <v>30002138</v>
      </c>
      <c r="B1781" s="3" t="s">
        <v>494</v>
      </c>
      <c r="C1781" s="3" t="s">
        <v>1380</v>
      </c>
      <c r="D1781" s="23" t="n">
        <v>1064</v>
      </c>
      <c r="E1781" s="23" t="n">
        <v>900</v>
      </c>
      <c r="F1781" s="23" t="n">
        <f aca="false">D1781-E1781</f>
        <v>164</v>
      </c>
      <c r="G1781" s="24" t="n">
        <f aca="false">IF(E1781&gt;0,D1781/E1781-1,"")</f>
        <v>0.182222222222222</v>
      </c>
      <c r="H1781" s="3" t="str">
        <f aca="false">IF(MAX(D1781,E1781)&lt;Parametros!$B$16,"",IF(E1781=0,"PIDE SIN FCST",IF(ABS(G1781)&gt;Parametros!$B$14,IF(G1781&gt;0,"SOBRE FCST","BAJO FCST"),"")))</f>
        <v/>
      </c>
    </row>
    <row r="1782" customFormat="false" ht="15" hidden="false" customHeight="false" outlineLevel="0" collapsed="false">
      <c r="A1782" s="3" t="n">
        <v>30000301</v>
      </c>
      <c r="B1782" s="3" t="s">
        <v>323</v>
      </c>
      <c r="C1782" s="3" t="s">
        <v>1375</v>
      </c>
      <c r="D1782" s="23" t="n">
        <v>1030</v>
      </c>
      <c r="E1782" s="23" t="n">
        <v>1193.86259824361</v>
      </c>
      <c r="F1782" s="23" t="n">
        <f aca="false">D1782-E1782</f>
        <v>-163.862598243605</v>
      </c>
      <c r="G1782" s="24" t="n">
        <f aca="false">IF(E1782&gt;0,D1782/E1782-1,"")</f>
        <v>-0.13725415176309</v>
      </c>
      <c r="H1782" s="3" t="str">
        <f aca="false">IF(MAX(D1782,E1782)&lt;Parametros!$B$16,"",IF(E1782=0,"PIDE SIN FCST",IF(ABS(G1782)&gt;Parametros!$B$14,IF(G1782&gt;0,"SOBRE FCST","BAJO FCST"),"")))</f>
        <v/>
      </c>
    </row>
    <row r="1783" customFormat="false" ht="15" hidden="false" customHeight="false" outlineLevel="0" collapsed="false">
      <c r="A1783" s="3" t="n">
        <v>30000552</v>
      </c>
      <c r="B1783" s="3" t="s">
        <v>587</v>
      </c>
      <c r="C1783" s="3" t="s">
        <v>1377</v>
      </c>
      <c r="D1783" s="23" t="n">
        <v>163.68</v>
      </c>
      <c r="E1783" s="23" t="n">
        <v>0</v>
      </c>
      <c r="F1783" s="23" t="n">
        <f aca="false">D1783-E1783</f>
        <v>163.68</v>
      </c>
      <c r="G1783" s="24" t="str">
        <f aca="false">IF(E1783&gt;0,D1783/E1783-1,"")</f>
        <v/>
      </c>
      <c r="H1783" s="3" t="str">
        <f aca="false">IF(MAX(D1783,E1783)&lt;Parametros!$B$16,"",IF(E1783=0,"PIDE SIN FCST",IF(ABS(G1783)&gt;Parametros!$B$14,IF(G1783&gt;0,"SOBRE FCST","BAJO FCST"),"")))</f>
        <v/>
      </c>
    </row>
    <row r="1784" customFormat="false" ht="15" hidden="false" customHeight="false" outlineLevel="0" collapsed="false">
      <c r="A1784" s="3" t="n">
        <v>30001854</v>
      </c>
      <c r="B1784" s="3" t="s">
        <v>420</v>
      </c>
      <c r="C1784" s="3" t="s">
        <v>1373</v>
      </c>
      <c r="D1784" s="23" t="n">
        <v>608.16</v>
      </c>
      <c r="E1784" s="23" t="n">
        <v>445.079272207129</v>
      </c>
      <c r="F1784" s="23" t="n">
        <f aca="false">D1784-E1784</f>
        <v>163.080727792871</v>
      </c>
      <c r="G1784" s="24" t="n">
        <f aca="false">IF(E1784&gt;0,D1784/E1784-1,"")</f>
        <v>0.366408273708549</v>
      </c>
      <c r="H1784" s="3" t="str">
        <f aca="false">IF(MAX(D1784,E1784)&lt;Parametros!$B$16,"",IF(E1784=0,"PIDE SIN FCST",IF(ABS(G1784)&gt;Parametros!$B$14,IF(G1784&gt;0,"SOBRE FCST","BAJO FCST"),"")))</f>
        <v/>
      </c>
    </row>
    <row r="1785" customFormat="false" ht="15" hidden="false" customHeight="false" outlineLevel="0" collapsed="false">
      <c r="A1785" s="3" t="n">
        <v>30000178</v>
      </c>
      <c r="B1785" s="3" t="s">
        <v>359</v>
      </c>
      <c r="C1785" s="3" t="s">
        <v>1373</v>
      </c>
      <c r="D1785" s="23" t="n">
        <v>5462.4</v>
      </c>
      <c r="E1785" s="23" t="n">
        <v>5300</v>
      </c>
      <c r="F1785" s="23" t="n">
        <f aca="false">D1785-E1785</f>
        <v>162.4</v>
      </c>
      <c r="G1785" s="24" t="n">
        <f aca="false">IF(E1785&gt;0,D1785/E1785-1,"")</f>
        <v>0.0306415094339623</v>
      </c>
      <c r="H1785" s="3" t="str">
        <f aca="false">IF(MAX(D1785,E1785)&lt;Parametros!$B$16,"",IF(E1785=0,"PIDE SIN FCST",IF(ABS(G1785)&gt;Parametros!$B$14,IF(G1785&gt;0,"SOBRE FCST","BAJO FCST"),"")))</f>
        <v/>
      </c>
    </row>
    <row r="1786" customFormat="false" ht="15" hidden="false" customHeight="false" outlineLevel="0" collapsed="false">
      <c r="A1786" s="3" t="n">
        <v>30000436</v>
      </c>
      <c r="B1786" s="3" t="s">
        <v>559</v>
      </c>
      <c r="C1786" s="3" t="s">
        <v>1373</v>
      </c>
      <c r="D1786" s="23" t="n">
        <v>384</v>
      </c>
      <c r="E1786" s="23" t="n">
        <v>546.250993046572</v>
      </c>
      <c r="F1786" s="23" t="n">
        <f aca="false">D1786-E1786</f>
        <v>-162.250993046572</v>
      </c>
      <c r="G1786" s="24" t="n">
        <f aca="false">IF(E1786&gt;0,D1786/E1786-1,"")</f>
        <v>-0.297026449584393</v>
      </c>
      <c r="H1786" s="3" t="str">
        <f aca="false">IF(MAX(D1786,E1786)&lt;Parametros!$B$16,"",IF(E1786=0,"PIDE SIN FCST",IF(ABS(G1786)&gt;Parametros!$B$14,IF(G1786&gt;0,"SOBRE FCST","BAJO FCST"),"")))</f>
        <v/>
      </c>
    </row>
    <row r="1787" customFormat="false" ht="15" hidden="false" customHeight="false" outlineLevel="0" collapsed="false">
      <c r="A1787" s="3" t="n">
        <v>30001033</v>
      </c>
      <c r="B1787" s="3" t="s">
        <v>477</v>
      </c>
      <c r="C1787" s="3" t="s">
        <v>1373</v>
      </c>
      <c r="D1787" s="23" t="n">
        <v>410.4</v>
      </c>
      <c r="E1787" s="23" t="n">
        <v>572.587266607837</v>
      </c>
      <c r="F1787" s="23" t="n">
        <f aca="false">D1787-E1787</f>
        <v>-162.187266607837</v>
      </c>
      <c r="G1787" s="24" t="n">
        <f aca="false">IF(E1787&gt;0,D1787/E1787-1,"")</f>
        <v>-0.28325335903587</v>
      </c>
      <c r="H1787" s="3" t="str">
        <f aca="false">IF(MAX(D1787,E1787)&lt;Parametros!$B$16,"",IF(E1787=0,"PIDE SIN FCST",IF(ABS(G1787)&gt;Parametros!$B$14,IF(G1787&gt;0,"SOBRE FCST","BAJO FCST"),"")))</f>
        <v/>
      </c>
    </row>
    <row r="1788" customFormat="false" ht="15" hidden="false" customHeight="false" outlineLevel="0" collapsed="false">
      <c r="A1788" s="3" t="n">
        <v>30001954</v>
      </c>
      <c r="B1788" s="3" t="s">
        <v>470</v>
      </c>
      <c r="C1788" s="3" t="s">
        <v>1377</v>
      </c>
      <c r="D1788" s="23" t="n">
        <v>288</v>
      </c>
      <c r="E1788" s="23" t="n">
        <v>450</v>
      </c>
      <c r="F1788" s="23" t="n">
        <f aca="false">D1788-E1788</f>
        <v>-162</v>
      </c>
      <c r="G1788" s="24" t="n">
        <f aca="false">IF(E1788&gt;0,D1788/E1788-1,"")</f>
        <v>-0.36</v>
      </c>
      <c r="H1788" s="3" t="str">
        <f aca="false">IF(MAX(D1788,E1788)&lt;Parametros!$B$16,"",IF(E1788=0,"PIDE SIN FCST",IF(ABS(G1788)&gt;Parametros!$B$14,IF(G1788&gt;0,"SOBRE FCST","BAJO FCST"),"")))</f>
        <v/>
      </c>
    </row>
    <row r="1789" customFormat="false" ht="15" hidden="false" customHeight="false" outlineLevel="0" collapsed="false">
      <c r="A1789" s="3" t="n">
        <v>30001045</v>
      </c>
      <c r="B1789" s="3" t="s">
        <v>361</v>
      </c>
      <c r="C1789" s="3" t="s">
        <v>1379</v>
      </c>
      <c r="D1789" s="23" t="n">
        <v>747.36</v>
      </c>
      <c r="E1789" s="23" t="n">
        <v>909.228225104126</v>
      </c>
      <c r="F1789" s="23" t="n">
        <f aca="false">D1789-E1789</f>
        <v>-161.868225104126</v>
      </c>
      <c r="G1789" s="24" t="n">
        <f aca="false">IF(E1789&gt;0,D1789/E1789-1,"")</f>
        <v>-0.17802815688612</v>
      </c>
      <c r="H1789" s="3" t="str">
        <f aca="false">IF(MAX(D1789,E1789)&lt;Parametros!$B$16,"",IF(E1789=0,"PIDE SIN FCST",IF(ABS(G1789)&gt;Parametros!$B$14,IF(G1789&gt;0,"SOBRE FCST","BAJO FCST"),"")))</f>
        <v/>
      </c>
    </row>
    <row r="1790" customFormat="false" ht="15" hidden="false" customHeight="false" outlineLevel="0" collapsed="false">
      <c r="A1790" s="3" t="n">
        <v>30000615</v>
      </c>
      <c r="B1790" s="3" t="s">
        <v>279</v>
      </c>
      <c r="C1790" s="3" t="s">
        <v>1376</v>
      </c>
      <c r="D1790" s="23" t="n">
        <v>38.4</v>
      </c>
      <c r="E1790" s="23" t="n">
        <v>200</v>
      </c>
      <c r="F1790" s="23" t="n">
        <f aca="false">D1790-E1790</f>
        <v>-161.6</v>
      </c>
      <c r="G1790" s="24" t="n">
        <f aca="false">IF(E1790&gt;0,D1790/E1790-1,"")</f>
        <v>-0.808</v>
      </c>
      <c r="H1790" s="3" t="str">
        <f aca="false">IF(MAX(D1790,E1790)&lt;Parametros!$B$16,"",IF(E1790=0,"PIDE SIN FCST",IF(ABS(G1790)&gt;Parametros!$B$14,IF(G1790&gt;0,"SOBRE FCST","BAJO FCST"),"")))</f>
        <v/>
      </c>
    </row>
    <row r="1791" customFormat="false" ht="15" hidden="false" customHeight="false" outlineLevel="0" collapsed="false">
      <c r="A1791" s="3" t="n">
        <v>30001020</v>
      </c>
      <c r="B1791" s="3" t="s">
        <v>461</v>
      </c>
      <c r="C1791" s="3" t="s">
        <v>1378</v>
      </c>
      <c r="D1791" s="23" t="n">
        <v>701.04</v>
      </c>
      <c r="E1791" s="23" t="n">
        <v>862.575065495737</v>
      </c>
      <c r="F1791" s="23" t="n">
        <f aca="false">D1791-E1791</f>
        <v>-161.535065495737</v>
      </c>
      <c r="G1791" s="24" t="n">
        <f aca="false">IF(E1791&gt;0,D1791/E1791-1,"")</f>
        <v>-0.187270733826394</v>
      </c>
      <c r="H1791" s="3" t="str">
        <f aca="false">IF(MAX(D1791,E1791)&lt;Parametros!$B$16,"",IF(E1791=0,"PIDE SIN FCST",IF(ABS(G1791)&gt;Parametros!$B$14,IF(G1791&gt;0,"SOBRE FCST","BAJO FCST"),"")))</f>
        <v/>
      </c>
    </row>
    <row r="1792" customFormat="false" ht="15" hidden="false" customHeight="false" outlineLevel="0" collapsed="false">
      <c r="A1792" s="3" t="n">
        <v>30000306</v>
      </c>
      <c r="B1792" s="3" t="s">
        <v>329</v>
      </c>
      <c r="C1792" s="3" t="s">
        <v>1375</v>
      </c>
      <c r="D1792" s="23" t="n">
        <v>3846</v>
      </c>
      <c r="E1792" s="23" t="n">
        <v>4007.29</v>
      </c>
      <c r="F1792" s="23" t="n">
        <f aca="false">D1792-E1792</f>
        <v>-161.29</v>
      </c>
      <c r="G1792" s="24" t="n">
        <f aca="false">IF(E1792&gt;0,D1792/E1792-1,"")</f>
        <v>-0.0402491459315397</v>
      </c>
      <c r="H1792" s="3" t="str">
        <f aca="false">IF(MAX(D1792,E1792)&lt;Parametros!$B$16,"",IF(E1792=0,"PIDE SIN FCST",IF(ABS(G1792)&gt;Parametros!$B$14,IF(G1792&gt;0,"SOBRE FCST","BAJO FCST"),"")))</f>
        <v/>
      </c>
    </row>
    <row r="1793" customFormat="false" ht="15" hidden="false" customHeight="false" outlineLevel="0" collapsed="false">
      <c r="A1793" s="3" t="n">
        <v>30002163</v>
      </c>
      <c r="B1793" s="3" t="s">
        <v>630</v>
      </c>
      <c r="C1793" s="3" t="s">
        <v>1373</v>
      </c>
      <c r="D1793" s="23" t="n">
        <v>54.4</v>
      </c>
      <c r="E1793" s="23" t="n">
        <v>215.643766373934</v>
      </c>
      <c r="F1793" s="23" t="n">
        <f aca="false">D1793-E1793</f>
        <v>-161.243766373934</v>
      </c>
      <c r="G1793" s="24" t="n">
        <f aca="false">IF(E1793&gt;0,D1793/E1793-1,"")</f>
        <v>-0.747732100423119</v>
      </c>
      <c r="H1793" s="3" t="str">
        <f aca="false">IF(MAX(D1793,E1793)&lt;Parametros!$B$16,"",IF(E1793=0,"PIDE SIN FCST",IF(ABS(G1793)&gt;Parametros!$B$14,IF(G1793&gt;0,"SOBRE FCST","BAJO FCST"),"")))</f>
        <v/>
      </c>
    </row>
    <row r="1794" customFormat="false" ht="15" hidden="false" customHeight="false" outlineLevel="0" collapsed="false">
      <c r="A1794" s="3" t="n">
        <v>30000667</v>
      </c>
      <c r="B1794" s="3" t="s">
        <v>608</v>
      </c>
      <c r="C1794" s="3" t="s">
        <v>1373</v>
      </c>
      <c r="D1794" s="23" t="n">
        <v>401.28</v>
      </c>
      <c r="E1794" s="23" t="n">
        <v>240.8</v>
      </c>
      <c r="F1794" s="23" t="n">
        <f aca="false">D1794-E1794</f>
        <v>160.48</v>
      </c>
      <c r="G1794" s="24" t="n">
        <f aca="false">IF(E1794&gt;0,D1794/E1794-1,"")</f>
        <v>0.666445182724252</v>
      </c>
      <c r="H1794" s="3" t="str">
        <f aca="false">IF(MAX(D1794,E1794)&lt;Parametros!$B$16,"",IF(E1794=0,"PIDE SIN FCST",IF(ABS(G1794)&gt;Parametros!$B$14,IF(G1794&gt;0,"SOBRE FCST","BAJO FCST"),"")))</f>
        <v/>
      </c>
    </row>
    <row r="1795" customFormat="false" ht="15" hidden="false" customHeight="false" outlineLevel="0" collapsed="false">
      <c r="A1795" s="3" t="n">
        <v>30001410</v>
      </c>
      <c r="B1795" s="3" t="s">
        <v>324</v>
      </c>
      <c r="C1795" s="3" t="s">
        <v>1378</v>
      </c>
      <c r="D1795" s="23" t="n">
        <v>492.48</v>
      </c>
      <c r="E1795" s="23" t="n">
        <v>652.824555727009</v>
      </c>
      <c r="F1795" s="23" t="n">
        <f aca="false">D1795-E1795</f>
        <v>-160.344555727009</v>
      </c>
      <c r="G1795" s="24" t="n">
        <f aca="false">IF(E1795&gt;0,D1795/E1795-1,"")</f>
        <v>-0.245616612182186</v>
      </c>
      <c r="H1795" s="3" t="str">
        <f aca="false">IF(MAX(D1795,E1795)&lt;Parametros!$B$16,"",IF(E1795=0,"PIDE SIN FCST",IF(ABS(G1795)&gt;Parametros!$B$14,IF(G1795&gt;0,"SOBRE FCST","BAJO FCST"),"")))</f>
        <v/>
      </c>
    </row>
    <row r="1796" customFormat="false" ht="15" hidden="false" customHeight="false" outlineLevel="0" collapsed="false">
      <c r="A1796" s="3" t="n">
        <v>30000421</v>
      </c>
      <c r="B1796" s="3" t="s">
        <v>464</v>
      </c>
      <c r="C1796" s="3" t="s">
        <v>1380</v>
      </c>
      <c r="D1796" s="23" t="n">
        <v>6120</v>
      </c>
      <c r="E1796" s="23" t="n">
        <v>5959.88</v>
      </c>
      <c r="F1796" s="23" t="n">
        <f aca="false">D1796-E1796</f>
        <v>160.12</v>
      </c>
      <c r="G1796" s="24" t="n">
        <f aca="false">IF(E1796&gt;0,D1796/E1796-1,"")</f>
        <v>0.0268663127445519</v>
      </c>
      <c r="H1796" s="3" t="str">
        <f aca="false">IF(MAX(D1796,E1796)&lt;Parametros!$B$16,"",IF(E1796=0,"PIDE SIN FCST",IF(ABS(G1796)&gt;Parametros!$B$14,IF(G1796&gt;0,"SOBRE FCST","BAJO FCST"),"")))</f>
        <v/>
      </c>
    </row>
    <row r="1797" customFormat="false" ht="15" hidden="false" customHeight="false" outlineLevel="0" collapsed="false">
      <c r="A1797" s="3" t="n">
        <v>30002336</v>
      </c>
      <c r="B1797" s="3" t="s">
        <v>286</v>
      </c>
      <c r="C1797" s="3" t="s">
        <v>1375</v>
      </c>
      <c r="D1797" s="23" t="n">
        <v>160</v>
      </c>
      <c r="E1797" s="23" t="n">
        <v>0</v>
      </c>
      <c r="F1797" s="23" t="n">
        <f aca="false">D1797-E1797</f>
        <v>160</v>
      </c>
      <c r="G1797" s="24" t="str">
        <f aca="false">IF(E1797&gt;0,D1797/E1797-1,"")</f>
        <v/>
      </c>
      <c r="H1797" s="3" t="str">
        <f aca="false">IF(MAX(D1797,E1797)&lt;Parametros!$B$16,"",IF(E1797=0,"PIDE SIN FCST",IF(ABS(G1797)&gt;Parametros!$B$14,IF(G1797&gt;0,"SOBRE FCST","BAJO FCST"),"")))</f>
        <v/>
      </c>
    </row>
    <row r="1798" customFormat="false" ht="15" hidden="false" customHeight="false" outlineLevel="0" collapsed="false">
      <c r="A1798" s="3" t="n">
        <v>30000257</v>
      </c>
      <c r="B1798" s="3" t="s">
        <v>228</v>
      </c>
      <c r="C1798" s="3" t="s">
        <v>1374</v>
      </c>
      <c r="D1798" s="23" t="n">
        <v>72576</v>
      </c>
      <c r="E1798" s="23" t="n">
        <v>72416.8</v>
      </c>
      <c r="F1798" s="23" t="n">
        <f aca="false">D1798-E1798</f>
        <v>159.199999999997</v>
      </c>
      <c r="G1798" s="24" t="n">
        <f aca="false">IF(E1798&gt;0,D1798/E1798-1,"")</f>
        <v>0.00219838490516011</v>
      </c>
      <c r="H1798" s="3" t="str">
        <f aca="false">IF(MAX(D1798,E1798)&lt;Parametros!$B$16,"",IF(E1798=0,"PIDE SIN FCST",IF(ABS(G1798)&gt;Parametros!$B$14,IF(G1798&gt;0,"SOBRE FCST","BAJO FCST"),"")))</f>
        <v/>
      </c>
    </row>
    <row r="1799" customFormat="false" ht="15" hidden="false" customHeight="false" outlineLevel="0" collapsed="false">
      <c r="A1799" s="3" t="n">
        <v>30001508</v>
      </c>
      <c r="B1799" s="3" t="s">
        <v>318</v>
      </c>
      <c r="C1799" s="3" t="s">
        <v>1377</v>
      </c>
      <c r="D1799" s="23" t="n">
        <v>2473.65</v>
      </c>
      <c r="E1799" s="23" t="n">
        <v>2314.59892067347</v>
      </c>
      <c r="F1799" s="23" t="n">
        <f aca="false">D1799-E1799</f>
        <v>159.051079326528</v>
      </c>
      <c r="G1799" s="24" t="n">
        <f aca="false">IF(E1799&gt;0,D1799/E1799-1,"")</f>
        <v>0.0687164751983249</v>
      </c>
      <c r="H1799" s="3" t="str">
        <f aca="false">IF(MAX(D1799,E1799)&lt;Parametros!$B$16,"",IF(E1799=0,"PIDE SIN FCST",IF(ABS(G1799)&gt;Parametros!$B$14,IF(G1799&gt;0,"SOBRE FCST","BAJO FCST"),"")))</f>
        <v/>
      </c>
    </row>
    <row r="1800" customFormat="false" ht="15" hidden="false" customHeight="false" outlineLevel="0" collapsed="false">
      <c r="A1800" s="3" t="n">
        <v>30000643</v>
      </c>
      <c r="B1800" s="3" t="s">
        <v>240</v>
      </c>
      <c r="C1800" s="3" t="s">
        <v>1373</v>
      </c>
      <c r="D1800" s="23" t="n">
        <v>17242.88</v>
      </c>
      <c r="E1800" s="23" t="n">
        <v>17401.92</v>
      </c>
      <c r="F1800" s="23" t="n">
        <f aca="false">D1800-E1800</f>
        <v>-159.039999999997</v>
      </c>
      <c r="G1800" s="24" t="n">
        <f aca="false">IF(E1800&gt;0,D1800/E1800-1,"")</f>
        <v>-0.0091392214192455</v>
      </c>
      <c r="H1800" s="3" t="str">
        <f aca="false">IF(MAX(D1800,E1800)&lt;Parametros!$B$16,"",IF(E1800=0,"PIDE SIN FCST",IF(ABS(G1800)&gt;Parametros!$B$14,IF(G1800&gt;0,"SOBRE FCST","BAJO FCST"),"")))</f>
        <v/>
      </c>
    </row>
    <row r="1801" customFormat="false" ht="15" hidden="false" customHeight="false" outlineLevel="0" collapsed="false">
      <c r="A1801" s="3" t="n">
        <v>30001708</v>
      </c>
      <c r="B1801" s="3" t="s">
        <v>530</v>
      </c>
      <c r="C1801" s="3" t="s">
        <v>1378</v>
      </c>
      <c r="D1801" s="23" t="n">
        <v>1021.44</v>
      </c>
      <c r="E1801" s="23" t="n">
        <v>862.575065495737</v>
      </c>
      <c r="F1801" s="23" t="n">
        <f aca="false">D1801-E1801</f>
        <v>158.864934504264</v>
      </c>
      <c r="G1801" s="24" t="n">
        <f aca="false">IF(E1801&gt;0,D1801/E1801-1,"")</f>
        <v>0.1841751991903</v>
      </c>
      <c r="H1801" s="3" t="str">
        <f aca="false">IF(MAX(D1801,E1801)&lt;Parametros!$B$16,"",IF(E1801=0,"PIDE SIN FCST",IF(ABS(G1801)&gt;Parametros!$B$14,IF(G1801&gt;0,"SOBRE FCST","BAJO FCST"),"")))</f>
        <v/>
      </c>
    </row>
    <row r="1802" customFormat="false" ht="15" hidden="false" customHeight="false" outlineLevel="0" collapsed="false">
      <c r="A1802" s="3" t="n">
        <v>30002085</v>
      </c>
      <c r="B1802" s="3" t="s">
        <v>607</v>
      </c>
      <c r="C1802" s="3" t="s">
        <v>1373</v>
      </c>
      <c r="D1802" s="23" t="n">
        <v>312.48</v>
      </c>
      <c r="E1802" s="23" t="n">
        <v>153.827865540196</v>
      </c>
      <c r="F1802" s="23" t="n">
        <f aca="false">D1802-E1802</f>
        <v>158.652134459804</v>
      </c>
      <c r="G1802" s="24" t="n">
        <f aca="false">IF(E1802&gt;0,D1802/E1802-1,"")</f>
        <v>1.03136147604121</v>
      </c>
      <c r="H1802" s="3" t="str">
        <f aca="false">IF(MAX(D1802,E1802)&lt;Parametros!$B$16,"",IF(E1802=0,"PIDE SIN FCST",IF(ABS(G1802)&gt;Parametros!$B$14,IF(G1802&gt;0,"SOBRE FCST","BAJO FCST"),"")))</f>
        <v/>
      </c>
    </row>
    <row r="1803" customFormat="false" ht="15" hidden="false" customHeight="false" outlineLevel="0" collapsed="false">
      <c r="A1803" s="3" t="n">
        <v>30001342</v>
      </c>
      <c r="B1803" s="3" t="s">
        <v>603</v>
      </c>
      <c r="C1803" s="3" t="s">
        <v>1377</v>
      </c>
      <c r="D1803" s="23" t="n">
        <v>704</v>
      </c>
      <c r="E1803" s="23" t="n">
        <v>862.575065495737</v>
      </c>
      <c r="F1803" s="23" t="n">
        <f aca="false">D1803-E1803</f>
        <v>-158.575065495737</v>
      </c>
      <c r="G1803" s="24" t="n">
        <f aca="false">IF(E1803&gt;0,D1803/E1803-1,"")</f>
        <v>-0.183839148427738</v>
      </c>
      <c r="H1803" s="3" t="str">
        <f aca="false">IF(MAX(D1803,E1803)&lt;Parametros!$B$16,"",IF(E1803=0,"PIDE SIN FCST",IF(ABS(G1803)&gt;Parametros!$B$14,IF(G1803&gt;0,"SOBRE FCST","BAJO FCST"),"")))</f>
        <v/>
      </c>
    </row>
    <row r="1804" customFormat="false" ht="15" hidden="false" customHeight="false" outlineLevel="0" collapsed="false">
      <c r="A1804" s="3" t="n">
        <v>30002230</v>
      </c>
      <c r="B1804" s="3" t="s">
        <v>315</v>
      </c>
      <c r="C1804" s="3" t="s">
        <v>1373</v>
      </c>
      <c r="D1804" s="23" t="n">
        <v>115</v>
      </c>
      <c r="E1804" s="23" t="n">
        <v>273.447083333333</v>
      </c>
      <c r="F1804" s="23" t="n">
        <f aca="false">D1804-E1804</f>
        <v>-158.447083333333</v>
      </c>
      <c r="G1804" s="24" t="n">
        <f aca="false">IF(E1804&gt;0,D1804/E1804-1,"")</f>
        <v>-0.579443310939198</v>
      </c>
      <c r="H1804" s="3" t="str">
        <f aca="false">IF(MAX(D1804,E1804)&lt;Parametros!$B$16,"",IF(E1804=0,"PIDE SIN FCST",IF(ABS(G1804)&gt;Parametros!$B$14,IF(G1804&gt;0,"SOBRE FCST","BAJO FCST"),"")))</f>
        <v/>
      </c>
    </row>
    <row r="1805" customFormat="false" ht="15" hidden="false" customHeight="false" outlineLevel="0" collapsed="false">
      <c r="A1805" s="3" t="n">
        <v>30002087</v>
      </c>
      <c r="B1805" s="3" t="s">
        <v>595</v>
      </c>
      <c r="C1805" s="3" t="s">
        <v>1377</v>
      </c>
      <c r="D1805" s="23" t="n">
        <v>325.92</v>
      </c>
      <c r="E1805" s="23" t="n">
        <v>167.723427156659</v>
      </c>
      <c r="F1805" s="23" t="n">
        <f aca="false">D1805-E1805</f>
        <v>158.196572843341</v>
      </c>
      <c r="G1805" s="24" t="n">
        <f aca="false">IF(E1805&gt;0,D1805/E1805-1,"")</f>
        <v>0.943199024281684</v>
      </c>
      <c r="H1805" s="3" t="str">
        <f aca="false">IF(MAX(D1805,E1805)&lt;Parametros!$B$16,"",IF(E1805=0,"PIDE SIN FCST",IF(ABS(G1805)&gt;Parametros!$B$14,IF(G1805&gt;0,"SOBRE FCST","BAJO FCST"),"")))</f>
        <v/>
      </c>
    </row>
    <row r="1806" customFormat="false" ht="15" hidden="false" customHeight="false" outlineLevel="0" collapsed="false">
      <c r="A1806" s="3" t="n">
        <v>30000179</v>
      </c>
      <c r="B1806" s="3" t="s">
        <v>449</v>
      </c>
      <c r="C1806" s="3" t="s">
        <v>1378</v>
      </c>
      <c r="D1806" s="23" t="n">
        <v>820.8</v>
      </c>
      <c r="E1806" s="23" t="n">
        <v>663.323924954342</v>
      </c>
      <c r="F1806" s="23" t="n">
        <f aca="false">D1806-E1806</f>
        <v>157.476075045658</v>
      </c>
      <c r="G1806" s="24" t="n">
        <f aca="false">IF(E1806&gt;0,D1806/E1806-1,"")</f>
        <v>0.237404485382459</v>
      </c>
      <c r="H1806" s="3" t="str">
        <f aca="false">IF(MAX(D1806,E1806)&lt;Parametros!$B$16,"",IF(E1806=0,"PIDE SIN FCST",IF(ABS(G1806)&gt;Parametros!$B$14,IF(G1806&gt;0,"SOBRE FCST","BAJO FCST"),"")))</f>
        <v/>
      </c>
    </row>
    <row r="1807" customFormat="false" ht="15" hidden="false" customHeight="false" outlineLevel="0" collapsed="false">
      <c r="A1807" s="3" t="n">
        <v>30000667</v>
      </c>
      <c r="B1807" s="3" t="s">
        <v>608</v>
      </c>
      <c r="C1807" s="3" t="s">
        <v>1380</v>
      </c>
      <c r="D1807" s="23" t="n">
        <v>857.28</v>
      </c>
      <c r="E1807" s="23" t="n">
        <v>700</v>
      </c>
      <c r="F1807" s="23" t="n">
        <f aca="false">D1807-E1807</f>
        <v>157.28</v>
      </c>
      <c r="G1807" s="24" t="n">
        <f aca="false">IF(E1807&gt;0,D1807/E1807-1,"")</f>
        <v>0.224685714285714</v>
      </c>
      <c r="H1807" s="3" t="str">
        <f aca="false">IF(MAX(D1807,E1807)&lt;Parametros!$B$16,"",IF(E1807=0,"PIDE SIN FCST",IF(ABS(G1807)&gt;Parametros!$B$14,IF(G1807&gt;0,"SOBRE FCST","BAJO FCST"),"")))</f>
        <v/>
      </c>
    </row>
    <row r="1808" customFormat="false" ht="15" hidden="false" customHeight="false" outlineLevel="0" collapsed="false">
      <c r="A1808" s="3" t="n">
        <v>30000383</v>
      </c>
      <c r="B1808" s="3" t="s">
        <v>578</v>
      </c>
      <c r="C1808" s="3" t="s">
        <v>1380</v>
      </c>
      <c r="D1808" s="23" t="n">
        <v>3060</v>
      </c>
      <c r="E1808" s="23" t="n">
        <v>2903</v>
      </c>
      <c r="F1808" s="23" t="n">
        <f aca="false">D1808-E1808</f>
        <v>157</v>
      </c>
      <c r="G1808" s="24" t="n">
        <f aca="false">IF(E1808&gt;0,D1808/E1808-1,"")</f>
        <v>0.0540819841543232</v>
      </c>
      <c r="H1808" s="3" t="str">
        <f aca="false">IF(MAX(D1808,E1808)&lt;Parametros!$B$16,"",IF(E1808=0,"PIDE SIN FCST",IF(ABS(G1808)&gt;Parametros!$B$14,IF(G1808&gt;0,"SOBRE FCST","BAJO FCST"),"")))</f>
        <v/>
      </c>
    </row>
    <row r="1809" customFormat="false" ht="15" hidden="false" customHeight="false" outlineLevel="0" collapsed="false">
      <c r="A1809" s="3" t="n">
        <v>30001854</v>
      </c>
      <c r="B1809" s="3" t="s">
        <v>420</v>
      </c>
      <c r="C1809" s="3" t="s">
        <v>1378</v>
      </c>
      <c r="D1809" s="23" t="n">
        <v>107.52</v>
      </c>
      <c r="E1809" s="23" t="n">
        <v>264.182481083981</v>
      </c>
      <c r="F1809" s="23" t="n">
        <f aca="false">D1809-E1809</f>
        <v>-156.662481083981</v>
      </c>
      <c r="G1809" s="24" t="n">
        <f aca="false">IF(E1809&gt;0,D1809/E1809-1,"")</f>
        <v>-0.593008591792956</v>
      </c>
      <c r="H1809" s="3" t="str">
        <f aca="false">IF(MAX(D1809,E1809)&lt;Parametros!$B$16,"",IF(E1809=0,"PIDE SIN FCST",IF(ABS(G1809)&gt;Parametros!$B$14,IF(G1809&gt;0,"SOBRE FCST","BAJO FCST"),"")))</f>
        <v/>
      </c>
    </row>
    <row r="1810" customFormat="false" ht="15" hidden="false" customHeight="false" outlineLevel="0" collapsed="false">
      <c r="A1810" s="3" t="n">
        <v>30001753</v>
      </c>
      <c r="B1810" s="3" t="s">
        <v>255</v>
      </c>
      <c r="C1810" s="3" t="s">
        <v>1372</v>
      </c>
      <c r="D1810" s="23" t="n">
        <v>8510.4</v>
      </c>
      <c r="E1810" s="23" t="n">
        <v>8667</v>
      </c>
      <c r="F1810" s="23" t="n">
        <f aca="false">D1810-E1810</f>
        <v>-156.599999999999</v>
      </c>
      <c r="G1810" s="24" t="n">
        <f aca="false">IF(E1810&gt;0,D1810/E1810-1,"")</f>
        <v>-0.018068535825545</v>
      </c>
      <c r="H1810" s="3" t="str">
        <f aca="false">IF(MAX(D1810,E1810)&lt;Parametros!$B$16,"",IF(E1810=0,"PIDE SIN FCST",IF(ABS(G1810)&gt;Parametros!$B$14,IF(G1810&gt;0,"SOBRE FCST","BAJO FCST"),"")))</f>
        <v/>
      </c>
    </row>
    <row r="1811" customFormat="false" ht="15" hidden="false" customHeight="false" outlineLevel="0" collapsed="false">
      <c r="A1811" s="3" t="n">
        <v>30002276</v>
      </c>
      <c r="B1811" s="3" t="s">
        <v>523</v>
      </c>
      <c r="C1811" s="3" t="s">
        <v>1377</v>
      </c>
      <c r="D1811" s="23" t="n">
        <v>216</v>
      </c>
      <c r="E1811" s="23" t="n">
        <v>372.514548106179</v>
      </c>
      <c r="F1811" s="23" t="n">
        <f aca="false">D1811-E1811</f>
        <v>-156.514548106179</v>
      </c>
      <c r="G1811" s="24" t="n">
        <f aca="false">IF(E1811&gt;0,D1811/E1811-1,"")</f>
        <v>-0.420156874145938</v>
      </c>
      <c r="H1811" s="3" t="str">
        <f aca="false">IF(MAX(D1811,E1811)&lt;Parametros!$B$16,"",IF(E1811=0,"PIDE SIN FCST",IF(ABS(G1811)&gt;Parametros!$B$14,IF(G1811&gt;0,"SOBRE FCST","BAJO FCST"),"")))</f>
        <v/>
      </c>
    </row>
    <row r="1812" customFormat="false" ht="15" hidden="false" customHeight="false" outlineLevel="0" collapsed="false">
      <c r="A1812" s="3" t="n">
        <v>30000466</v>
      </c>
      <c r="B1812" s="3" t="s">
        <v>266</v>
      </c>
      <c r="C1812" s="3" t="s">
        <v>1379</v>
      </c>
      <c r="D1812" s="23" t="n">
        <v>1572</v>
      </c>
      <c r="E1812" s="23" t="n">
        <v>1416.03242877202</v>
      </c>
      <c r="F1812" s="23" t="n">
        <f aca="false">D1812-E1812</f>
        <v>155.967571227976</v>
      </c>
      <c r="G1812" s="24" t="n">
        <f aca="false">IF(E1812&gt;0,D1812/E1812-1,"")</f>
        <v>0.110144067366614</v>
      </c>
      <c r="H1812" s="3" t="str">
        <f aca="false">IF(MAX(D1812,E1812)&lt;Parametros!$B$16,"",IF(E1812=0,"PIDE SIN FCST",IF(ABS(G1812)&gt;Parametros!$B$14,IF(G1812&gt;0,"SOBRE FCST","BAJO FCST"),"")))</f>
        <v/>
      </c>
    </row>
    <row r="1813" customFormat="false" ht="15" hidden="false" customHeight="false" outlineLevel="0" collapsed="false">
      <c r="A1813" s="3" t="n">
        <v>30000252</v>
      </c>
      <c r="B1813" s="3" t="s">
        <v>405</v>
      </c>
      <c r="C1813" s="3" t="s">
        <v>1378</v>
      </c>
      <c r="D1813" s="23" t="n">
        <v>444</v>
      </c>
      <c r="E1813" s="23" t="n">
        <v>599.589775942999</v>
      </c>
      <c r="F1813" s="23" t="n">
        <f aca="false">D1813-E1813</f>
        <v>-155.589775942999</v>
      </c>
      <c r="G1813" s="24" t="n">
        <f aca="false">IF(E1813&gt;0,D1813/E1813-1,"")</f>
        <v>-0.259493710843045</v>
      </c>
      <c r="H1813" s="3" t="str">
        <f aca="false">IF(MAX(D1813,E1813)&lt;Parametros!$B$16,"",IF(E1813=0,"PIDE SIN FCST",IF(ABS(G1813)&gt;Parametros!$B$14,IF(G1813&gt;0,"SOBRE FCST","BAJO FCST"),"")))</f>
        <v/>
      </c>
    </row>
    <row r="1814" customFormat="false" ht="15" hidden="false" customHeight="false" outlineLevel="0" collapsed="false">
      <c r="A1814" s="3" t="n">
        <v>30000086</v>
      </c>
      <c r="B1814" s="3" t="s">
        <v>508</v>
      </c>
      <c r="C1814" s="3" t="s">
        <v>1377</v>
      </c>
      <c r="D1814" s="23" t="n">
        <v>276</v>
      </c>
      <c r="E1814" s="23" t="n">
        <v>431.287532747868</v>
      </c>
      <c r="F1814" s="23" t="n">
        <f aca="false">D1814-E1814</f>
        <v>-155.287532747868</v>
      </c>
      <c r="G1814" s="24" t="n">
        <f aca="false">IF(E1814&gt;0,D1814/E1814-1,"")</f>
        <v>-0.360055695926295</v>
      </c>
      <c r="H1814" s="3" t="str">
        <f aca="false">IF(MAX(D1814,E1814)&lt;Parametros!$B$16,"",IF(E1814=0,"PIDE SIN FCST",IF(ABS(G1814)&gt;Parametros!$B$14,IF(G1814&gt;0,"SOBRE FCST","BAJO FCST"),"")))</f>
        <v/>
      </c>
    </row>
    <row r="1815" customFormat="false" ht="15" hidden="false" customHeight="false" outlineLevel="0" collapsed="false">
      <c r="A1815" s="3" t="n">
        <v>30002061</v>
      </c>
      <c r="B1815" s="3" t="s">
        <v>516</v>
      </c>
      <c r="C1815" s="3" t="s">
        <v>1380</v>
      </c>
      <c r="D1815" s="23" t="n">
        <v>2635</v>
      </c>
      <c r="E1815" s="23" t="n">
        <v>2479.90331330024</v>
      </c>
      <c r="F1815" s="23" t="n">
        <f aca="false">D1815-E1815</f>
        <v>155.096686699757</v>
      </c>
      <c r="G1815" s="24" t="n">
        <f aca="false">IF(E1815&gt;0,D1815/E1815-1,"")</f>
        <v>0.0625414248482756</v>
      </c>
      <c r="H1815" s="3" t="str">
        <f aca="false">IF(MAX(D1815,E1815)&lt;Parametros!$B$16,"",IF(E1815=0,"PIDE SIN FCST",IF(ABS(G1815)&gt;Parametros!$B$14,IF(G1815&gt;0,"SOBRE FCST","BAJO FCST"),"")))</f>
        <v/>
      </c>
    </row>
    <row r="1816" customFormat="false" ht="15" hidden="false" customHeight="false" outlineLevel="0" collapsed="false">
      <c r="A1816" s="3" t="n">
        <v>30000653</v>
      </c>
      <c r="B1816" s="3" t="s">
        <v>596</v>
      </c>
      <c r="C1816" s="3" t="s">
        <v>1380</v>
      </c>
      <c r="D1816" s="23" t="n">
        <v>845.12</v>
      </c>
      <c r="E1816" s="23" t="n">
        <v>1000</v>
      </c>
      <c r="F1816" s="23" t="n">
        <f aca="false">D1816-E1816</f>
        <v>-154.88</v>
      </c>
      <c r="G1816" s="24" t="n">
        <f aca="false">IF(E1816&gt;0,D1816/E1816-1,"")</f>
        <v>-0.15488</v>
      </c>
      <c r="H1816" s="3" t="str">
        <f aca="false">IF(MAX(D1816,E1816)&lt;Parametros!$B$16,"",IF(E1816=0,"PIDE SIN FCST",IF(ABS(G1816)&gt;Parametros!$B$14,IF(G1816&gt;0,"SOBRE FCST","BAJO FCST"),"")))</f>
        <v/>
      </c>
    </row>
    <row r="1817" customFormat="false" ht="15" hidden="false" customHeight="false" outlineLevel="0" collapsed="false">
      <c r="A1817" s="3" t="n">
        <v>30000495</v>
      </c>
      <c r="B1817" s="3" t="s">
        <v>613</v>
      </c>
      <c r="C1817" s="3" t="s">
        <v>1377</v>
      </c>
      <c r="D1817" s="23" t="n">
        <v>378</v>
      </c>
      <c r="E1817" s="23" t="n">
        <v>223.192501091716</v>
      </c>
      <c r="F1817" s="23" t="n">
        <f aca="false">D1817-E1817</f>
        <v>154.807498908284</v>
      </c>
      <c r="G1817" s="24" t="n">
        <f aca="false">IF(E1817&gt;0,D1817/E1817-1,"")</f>
        <v>0.693605287592834</v>
      </c>
      <c r="H1817" s="3" t="str">
        <f aca="false">IF(MAX(D1817,E1817)&lt;Parametros!$B$16,"",IF(E1817=0,"PIDE SIN FCST",IF(ABS(G1817)&gt;Parametros!$B$14,IF(G1817&gt;0,"SOBRE FCST","BAJO FCST"),"")))</f>
        <v/>
      </c>
    </row>
    <row r="1818" customFormat="false" ht="15" hidden="false" customHeight="false" outlineLevel="0" collapsed="false">
      <c r="A1818" s="3" t="n">
        <v>30002171</v>
      </c>
      <c r="B1818" s="3" t="s">
        <v>564</v>
      </c>
      <c r="C1818" s="3" t="s">
        <v>1373</v>
      </c>
      <c r="D1818" s="23" t="n">
        <v>220.8</v>
      </c>
      <c r="E1818" s="23" t="n">
        <v>375.207714294059</v>
      </c>
      <c r="F1818" s="23" t="n">
        <f aca="false">D1818-E1818</f>
        <v>-154.407714294059</v>
      </c>
      <c r="G1818" s="24" t="n">
        <f aca="false">IF(E1818&gt;0,D1818/E1818-1,"")</f>
        <v>-0.411525958586891</v>
      </c>
      <c r="H1818" s="3" t="str">
        <f aca="false">IF(MAX(D1818,E1818)&lt;Parametros!$B$16,"",IF(E1818=0,"PIDE SIN FCST",IF(ABS(G1818)&gt;Parametros!$B$14,IF(G1818&gt;0,"SOBRE FCST","BAJO FCST"),"")))</f>
        <v/>
      </c>
    </row>
    <row r="1819" customFormat="false" ht="15" hidden="false" customHeight="false" outlineLevel="0" collapsed="false">
      <c r="A1819" s="3" t="n">
        <v>30000347</v>
      </c>
      <c r="B1819" s="3" t="s">
        <v>319</v>
      </c>
      <c r="C1819" s="3" t="s">
        <v>1380</v>
      </c>
      <c r="D1819" s="23" t="n">
        <v>6372</v>
      </c>
      <c r="E1819" s="23" t="n">
        <v>6218</v>
      </c>
      <c r="F1819" s="23" t="n">
        <f aca="false">D1819-E1819</f>
        <v>154</v>
      </c>
      <c r="G1819" s="24" t="n">
        <f aca="false">IF(E1819&gt;0,D1819/E1819-1,"")</f>
        <v>0.0247668060469604</v>
      </c>
      <c r="H1819" s="3" t="str">
        <f aca="false">IF(MAX(D1819,E1819)&lt;Parametros!$B$16,"",IF(E1819=0,"PIDE SIN FCST",IF(ABS(G1819)&gt;Parametros!$B$14,IF(G1819&gt;0,"SOBRE FCST","BAJO FCST"),"")))</f>
        <v/>
      </c>
    </row>
    <row r="1820" customFormat="false" ht="15" hidden="false" customHeight="false" outlineLevel="0" collapsed="false">
      <c r="A1820" s="3" t="n">
        <v>30001901</v>
      </c>
      <c r="B1820" s="3" t="s">
        <v>425</v>
      </c>
      <c r="C1820" s="3" t="s">
        <v>1377</v>
      </c>
      <c r="D1820" s="23" t="n">
        <v>1053</v>
      </c>
      <c r="E1820" s="23" t="n">
        <v>899.240808468135</v>
      </c>
      <c r="F1820" s="23" t="n">
        <f aca="false">D1820-E1820</f>
        <v>153.759191531865</v>
      </c>
      <c r="G1820" s="24" t="n">
        <f aca="false">IF(E1820&gt;0,D1820/E1820-1,"")</f>
        <v>0.17098778223132</v>
      </c>
      <c r="H1820" s="3" t="str">
        <f aca="false">IF(MAX(D1820,E1820)&lt;Parametros!$B$16,"",IF(E1820=0,"PIDE SIN FCST",IF(ABS(G1820)&gt;Parametros!$B$14,IF(G1820&gt;0,"SOBRE FCST","BAJO FCST"),"")))</f>
        <v/>
      </c>
    </row>
    <row r="1821" customFormat="false" ht="15" hidden="false" customHeight="false" outlineLevel="0" collapsed="false">
      <c r="A1821" s="3" t="n">
        <v>30000489</v>
      </c>
      <c r="B1821" s="3" t="s">
        <v>415</v>
      </c>
      <c r="C1821" s="3" t="s">
        <v>1373</v>
      </c>
      <c r="D1821" s="23" t="n">
        <v>615.6</v>
      </c>
      <c r="E1821" s="23" t="n">
        <v>769.355101976352</v>
      </c>
      <c r="F1821" s="23" t="n">
        <f aca="false">D1821-E1821</f>
        <v>-153.755101976352</v>
      </c>
      <c r="G1821" s="24" t="n">
        <f aca="false">IF(E1821&gt;0,D1821/E1821-1,"")</f>
        <v>-0.199849330408519</v>
      </c>
      <c r="H1821" s="3" t="str">
        <f aca="false">IF(MAX(D1821,E1821)&lt;Parametros!$B$16,"",IF(E1821=0,"PIDE SIN FCST",IF(ABS(G1821)&gt;Parametros!$B$14,IF(G1821&gt;0,"SOBRE FCST","BAJO FCST"),"")))</f>
        <v/>
      </c>
    </row>
    <row r="1822" customFormat="false" ht="15" hidden="false" customHeight="false" outlineLevel="0" collapsed="false">
      <c r="A1822" s="3" t="n">
        <v>30002276</v>
      </c>
      <c r="B1822" s="3" t="s">
        <v>523</v>
      </c>
      <c r="C1822" s="3" t="s">
        <v>1373</v>
      </c>
      <c r="D1822" s="23" t="n">
        <v>259.2</v>
      </c>
      <c r="E1822" s="23" t="n">
        <v>412.95</v>
      </c>
      <c r="F1822" s="23" t="n">
        <f aca="false">D1822-E1822</f>
        <v>-153.75</v>
      </c>
      <c r="G1822" s="24" t="n">
        <f aca="false">IF(E1822&gt;0,D1822/E1822-1,"")</f>
        <v>-0.372321104249909</v>
      </c>
      <c r="H1822" s="3" t="str">
        <f aca="false">IF(MAX(D1822,E1822)&lt;Parametros!$B$16,"",IF(E1822=0,"PIDE SIN FCST",IF(ABS(G1822)&gt;Parametros!$B$14,IF(G1822&gt;0,"SOBRE FCST","BAJO FCST"),"")))</f>
        <v/>
      </c>
    </row>
    <row r="1823" customFormat="false" ht="15" hidden="false" customHeight="false" outlineLevel="0" collapsed="false">
      <c r="A1823" s="3" t="n">
        <v>30000087</v>
      </c>
      <c r="B1823" s="3" t="s">
        <v>594</v>
      </c>
      <c r="C1823" s="3" t="s">
        <v>1380</v>
      </c>
      <c r="D1823" s="23" t="n">
        <v>585</v>
      </c>
      <c r="E1823" s="23" t="n">
        <v>431.287532747868</v>
      </c>
      <c r="F1823" s="23" t="n">
        <f aca="false">D1823-E1823</f>
        <v>153.712467252132</v>
      </c>
      <c r="G1823" s="24" t="n">
        <f aca="false">IF(E1823&gt;0,D1823/E1823-1,"")</f>
        <v>0.356403687982311</v>
      </c>
      <c r="H1823" s="3" t="str">
        <f aca="false">IF(MAX(D1823,E1823)&lt;Parametros!$B$16,"",IF(E1823=0,"PIDE SIN FCST",IF(ABS(G1823)&gt;Parametros!$B$14,IF(G1823&gt;0,"SOBRE FCST","BAJO FCST"),"")))</f>
        <v/>
      </c>
    </row>
    <row r="1824" customFormat="false" ht="15" hidden="false" customHeight="false" outlineLevel="0" collapsed="false">
      <c r="A1824" s="3" t="n">
        <v>30002183</v>
      </c>
      <c r="B1824" s="3" t="s">
        <v>369</v>
      </c>
      <c r="C1824" s="3" t="s">
        <v>1377</v>
      </c>
      <c r="D1824" s="23" t="n">
        <v>172.8</v>
      </c>
      <c r="E1824" s="23" t="n">
        <v>326.050930963795</v>
      </c>
      <c r="F1824" s="23" t="n">
        <f aca="false">D1824-E1824</f>
        <v>-153.250930963795</v>
      </c>
      <c r="G1824" s="24" t="n">
        <f aca="false">IF(E1824&gt;0,D1824/E1824-1,"")</f>
        <v>-0.470021448829453</v>
      </c>
      <c r="H1824" s="3" t="str">
        <f aca="false">IF(MAX(D1824,E1824)&lt;Parametros!$B$16,"",IF(E1824=0,"PIDE SIN FCST",IF(ABS(G1824)&gt;Parametros!$B$14,IF(G1824&gt;0,"SOBRE FCST","BAJO FCST"),"")))</f>
        <v/>
      </c>
    </row>
    <row r="1825" customFormat="false" ht="15" hidden="false" customHeight="false" outlineLevel="0" collapsed="false">
      <c r="A1825" s="3" t="n">
        <v>30001897</v>
      </c>
      <c r="B1825" s="3" t="s">
        <v>409</v>
      </c>
      <c r="C1825" s="3" t="s">
        <v>1378</v>
      </c>
      <c r="D1825" s="23" t="n">
        <v>240</v>
      </c>
      <c r="E1825" s="23" t="n">
        <v>392.632554688768</v>
      </c>
      <c r="F1825" s="23" t="n">
        <f aca="false">D1825-E1825</f>
        <v>-152.632554688768</v>
      </c>
      <c r="G1825" s="24" t="n">
        <f aca="false">IF(E1825&gt;0,D1825/E1825-1,"")</f>
        <v>-0.388741465438995</v>
      </c>
      <c r="H1825" s="3" t="str">
        <f aca="false">IF(MAX(D1825,E1825)&lt;Parametros!$B$16,"",IF(E1825=0,"PIDE SIN FCST",IF(ABS(G1825)&gt;Parametros!$B$14,IF(G1825&gt;0,"SOBRE FCST","BAJO FCST"),"")))</f>
        <v/>
      </c>
    </row>
    <row r="1826" customFormat="false" ht="15" hidden="false" customHeight="false" outlineLevel="0" collapsed="false">
      <c r="A1826" s="3" t="n">
        <v>30002228</v>
      </c>
      <c r="B1826" s="3" t="s">
        <v>407</v>
      </c>
      <c r="C1826" s="3" t="s">
        <v>1373</v>
      </c>
      <c r="D1826" s="23" t="n">
        <v>0</v>
      </c>
      <c r="E1826" s="23" t="n">
        <v>152.614583333333</v>
      </c>
      <c r="F1826" s="23" t="n">
        <f aca="false">D1826-E1826</f>
        <v>-152.614583333333</v>
      </c>
      <c r="G1826" s="24" t="n">
        <f aca="false">IF(E1826&gt;0,D1826/E1826-1,"")</f>
        <v>-1</v>
      </c>
      <c r="H1826" s="3" t="str">
        <f aca="false">IF(MAX(D1826,E1826)&lt;Parametros!$B$16,"",IF(E1826=0,"PIDE SIN FCST",IF(ABS(G1826)&gt;Parametros!$B$14,IF(G1826&gt;0,"SOBRE FCST","BAJO FCST"),"")))</f>
        <v/>
      </c>
    </row>
    <row r="1827" customFormat="false" ht="15" hidden="false" customHeight="false" outlineLevel="0" collapsed="false">
      <c r="A1827" s="3" t="n">
        <v>30000057</v>
      </c>
      <c r="B1827" s="3" t="s">
        <v>554</v>
      </c>
      <c r="C1827" s="3" t="s">
        <v>1377</v>
      </c>
      <c r="D1827" s="23" t="n">
        <v>647.5</v>
      </c>
      <c r="E1827" s="23" t="n">
        <v>800</v>
      </c>
      <c r="F1827" s="23" t="n">
        <f aca="false">D1827-E1827</f>
        <v>-152.5</v>
      </c>
      <c r="G1827" s="24" t="n">
        <f aca="false">IF(E1827&gt;0,D1827/E1827-1,"")</f>
        <v>-0.190625</v>
      </c>
      <c r="H1827" s="3" t="str">
        <f aca="false">IF(MAX(D1827,E1827)&lt;Parametros!$B$16,"",IF(E1827=0,"PIDE SIN FCST",IF(ABS(G1827)&gt;Parametros!$B$14,IF(G1827&gt;0,"SOBRE FCST","BAJO FCST"),"")))</f>
        <v/>
      </c>
    </row>
    <row r="1828" customFormat="false" ht="15" hidden="false" customHeight="false" outlineLevel="0" collapsed="false">
      <c r="A1828" s="3" t="n">
        <v>30002178</v>
      </c>
      <c r="B1828" s="3" t="s">
        <v>527</v>
      </c>
      <c r="C1828" s="3" t="s">
        <v>1378</v>
      </c>
      <c r="D1828" s="23" t="n">
        <v>199.5</v>
      </c>
      <c r="E1828" s="23" t="n">
        <v>351.399978667632</v>
      </c>
      <c r="F1828" s="23" t="n">
        <f aca="false">D1828-E1828</f>
        <v>-151.899978667632</v>
      </c>
      <c r="G1828" s="24" t="n">
        <f aca="false">IF(E1828&gt;0,D1828/E1828-1,"")</f>
        <v>-0.432270881869646</v>
      </c>
      <c r="H1828" s="3" t="str">
        <f aca="false">IF(MAX(D1828,E1828)&lt;Parametros!$B$16,"",IF(E1828=0,"PIDE SIN FCST",IF(ABS(G1828)&gt;Parametros!$B$14,IF(G1828&gt;0,"SOBRE FCST","BAJO FCST"),"")))</f>
        <v/>
      </c>
    </row>
    <row r="1829" customFormat="false" ht="15" hidden="false" customHeight="false" outlineLevel="0" collapsed="false">
      <c r="A1829" s="3" t="n">
        <v>30001083</v>
      </c>
      <c r="B1829" s="3" t="s">
        <v>397</v>
      </c>
      <c r="C1829" s="3" t="s">
        <v>1373</v>
      </c>
      <c r="D1829" s="23" t="n">
        <v>855.36</v>
      </c>
      <c r="E1829" s="23" t="n">
        <v>703.613907960714</v>
      </c>
      <c r="F1829" s="23" t="n">
        <f aca="false">D1829-E1829</f>
        <v>151.746092039286</v>
      </c>
      <c r="G1829" s="24" t="n">
        <f aca="false">IF(E1829&gt;0,D1829/E1829-1,"")</f>
        <v>0.215666703461124</v>
      </c>
      <c r="H1829" s="3" t="str">
        <f aca="false">IF(MAX(D1829,E1829)&lt;Parametros!$B$16,"",IF(E1829=0,"PIDE SIN FCST",IF(ABS(G1829)&gt;Parametros!$B$14,IF(G1829&gt;0,"SOBRE FCST","BAJO FCST"),"")))</f>
        <v/>
      </c>
    </row>
    <row r="1830" customFormat="false" ht="15" hidden="false" customHeight="false" outlineLevel="0" collapsed="false">
      <c r="A1830" s="3" t="n">
        <v>30000636</v>
      </c>
      <c r="B1830" s="3" t="s">
        <v>479</v>
      </c>
      <c r="C1830" s="3" t="s">
        <v>1377</v>
      </c>
      <c r="D1830" s="23" t="n">
        <v>744</v>
      </c>
      <c r="E1830" s="23" t="n">
        <v>592.4</v>
      </c>
      <c r="F1830" s="23" t="n">
        <f aca="false">D1830-E1830</f>
        <v>151.6</v>
      </c>
      <c r="G1830" s="24" t="n">
        <f aca="false">IF(E1830&gt;0,D1830/E1830-1,"")</f>
        <v>0.255908170155301</v>
      </c>
      <c r="H1830" s="3" t="str">
        <f aca="false">IF(MAX(D1830,E1830)&lt;Parametros!$B$16,"",IF(E1830=0,"PIDE SIN FCST",IF(ABS(G1830)&gt;Parametros!$B$14,IF(G1830&gt;0,"SOBRE FCST","BAJO FCST"),"")))</f>
        <v/>
      </c>
    </row>
    <row r="1831" customFormat="false" ht="15" hidden="false" customHeight="false" outlineLevel="0" collapsed="false">
      <c r="A1831" s="3" t="n">
        <v>30002285</v>
      </c>
      <c r="B1831" s="3" t="s">
        <v>575</v>
      </c>
      <c r="C1831" s="3" t="s">
        <v>1378</v>
      </c>
      <c r="D1831" s="23" t="n">
        <v>264</v>
      </c>
      <c r="E1831" s="23" t="n">
        <v>415.3</v>
      </c>
      <c r="F1831" s="23" t="n">
        <f aca="false">D1831-E1831</f>
        <v>-151.3</v>
      </c>
      <c r="G1831" s="24" t="n">
        <f aca="false">IF(E1831&gt;0,D1831/E1831-1,"")</f>
        <v>-0.364314953045991</v>
      </c>
      <c r="H1831" s="3" t="str">
        <f aca="false">IF(MAX(D1831,E1831)&lt;Parametros!$B$16,"",IF(E1831=0,"PIDE SIN FCST",IF(ABS(G1831)&gt;Parametros!$B$14,IF(G1831&gt;0,"SOBRE FCST","BAJO FCST"),"")))</f>
        <v/>
      </c>
    </row>
    <row r="1832" customFormat="false" ht="15" hidden="false" customHeight="false" outlineLevel="0" collapsed="false">
      <c r="A1832" s="3" t="n">
        <v>30000180</v>
      </c>
      <c r="B1832" s="3" t="s">
        <v>462</v>
      </c>
      <c r="C1832" s="3" t="s">
        <v>1377</v>
      </c>
      <c r="D1832" s="23" t="n">
        <v>580.8</v>
      </c>
      <c r="E1832" s="23" t="n">
        <v>430</v>
      </c>
      <c r="F1832" s="23" t="n">
        <f aca="false">D1832-E1832</f>
        <v>150.8</v>
      </c>
      <c r="G1832" s="24" t="n">
        <f aca="false">IF(E1832&gt;0,D1832/E1832-1,"")</f>
        <v>0.350697674418605</v>
      </c>
      <c r="H1832" s="3" t="str">
        <f aca="false">IF(MAX(D1832,E1832)&lt;Parametros!$B$16,"",IF(E1832=0,"PIDE SIN FCST",IF(ABS(G1832)&gt;Parametros!$B$14,IF(G1832&gt;0,"SOBRE FCST","BAJO FCST"),"")))</f>
        <v/>
      </c>
    </row>
    <row r="1833" customFormat="false" ht="15" hidden="false" customHeight="false" outlineLevel="0" collapsed="false">
      <c r="A1833" s="3" t="n">
        <v>30002274</v>
      </c>
      <c r="B1833" s="3" t="s">
        <v>576</v>
      </c>
      <c r="C1833" s="3" t="s">
        <v>1373</v>
      </c>
      <c r="D1833" s="23" t="n">
        <v>194.4</v>
      </c>
      <c r="E1833" s="23" t="n">
        <v>344.925</v>
      </c>
      <c r="F1833" s="23" t="n">
        <f aca="false">D1833-E1833</f>
        <v>-150.525</v>
      </c>
      <c r="G1833" s="24" t="n">
        <f aca="false">IF(E1833&gt;0,D1833/E1833-1,"")</f>
        <v>-0.436399217221135</v>
      </c>
      <c r="H1833" s="3" t="str">
        <f aca="false">IF(MAX(D1833,E1833)&lt;Parametros!$B$16,"",IF(E1833=0,"PIDE SIN FCST",IF(ABS(G1833)&gt;Parametros!$B$14,IF(G1833&gt;0,"SOBRE FCST","BAJO FCST"),"")))</f>
        <v/>
      </c>
    </row>
    <row r="1834" customFormat="false" ht="15" hidden="false" customHeight="false" outlineLevel="0" collapsed="false">
      <c r="A1834" s="3" t="n">
        <v>30002273</v>
      </c>
      <c r="B1834" s="3" t="s">
        <v>512</v>
      </c>
      <c r="C1834" s="3" t="s">
        <v>1373</v>
      </c>
      <c r="D1834" s="23" t="n">
        <v>165.6</v>
      </c>
      <c r="E1834" s="23" t="n">
        <v>316.11</v>
      </c>
      <c r="F1834" s="23" t="n">
        <f aca="false">D1834-E1834</f>
        <v>-150.51</v>
      </c>
      <c r="G1834" s="24" t="n">
        <f aca="false">IF(E1834&gt;0,D1834/E1834-1,"")</f>
        <v>-0.476131726297808</v>
      </c>
      <c r="H1834" s="3" t="str">
        <f aca="false">IF(MAX(D1834,E1834)&lt;Parametros!$B$16,"",IF(E1834=0,"PIDE SIN FCST",IF(ABS(G1834)&gt;Parametros!$B$14,IF(G1834&gt;0,"SOBRE FCST","BAJO FCST"),"")))</f>
        <v/>
      </c>
    </row>
    <row r="1835" customFormat="false" ht="15" hidden="false" customHeight="false" outlineLevel="0" collapsed="false">
      <c r="A1835" s="3" t="n">
        <v>30001829</v>
      </c>
      <c r="B1835" s="3" t="s">
        <v>504</v>
      </c>
      <c r="C1835" s="3" t="s">
        <v>1378</v>
      </c>
      <c r="D1835" s="23" t="n">
        <v>546</v>
      </c>
      <c r="E1835" s="23" t="n">
        <v>395.552720592545</v>
      </c>
      <c r="F1835" s="23" t="n">
        <f aca="false">D1835-E1835</f>
        <v>150.447279407455</v>
      </c>
      <c r="G1835" s="24" t="n">
        <f aca="false">IF(E1835&gt;0,D1835/E1835-1,"")</f>
        <v>0.380346971655466</v>
      </c>
      <c r="H1835" s="3" t="str">
        <f aca="false">IF(MAX(D1835,E1835)&lt;Parametros!$B$16,"",IF(E1835=0,"PIDE SIN FCST",IF(ABS(G1835)&gt;Parametros!$B$14,IF(G1835&gt;0,"SOBRE FCST","BAJO FCST"),"")))</f>
        <v/>
      </c>
    </row>
    <row r="1836" customFormat="false" ht="15" hidden="false" customHeight="false" outlineLevel="0" collapsed="false">
      <c r="A1836" s="3" t="n">
        <v>30002325</v>
      </c>
      <c r="B1836" s="3" t="s">
        <v>505</v>
      </c>
      <c r="C1836" s="3" t="s">
        <v>1378</v>
      </c>
      <c r="D1836" s="23" t="n">
        <v>450</v>
      </c>
      <c r="E1836" s="23" t="n">
        <v>600</v>
      </c>
      <c r="F1836" s="23" t="n">
        <f aca="false">D1836-E1836</f>
        <v>-150</v>
      </c>
      <c r="G1836" s="24" t="n">
        <f aca="false">IF(E1836&gt;0,D1836/E1836-1,"")</f>
        <v>-0.25</v>
      </c>
      <c r="H1836" s="3" t="str">
        <f aca="false">IF(MAX(D1836,E1836)&lt;Parametros!$B$16,"",IF(E1836=0,"PIDE SIN FCST",IF(ABS(G1836)&gt;Parametros!$B$14,IF(G1836&gt;0,"SOBRE FCST","BAJO FCST"),"")))</f>
        <v/>
      </c>
    </row>
    <row r="1837" customFormat="false" ht="15" hidden="false" customHeight="false" outlineLevel="0" collapsed="false">
      <c r="A1837" s="3" t="n">
        <v>30000250</v>
      </c>
      <c r="B1837" s="3" t="s">
        <v>544</v>
      </c>
      <c r="C1837" s="3" t="s">
        <v>1377</v>
      </c>
      <c r="D1837" s="23" t="n">
        <v>150</v>
      </c>
      <c r="E1837" s="23" t="n">
        <v>0</v>
      </c>
      <c r="F1837" s="23" t="n">
        <f aca="false">D1837-E1837</f>
        <v>150</v>
      </c>
      <c r="G1837" s="24" t="str">
        <f aca="false">IF(E1837&gt;0,D1837/E1837-1,"")</f>
        <v/>
      </c>
      <c r="H1837" s="3" t="str">
        <f aca="false">IF(MAX(D1837,E1837)&lt;Parametros!$B$16,"",IF(E1837=0,"PIDE SIN FCST",IF(ABS(G1837)&gt;Parametros!$B$14,IF(G1837&gt;0,"SOBRE FCST","BAJO FCST"),"")))</f>
        <v/>
      </c>
    </row>
    <row r="1838" customFormat="false" ht="15" hidden="false" customHeight="false" outlineLevel="0" collapsed="false">
      <c r="A1838" s="3" t="n">
        <v>30001665</v>
      </c>
      <c r="B1838" s="3" t="s">
        <v>572</v>
      </c>
      <c r="C1838" s="3" t="s">
        <v>1379</v>
      </c>
      <c r="D1838" s="23" t="n">
        <v>400</v>
      </c>
      <c r="E1838" s="23" t="n">
        <v>550</v>
      </c>
      <c r="F1838" s="23" t="n">
        <f aca="false">D1838-E1838</f>
        <v>-150</v>
      </c>
      <c r="G1838" s="24" t="n">
        <f aca="false">IF(E1838&gt;0,D1838/E1838-1,"")</f>
        <v>-0.272727272727273</v>
      </c>
      <c r="H1838" s="3" t="str">
        <f aca="false">IF(MAX(D1838,E1838)&lt;Parametros!$B$16,"",IF(E1838=0,"PIDE SIN FCST",IF(ABS(G1838)&gt;Parametros!$B$14,IF(G1838&gt;0,"SOBRE FCST","BAJO FCST"),"")))</f>
        <v/>
      </c>
    </row>
    <row r="1839" customFormat="false" ht="15" hidden="false" customHeight="false" outlineLevel="0" collapsed="false">
      <c r="A1839" s="3" t="n">
        <v>30002291</v>
      </c>
      <c r="B1839" s="3" t="s">
        <v>483</v>
      </c>
      <c r="C1839" s="3" t="s">
        <v>1378</v>
      </c>
      <c r="D1839" s="23" t="n">
        <v>450</v>
      </c>
      <c r="E1839" s="23" t="n">
        <v>600</v>
      </c>
      <c r="F1839" s="23" t="n">
        <f aca="false">D1839-E1839</f>
        <v>-150</v>
      </c>
      <c r="G1839" s="24" t="n">
        <f aca="false">IF(E1839&gt;0,D1839/E1839-1,"")</f>
        <v>-0.25</v>
      </c>
      <c r="H1839" s="3" t="str">
        <f aca="false">IF(MAX(D1839,E1839)&lt;Parametros!$B$16,"",IF(E1839=0,"PIDE SIN FCST",IF(ABS(G1839)&gt;Parametros!$B$14,IF(G1839&gt;0,"SOBRE FCST","BAJO FCST"),"")))</f>
        <v/>
      </c>
    </row>
    <row r="1840" customFormat="false" ht="15" hidden="false" customHeight="false" outlineLevel="0" collapsed="false">
      <c r="A1840" s="3" t="n">
        <v>30001883</v>
      </c>
      <c r="B1840" s="3" t="s">
        <v>476</v>
      </c>
      <c r="C1840" s="3" t="s">
        <v>1377</v>
      </c>
      <c r="D1840" s="23" t="n">
        <v>421.2</v>
      </c>
      <c r="E1840" s="23" t="n">
        <v>570</v>
      </c>
      <c r="F1840" s="23" t="n">
        <f aca="false">D1840-E1840</f>
        <v>-148.8</v>
      </c>
      <c r="G1840" s="24" t="n">
        <f aca="false">IF(E1840&gt;0,D1840/E1840-1,"")</f>
        <v>-0.261052631578947</v>
      </c>
      <c r="H1840" s="3" t="str">
        <f aca="false">IF(MAX(D1840,E1840)&lt;Parametros!$B$16,"",IF(E1840=0,"PIDE SIN FCST",IF(ABS(G1840)&gt;Parametros!$B$14,IF(G1840&gt;0,"SOBRE FCST","BAJO FCST"),"")))</f>
        <v/>
      </c>
    </row>
    <row r="1841" customFormat="false" ht="15" hidden="false" customHeight="false" outlineLevel="0" collapsed="false">
      <c r="A1841" s="3" t="n">
        <v>30000055</v>
      </c>
      <c r="B1841" s="3" t="s">
        <v>417</v>
      </c>
      <c r="C1841" s="3" t="s">
        <v>1373</v>
      </c>
      <c r="D1841" s="23" t="n">
        <v>1048.8</v>
      </c>
      <c r="E1841" s="23" t="n">
        <v>900</v>
      </c>
      <c r="F1841" s="23" t="n">
        <f aca="false">D1841-E1841</f>
        <v>148.8</v>
      </c>
      <c r="G1841" s="24" t="n">
        <f aca="false">IF(E1841&gt;0,D1841/E1841-1,"")</f>
        <v>0.165333333333333</v>
      </c>
      <c r="H1841" s="3" t="str">
        <f aca="false">IF(MAX(D1841,E1841)&lt;Parametros!$B$16,"",IF(E1841=0,"PIDE SIN FCST",IF(ABS(G1841)&gt;Parametros!$B$14,IF(G1841&gt;0,"SOBRE FCST","BAJO FCST"),"")))</f>
        <v/>
      </c>
    </row>
    <row r="1842" customFormat="false" ht="15" hidden="false" customHeight="false" outlineLevel="0" collapsed="false">
      <c r="A1842" s="3" t="n">
        <v>30002046</v>
      </c>
      <c r="B1842" s="3" t="s">
        <v>620</v>
      </c>
      <c r="C1842" s="3" t="s">
        <v>1379</v>
      </c>
      <c r="D1842" s="23" t="n">
        <v>49.5</v>
      </c>
      <c r="E1842" s="23" t="n">
        <v>198</v>
      </c>
      <c r="F1842" s="23" t="n">
        <f aca="false">D1842-E1842</f>
        <v>-148.5</v>
      </c>
      <c r="G1842" s="24" t="n">
        <f aca="false">IF(E1842&gt;0,D1842/E1842-1,"")</f>
        <v>-0.75</v>
      </c>
      <c r="H1842" s="3" t="str">
        <f aca="false">IF(MAX(D1842,E1842)&lt;Parametros!$B$16,"",IF(E1842=0,"PIDE SIN FCST",IF(ABS(G1842)&gt;Parametros!$B$14,IF(G1842&gt;0,"SOBRE FCST","BAJO FCST"),"")))</f>
        <v/>
      </c>
    </row>
    <row r="1843" customFormat="false" ht="15" hidden="false" customHeight="false" outlineLevel="0" collapsed="false">
      <c r="A1843" s="3" t="n">
        <v>30001527</v>
      </c>
      <c r="B1843" s="3" t="s">
        <v>618</v>
      </c>
      <c r="C1843" s="3" t="s">
        <v>1373</v>
      </c>
      <c r="D1843" s="23" t="n">
        <v>397.12</v>
      </c>
      <c r="E1843" s="23" t="n">
        <v>250</v>
      </c>
      <c r="F1843" s="23" t="n">
        <f aca="false">D1843-E1843</f>
        <v>147.12</v>
      </c>
      <c r="G1843" s="24" t="n">
        <f aca="false">IF(E1843&gt;0,D1843/E1843-1,"")</f>
        <v>0.58848</v>
      </c>
      <c r="H1843" s="3" t="str">
        <f aca="false">IF(MAX(D1843,E1843)&lt;Parametros!$B$16,"",IF(E1843=0,"PIDE SIN FCST",IF(ABS(G1843)&gt;Parametros!$B$14,IF(G1843&gt;0,"SOBRE FCST","BAJO FCST"),"")))</f>
        <v/>
      </c>
    </row>
    <row r="1844" customFormat="false" ht="15" hidden="false" customHeight="false" outlineLevel="0" collapsed="false">
      <c r="A1844" s="3" t="n">
        <v>30001885</v>
      </c>
      <c r="B1844" s="3" t="s">
        <v>550</v>
      </c>
      <c r="C1844" s="3" t="s">
        <v>1373</v>
      </c>
      <c r="D1844" s="23" t="n">
        <v>1003.2</v>
      </c>
      <c r="E1844" s="23" t="n">
        <v>1150</v>
      </c>
      <c r="F1844" s="23" t="n">
        <f aca="false">D1844-E1844</f>
        <v>-146.8</v>
      </c>
      <c r="G1844" s="24" t="n">
        <f aca="false">IF(E1844&gt;0,D1844/E1844-1,"")</f>
        <v>-0.127652173913043</v>
      </c>
      <c r="H1844" s="3" t="str">
        <f aca="false">IF(MAX(D1844,E1844)&lt;Parametros!$B$16,"",IF(E1844=0,"PIDE SIN FCST",IF(ABS(G1844)&gt;Parametros!$B$14,IF(G1844&gt;0,"SOBRE FCST","BAJO FCST"),"")))</f>
        <v/>
      </c>
    </row>
    <row r="1845" customFormat="false" ht="15" hidden="false" customHeight="false" outlineLevel="0" collapsed="false">
      <c r="A1845" s="3" t="n">
        <v>30000626</v>
      </c>
      <c r="B1845" s="3" t="s">
        <v>238</v>
      </c>
      <c r="C1845" s="3" t="s">
        <v>1376</v>
      </c>
      <c r="D1845" s="23" t="n">
        <v>145.92</v>
      </c>
      <c r="E1845" s="23" t="n">
        <v>0</v>
      </c>
      <c r="F1845" s="23" t="n">
        <f aca="false">D1845-E1845</f>
        <v>145.92</v>
      </c>
      <c r="G1845" s="24" t="str">
        <f aca="false">IF(E1845&gt;0,D1845/E1845-1,"")</f>
        <v/>
      </c>
      <c r="H1845" s="3" t="str">
        <f aca="false">IF(MAX(D1845,E1845)&lt;Parametros!$B$16,"",IF(E1845=0,"PIDE SIN FCST",IF(ABS(G1845)&gt;Parametros!$B$14,IF(G1845&gt;0,"SOBRE FCST","BAJO FCST"),"")))</f>
        <v/>
      </c>
    </row>
    <row r="1846" customFormat="false" ht="15" hidden="false" customHeight="false" outlineLevel="0" collapsed="false">
      <c r="A1846" s="3" t="n">
        <v>30001882</v>
      </c>
      <c r="B1846" s="3" t="s">
        <v>376</v>
      </c>
      <c r="C1846" s="3" t="s">
        <v>1372</v>
      </c>
      <c r="D1846" s="23" t="n">
        <v>924</v>
      </c>
      <c r="E1846" s="23" t="n">
        <v>1069.74783174328</v>
      </c>
      <c r="F1846" s="23" t="n">
        <f aca="false">D1846-E1846</f>
        <v>-145.747831743278</v>
      </c>
      <c r="G1846" s="24" t="n">
        <f aca="false">IF(E1846&gt;0,D1846/E1846-1,"")</f>
        <v>-0.136245035903242</v>
      </c>
      <c r="H1846" s="3" t="str">
        <f aca="false">IF(MAX(D1846,E1846)&lt;Parametros!$B$16,"",IF(E1846=0,"PIDE SIN FCST",IF(ABS(G1846)&gt;Parametros!$B$14,IF(G1846&gt;0,"SOBRE FCST","BAJO FCST"),"")))</f>
        <v/>
      </c>
    </row>
    <row r="1847" customFormat="false" ht="15" hidden="false" customHeight="false" outlineLevel="0" collapsed="false">
      <c r="A1847" s="3" t="n">
        <v>30002184</v>
      </c>
      <c r="B1847" s="3" t="s">
        <v>379</v>
      </c>
      <c r="C1847" s="3" t="s">
        <v>1379</v>
      </c>
      <c r="D1847" s="23" t="n">
        <v>720</v>
      </c>
      <c r="E1847" s="23" t="n">
        <v>574.327348701293</v>
      </c>
      <c r="F1847" s="23" t="n">
        <f aca="false">D1847-E1847</f>
        <v>145.672651298707</v>
      </c>
      <c r="G1847" s="24" t="n">
        <f aca="false">IF(E1847&gt;0,D1847/E1847-1,"")</f>
        <v>0.253640457185456</v>
      </c>
      <c r="H1847" s="3" t="str">
        <f aca="false">IF(MAX(D1847,E1847)&lt;Parametros!$B$16,"",IF(E1847=0,"PIDE SIN FCST",IF(ABS(G1847)&gt;Parametros!$B$14,IF(G1847&gt;0,"SOBRE FCST","BAJO FCST"),"")))</f>
        <v/>
      </c>
    </row>
    <row r="1848" customFormat="false" ht="15" hidden="false" customHeight="false" outlineLevel="0" collapsed="false">
      <c r="A1848" s="3" t="n">
        <v>30001143</v>
      </c>
      <c r="B1848" s="3" t="s">
        <v>503</v>
      </c>
      <c r="C1848" s="3" t="s">
        <v>1375</v>
      </c>
      <c r="D1848" s="23" t="n">
        <v>3355</v>
      </c>
      <c r="E1848" s="23" t="n">
        <v>3500</v>
      </c>
      <c r="F1848" s="23" t="n">
        <f aca="false">D1848-E1848</f>
        <v>-145</v>
      </c>
      <c r="G1848" s="24" t="n">
        <f aca="false">IF(E1848&gt;0,D1848/E1848-1,"")</f>
        <v>-0.0414285714285715</v>
      </c>
      <c r="H1848" s="3" t="str">
        <f aca="false">IF(MAX(D1848,E1848)&lt;Parametros!$B$16,"",IF(E1848=0,"PIDE SIN FCST",IF(ABS(G1848)&gt;Parametros!$B$14,IF(G1848&gt;0,"SOBRE FCST","BAJO FCST"),"")))</f>
        <v/>
      </c>
    </row>
    <row r="1849" customFormat="false" ht="15" hidden="false" customHeight="false" outlineLevel="0" collapsed="false">
      <c r="A1849" s="3" t="n">
        <v>30000301</v>
      </c>
      <c r="B1849" s="3" t="s">
        <v>323</v>
      </c>
      <c r="C1849" s="3" t="s">
        <v>1378</v>
      </c>
      <c r="D1849" s="23" t="n">
        <v>360</v>
      </c>
      <c r="E1849" s="23" t="n">
        <v>215.643766373934</v>
      </c>
      <c r="F1849" s="23" t="n">
        <f aca="false">D1849-E1849</f>
        <v>144.356233626066</v>
      </c>
      <c r="G1849" s="24" t="n">
        <f aca="false">IF(E1849&gt;0,D1849/E1849-1,"")</f>
        <v>0.669419923670535</v>
      </c>
      <c r="H1849" s="3" t="str">
        <f aca="false">IF(MAX(D1849,E1849)&lt;Parametros!$B$16,"",IF(E1849=0,"PIDE SIN FCST",IF(ABS(G1849)&gt;Parametros!$B$14,IF(G1849&gt;0,"SOBRE FCST","BAJO FCST"),"")))</f>
        <v/>
      </c>
    </row>
    <row r="1850" customFormat="false" ht="15" hidden="false" customHeight="false" outlineLevel="0" collapsed="false">
      <c r="A1850" s="3" t="n">
        <v>30000666</v>
      </c>
      <c r="B1850" s="3" t="s">
        <v>592</v>
      </c>
      <c r="C1850" s="3" t="s">
        <v>1375</v>
      </c>
      <c r="D1850" s="23" t="n">
        <v>1355.84</v>
      </c>
      <c r="E1850" s="23" t="n">
        <v>1500</v>
      </c>
      <c r="F1850" s="23" t="n">
        <f aca="false">D1850-E1850</f>
        <v>-144.16</v>
      </c>
      <c r="G1850" s="24" t="n">
        <f aca="false">IF(E1850&gt;0,D1850/E1850-1,"")</f>
        <v>-0.0961066666666667</v>
      </c>
      <c r="H1850" s="3" t="str">
        <f aca="false">IF(MAX(D1850,E1850)&lt;Parametros!$B$16,"",IF(E1850=0,"PIDE SIN FCST",IF(ABS(G1850)&gt;Parametros!$B$14,IF(G1850&gt;0,"SOBRE FCST","BAJO FCST"),"")))</f>
        <v/>
      </c>
    </row>
    <row r="1851" customFormat="false" ht="15" hidden="false" customHeight="false" outlineLevel="0" collapsed="false">
      <c r="A1851" s="3" t="n">
        <v>30001983</v>
      </c>
      <c r="B1851" s="3" t="s">
        <v>458</v>
      </c>
      <c r="C1851" s="3" t="s">
        <v>1378</v>
      </c>
      <c r="D1851" s="23" t="n">
        <v>693.528</v>
      </c>
      <c r="E1851" s="23" t="n">
        <v>549.381277828699</v>
      </c>
      <c r="F1851" s="23" t="n">
        <f aca="false">D1851-E1851</f>
        <v>144.146722171301</v>
      </c>
      <c r="G1851" s="24" t="n">
        <f aca="false">IF(E1851&gt;0,D1851/E1851-1,"")</f>
        <v>0.262380113754526</v>
      </c>
      <c r="H1851" s="3" t="str">
        <f aca="false">IF(MAX(D1851,E1851)&lt;Parametros!$B$16,"",IF(E1851=0,"PIDE SIN FCST",IF(ABS(G1851)&gt;Parametros!$B$14,IF(G1851&gt;0,"SOBRE FCST","BAJO FCST"),"")))</f>
        <v/>
      </c>
    </row>
    <row r="1852" customFormat="false" ht="15" hidden="false" customHeight="false" outlineLevel="0" collapsed="false">
      <c r="A1852" s="3" t="n">
        <v>30001487</v>
      </c>
      <c r="B1852" s="3" t="s">
        <v>353</v>
      </c>
      <c r="C1852" s="3" t="s">
        <v>1373</v>
      </c>
      <c r="D1852" s="23" t="n">
        <v>1440</v>
      </c>
      <c r="E1852" s="23" t="n">
        <v>1584.075</v>
      </c>
      <c r="F1852" s="23" t="n">
        <f aca="false">D1852-E1852</f>
        <v>-144.075</v>
      </c>
      <c r="G1852" s="24" t="n">
        <f aca="false">IF(E1852&gt;0,D1852/E1852-1,"")</f>
        <v>-0.0909521329482506</v>
      </c>
      <c r="H1852" s="3" t="str">
        <f aca="false">IF(MAX(D1852,E1852)&lt;Parametros!$B$16,"",IF(E1852=0,"PIDE SIN FCST",IF(ABS(G1852)&gt;Parametros!$B$14,IF(G1852&gt;0,"SOBRE FCST","BAJO FCST"),"")))</f>
        <v/>
      </c>
    </row>
    <row r="1853" customFormat="false" ht="15" hidden="false" customHeight="false" outlineLevel="0" collapsed="false">
      <c r="A1853" s="3" t="n">
        <v>30001342</v>
      </c>
      <c r="B1853" s="3" t="s">
        <v>603</v>
      </c>
      <c r="C1853" s="3" t="s">
        <v>1379</v>
      </c>
      <c r="D1853" s="23" t="n">
        <v>456</v>
      </c>
      <c r="E1853" s="23" t="n">
        <v>600</v>
      </c>
      <c r="F1853" s="23" t="n">
        <f aca="false">D1853-E1853</f>
        <v>-144</v>
      </c>
      <c r="G1853" s="24" t="n">
        <f aca="false">IF(E1853&gt;0,D1853/E1853-1,"")</f>
        <v>-0.24</v>
      </c>
      <c r="H1853" s="3" t="str">
        <f aca="false">IF(MAX(D1853,E1853)&lt;Parametros!$B$16,"",IF(E1853=0,"PIDE SIN FCST",IF(ABS(G1853)&gt;Parametros!$B$14,IF(G1853&gt;0,"SOBRE FCST","BAJO FCST"),"")))</f>
        <v/>
      </c>
    </row>
    <row r="1854" customFormat="false" ht="15" hidden="false" customHeight="false" outlineLevel="0" collapsed="false">
      <c r="A1854" s="3" t="n">
        <v>30000662</v>
      </c>
      <c r="B1854" s="3" t="s">
        <v>628</v>
      </c>
      <c r="C1854" s="3" t="s">
        <v>1378</v>
      </c>
      <c r="D1854" s="23" t="n">
        <v>18.24</v>
      </c>
      <c r="E1854" s="23" t="n">
        <v>162.16</v>
      </c>
      <c r="F1854" s="23" t="n">
        <f aca="false">D1854-E1854</f>
        <v>-143.92</v>
      </c>
      <c r="G1854" s="24" t="n">
        <f aca="false">IF(E1854&gt;0,D1854/E1854-1,"")</f>
        <v>-0.88751850024667</v>
      </c>
      <c r="H1854" s="3" t="str">
        <f aca="false">IF(MAX(D1854,E1854)&lt;Parametros!$B$16,"",IF(E1854=0,"PIDE SIN FCST",IF(ABS(G1854)&gt;Parametros!$B$14,IF(G1854&gt;0,"SOBRE FCST","BAJO FCST"),"")))</f>
        <v/>
      </c>
    </row>
    <row r="1855" customFormat="false" ht="15" hidden="false" customHeight="false" outlineLevel="0" collapsed="false">
      <c r="A1855" s="3" t="n">
        <v>30002066</v>
      </c>
      <c r="B1855" s="3" t="s">
        <v>247</v>
      </c>
      <c r="C1855" s="3" t="s">
        <v>1372</v>
      </c>
      <c r="D1855" s="23" t="n">
        <v>192</v>
      </c>
      <c r="E1855" s="23" t="n">
        <v>334.753619246862</v>
      </c>
      <c r="F1855" s="23" t="n">
        <f aca="false">D1855-E1855</f>
        <v>-142.753619246862</v>
      </c>
      <c r="G1855" s="24" t="n">
        <f aca="false">IF(E1855&gt;0,D1855/E1855-1,"")</f>
        <v>-0.426443841198888</v>
      </c>
      <c r="H1855" s="3" t="str">
        <f aca="false">IF(MAX(D1855,E1855)&lt;Parametros!$B$16,"",IF(E1855=0,"PIDE SIN FCST",IF(ABS(G1855)&gt;Parametros!$B$14,IF(G1855&gt;0,"SOBRE FCST","BAJO FCST"),"")))</f>
        <v/>
      </c>
    </row>
    <row r="1856" customFormat="false" ht="15" hidden="false" customHeight="false" outlineLevel="0" collapsed="false">
      <c r="A1856" s="3" t="n">
        <v>30000086</v>
      </c>
      <c r="B1856" s="3" t="s">
        <v>508</v>
      </c>
      <c r="C1856" s="3" t="s">
        <v>1378</v>
      </c>
      <c r="D1856" s="23" t="n">
        <v>720</v>
      </c>
      <c r="E1856" s="23" t="n">
        <v>862.575065495737</v>
      </c>
      <c r="F1856" s="23" t="n">
        <f aca="false">D1856-E1856</f>
        <v>-142.575065495737</v>
      </c>
      <c r="G1856" s="24" t="n">
        <f aca="false">IF(E1856&gt;0,D1856/E1856-1,"")</f>
        <v>-0.165290038164732</v>
      </c>
      <c r="H1856" s="3" t="str">
        <f aca="false">IF(MAX(D1856,E1856)&lt;Parametros!$B$16,"",IF(E1856=0,"PIDE SIN FCST",IF(ABS(G1856)&gt;Parametros!$B$14,IF(G1856&gt;0,"SOBRE FCST","BAJO FCST"),"")))</f>
        <v/>
      </c>
    </row>
    <row r="1857" customFormat="false" ht="15" hidden="false" customHeight="false" outlineLevel="0" collapsed="false">
      <c r="A1857" s="3" t="n">
        <v>30001522</v>
      </c>
      <c r="B1857" s="3" t="s">
        <v>453</v>
      </c>
      <c r="C1857" s="3" t="s">
        <v>1372</v>
      </c>
      <c r="D1857" s="23" t="n">
        <v>565.44</v>
      </c>
      <c r="E1857" s="23" t="n">
        <v>422.96</v>
      </c>
      <c r="F1857" s="23" t="n">
        <f aca="false">D1857-E1857</f>
        <v>142.48</v>
      </c>
      <c r="G1857" s="24" t="n">
        <f aca="false">IF(E1857&gt;0,D1857/E1857-1,"")</f>
        <v>0.336864006052582</v>
      </c>
      <c r="H1857" s="3" t="str">
        <f aca="false">IF(MAX(D1857,E1857)&lt;Parametros!$B$16,"",IF(E1857=0,"PIDE SIN FCST",IF(ABS(G1857)&gt;Parametros!$B$14,IF(G1857&gt;0,"SOBRE FCST","BAJO FCST"),"")))</f>
        <v/>
      </c>
    </row>
    <row r="1858" customFormat="false" ht="15" hidden="false" customHeight="false" outlineLevel="0" collapsed="false">
      <c r="A1858" s="3" t="n">
        <v>30001751</v>
      </c>
      <c r="B1858" s="3" t="s">
        <v>264</v>
      </c>
      <c r="C1858" s="3" t="s">
        <v>1372</v>
      </c>
      <c r="D1858" s="23" t="n">
        <v>7225.2</v>
      </c>
      <c r="E1858" s="23" t="n">
        <v>7367</v>
      </c>
      <c r="F1858" s="23" t="n">
        <f aca="false">D1858-E1858</f>
        <v>-141.8</v>
      </c>
      <c r="G1858" s="24" t="n">
        <f aca="false">IF(E1858&gt;0,D1858/E1858-1,"")</f>
        <v>-0.0192479978281526</v>
      </c>
      <c r="H1858" s="3" t="str">
        <f aca="false">IF(MAX(D1858,E1858)&lt;Parametros!$B$16,"",IF(E1858=0,"PIDE SIN FCST",IF(ABS(G1858)&gt;Parametros!$B$14,IF(G1858&gt;0,"SOBRE FCST","BAJO FCST"),"")))</f>
        <v/>
      </c>
    </row>
    <row r="1859" customFormat="false" ht="15" hidden="false" customHeight="false" outlineLevel="0" collapsed="false">
      <c r="A1859" s="3" t="n">
        <v>30002289</v>
      </c>
      <c r="B1859" s="3" t="s">
        <v>585</v>
      </c>
      <c r="C1859" s="3" t="s">
        <v>1377</v>
      </c>
      <c r="D1859" s="23" t="n">
        <v>141.6</v>
      </c>
      <c r="E1859" s="23" t="n">
        <v>0</v>
      </c>
      <c r="F1859" s="23" t="n">
        <f aca="false">D1859-E1859</f>
        <v>141.6</v>
      </c>
      <c r="G1859" s="24" t="str">
        <f aca="false">IF(E1859&gt;0,D1859/E1859-1,"")</f>
        <v/>
      </c>
      <c r="H1859" s="3" t="str">
        <f aca="false">IF(MAX(D1859,E1859)&lt;Parametros!$B$16,"",IF(E1859=0,"PIDE SIN FCST",IF(ABS(G1859)&gt;Parametros!$B$14,IF(G1859&gt;0,"SOBRE FCST","BAJO FCST"),"")))</f>
        <v/>
      </c>
    </row>
    <row r="1860" customFormat="false" ht="15" hidden="false" customHeight="false" outlineLevel="0" collapsed="false">
      <c r="A1860" s="3" t="n">
        <v>30001980</v>
      </c>
      <c r="B1860" s="3" t="s">
        <v>389</v>
      </c>
      <c r="C1860" s="3" t="s">
        <v>1378</v>
      </c>
      <c r="D1860" s="23" t="n">
        <v>1840.5</v>
      </c>
      <c r="E1860" s="23" t="n">
        <v>1700</v>
      </c>
      <c r="F1860" s="23" t="n">
        <f aca="false">D1860-E1860</f>
        <v>140.5</v>
      </c>
      <c r="G1860" s="24" t="n">
        <f aca="false">IF(E1860&gt;0,D1860/E1860-1,"")</f>
        <v>0.0826470588235295</v>
      </c>
      <c r="H1860" s="3" t="str">
        <f aca="false">IF(MAX(D1860,E1860)&lt;Parametros!$B$16,"",IF(E1860=0,"PIDE SIN FCST",IF(ABS(G1860)&gt;Parametros!$B$14,IF(G1860&gt;0,"SOBRE FCST","BAJO FCST"),"")))</f>
        <v/>
      </c>
    </row>
    <row r="1861" customFormat="false" ht="15" hidden="false" customHeight="false" outlineLevel="0" collapsed="false">
      <c r="A1861" s="3" t="n">
        <v>30000178</v>
      </c>
      <c r="B1861" s="3" t="s">
        <v>359</v>
      </c>
      <c r="C1861" s="3" t="s">
        <v>1377</v>
      </c>
      <c r="D1861" s="23" t="n">
        <v>1190.4</v>
      </c>
      <c r="E1861" s="23" t="n">
        <v>1050</v>
      </c>
      <c r="F1861" s="23" t="n">
        <f aca="false">D1861-E1861</f>
        <v>140.4</v>
      </c>
      <c r="G1861" s="24" t="n">
        <f aca="false">IF(E1861&gt;0,D1861/E1861-1,"")</f>
        <v>0.133714285714286</v>
      </c>
      <c r="H1861" s="3" t="str">
        <f aca="false">IF(MAX(D1861,E1861)&lt;Parametros!$B$16,"",IF(E1861=0,"PIDE SIN FCST",IF(ABS(G1861)&gt;Parametros!$B$14,IF(G1861&gt;0,"SOBRE FCST","BAJO FCST"),"")))</f>
        <v/>
      </c>
    </row>
    <row r="1862" customFormat="false" ht="15" hidden="false" customHeight="false" outlineLevel="0" collapsed="false">
      <c r="A1862" s="3" t="n">
        <v>30000067</v>
      </c>
      <c r="B1862" s="3" t="s">
        <v>597</v>
      </c>
      <c r="C1862" s="3" t="s">
        <v>1375</v>
      </c>
      <c r="D1862" s="23" t="n">
        <v>140</v>
      </c>
      <c r="E1862" s="23" t="n">
        <v>0</v>
      </c>
      <c r="F1862" s="23" t="n">
        <f aca="false">D1862-E1862</f>
        <v>140</v>
      </c>
      <c r="G1862" s="24" t="str">
        <f aca="false">IF(E1862&gt;0,D1862/E1862-1,"")</f>
        <v/>
      </c>
      <c r="H1862" s="3" t="str">
        <f aca="false">IF(MAX(D1862,E1862)&lt;Parametros!$B$16,"",IF(E1862=0,"PIDE SIN FCST",IF(ABS(G1862)&gt;Parametros!$B$14,IF(G1862&gt;0,"SOBRE FCST","BAJO FCST"),"")))</f>
        <v/>
      </c>
    </row>
    <row r="1863" customFormat="false" ht="15" hidden="false" customHeight="false" outlineLevel="0" collapsed="false">
      <c r="A1863" s="3" t="n">
        <v>30000490</v>
      </c>
      <c r="B1863" s="3" t="s">
        <v>396</v>
      </c>
      <c r="C1863" s="3" t="s">
        <v>1378</v>
      </c>
      <c r="D1863" s="23" t="n">
        <v>270</v>
      </c>
      <c r="E1863" s="23" t="n">
        <v>130.288255438938</v>
      </c>
      <c r="F1863" s="23" t="n">
        <f aca="false">D1863-E1863</f>
        <v>139.711744561062</v>
      </c>
      <c r="G1863" s="24" t="n">
        <f aca="false">IF(E1863&gt;0,D1863/E1863-1,"")</f>
        <v>1.07232800140256</v>
      </c>
      <c r="H1863" s="3" t="str">
        <f aca="false">IF(MAX(D1863,E1863)&lt;Parametros!$B$16,"",IF(E1863=0,"PIDE SIN FCST",IF(ABS(G1863)&gt;Parametros!$B$14,IF(G1863&gt;0,"SOBRE FCST","BAJO FCST"),"")))</f>
        <v/>
      </c>
    </row>
    <row r="1864" customFormat="false" ht="15" hidden="false" customHeight="false" outlineLevel="0" collapsed="false">
      <c r="A1864" s="3" t="n">
        <v>30001094</v>
      </c>
      <c r="B1864" s="3" t="s">
        <v>326</v>
      </c>
      <c r="C1864" s="3" t="s">
        <v>1375</v>
      </c>
      <c r="D1864" s="23" t="n">
        <v>7480.8</v>
      </c>
      <c r="E1864" s="23" t="n">
        <v>7619.79261781972</v>
      </c>
      <c r="F1864" s="23" t="n">
        <f aca="false">D1864-E1864</f>
        <v>-138.992617819717</v>
      </c>
      <c r="G1864" s="24" t="n">
        <f aca="false">IF(E1864&gt;0,D1864/E1864-1,"")</f>
        <v>-0.0182409974642442</v>
      </c>
      <c r="H1864" s="3" t="str">
        <f aca="false">IF(MAX(D1864,E1864)&lt;Parametros!$B$16,"",IF(E1864=0,"PIDE SIN FCST",IF(ABS(G1864)&gt;Parametros!$B$14,IF(G1864&gt;0,"SOBRE FCST","BAJO FCST"),"")))</f>
        <v/>
      </c>
    </row>
    <row r="1865" customFormat="false" ht="15" hidden="false" customHeight="false" outlineLevel="0" collapsed="false">
      <c r="A1865" s="3" t="n">
        <v>30002163</v>
      </c>
      <c r="B1865" s="3" t="s">
        <v>630</v>
      </c>
      <c r="C1865" s="3" t="s">
        <v>1378</v>
      </c>
      <c r="D1865" s="23" t="n">
        <v>163.2</v>
      </c>
      <c r="E1865" s="23" t="n">
        <v>301.901272923508</v>
      </c>
      <c r="F1865" s="23" t="n">
        <f aca="false">D1865-E1865</f>
        <v>-138.701272923508</v>
      </c>
      <c r="G1865" s="24" t="n">
        <f aca="false">IF(E1865&gt;0,D1865/E1865-1,"")</f>
        <v>-0.459425929478112</v>
      </c>
      <c r="H1865" s="3" t="str">
        <f aca="false">IF(MAX(D1865,E1865)&lt;Parametros!$B$16,"",IF(E1865=0,"PIDE SIN FCST",IF(ABS(G1865)&gt;Parametros!$B$14,IF(G1865&gt;0,"SOBRE FCST","BAJO FCST"),"")))</f>
        <v/>
      </c>
    </row>
    <row r="1866" customFormat="false" ht="15" hidden="false" customHeight="false" outlineLevel="0" collapsed="false">
      <c r="A1866" s="3" t="n">
        <v>30001710</v>
      </c>
      <c r="B1866" s="3" t="s">
        <v>335</v>
      </c>
      <c r="C1866" s="3" t="s">
        <v>1373</v>
      </c>
      <c r="D1866" s="23" t="n">
        <v>1471.68</v>
      </c>
      <c r="E1866" s="23" t="n">
        <v>1333.13827999907</v>
      </c>
      <c r="F1866" s="23" t="n">
        <f aca="false">D1866-E1866</f>
        <v>138.541720000931</v>
      </c>
      <c r="G1866" s="24" t="n">
        <f aca="false">IF(E1866&gt;0,D1866/E1866-1,"")</f>
        <v>0.103921492675934</v>
      </c>
      <c r="H1866" s="3" t="str">
        <f aca="false">IF(MAX(D1866,E1866)&lt;Parametros!$B$16,"",IF(E1866=0,"PIDE SIN FCST",IF(ABS(G1866)&gt;Parametros!$B$14,IF(G1866&gt;0,"SOBRE FCST","BAJO FCST"),"")))</f>
        <v/>
      </c>
    </row>
    <row r="1867" customFormat="false" ht="15" hidden="false" customHeight="false" outlineLevel="0" collapsed="false">
      <c r="A1867" s="3" t="n">
        <v>30000251</v>
      </c>
      <c r="B1867" s="3" t="s">
        <v>615</v>
      </c>
      <c r="C1867" s="3" t="s">
        <v>1377</v>
      </c>
      <c r="D1867" s="23" t="n">
        <v>138</v>
      </c>
      <c r="E1867" s="23" t="n">
        <v>0</v>
      </c>
      <c r="F1867" s="23" t="n">
        <f aca="false">D1867-E1867</f>
        <v>138</v>
      </c>
      <c r="G1867" s="24" t="str">
        <f aca="false">IF(E1867&gt;0,D1867/E1867-1,"")</f>
        <v/>
      </c>
      <c r="H1867" s="3" t="str">
        <f aca="false">IF(MAX(D1867,E1867)&lt;Parametros!$B$16,"",IF(E1867=0,"PIDE SIN FCST",IF(ABS(G1867)&gt;Parametros!$B$14,IF(G1867&gt;0,"SOBRE FCST","BAJO FCST"),"")))</f>
        <v/>
      </c>
    </row>
    <row r="1868" customFormat="false" ht="15" hidden="false" customHeight="false" outlineLevel="0" collapsed="false">
      <c r="A1868" s="3" t="n">
        <v>30000665</v>
      </c>
      <c r="B1868" s="3" t="s">
        <v>617</v>
      </c>
      <c r="C1868" s="3" t="s">
        <v>1378</v>
      </c>
      <c r="D1868" s="23" t="n">
        <v>24.32</v>
      </c>
      <c r="E1868" s="23" t="n">
        <v>162.16</v>
      </c>
      <c r="F1868" s="23" t="n">
        <f aca="false">D1868-E1868</f>
        <v>-137.84</v>
      </c>
      <c r="G1868" s="24" t="n">
        <f aca="false">IF(E1868&gt;0,D1868/E1868-1,"")</f>
        <v>-0.85002466699556</v>
      </c>
      <c r="H1868" s="3" t="str">
        <f aca="false">IF(MAX(D1868,E1868)&lt;Parametros!$B$16,"",IF(E1868=0,"PIDE SIN FCST",IF(ABS(G1868)&gt;Parametros!$B$14,IF(G1868&gt;0,"SOBRE FCST","BAJO FCST"),"")))</f>
        <v/>
      </c>
    </row>
    <row r="1869" customFormat="false" ht="15" hidden="false" customHeight="false" outlineLevel="0" collapsed="false">
      <c r="A1869" s="3" t="n">
        <v>30001885</v>
      </c>
      <c r="B1869" s="3" t="s">
        <v>550</v>
      </c>
      <c r="C1869" s="3" t="s">
        <v>1375</v>
      </c>
      <c r="D1869" s="23" t="n">
        <v>1262.4</v>
      </c>
      <c r="E1869" s="23" t="n">
        <v>1400</v>
      </c>
      <c r="F1869" s="23" t="n">
        <f aca="false">D1869-E1869</f>
        <v>-137.6</v>
      </c>
      <c r="G1869" s="24" t="n">
        <f aca="false">IF(E1869&gt;0,D1869/E1869-1,"")</f>
        <v>-0.0982857142857142</v>
      </c>
      <c r="H1869" s="3" t="str">
        <f aca="false">IF(MAX(D1869,E1869)&lt;Parametros!$B$16,"",IF(E1869=0,"PIDE SIN FCST",IF(ABS(G1869)&gt;Parametros!$B$14,IF(G1869&gt;0,"SOBRE FCST","BAJO FCST"),"")))</f>
        <v/>
      </c>
    </row>
    <row r="1870" customFormat="false" ht="15" hidden="false" customHeight="false" outlineLevel="0" collapsed="false">
      <c r="A1870" s="3" t="n">
        <v>30002256</v>
      </c>
      <c r="B1870" s="3" t="s">
        <v>534</v>
      </c>
      <c r="C1870" s="3" t="s">
        <v>1373</v>
      </c>
      <c r="D1870" s="23" t="n">
        <v>662.72</v>
      </c>
      <c r="E1870" s="23" t="n">
        <v>800</v>
      </c>
      <c r="F1870" s="23" t="n">
        <f aca="false">D1870-E1870</f>
        <v>-137.28</v>
      </c>
      <c r="G1870" s="24" t="n">
        <f aca="false">IF(E1870&gt;0,D1870/E1870-1,"")</f>
        <v>-0.1716</v>
      </c>
      <c r="H1870" s="3" t="str">
        <f aca="false">IF(MAX(D1870,E1870)&lt;Parametros!$B$16,"",IF(E1870=0,"PIDE SIN FCST",IF(ABS(G1870)&gt;Parametros!$B$14,IF(G1870&gt;0,"SOBRE FCST","BAJO FCST"),"")))</f>
        <v/>
      </c>
    </row>
    <row r="1871" customFormat="false" ht="15" hidden="false" customHeight="false" outlineLevel="0" collapsed="false">
      <c r="A1871" s="3" t="n">
        <v>30002269</v>
      </c>
      <c r="B1871" s="3" t="s">
        <v>541</v>
      </c>
      <c r="C1871" s="3" t="s">
        <v>1380</v>
      </c>
      <c r="D1871" s="23" t="n">
        <v>1428</v>
      </c>
      <c r="E1871" s="23" t="n">
        <v>1564.5</v>
      </c>
      <c r="F1871" s="23" t="n">
        <f aca="false">D1871-E1871</f>
        <v>-136.5</v>
      </c>
      <c r="G1871" s="24" t="n">
        <f aca="false">IF(E1871&gt;0,D1871/E1871-1,"")</f>
        <v>-0.087248322147651</v>
      </c>
      <c r="H1871" s="3" t="str">
        <f aca="false">IF(MAX(D1871,E1871)&lt;Parametros!$B$16,"",IF(E1871=0,"PIDE SIN FCST",IF(ABS(G1871)&gt;Parametros!$B$14,IF(G1871&gt;0,"SOBRE FCST","BAJO FCST"),"")))</f>
        <v/>
      </c>
    </row>
    <row r="1872" customFormat="false" ht="15" hidden="false" customHeight="false" outlineLevel="0" collapsed="false">
      <c r="A1872" s="3" t="n">
        <v>30000648</v>
      </c>
      <c r="B1872" s="3" t="s">
        <v>487</v>
      </c>
      <c r="C1872" s="3" t="s">
        <v>1375</v>
      </c>
      <c r="D1872" s="23" t="n">
        <v>3763.52</v>
      </c>
      <c r="E1872" s="23" t="n">
        <v>3900</v>
      </c>
      <c r="F1872" s="23" t="n">
        <f aca="false">D1872-E1872</f>
        <v>-136.48</v>
      </c>
      <c r="G1872" s="24" t="n">
        <f aca="false">IF(E1872&gt;0,D1872/E1872-1,"")</f>
        <v>-0.0349948717948718</v>
      </c>
      <c r="H1872" s="3" t="str">
        <f aca="false">IF(MAX(D1872,E1872)&lt;Parametros!$B$16,"",IF(E1872=0,"PIDE SIN FCST",IF(ABS(G1872)&gt;Parametros!$B$14,IF(G1872&gt;0,"SOBRE FCST","BAJO FCST"),"")))</f>
        <v/>
      </c>
    </row>
    <row r="1873" customFormat="false" ht="15" hidden="false" customHeight="false" outlineLevel="0" collapsed="false">
      <c r="A1873" s="3" t="n">
        <v>30000195</v>
      </c>
      <c r="B1873" s="3" t="s">
        <v>348</v>
      </c>
      <c r="C1873" s="3" t="s">
        <v>1380</v>
      </c>
      <c r="D1873" s="23" t="n">
        <v>4236</v>
      </c>
      <c r="E1873" s="23" t="n">
        <v>4100</v>
      </c>
      <c r="F1873" s="23" t="n">
        <f aca="false">D1873-E1873</f>
        <v>136</v>
      </c>
      <c r="G1873" s="24" t="n">
        <f aca="false">IF(E1873&gt;0,D1873/E1873-1,"")</f>
        <v>0.0331707317073171</v>
      </c>
      <c r="H1873" s="3" t="str">
        <f aca="false">IF(MAX(D1873,E1873)&lt;Parametros!$B$16,"",IF(E1873=0,"PIDE SIN FCST",IF(ABS(G1873)&gt;Parametros!$B$14,IF(G1873&gt;0,"SOBRE FCST","BAJO FCST"),"")))</f>
        <v/>
      </c>
    </row>
    <row r="1874" customFormat="false" ht="15" hidden="false" customHeight="false" outlineLevel="0" collapsed="false">
      <c r="A1874" s="3" t="n">
        <v>30001902</v>
      </c>
      <c r="B1874" s="3" t="s">
        <v>547</v>
      </c>
      <c r="C1874" s="3" t="s">
        <v>1373</v>
      </c>
      <c r="D1874" s="23" t="n">
        <v>1252.8</v>
      </c>
      <c r="E1874" s="23" t="n">
        <v>1116.80759072451</v>
      </c>
      <c r="F1874" s="23" t="n">
        <f aca="false">D1874-E1874</f>
        <v>135.992409275488</v>
      </c>
      <c r="G1874" s="24" t="n">
        <f aca="false">IF(E1874&gt;0,D1874/E1874-1,"")</f>
        <v>0.121768879800741</v>
      </c>
      <c r="H1874" s="3" t="str">
        <f aca="false">IF(MAX(D1874,E1874)&lt;Parametros!$B$16,"",IF(E1874=0,"PIDE SIN FCST",IF(ABS(G1874)&gt;Parametros!$B$14,IF(G1874&gt;0,"SOBRE FCST","BAJO FCST"),"")))</f>
        <v/>
      </c>
    </row>
    <row r="1875" customFormat="false" ht="15" hidden="false" customHeight="false" outlineLevel="0" collapsed="false">
      <c r="A1875" s="3" t="n">
        <v>30001049</v>
      </c>
      <c r="B1875" s="3" t="s">
        <v>269</v>
      </c>
      <c r="C1875" s="3" t="s">
        <v>1377</v>
      </c>
      <c r="D1875" s="23" t="n">
        <v>2424</v>
      </c>
      <c r="E1875" s="23" t="n">
        <v>2289.25789075844</v>
      </c>
      <c r="F1875" s="23" t="n">
        <f aca="false">D1875-E1875</f>
        <v>134.742109241564</v>
      </c>
      <c r="G1875" s="24" t="n">
        <f aca="false">IF(E1875&gt;0,D1875/E1875-1,"")</f>
        <v>0.0588584229786902</v>
      </c>
      <c r="H1875" s="3" t="str">
        <f aca="false">IF(MAX(D1875,E1875)&lt;Parametros!$B$16,"",IF(E1875=0,"PIDE SIN FCST",IF(ABS(G1875)&gt;Parametros!$B$14,IF(G1875&gt;0,"SOBRE FCST","BAJO FCST"),"")))</f>
        <v/>
      </c>
    </row>
    <row r="1876" customFormat="false" ht="15" hidden="false" customHeight="false" outlineLevel="0" collapsed="false">
      <c r="A1876" s="3" t="n">
        <v>30001342</v>
      </c>
      <c r="B1876" s="3" t="s">
        <v>603</v>
      </c>
      <c r="C1876" s="3" t="s">
        <v>1380</v>
      </c>
      <c r="D1876" s="23" t="n">
        <v>728</v>
      </c>
      <c r="E1876" s="23" t="n">
        <v>862.575065495737</v>
      </c>
      <c r="F1876" s="23" t="n">
        <f aca="false">D1876-E1876</f>
        <v>-134.575065495737</v>
      </c>
      <c r="G1876" s="24" t="n">
        <f aca="false">IF(E1876&gt;0,D1876/E1876-1,"")</f>
        <v>-0.156015483033229</v>
      </c>
      <c r="H1876" s="3" t="str">
        <f aca="false">IF(MAX(D1876,E1876)&lt;Parametros!$B$16,"",IF(E1876=0,"PIDE SIN FCST",IF(ABS(G1876)&gt;Parametros!$B$14,IF(G1876&gt;0,"SOBRE FCST","BAJO FCST"),"")))</f>
        <v/>
      </c>
    </row>
    <row r="1877" customFormat="false" ht="15" hidden="false" customHeight="false" outlineLevel="0" collapsed="false">
      <c r="A1877" s="3" t="n">
        <v>30001049</v>
      </c>
      <c r="B1877" s="3" t="s">
        <v>269</v>
      </c>
      <c r="C1877" s="3" t="s">
        <v>1373</v>
      </c>
      <c r="D1877" s="23" t="n">
        <v>3180</v>
      </c>
      <c r="E1877" s="23" t="n">
        <v>3314.51915450495</v>
      </c>
      <c r="F1877" s="23" t="n">
        <f aca="false">D1877-E1877</f>
        <v>-134.519154504947</v>
      </c>
      <c r="G1877" s="24" t="n">
        <f aca="false">IF(E1877&gt;0,D1877/E1877-1,"")</f>
        <v>-0.0405848173549139</v>
      </c>
      <c r="H1877" s="3" t="str">
        <f aca="false">IF(MAX(D1877,E1877)&lt;Parametros!$B$16,"",IF(E1877=0,"PIDE SIN FCST",IF(ABS(G1877)&gt;Parametros!$B$14,IF(G1877&gt;0,"SOBRE FCST","BAJO FCST"),"")))</f>
        <v/>
      </c>
    </row>
    <row r="1878" customFormat="false" ht="15" hidden="false" customHeight="false" outlineLevel="0" collapsed="false">
      <c r="A1878" s="3" t="n">
        <v>30001753</v>
      </c>
      <c r="B1878" s="3" t="s">
        <v>255</v>
      </c>
      <c r="C1878" s="3" t="s">
        <v>1375</v>
      </c>
      <c r="D1878" s="23" t="n">
        <v>17134.2</v>
      </c>
      <c r="E1878" s="23" t="n">
        <v>17000</v>
      </c>
      <c r="F1878" s="23" t="n">
        <f aca="false">D1878-E1878</f>
        <v>134.200000000001</v>
      </c>
      <c r="G1878" s="24" t="n">
        <f aca="false">IF(E1878&gt;0,D1878/E1878-1,"")</f>
        <v>0.00789411764705883</v>
      </c>
      <c r="H1878" s="3" t="str">
        <f aca="false">IF(MAX(D1878,E1878)&lt;Parametros!$B$16,"",IF(E1878=0,"PIDE SIN FCST",IF(ABS(G1878)&gt;Parametros!$B$14,IF(G1878&gt;0,"SOBRE FCST","BAJO FCST"),"")))</f>
        <v/>
      </c>
    </row>
    <row r="1879" customFormat="false" ht="15" hidden="false" customHeight="false" outlineLevel="0" collapsed="false">
      <c r="A1879" s="3" t="n">
        <v>30001946</v>
      </c>
      <c r="B1879" s="3" t="s">
        <v>400</v>
      </c>
      <c r="C1879" s="3" t="s">
        <v>1377</v>
      </c>
      <c r="D1879" s="23" t="n">
        <v>297.6</v>
      </c>
      <c r="E1879" s="23" t="n">
        <v>431.287532747868</v>
      </c>
      <c r="F1879" s="23" t="n">
        <f aca="false">D1879-E1879</f>
        <v>-133.687532747868</v>
      </c>
      <c r="G1879" s="24" t="n">
        <f aca="false">IF(E1879&gt;0,D1879/E1879-1,"")</f>
        <v>-0.309973098216178</v>
      </c>
      <c r="H1879" s="3" t="str">
        <f aca="false">IF(MAX(D1879,E1879)&lt;Parametros!$B$16,"",IF(E1879=0,"PIDE SIN FCST",IF(ABS(G1879)&gt;Parametros!$B$14,IF(G1879&gt;0,"SOBRE FCST","BAJO FCST"),"")))</f>
        <v/>
      </c>
    </row>
    <row r="1880" customFormat="false" ht="15" hidden="false" customHeight="false" outlineLevel="0" collapsed="false">
      <c r="A1880" s="3" t="n">
        <v>30000613</v>
      </c>
      <c r="B1880" s="3" t="s">
        <v>529</v>
      </c>
      <c r="C1880" s="3" t="s">
        <v>1377</v>
      </c>
      <c r="D1880" s="23" t="n">
        <v>691.2</v>
      </c>
      <c r="E1880" s="23" t="n">
        <v>557.6</v>
      </c>
      <c r="F1880" s="23" t="n">
        <f aca="false">D1880-E1880</f>
        <v>133.6</v>
      </c>
      <c r="G1880" s="24" t="n">
        <f aca="false">IF(E1880&gt;0,D1880/E1880-1,"")</f>
        <v>0.239598278335725</v>
      </c>
      <c r="H1880" s="3" t="str">
        <f aca="false">IF(MAX(D1880,E1880)&lt;Parametros!$B$16,"",IF(E1880=0,"PIDE SIN FCST",IF(ABS(G1880)&gt;Parametros!$B$14,IF(G1880&gt;0,"SOBRE FCST","BAJO FCST"),"")))</f>
        <v/>
      </c>
    </row>
    <row r="1881" customFormat="false" ht="15" hidden="false" customHeight="false" outlineLevel="0" collapsed="false">
      <c r="A1881" s="3" t="n">
        <v>30001094</v>
      </c>
      <c r="B1881" s="3" t="s">
        <v>326</v>
      </c>
      <c r="C1881" s="3" t="s">
        <v>1379</v>
      </c>
      <c r="D1881" s="23" t="n">
        <v>2210.4</v>
      </c>
      <c r="E1881" s="23" t="n">
        <v>2343.95229851749</v>
      </c>
      <c r="F1881" s="23" t="n">
        <f aca="false">D1881-E1881</f>
        <v>-133.552298517493</v>
      </c>
      <c r="G1881" s="24" t="n">
        <f aca="false">IF(E1881&gt;0,D1881/E1881-1,"")</f>
        <v>-0.05697739608522</v>
      </c>
      <c r="H1881" s="3" t="str">
        <f aca="false">IF(MAX(D1881,E1881)&lt;Parametros!$B$16,"",IF(E1881=0,"PIDE SIN FCST",IF(ABS(G1881)&gt;Parametros!$B$14,IF(G1881&gt;0,"SOBRE FCST","BAJO FCST"),"")))</f>
        <v/>
      </c>
    </row>
    <row r="1882" customFormat="false" ht="15" hidden="false" customHeight="false" outlineLevel="0" collapsed="false">
      <c r="A1882" s="3" t="n">
        <v>30001482</v>
      </c>
      <c r="B1882" s="3" t="s">
        <v>566</v>
      </c>
      <c r="C1882" s="3" t="s">
        <v>1377</v>
      </c>
      <c r="D1882" s="23" t="n">
        <v>116.64</v>
      </c>
      <c r="E1882" s="23" t="n">
        <v>250</v>
      </c>
      <c r="F1882" s="23" t="n">
        <f aca="false">D1882-E1882</f>
        <v>-133.36</v>
      </c>
      <c r="G1882" s="24" t="n">
        <f aca="false">IF(E1882&gt;0,D1882/E1882-1,"")</f>
        <v>-0.53344</v>
      </c>
      <c r="H1882" s="3" t="str">
        <f aca="false">IF(MAX(D1882,E1882)&lt;Parametros!$B$16,"",IF(E1882=0,"PIDE SIN FCST",IF(ABS(G1882)&gt;Parametros!$B$14,IF(G1882&gt;0,"SOBRE FCST","BAJO FCST"),"")))</f>
        <v/>
      </c>
    </row>
    <row r="1883" customFormat="false" ht="15" hidden="false" customHeight="false" outlineLevel="0" collapsed="false">
      <c r="A1883" s="3" t="n">
        <v>30000631</v>
      </c>
      <c r="B1883" s="3" t="s">
        <v>515</v>
      </c>
      <c r="C1883" s="3" t="s">
        <v>1377</v>
      </c>
      <c r="D1883" s="23" t="n">
        <v>475.2</v>
      </c>
      <c r="E1883" s="23" t="n">
        <v>342</v>
      </c>
      <c r="F1883" s="23" t="n">
        <f aca="false">D1883-E1883</f>
        <v>133.2</v>
      </c>
      <c r="G1883" s="24" t="n">
        <f aca="false">IF(E1883&gt;0,D1883/E1883-1,"")</f>
        <v>0.389473684210526</v>
      </c>
      <c r="H1883" s="3" t="str">
        <f aca="false">IF(MAX(D1883,E1883)&lt;Parametros!$B$16,"",IF(E1883=0,"PIDE SIN FCST",IF(ABS(G1883)&gt;Parametros!$B$14,IF(G1883&gt;0,"SOBRE FCST","BAJO FCST"),"")))</f>
        <v/>
      </c>
    </row>
    <row r="1884" customFormat="false" ht="15" hidden="false" customHeight="false" outlineLevel="0" collapsed="false">
      <c r="A1884" s="3" t="n">
        <v>30001060</v>
      </c>
      <c r="B1884" s="3" t="s">
        <v>474</v>
      </c>
      <c r="C1884" s="3" t="s">
        <v>1377</v>
      </c>
      <c r="D1884" s="23" t="n">
        <v>715.68</v>
      </c>
      <c r="E1884" s="23" t="n">
        <v>848.737554819791</v>
      </c>
      <c r="F1884" s="23" t="n">
        <f aca="false">D1884-E1884</f>
        <v>-133.057554819791</v>
      </c>
      <c r="G1884" s="24" t="n">
        <f aca="false">IF(E1884&gt;0,D1884/E1884-1,"")</f>
        <v>-0.156771140930653</v>
      </c>
      <c r="H1884" s="3" t="str">
        <f aca="false">IF(MAX(D1884,E1884)&lt;Parametros!$B$16,"",IF(E1884=0,"PIDE SIN FCST",IF(ABS(G1884)&gt;Parametros!$B$14,IF(G1884&gt;0,"SOBRE FCST","BAJO FCST"),"")))</f>
        <v/>
      </c>
    </row>
    <row r="1885" customFormat="false" ht="15" hidden="false" customHeight="false" outlineLevel="0" collapsed="false">
      <c r="A1885" s="3" t="n">
        <v>30001977</v>
      </c>
      <c r="B1885" s="3" t="s">
        <v>292</v>
      </c>
      <c r="C1885" s="3" t="s">
        <v>1376</v>
      </c>
      <c r="D1885" s="23" t="n">
        <v>132</v>
      </c>
      <c r="E1885" s="23" t="n">
        <v>0</v>
      </c>
      <c r="F1885" s="23" t="n">
        <f aca="false">D1885-E1885</f>
        <v>132</v>
      </c>
      <c r="G1885" s="24" t="str">
        <f aca="false">IF(E1885&gt;0,D1885/E1885-1,"")</f>
        <v/>
      </c>
      <c r="H1885" s="3" t="str">
        <f aca="false">IF(MAX(D1885,E1885)&lt;Parametros!$B$16,"",IF(E1885=0,"PIDE SIN FCST",IF(ABS(G1885)&gt;Parametros!$B$14,IF(G1885&gt;0,"SOBRE FCST","BAJO FCST"),"")))</f>
        <v/>
      </c>
    </row>
    <row r="1886" customFormat="false" ht="15" hidden="false" customHeight="false" outlineLevel="0" collapsed="false">
      <c r="A1886" s="3" t="n">
        <v>30000252</v>
      </c>
      <c r="B1886" s="3" t="s">
        <v>405</v>
      </c>
      <c r="C1886" s="3" t="s">
        <v>1379</v>
      </c>
      <c r="D1886" s="23" t="n">
        <v>3582</v>
      </c>
      <c r="E1886" s="23" t="n">
        <v>3450.30026198295</v>
      </c>
      <c r="F1886" s="23" t="n">
        <f aca="false">D1886-E1886</f>
        <v>131.699738017053</v>
      </c>
      <c r="G1886" s="24" t="n">
        <f aca="false">IF(E1886&gt;0,D1886/E1886-1,"")</f>
        <v>0.0381705150326142</v>
      </c>
      <c r="H1886" s="3" t="str">
        <f aca="false">IF(MAX(D1886,E1886)&lt;Parametros!$B$16,"",IF(E1886=0,"PIDE SIN FCST",IF(ABS(G1886)&gt;Parametros!$B$14,IF(G1886&gt;0,"SOBRE FCST","BAJO FCST"),"")))</f>
        <v/>
      </c>
    </row>
    <row r="1887" customFormat="false" ht="15" hidden="false" customHeight="false" outlineLevel="0" collapsed="false">
      <c r="A1887" s="3" t="n">
        <v>30001976</v>
      </c>
      <c r="B1887" s="3" t="s">
        <v>432</v>
      </c>
      <c r="C1887" s="3" t="s">
        <v>1373</v>
      </c>
      <c r="D1887" s="23" t="n">
        <v>408</v>
      </c>
      <c r="E1887" s="23" t="n">
        <v>539.208333333333</v>
      </c>
      <c r="F1887" s="23" t="n">
        <f aca="false">D1887-E1887</f>
        <v>-131.208333333333</v>
      </c>
      <c r="G1887" s="24" t="n">
        <f aca="false">IF(E1887&gt;0,D1887/E1887-1,"")</f>
        <v>-0.243335136388224</v>
      </c>
      <c r="H1887" s="3" t="str">
        <f aca="false">IF(MAX(D1887,E1887)&lt;Parametros!$B$16,"",IF(E1887=0,"PIDE SIN FCST",IF(ABS(G1887)&gt;Parametros!$B$14,IF(G1887&gt;0,"SOBRE FCST","BAJO FCST"),"")))</f>
        <v/>
      </c>
    </row>
    <row r="1888" customFormat="false" ht="15" hidden="false" customHeight="false" outlineLevel="0" collapsed="false">
      <c r="A1888" s="3" t="n">
        <v>30002302</v>
      </c>
      <c r="B1888" s="3" t="s">
        <v>634</v>
      </c>
      <c r="C1888" s="3" t="s">
        <v>1373</v>
      </c>
      <c r="D1888" s="23" t="n">
        <v>331.2</v>
      </c>
      <c r="E1888" s="23" t="n">
        <v>200</v>
      </c>
      <c r="F1888" s="23" t="n">
        <f aca="false">D1888-E1888</f>
        <v>131.2</v>
      </c>
      <c r="G1888" s="24" t="n">
        <f aca="false">IF(E1888&gt;0,D1888/E1888-1,"")</f>
        <v>0.656</v>
      </c>
      <c r="H1888" s="3" t="str">
        <f aca="false">IF(MAX(D1888,E1888)&lt;Parametros!$B$16,"",IF(E1888=0,"PIDE SIN FCST",IF(ABS(G1888)&gt;Parametros!$B$14,IF(G1888&gt;0,"SOBRE FCST","BAJO FCST"),"")))</f>
        <v/>
      </c>
    </row>
    <row r="1889" customFormat="false" ht="15" hidden="false" customHeight="false" outlineLevel="0" collapsed="false">
      <c r="A1889" s="3" t="n">
        <v>30002256</v>
      </c>
      <c r="B1889" s="3" t="s">
        <v>534</v>
      </c>
      <c r="C1889" s="3" t="s">
        <v>1377</v>
      </c>
      <c r="D1889" s="23" t="n">
        <v>218.88</v>
      </c>
      <c r="E1889" s="23" t="n">
        <v>350</v>
      </c>
      <c r="F1889" s="23" t="n">
        <f aca="false">D1889-E1889</f>
        <v>-131.12</v>
      </c>
      <c r="G1889" s="24" t="n">
        <f aca="false">IF(E1889&gt;0,D1889/E1889-1,"")</f>
        <v>-0.374628571428571</v>
      </c>
      <c r="H1889" s="3" t="str">
        <f aca="false">IF(MAX(D1889,E1889)&lt;Parametros!$B$16,"",IF(E1889=0,"PIDE SIN FCST",IF(ABS(G1889)&gt;Parametros!$B$14,IF(G1889&gt;0,"SOBRE FCST","BAJO FCST"),"")))</f>
        <v/>
      </c>
    </row>
    <row r="1890" customFormat="false" ht="15" hidden="false" customHeight="false" outlineLevel="0" collapsed="false">
      <c r="A1890" s="3" t="n">
        <v>30001494</v>
      </c>
      <c r="B1890" s="3" t="s">
        <v>411</v>
      </c>
      <c r="C1890" s="3" t="s">
        <v>1377</v>
      </c>
      <c r="D1890" s="23" t="n">
        <v>596.7</v>
      </c>
      <c r="E1890" s="23" t="n">
        <v>466.256792159858</v>
      </c>
      <c r="F1890" s="23" t="n">
        <f aca="false">D1890-E1890</f>
        <v>130.443207840142</v>
      </c>
      <c r="G1890" s="24" t="n">
        <f aca="false">IF(E1890&gt;0,D1890/E1890-1,"")</f>
        <v>0.27976687961131</v>
      </c>
      <c r="H1890" s="3" t="str">
        <f aca="false">IF(MAX(D1890,E1890)&lt;Parametros!$B$16,"",IF(E1890=0,"PIDE SIN FCST",IF(ABS(G1890)&gt;Parametros!$B$14,IF(G1890&gt;0,"SOBRE FCST","BAJO FCST"),"")))</f>
        <v/>
      </c>
    </row>
    <row r="1891" customFormat="false" ht="15" hidden="false" customHeight="false" outlineLevel="0" collapsed="false">
      <c r="A1891" s="3" t="n">
        <v>30001851</v>
      </c>
      <c r="B1891" s="3" t="s">
        <v>499</v>
      </c>
      <c r="C1891" s="3" t="s">
        <v>1373</v>
      </c>
      <c r="D1891" s="23" t="n">
        <v>955.8</v>
      </c>
      <c r="E1891" s="23" t="n">
        <v>1086.21503980467</v>
      </c>
      <c r="F1891" s="23" t="n">
        <f aca="false">D1891-E1891</f>
        <v>-130.415039804667</v>
      </c>
      <c r="G1891" s="24" t="n">
        <f aca="false">IF(E1891&gt;0,D1891/E1891-1,"")</f>
        <v>-0.120063739706752</v>
      </c>
      <c r="H1891" s="3" t="str">
        <f aca="false">IF(MAX(D1891,E1891)&lt;Parametros!$B$16,"",IF(E1891=0,"PIDE SIN FCST",IF(ABS(G1891)&gt;Parametros!$B$14,IF(G1891&gt;0,"SOBRE FCST","BAJO FCST"),"")))</f>
        <v/>
      </c>
    </row>
    <row r="1892" customFormat="false" ht="15" hidden="false" customHeight="false" outlineLevel="0" collapsed="false">
      <c r="A1892" s="3" t="n">
        <v>30000253</v>
      </c>
      <c r="B1892" s="3" t="s">
        <v>542</v>
      </c>
      <c r="C1892" s="3" t="s">
        <v>1380</v>
      </c>
      <c r="D1892" s="23" t="n">
        <v>2970</v>
      </c>
      <c r="E1892" s="23" t="n">
        <v>3100</v>
      </c>
      <c r="F1892" s="23" t="n">
        <f aca="false">D1892-E1892</f>
        <v>-130</v>
      </c>
      <c r="G1892" s="24" t="n">
        <f aca="false">IF(E1892&gt;0,D1892/E1892-1,"")</f>
        <v>-0.0419354838709678</v>
      </c>
      <c r="H1892" s="3" t="str">
        <f aca="false">IF(MAX(D1892,E1892)&lt;Parametros!$B$16,"",IF(E1892=0,"PIDE SIN FCST",IF(ABS(G1892)&gt;Parametros!$B$14,IF(G1892&gt;0,"SOBRE FCST","BAJO FCST"),"")))</f>
        <v/>
      </c>
    </row>
    <row r="1893" customFormat="false" ht="15" hidden="false" customHeight="false" outlineLevel="0" collapsed="false">
      <c r="A1893" s="3" t="n">
        <v>30001403</v>
      </c>
      <c r="B1893" s="3" t="s">
        <v>465</v>
      </c>
      <c r="C1893" s="3" t="s">
        <v>1379</v>
      </c>
      <c r="D1893" s="23" t="n">
        <v>70.2</v>
      </c>
      <c r="E1893" s="23" t="n">
        <v>200</v>
      </c>
      <c r="F1893" s="23" t="n">
        <f aca="false">D1893-E1893</f>
        <v>-129.8</v>
      </c>
      <c r="G1893" s="24" t="n">
        <f aca="false">IF(E1893&gt;0,D1893/E1893-1,"")</f>
        <v>-0.649</v>
      </c>
      <c r="H1893" s="3" t="str">
        <f aca="false">IF(MAX(D1893,E1893)&lt;Parametros!$B$16,"",IF(E1893=0,"PIDE SIN FCST",IF(ABS(G1893)&gt;Parametros!$B$14,IF(G1893&gt;0,"SOBRE FCST","BAJO FCST"),"")))</f>
        <v/>
      </c>
    </row>
    <row r="1894" customFormat="false" ht="15" hidden="false" customHeight="false" outlineLevel="0" collapsed="false">
      <c r="A1894" s="3" t="n">
        <v>30000066</v>
      </c>
      <c r="B1894" s="3" t="s">
        <v>442</v>
      </c>
      <c r="C1894" s="3" t="s">
        <v>1375</v>
      </c>
      <c r="D1894" s="23" t="n">
        <v>129.6</v>
      </c>
      <c r="E1894" s="23" t="n">
        <v>0</v>
      </c>
      <c r="F1894" s="23" t="n">
        <f aca="false">D1894-E1894</f>
        <v>129.6</v>
      </c>
      <c r="G1894" s="24" t="str">
        <f aca="false">IF(E1894&gt;0,D1894/E1894-1,"")</f>
        <v/>
      </c>
      <c r="H1894" s="3" t="str">
        <f aca="false">IF(MAX(D1894,E1894)&lt;Parametros!$B$16,"",IF(E1894=0,"PIDE SIN FCST",IF(ABS(G1894)&gt;Parametros!$B$14,IF(G1894&gt;0,"SOBRE FCST","BAJO FCST"),"")))</f>
        <v/>
      </c>
    </row>
    <row r="1895" customFormat="false" ht="15" hidden="false" customHeight="false" outlineLevel="0" collapsed="false">
      <c r="A1895" s="3" t="n">
        <v>30001749</v>
      </c>
      <c r="B1895" s="3" t="s">
        <v>307</v>
      </c>
      <c r="C1895" s="3" t="s">
        <v>1377</v>
      </c>
      <c r="D1895" s="23" t="n">
        <v>1371.6</v>
      </c>
      <c r="E1895" s="23" t="n">
        <v>1500</v>
      </c>
      <c r="F1895" s="23" t="n">
        <f aca="false">D1895-E1895</f>
        <v>-128.4</v>
      </c>
      <c r="G1895" s="24" t="n">
        <f aca="false">IF(E1895&gt;0,D1895/E1895-1,"")</f>
        <v>-0.0856</v>
      </c>
      <c r="H1895" s="3" t="str">
        <f aca="false">IF(MAX(D1895,E1895)&lt;Parametros!$B$16,"",IF(E1895=0,"PIDE SIN FCST",IF(ABS(G1895)&gt;Parametros!$B$14,IF(G1895&gt;0,"SOBRE FCST","BAJO FCST"),"")))</f>
        <v/>
      </c>
    </row>
    <row r="1896" customFormat="false" ht="15" hidden="false" customHeight="false" outlineLevel="0" collapsed="false">
      <c r="A1896" s="3" t="n">
        <v>30002138</v>
      </c>
      <c r="B1896" s="3" t="s">
        <v>494</v>
      </c>
      <c r="C1896" s="3" t="s">
        <v>1373</v>
      </c>
      <c r="D1896" s="23" t="n">
        <v>672</v>
      </c>
      <c r="E1896" s="23" t="n">
        <v>800</v>
      </c>
      <c r="F1896" s="23" t="n">
        <f aca="false">D1896-E1896</f>
        <v>-128</v>
      </c>
      <c r="G1896" s="24" t="n">
        <f aca="false">IF(E1896&gt;0,D1896/E1896-1,"")</f>
        <v>-0.16</v>
      </c>
      <c r="H1896" s="3" t="str">
        <f aca="false">IF(MAX(D1896,E1896)&lt;Parametros!$B$16,"",IF(E1896=0,"PIDE SIN FCST",IF(ABS(G1896)&gt;Parametros!$B$14,IF(G1896&gt;0,"SOBRE FCST","BAJO FCST"),"")))</f>
        <v/>
      </c>
    </row>
    <row r="1897" customFormat="false" ht="15" hidden="false" customHeight="false" outlineLevel="0" collapsed="false">
      <c r="A1897" s="3" t="n">
        <v>30001973</v>
      </c>
      <c r="B1897" s="3" t="s">
        <v>699</v>
      </c>
      <c r="C1897" s="3" t="s">
        <v>1373</v>
      </c>
      <c r="D1897" s="23" t="n">
        <v>0</v>
      </c>
      <c r="E1897" s="23" t="n">
        <v>127.791666666667</v>
      </c>
      <c r="F1897" s="23" t="n">
        <f aca="false">D1897-E1897</f>
        <v>-127.791666666667</v>
      </c>
      <c r="G1897" s="24" t="n">
        <f aca="false">IF(E1897&gt;0,D1897/E1897-1,"")</f>
        <v>-1</v>
      </c>
      <c r="H1897" s="3" t="str">
        <f aca="false">IF(MAX(D1897,E1897)&lt;Parametros!$B$16,"",IF(E1897=0,"PIDE SIN FCST",IF(ABS(G1897)&gt;Parametros!$B$14,IF(G1897&gt;0,"SOBRE FCST","BAJO FCST"),"")))</f>
        <v/>
      </c>
    </row>
    <row r="1898" customFormat="false" ht="15" hidden="false" customHeight="false" outlineLevel="0" collapsed="false">
      <c r="A1898" s="3" t="n">
        <v>30000600</v>
      </c>
      <c r="B1898" s="3" t="s">
        <v>338</v>
      </c>
      <c r="C1898" s="3" t="s">
        <v>1376</v>
      </c>
      <c r="D1898" s="23" t="n">
        <v>127.44</v>
      </c>
      <c r="E1898" s="23" t="n">
        <v>0</v>
      </c>
      <c r="F1898" s="23" t="n">
        <f aca="false">D1898-E1898</f>
        <v>127.44</v>
      </c>
      <c r="G1898" s="24" t="str">
        <f aca="false">IF(E1898&gt;0,D1898/E1898-1,"")</f>
        <v/>
      </c>
      <c r="H1898" s="3" t="str">
        <f aca="false">IF(MAX(D1898,E1898)&lt;Parametros!$B$16,"",IF(E1898=0,"PIDE SIN FCST",IF(ABS(G1898)&gt;Parametros!$B$14,IF(G1898&gt;0,"SOBRE FCST","BAJO FCST"),"")))</f>
        <v/>
      </c>
    </row>
    <row r="1899" customFormat="false" ht="15" hidden="false" customHeight="false" outlineLevel="0" collapsed="false">
      <c r="A1899" s="3" t="n">
        <v>30000421</v>
      </c>
      <c r="B1899" s="3" t="s">
        <v>464</v>
      </c>
      <c r="C1899" s="3" t="s">
        <v>1378</v>
      </c>
      <c r="D1899" s="23" t="n">
        <v>1104</v>
      </c>
      <c r="E1899" s="23" t="n">
        <v>977.350545454546</v>
      </c>
      <c r="F1899" s="23" t="n">
        <f aca="false">D1899-E1899</f>
        <v>126.649454545455</v>
      </c>
      <c r="G1899" s="24" t="n">
        <f aca="false">IF(E1899&gt;0,D1899/E1899-1,"")</f>
        <v>0.12958447215738</v>
      </c>
      <c r="H1899" s="3" t="str">
        <f aca="false">IF(MAX(D1899,E1899)&lt;Parametros!$B$16,"",IF(E1899=0,"PIDE SIN FCST",IF(ABS(G1899)&gt;Parametros!$B$14,IF(G1899&gt;0,"SOBRE FCST","BAJO FCST"),"")))</f>
        <v/>
      </c>
    </row>
    <row r="1900" customFormat="false" ht="15" hidden="false" customHeight="false" outlineLevel="0" collapsed="false">
      <c r="A1900" s="3" t="n">
        <v>30000435</v>
      </c>
      <c r="B1900" s="3" t="s">
        <v>459</v>
      </c>
      <c r="C1900" s="3" t="s">
        <v>1377</v>
      </c>
      <c r="D1900" s="23" t="n">
        <v>358.4</v>
      </c>
      <c r="E1900" s="23" t="n">
        <v>231.928912044602</v>
      </c>
      <c r="F1900" s="23" t="n">
        <f aca="false">D1900-E1900</f>
        <v>126.471087955398</v>
      </c>
      <c r="G1900" s="24" t="n">
        <f aca="false">IF(E1900&gt;0,D1900/E1900-1,"")</f>
        <v>0.545301087477515</v>
      </c>
      <c r="H1900" s="3" t="str">
        <f aca="false">IF(MAX(D1900,E1900)&lt;Parametros!$B$16,"",IF(E1900=0,"PIDE SIN FCST",IF(ABS(G1900)&gt;Parametros!$B$14,IF(G1900&gt;0,"SOBRE FCST","BAJO FCST"),"")))</f>
        <v/>
      </c>
    </row>
    <row r="1901" customFormat="false" ht="15" hidden="false" customHeight="false" outlineLevel="0" collapsed="false">
      <c r="A1901" s="3" t="n">
        <v>30000631</v>
      </c>
      <c r="B1901" s="3" t="s">
        <v>515</v>
      </c>
      <c r="C1901" s="3" t="s">
        <v>1378</v>
      </c>
      <c r="D1901" s="23" t="n">
        <v>408</v>
      </c>
      <c r="E1901" s="23" t="n">
        <v>534.4</v>
      </c>
      <c r="F1901" s="23" t="n">
        <f aca="false">D1901-E1901</f>
        <v>-126.4</v>
      </c>
      <c r="G1901" s="24" t="n">
        <f aca="false">IF(E1901&gt;0,D1901/E1901-1,"")</f>
        <v>-0.236526946107784</v>
      </c>
      <c r="H1901" s="3" t="str">
        <f aca="false">IF(MAX(D1901,E1901)&lt;Parametros!$B$16,"",IF(E1901=0,"PIDE SIN FCST",IF(ABS(G1901)&gt;Parametros!$B$14,IF(G1901&gt;0,"SOBRE FCST","BAJO FCST"),"")))</f>
        <v/>
      </c>
    </row>
    <row r="1902" customFormat="false" ht="15" hidden="false" customHeight="false" outlineLevel="0" collapsed="false">
      <c r="A1902" s="3" t="n">
        <v>30002291</v>
      </c>
      <c r="B1902" s="3" t="s">
        <v>483</v>
      </c>
      <c r="C1902" s="3" t="s">
        <v>1373</v>
      </c>
      <c r="D1902" s="23" t="n">
        <v>1305</v>
      </c>
      <c r="E1902" s="23" t="n">
        <v>1431.33333333333</v>
      </c>
      <c r="F1902" s="23" t="n">
        <f aca="false">D1902-E1902</f>
        <v>-126.333333333333</v>
      </c>
      <c r="G1902" s="24" t="n">
        <f aca="false">IF(E1902&gt;0,D1902/E1902-1,"")</f>
        <v>-0.0882626921285513</v>
      </c>
      <c r="H1902" s="3" t="str">
        <f aca="false">IF(MAX(D1902,E1902)&lt;Parametros!$B$16,"",IF(E1902=0,"PIDE SIN FCST",IF(ABS(G1902)&gt;Parametros!$B$14,IF(G1902&gt;0,"SOBRE FCST","BAJO FCST"),"")))</f>
        <v/>
      </c>
    </row>
    <row r="1903" customFormat="false" ht="15" hidden="false" customHeight="false" outlineLevel="0" collapsed="false">
      <c r="A1903" s="3" t="n">
        <v>30000257</v>
      </c>
      <c r="B1903" s="3" t="s">
        <v>228</v>
      </c>
      <c r="C1903" s="3" t="s">
        <v>1376</v>
      </c>
      <c r="D1903" s="23" t="n">
        <v>126</v>
      </c>
      <c r="E1903" s="23" t="n">
        <v>0</v>
      </c>
      <c r="F1903" s="23" t="n">
        <f aca="false">D1903-E1903</f>
        <v>126</v>
      </c>
      <c r="G1903" s="24" t="str">
        <f aca="false">IF(E1903&gt;0,D1903/E1903-1,"")</f>
        <v/>
      </c>
      <c r="H1903" s="3" t="str">
        <f aca="false">IF(MAX(D1903,E1903)&lt;Parametros!$B$16,"",IF(E1903=0,"PIDE SIN FCST",IF(ABS(G1903)&gt;Parametros!$B$14,IF(G1903&gt;0,"SOBRE FCST","BAJO FCST"),"")))</f>
        <v/>
      </c>
    </row>
    <row r="1904" customFormat="false" ht="15" hidden="false" customHeight="false" outlineLevel="0" collapsed="false">
      <c r="A1904" s="3" t="n">
        <v>30001410</v>
      </c>
      <c r="B1904" s="3" t="s">
        <v>324</v>
      </c>
      <c r="C1904" s="3" t="s">
        <v>1377</v>
      </c>
      <c r="D1904" s="23" t="n">
        <v>768.96</v>
      </c>
      <c r="E1904" s="23" t="n">
        <v>894.4409946378</v>
      </c>
      <c r="F1904" s="23" t="n">
        <f aca="false">D1904-E1904</f>
        <v>-125.4809946378</v>
      </c>
      <c r="G1904" s="24" t="n">
        <f aca="false">IF(E1904&gt;0,D1904/E1904-1,"")</f>
        <v>-0.140289851862853</v>
      </c>
      <c r="H1904" s="3" t="str">
        <f aca="false">IF(MAX(D1904,E1904)&lt;Parametros!$B$16,"",IF(E1904=0,"PIDE SIN FCST",IF(ABS(G1904)&gt;Parametros!$B$14,IF(G1904&gt;0,"SOBRE FCST","BAJO FCST"),"")))</f>
        <v/>
      </c>
    </row>
    <row r="1905" customFormat="false" ht="15" hidden="false" customHeight="false" outlineLevel="0" collapsed="false">
      <c r="A1905" s="3" t="n">
        <v>30000421</v>
      </c>
      <c r="B1905" s="3" t="s">
        <v>464</v>
      </c>
      <c r="C1905" s="3" t="s">
        <v>1377</v>
      </c>
      <c r="D1905" s="23" t="n">
        <v>588</v>
      </c>
      <c r="E1905" s="23" t="n">
        <v>713.301670564978</v>
      </c>
      <c r="F1905" s="23" t="n">
        <f aca="false">D1905-E1905</f>
        <v>-125.301670564978</v>
      </c>
      <c r="G1905" s="24" t="n">
        <f aca="false">IF(E1905&gt;0,D1905/E1905-1,"")</f>
        <v>-0.175664344744533</v>
      </c>
      <c r="H1905" s="3" t="str">
        <f aca="false">IF(MAX(D1905,E1905)&lt;Parametros!$B$16,"",IF(E1905=0,"PIDE SIN FCST",IF(ABS(G1905)&gt;Parametros!$B$14,IF(G1905&gt;0,"SOBRE FCST","BAJO FCST"),"")))</f>
        <v/>
      </c>
    </row>
    <row r="1906" customFormat="false" ht="15" hidden="false" customHeight="false" outlineLevel="0" collapsed="false">
      <c r="A1906" s="3" t="n">
        <v>30002134</v>
      </c>
      <c r="B1906" s="3" t="s">
        <v>444</v>
      </c>
      <c r="C1906" s="3" t="s">
        <v>1373</v>
      </c>
      <c r="D1906" s="23" t="n">
        <v>124.8</v>
      </c>
      <c r="E1906" s="23" t="n">
        <v>0</v>
      </c>
      <c r="F1906" s="23" t="n">
        <f aca="false">D1906-E1906</f>
        <v>124.8</v>
      </c>
      <c r="G1906" s="24" t="str">
        <f aca="false">IF(E1906&gt;0,D1906/E1906-1,"")</f>
        <v/>
      </c>
      <c r="H1906" s="3" t="str">
        <f aca="false">IF(MAX(D1906,E1906)&lt;Parametros!$B$16,"",IF(E1906=0,"PIDE SIN FCST",IF(ABS(G1906)&gt;Parametros!$B$14,IF(G1906&gt;0,"SOBRE FCST","BAJO FCST"),"")))</f>
        <v/>
      </c>
    </row>
    <row r="1907" customFormat="false" ht="15" hidden="false" customHeight="false" outlineLevel="0" collapsed="false">
      <c r="A1907" s="3" t="n">
        <v>30001895</v>
      </c>
      <c r="B1907" s="3" t="s">
        <v>341</v>
      </c>
      <c r="C1907" s="3" t="s">
        <v>1379</v>
      </c>
      <c r="D1907" s="23" t="n">
        <v>1824</v>
      </c>
      <c r="E1907" s="23" t="n">
        <v>1700</v>
      </c>
      <c r="F1907" s="23" t="n">
        <f aca="false">D1907-E1907</f>
        <v>124</v>
      </c>
      <c r="G1907" s="24" t="n">
        <f aca="false">IF(E1907&gt;0,D1907/E1907-1,"")</f>
        <v>0.0729411764705883</v>
      </c>
      <c r="H1907" s="3" t="str">
        <f aca="false">IF(MAX(D1907,E1907)&lt;Parametros!$B$16,"",IF(E1907=0,"PIDE SIN FCST",IF(ABS(G1907)&gt;Parametros!$B$14,IF(G1907&gt;0,"SOBRE FCST","BAJO FCST"),"")))</f>
        <v/>
      </c>
    </row>
    <row r="1908" customFormat="false" ht="15" hidden="false" customHeight="false" outlineLevel="0" collapsed="false">
      <c r="A1908" s="3" t="n">
        <v>30001885</v>
      </c>
      <c r="B1908" s="3" t="s">
        <v>550</v>
      </c>
      <c r="C1908" s="3" t="s">
        <v>1372</v>
      </c>
      <c r="D1908" s="23" t="n">
        <v>216</v>
      </c>
      <c r="E1908" s="23" t="n">
        <v>340</v>
      </c>
      <c r="F1908" s="23" t="n">
        <f aca="false">D1908-E1908</f>
        <v>-124</v>
      </c>
      <c r="G1908" s="24" t="n">
        <f aca="false">IF(E1908&gt;0,D1908/E1908-1,"")</f>
        <v>-0.364705882352941</v>
      </c>
      <c r="H1908" s="3" t="str">
        <f aca="false">IF(MAX(D1908,E1908)&lt;Parametros!$B$16,"",IF(E1908=0,"PIDE SIN FCST",IF(ABS(G1908)&gt;Parametros!$B$14,IF(G1908&gt;0,"SOBRE FCST","BAJO FCST"),"")))</f>
        <v/>
      </c>
    </row>
    <row r="1909" customFormat="false" ht="15" hidden="false" customHeight="false" outlineLevel="0" collapsed="false">
      <c r="A1909" s="3" t="n">
        <v>30001739</v>
      </c>
      <c r="B1909" s="3" t="s">
        <v>429</v>
      </c>
      <c r="C1909" s="3" t="s">
        <v>1378</v>
      </c>
      <c r="D1909" s="23" t="n">
        <v>1170</v>
      </c>
      <c r="E1909" s="23" t="n">
        <v>1293.86259824361</v>
      </c>
      <c r="F1909" s="23" t="n">
        <f aca="false">D1909-E1909</f>
        <v>-123.862598243605</v>
      </c>
      <c r="G1909" s="24" t="n">
        <f aca="false">IF(E1909&gt;0,D1909/E1909-1,"")</f>
        <v>-0.0957308746784598</v>
      </c>
      <c r="H1909" s="3" t="str">
        <f aca="false">IF(MAX(D1909,E1909)&lt;Parametros!$B$16,"",IF(E1909=0,"PIDE SIN FCST",IF(ABS(G1909)&gt;Parametros!$B$14,IF(G1909&gt;0,"SOBRE FCST","BAJO FCST"),"")))</f>
        <v/>
      </c>
    </row>
    <row r="1910" customFormat="false" ht="15" hidden="false" customHeight="false" outlineLevel="0" collapsed="false">
      <c r="A1910" s="3" t="n">
        <v>30001018</v>
      </c>
      <c r="B1910" s="3" t="s">
        <v>385</v>
      </c>
      <c r="C1910" s="3" t="s">
        <v>1377</v>
      </c>
      <c r="D1910" s="23" t="n">
        <v>1186.8</v>
      </c>
      <c r="E1910" s="23" t="n">
        <v>1310.38133451211</v>
      </c>
      <c r="F1910" s="23" t="n">
        <f aca="false">D1910-E1910</f>
        <v>-123.581334512108</v>
      </c>
      <c r="G1910" s="24" t="n">
        <f aca="false">IF(E1910&gt;0,D1910/E1910-1,"")</f>
        <v>-0.0943094435621833</v>
      </c>
      <c r="H1910" s="3" t="str">
        <f aca="false">IF(MAX(D1910,E1910)&lt;Parametros!$B$16,"",IF(E1910=0,"PIDE SIN FCST",IF(ABS(G1910)&gt;Parametros!$B$14,IF(G1910&gt;0,"SOBRE FCST","BAJO FCST"),"")))</f>
        <v/>
      </c>
    </row>
    <row r="1911" customFormat="false" ht="15" hidden="false" customHeight="false" outlineLevel="0" collapsed="false">
      <c r="A1911" s="3" t="n">
        <v>30001766</v>
      </c>
      <c r="B1911" s="3" t="s">
        <v>414</v>
      </c>
      <c r="C1911" s="3" t="s">
        <v>1372</v>
      </c>
      <c r="D1911" s="23" t="n">
        <v>1776.6</v>
      </c>
      <c r="E1911" s="23" t="n">
        <v>1900</v>
      </c>
      <c r="F1911" s="23" t="n">
        <f aca="false">D1911-E1911</f>
        <v>-123.4</v>
      </c>
      <c r="G1911" s="24" t="n">
        <f aca="false">IF(E1911&gt;0,D1911/E1911-1,"")</f>
        <v>-0.0649473684210526</v>
      </c>
      <c r="H1911" s="3" t="str">
        <f aca="false">IF(MAX(D1911,E1911)&lt;Parametros!$B$16,"",IF(E1911=0,"PIDE SIN FCST",IF(ABS(G1911)&gt;Parametros!$B$14,IF(G1911&gt;0,"SOBRE FCST","BAJO FCST"),"")))</f>
        <v/>
      </c>
    </row>
    <row r="1912" customFormat="false" ht="15" hidden="false" customHeight="false" outlineLevel="0" collapsed="false">
      <c r="A1912" s="3" t="n">
        <v>30001526</v>
      </c>
      <c r="B1912" s="3" t="s">
        <v>569</v>
      </c>
      <c r="C1912" s="3" t="s">
        <v>1377</v>
      </c>
      <c r="D1912" s="23" t="n">
        <v>27.2</v>
      </c>
      <c r="E1912" s="23" t="n">
        <v>150</v>
      </c>
      <c r="F1912" s="23" t="n">
        <f aca="false">D1912-E1912</f>
        <v>-122.8</v>
      </c>
      <c r="G1912" s="24" t="n">
        <f aca="false">IF(E1912&gt;0,D1912/E1912-1,"")</f>
        <v>-0.818666666666667</v>
      </c>
      <c r="H1912" s="3" t="str">
        <f aca="false">IF(MAX(D1912,E1912)&lt;Parametros!$B$16,"",IF(E1912=0,"PIDE SIN FCST",IF(ABS(G1912)&gt;Parametros!$B$14,IF(G1912&gt;0,"SOBRE FCST","BAJO FCST"),"")))</f>
        <v/>
      </c>
    </row>
    <row r="1913" customFormat="false" ht="15" hidden="false" customHeight="false" outlineLevel="0" collapsed="false">
      <c r="A1913" s="3" t="n">
        <v>30001526</v>
      </c>
      <c r="B1913" s="3" t="s">
        <v>569</v>
      </c>
      <c r="C1913" s="3" t="s">
        <v>1373</v>
      </c>
      <c r="D1913" s="23" t="n">
        <v>27.2</v>
      </c>
      <c r="E1913" s="23" t="n">
        <v>150</v>
      </c>
      <c r="F1913" s="23" t="n">
        <f aca="false">D1913-E1913</f>
        <v>-122.8</v>
      </c>
      <c r="G1913" s="24" t="n">
        <f aca="false">IF(E1913&gt;0,D1913/E1913-1,"")</f>
        <v>-0.818666666666667</v>
      </c>
      <c r="H1913" s="3" t="str">
        <f aca="false">IF(MAX(D1913,E1913)&lt;Parametros!$B$16,"",IF(E1913=0,"PIDE SIN FCST",IF(ABS(G1913)&gt;Parametros!$B$14,IF(G1913&gt;0,"SOBRE FCST","BAJO FCST"),"")))</f>
        <v/>
      </c>
    </row>
    <row r="1914" customFormat="false" ht="15" hidden="false" customHeight="false" outlineLevel="0" collapsed="false">
      <c r="A1914" s="3" t="n">
        <v>30002273</v>
      </c>
      <c r="B1914" s="3" t="s">
        <v>512</v>
      </c>
      <c r="C1914" s="3" t="s">
        <v>1377</v>
      </c>
      <c r="D1914" s="23" t="n">
        <v>230.4</v>
      </c>
      <c r="E1914" s="23" t="n">
        <v>351.935834961057</v>
      </c>
      <c r="F1914" s="23" t="n">
        <f aca="false">D1914-E1914</f>
        <v>-121.535834961057</v>
      </c>
      <c r="G1914" s="24" t="n">
        <f aca="false">IF(E1914&gt;0,D1914/E1914-1,"")</f>
        <v>-0.345335208545914</v>
      </c>
      <c r="H1914" s="3" t="str">
        <f aca="false">IF(MAX(D1914,E1914)&lt;Parametros!$B$16,"",IF(E1914=0,"PIDE SIN FCST",IF(ABS(G1914)&gt;Parametros!$B$14,IF(G1914&gt;0,"SOBRE FCST","BAJO FCST"),"")))</f>
        <v/>
      </c>
    </row>
    <row r="1915" customFormat="false" ht="15" hidden="false" customHeight="false" outlineLevel="0" collapsed="false">
      <c r="A1915" s="3" t="n">
        <v>30000172</v>
      </c>
      <c r="B1915" s="3" t="s">
        <v>495</v>
      </c>
      <c r="C1915" s="3" t="s">
        <v>1377</v>
      </c>
      <c r="D1915" s="23" t="n">
        <v>483</v>
      </c>
      <c r="E1915" s="23" t="n">
        <v>361.6</v>
      </c>
      <c r="F1915" s="23" t="n">
        <f aca="false">D1915-E1915</f>
        <v>121.4</v>
      </c>
      <c r="G1915" s="24" t="n">
        <f aca="false">IF(E1915&gt;0,D1915/E1915-1,"")</f>
        <v>0.335730088495575</v>
      </c>
      <c r="H1915" s="3" t="str">
        <f aca="false">IF(MAX(D1915,E1915)&lt;Parametros!$B$16,"",IF(E1915=0,"PIDE SIN FCST",IF(ABS(G1915)&gt;Parametros!$B$14,IF(G1915&gt;0,"SOBRE FCST","BAJO FCST"),"")))</f>
        <v/>
      </c>
    </row>
    <row r="1916" customFormat="false" ht="15" hidden="false" customHeight="false" outlineLevel="0" collapsed="false">
      <c r="A1916" s="3" t="n">
        <v>30001363</v>
      </c>
      <c r="B1916" s="3" t="s">
        <v>621</v>
      </c>
      <c r="C1916" s="3" t="s">
        <v>1372</v>
      </c>
      <c r="D1916" s="23" t="n">
        <v>182.16</v>
      </c>
      <c r="E1916" s="23" t="n">
        <v>303.24</v>
      </c>
      <c r="F1916" s="23" t="n">
        <f aca="false">D1916-E1916</f>
        <v>-121.08</v>
      </c>
      <c r="G1916" s="24" t="n">
        <f aca="false">IF(E1916&gt;0,D1916/E1916-1,"")</f>
        <v>-0.399287692916502</v>
      </c>
      <c r="H1916" s="3" t="str">
        <f aca="false">IF(MAX(D1916,E1916)&lt;Parametros!$B$16,"",IF(E1916=0,"PIDE SIN FCST",IF(ABS(G1916)&gt;Parametros!$B$14,IF(G1916&gt;0,"SOBRE FCST","BAJO FCST"),"")))</f>
        <v/>
      </c>
    </row>
    <row r="1917" customFormat="false" ht="15" hidden="false" customHeight="false" outlineLevel="0" collapsed="false">
      <c r="A1917" s="3" t="n">
        <v>30000660</v>
      </c>
      <c r="B1917" s="3" t="s">
        <v>388</v>
      </c>
      <c r="C1917" s="3" t="s">
        <v>1379</v>
      </c>
      <c r="D1917" s="23" t="n">
        <v>2260.8</v>
      </c>
      <c r="E1917" s="23" t="n">
        <v>2381.72238255655</v>
      </c>
      <c r="F1917" s="23" t="n">
        <f aca="false">D1917-E1917</f>
        <v>-120.92238255655</v>
      </c>
      <c r="G1917" s="24" t="n">
        <f aca="false">IF(E1917&gt;0,D1917/E1917-1,"")</f>
        <v>-0.0507709813041902</v>
      </c>
      <c r="H1917" s="3" t="str">
        <f aca="false">IF(MAX(D1917,E1917)&lt;Parametros!$B$16,"",IF(E1917=0,"PIDE SIN FCST",IF(ABS(G1917)&gt;Parametros!$B$14,IF(G1917&gt;0,"SOBRE FCST","BAJO FCST"),"")))</f>
        <v/>
      </c>
    </row>
    <row r="1918" customFormat="false" ht="15" hidden="false" customHeight="false" outlineLevel="0" collapsed="false">
      <c r="A1918" s="3" t="n">
        <v>30000049</v>
      </c>
      <c r="B1918" s="3" t="s">
        <v>217</v>
      </c>
      <c r="C1918" s="3" t="s">
        <v>1376</v>
      </c>
      <c r="D1918" s="23" t="n">
        <v>6679.2</v>
      </c>
      <c r="E1918" s="23" t="n">
        <v>6800</v>
      </c>
      <c r="F1918" s="23" t="n">
        <f aca="false">D1918-E1918</f>
        <v>-120.8</v>
      </c>
      <c r="G1918" s="24" t="n">
        <f aca="false">IF(E1918&gt;0,D1918/E1918-1,"")</f>
        <v>-0.017764705882353</v>
      </c>
      <c r="H1918" s="3" t="str">
        <f aca="false">IF(MAX(D1918,E1918)&lt;Parametros!$B$16,"",IF(E1918=0,"PIDE SIN FCST",IF(ABS(G1918)&gt;Parametros!$B$14,IF(G1918&gt;0,"SOBRE FCST","BAJO FCST"),"")))</f>
        <v/>
      </c>
    </row>
    <row r="1919" customFormat="false" ht="15" hidden="false" customHeight="false" outlineLevel="0" collapsed="false">
      <c r="A1919" s="3" t="n">
        <v>30001752</v>
      </c>
      <c r="B1919" s="3" t="s">
        <v>475</v>
      </c>
      <c r="C1919" s="3" t="s">
        <v>1372</v>
      </c>
      <c r="D1919" s="23" t="n">
        <v>1447.2</v>
      </c>
      <c r="E1919" s="23" t="n">
        <v>1326.8</v>
      </c>
      <c r="F1919" s="23" t="n">
        <f aca="false">D1919-E1919</f>
        <v>120.4</v>
      </c>
      <c r="G1919" s="24" t="n">
        <f aca="false">IF(E1919&gt;0,D1919/E1919-1,"")</f>
        <v>0.0907446487790173</v>
      </c>
      <c r="H1919" s="3" t="str">
        <f aca="false">IF(MAX(D1919,E1919)&lt;Parametros!$B$16,"",IF(E1919=0,"PIDE SIN FCST",IF(ABS(G1919)&gt;Parametros!$B$14,IF(G1919&gt;0,"SOBRE FCST","BAJO FCST"),"")))</f>
        <v/>
      </c>
    </row>
    <row r="1920" customFormat="false" ht="15" hidden="false" customHeight="false" outlineLevel="0" collapsed="false">
      <c r="A1920" s="3" t="n">
        <v>30001091</v>
      </c>
      <c r="B1920" s="3" t="s">
        <v>303</v>
      </c>
      <c r="C1920" s="3" t="s">
        <v>1377</v>
      </c>
      <c r="D1920" s="23" t="n">
        <v>2476.8</v>
      </c>
      <c r="E1920" s="23" t="n">
        <v>2356.63173203527</v>
      </c>
      <c r="F1920" s="23" t="n">
        <f aca="false">D1920-E1920</f>
        <v>120.168267964731</v>
      </c>
      <c r="G1920" s="24" t="n">
        <f aca="false">IF(E1920&gt;0,D1920/E1920-1,"")</f>
        <v>0.0509915343713672</v>
      </c>
      <c r="H1920" s="3" t="str">
        <f aca="false">IF(MAX(D1920,E1920)&lt;Parametros!$B$16,"",IF(E1920=0,"PIDE SIN FCST",IF(ABS(G1920)&gt;Parametros!$B$14,IF(G1920&gt;0,"SOBRE FCST","BAJO FCST"),"")))</f>
        <v/>
      </c>
    </row>
    <row r="1921" customFormat="false" ht="15" hidden="false" customHeight="false" outlineLevel="0" collapsed="false">
      <c r="A1921" s="3" t="n">
        <v>30000640</v>
      </c>
      <c r="B1921" s="3" t="s">
        <v>606</v>
      </c>
      <c r="C1921" s="3" t="s">
        <v>1373</v>
      </c>
      <c r="D1921" s="23" t="n">
        <v>1070.08</v>
      </c>
      <c r="E1921" s="23" t="n">
        <v>950</v>
      </c>
      <c r="F1921" s="23" t="n">
        <f aca="false">D1921-E1921</f>
        <v>120.08</v>
      </c>
      <c r="G1921" s="24" t="n">
        <f aca="false">IF(E1921&gt;0,D1921/E1921-1,"")</f>
        <v>0.1264</v>
      </c>
      <c r="H1921" s="3" t="str">
        <f aca="false">IF(MAX(D1921,E1921)&lt;Parametros!$B$16,"",IF(E1921=0,"PIDE SIN FCST",IF(ABS(G1921)&gt;Parametros!$B$14,IF(G1921&gt;0,"SOBRE FCST","BAJO FCST"),"")))</f>
        <v/>
      </c>
    </row>
    <row r="1922" customFormat="false" ht="15" hidden="false" customHeight="false" outlineLevel="0" collapsed="false">
      <c r="A1922" s="3" t="n">
        <v>30000195</v>
      </c>
      <c r="B1922" s="3" t="s">
        <v>348</v>
      </c>
      <c r="C1922" s="3" t="s">
        <v>1376</v>
      </c>
      <c r="D1922" s="23" t="n">
        <v>1080</v>
      </c>
      <c r="E1922" s="23" t="n">
        <v>1200</v>
      </c>
      <c r="F1922" s="23" t="n">
        <f aca="false">D1922-E1922</f>
        <v>-120</v>
      </c>
      <c r="G1922" s="24" t="n">
        <f aca="false">IF(E1922&gt;0,D1922/E1922-1,"")</f>
        <v>-0.1</v>
      </c>
      <c r="H1922" s="3" t="str">
        <f aca="false">IF(MAX(D1922,E1922)&lt;Parametros!$B$16,"",IF(E1922=0,"PIDE SIN FCST",IF(ABS(G1922)&gt;Parametros!$B$14,IF(G1922&gt;0,"SOBRE FCST","BAJO FCST"),"")))</f>
        <v/>
      </c>
    </row>
    <row r="1923" customFormat="false" ht="15" hidden="false" customHeight="false" outlineLevel="0" collapsed="false">
      <c r="A1923" s="3" t="n">
        <v>30000466</v>
      </c>
      <c r="B1923" s="3" t="s">
        <v>266</v>
      </c>
      <c r="C1923" s="3" t="s">
        <v>1377</v>
      </c>
      <c r="D1923" s="23" t="n">
        <v>120</v>
      </c>
      <c r="E1923" s="23" t="n">
        <v>0</v>
      </c>
      <c r="F1923" s="23" t="n">
        <f aca="false">D1923-E1923</f>
        <v>120</v>
      </c>
      <c r="G1923" s="24" t="str">
        <f aca="false">IF(E1923&gt;0,D1923/E1923-1,"")</f>
        <v/>
      </c>
      <c r="H1923" s="3" t="str">
        <f aca="false">IF(MAX(D1923,E1923)&lt;Parametros!$B$16,"",IF(E1923=0,"PIDE SIN FCST",IF(ABS(G1923)&gt;Parametros!$B$14,IF(G1923&gt;0,"SOBRE FCST","BAJO FCST"),"")))</f>
        <v/>
      </c>
    </row>
    <row r="1924" customFormat="false" ht="15" hidden="false" customHeight="false" outlineLevel="0" collapsed="false">
      <c r="A1924" s="3" t="n">
        <v>30000256</v>
      </c>
      <c r="B1924" s="3" t="s">
        <v>225</v>
      </c>
      <c r="C1924" s="3" t="s">
        <v>1376</v>
      </c>
      <c r="D1924" s="23" t="n">
        <v>120</v>
      </c>
      <c r="E1924" s="23" t="n">
        <v>0</v>
      </c>
      <c r="F1924" s="23" t="n">
        <f aca="false">D1924-E1924</f>
        <v>120</v>
      </c>
      <c r="G1924" s="24" t="str">
        <f aca="false">IF(E1924&gt;0,D1924/E1924-1,"")</f>
        <v/>
      </c>
      <c r="H1924" s="3" t="str">
        <f aca="false">IF(MAX(D1924,E1924)&lt;Parametros!$B$16,"",IF(E1924=0,"PIDE SIN FCST",IF(ABS(G1924)&gt;Parametros!$B$14,IF(G1924&gt;0,"SOBRE FCST","BAJO FCST"),"")))</f>
        <v/>
      </c>
    </row>
    <row r="1925" customFormat="false" ht="15" hidden="false" customHeight="false" outlineLevel="0" collapsed="false">
      <c r="A1925" s="3" t="n">
        <v>30001142</v>
      </c>
      <c r="B1925" s="3" t="s">
        <v>521</v>
      </c>
      <c r="C1925" s="3" t="s">
        <v>1378</v>
      </c>
      <c r="D1925" s="23" t="n">
        <v>280</v>
      </c>
      <c r="E1925" s="23" t="n">
        <v>400</v>
      </c>
      <c r="F1925" s="23" t="n">
        <f aca="false">D1925-E1925</f>
        <v>-120</v>
      </c>
      <c r="G1925" s="24" t="n">
        <f aca="false">IF(E1925&gt;0,D1925/E1925-1,"")</f>
        <v>-0.3</v>
      </c>
      <c r="H1925" s="3" t="str">
        <f aca="false">IF(MAX(D1925,E1925)&lt;Parametros!$B$16,"",IF(E1925=0,"PIDE SIN FCST",IF(ABS(G1925)&gt;Parametros!$B$14,IF(G1925&gt;0,"SOBRE FCST","BAJO FCST"),"")))</f>
        <v/>
      </c>
    </row>
    <row r="1926" customFormat="false" ht="15" hidden="false" customHeight="false" outlineLevel="0" collapsed="false">
      <c r="A1926" s="3" t="n">
        <v>30000178</v>
      </c>
      <c r="B1926" s="3" t="s">
        <v>359</v>
      </c>
      <c r="C1926" s="3" t="s">
        <v>1378</v>
      </c>
      <c r="D1926" s="23" t="n">
        <v>1036.8</v>
      </c>
      <c r="E1926" s="23" t="n">
        <v>1156.58309812386</v>
      </c>
      <c r="F1926" s="23" t="n">
        <f aca="false">D1926-E1926</f>
        <v>-119.783098123859</v>
      </c>
      <c r="G1926" s="24" t="n">
        <f aca="false">IF(E1926&gt;0,D1926/E1926-1,"")</f>
        <v>-0.103566357072107</v>
      </c>
      <c r="H1926" s="3" t="str">
        <f aca="false">IF(MAX(D1926,E1926)&lt;Parametros!$B$16,"",IF(E1926=0,"PIDE SIN FCST",IF(ABS(G1926)&gt;Parametros!$B$14,IF(G1926&gt;0,"SOBRE FCST","BAJO FCST"),"")))</f>
        <v/>
      </c>
    </row>
    <row r="1927" customFormat="false" ht="15" hidden="false" customHeight="false" outlineLevel="0" collapsed="false">
      <c r="A1927" s="3" t="n">
        <v>30002106</v>
      </c>
      <c r="B1927" s="3" t="s">
        <v>568</v>
      </c>
      <c r="C1927" s="3" t="s">
        <v>1378</v>
      </c>
      <c r="D1927" s="23" t="n">
        <v>31.104</v>
      </c>
      <c r="E1927" s="23" t="n">
        <v>150.470919460113</v>
      </c>
      <c r="F1927" s="23" t="n">
        <f aca="false">D1927-E1927</f>
        <v>-119.366919460113</v>
      </c>
      <c r="G1927" s="24" t="n">
        <f aca="false">IF(E1927&gt;0,D1927/E1927-1,"")</f>
        <v>-0.793288961670464</v>
      </c>
      <c r="H1927" s="3" t="str">
        <f aca="false">IF(MAX(D1927,E1927)&lt;Parametros!$B$16,"",IF(E1927=0,"PIDE SIN FCST",IF(ABS(G1927)&gt;Parametros!$B$14,IF(G1927&gt;0,"SOBRE FCST","BAJO FCST"),"")))</f>
        <v/>
      </c>
    </row>
    <row r="1928" customFormat="false" ht="15" hidden="false" customHeight="false" outlineLevel="0" collapsed="false">
      <c r="A1928" s="3" t="n">
        <v>30000626</v>
      </c>
      <c r="B1928" s="3" t="s">
        <v>238</v>
      </c>
      <c r="C1928" s="3" t="s">
        <v>1377</v>
      </c>
      <c r="D1928" s="23" t="n">
        <v>893.76</v>
      </c>
      <c r="E1928" s="23" t="n">
        <v>1012.8</v>
      </c>
      <c r="F1928" s="23" t="n">
        <f aca="false">D1928-E1928</f>
        <v>-119.04</v>
      </c>
      <c r="G1928" s="24" t="n">
        <f aca="false">IF(E1928&gt;0,D1928/E1928-1,"")</f>
        <v>-0.117535545023697</v>
      </c>
      <c r="H1928" s="3" t="str">
        <f aca="false">IF(MAX(D1928,E1928)&lt;Parametros!$B$16,"",IF(E1928=0,"PIDE SIN FCST",IF(ABS(G1928)&gt;Parametros!$B$14,IF(G1928&gt;0,"SOBRE FCST","BAJO FCST"),"")))</f>
        <v/>
      </c>
    </row>
    <row r="1929" customFormat="false" ht="15" hidden="false" customHeight="false" outlineLevel="0" collapsed="false">
      <c r="A1929" s="3" t="n">
        <v>30002284</v>
      </c>
      <c r="B1929" s="3" t="s">
        <v>625</v>
      </c>
      <c r="C1929" s="3" t="s">
        <v>1373</v>
      </c>
      <c r="D1929" s="23" t="n">
        <v>785.4</v>
      </c>
      <c r="E1929" s="23" t="n">
        <v>904.095</v>
      </c>
      <c r="F1929" s="23" t="n">
        <f aca="false">D1929-E1929</f>
        <v>-118.695</v>
      </c>
      <c r="G1929" s="24" t="n">
        <f aca="false">IF(E1929&gt;0,D1929/E1929-1,"")</f>
        <v>-0.131285982114712</v>
      </c>
      <c r="H1929" s="3" t="str">
        <f aca="false">IF(MAX(D1929,E1929)&lt;Parametros!$B$16,"",IF(E1929=0,"PIDE SIN FCST",IF(ABS(G1929)&gt;Parametros!$B$14,IF(G1929&gt;0,"SOBRE FCST","BAJO FCST"),"")))</f>
        <v/>
      </c>
    </row>
    <row r="1930" customFormat="false" ht="15" hidden="false" customHeight="false" outlineLevel="0" collapsed="false">
      <c r="A1930" s="3" t="n">
        <v>30000052</v>
      </c>
      <c r="B1930" s="3" t="s">
        <v>602</v>
      </c>
      <c r="C1930" s="3" t="s">
        <v>1375</v>
      </c>
      <c r="D1930" s="23" t="n">
        <v>1032.3</v>
      </c>
      <c r="E1930" s="23" t="n">
        <v>1150</v>
      </c>
      <c r="F1930" s="23" t="n">
        <f aca="false">D1930-E1930</f>
        <v>-117.7</v>
      </c>
      <c r="G1930" s="24" t="n">
        <f aca="false">IF(E1930&gt;0,D1930/E1930-1,"")</f>
        <v>-0.102347826086957</v>
      </c>
      <c r="H1930" s="3" t="str">
        <f aca="false">IF(MAX(D1930,E1930)&lt;Parametros!$B$16,"",IF(E1930=0,"PIDE SIN FCST",IF(ABS(G1930)&gt;Parametros!$B$14,IF(G1930&gt;0,"SOBRE FCST","BAJO FCST"),"")))</f>
        <v/>
      </c>
    </row>
    <row r="1931" customFormat="false" ht="15" hidden="false" customHeight="false" outlineLevel="0" collapsed="false">
      <c r="A1931" s="3" t="n">
        <v>30001886</v>
      </c>
      <c r="B1931" s="3" t="s">
        <v>500</v>
      </c>
      <c r="C1931" s="3" t="s">
        <v>1375</v>
      </c>
      <c r="D1931" s="23" t="n">
        <v>2617.44</v>
      </c>
      <c r="E1931" s="23" t="n">
        <v>2500</v>
      </c>
      <c r="F1931" s="23" t="n">
        <f aca="false">D1931-E1931</f>
        <v>117.44</v>
      </c>
      <c r="G1931" s="24" t="n">
        <f aca="false">IF(E1931&gt;0,D1931/E1931-1,"")</f>
        <v>0.0469760000000001</v>
      </c>
      <c r="H1931" s="3" t="str">
        <f aca="false">IF(MAX(D1931,E1931)&lt;Parametros!$B$16,"",IF(E1931=0,"PIDE SIN FCST",IF(ABS(G1931)&gt;Parametros!$B$14,IF(G1931&gt;0,"SOBRE FCST","BAJO FCST"),"")))</f>
        <v/>
      </c>
    </row>
    <row r="1932" customFormat="false" ht="15" hidden="false" customHeight="false" outlineLevel="0" collapsed="false">
      <c r="A1932" s="3" t="n">
        <v>30000633</v>
      </c>
      <c r="B1932" s="3" t="s">
        <v>492</v>
      </c>
      <c r="C1932" s="3" t="s">
        <v>1377</v>
      </c>
      <c r="D1932" s="23" t="n">
        <v>475.2</v>
      </c>
      <c r="E1932" s="23" t="n">
        <v>358</v>
      </c>
      <c r="F1932" s="23" t="n">
        <f aca="false">D1932-E1932</f>
        <v>117.2</v>
      </c>
      <c r="G1932" s="24" t="n">
        <f aca="false">IF(E1932&gt;0,D1932/E1932-1,"")</f>
        <v>0.327374301675978</v>
      </c>
      <c r="H1932" s="3" t="str">
        <f aca="false">IF(MAX(D1932,E1932)&lt;Parametros!$B$16,"",IF(E1932=0,"PIDE SIN FCST",IF(ABS(G1932)&gt;Parametros!$B$14,IF(G1932&gt;0,"SOBRE FCST","BAJO FCST"),"")))</f>
        <v/>
      </c>
    </row>
    <row r="1933" customFormat="false" ht="15" hidden="false" customHeight="false" outlineLevel="0" collapsed="false">
      <c r="A1933" s="3" t="n">
        <v>30000302</v>
      </c>
      <c r="B1933" s="3" t="s">
        <v>251</v>
      </c>
      <c r="C1933" s="3" t="s">
        <v>1372</v>
      </c>
      <c r="D1933" s="23" t="n">
        <v>2870</v>
      </c>
      <c r="E1933" s="23" t="n">
        <v>2985.83676517755</v>
      </c>
      <c r="F1933" s="23" t="n">
        <f aca="false">D1933-E1933</f>
        <v>-115.83676517755</v>
      </c>
      <c r="G1933" s="24" t="n">
        <f aca="false">IF(E1933&gt;0,D1933/E1933-1,"")</f>
        <v>-0.0387954112322889</v>
      </c>
      <c r="H1933" s="3" t="str">
        <f aca="false">IF(MAX(D1933,E1933)&lt;Parametros!$B$16,"",IF(E1933=0,"PIDE SIN FCST",IF(ABS(G1933)&gt;Parametros!$B$14,IF(G1933&gt;0,"SOBRE FCST","BAJO FCST"),"")))</f>
        <v/>
      </c>
    </row>
    <row r="1934" customFormat="false" ht="15" hidden="false" customHeight="false" outlineLevel="0" collapsed="false">
      <c r="A1934" s="3" t="n">
        <v>30001943</v>
      </c>
      <c r="B1934" s="3" t="s">
        <v>520</v>
      </c>
      <c r="C1934" s="3" t="s">
        <v>1377</v>
      </c>
      <c r="D1934" s="23" t="n">
        <v>115.2</v>
      </c>
      <c r="E1934" s="23" t="n">
        <v>0</v>
      </c>
      <c r="F1934" s="23" t="n">
        <f aca="false">D1934-E1934</f>
        <v>115.2</v>
      </c>
      <c r="G1934" s="24" t="str">
        <f aca="false">IF(E1934&gt;0,D1934/E1934-1,"")</f>
        <v/>
      </c>
      <c r="H1934" s="3" t="str">
        <f aca="false">IF(MAX(D1934,E1934)&lt;Parametros!$B$16,"",IF(E1934=0,"PIDE SIN FCST",IF(ABS(G1934)&gt;Parametros!$B$14,IF(G1934&gt;0,"SOBRE FCST","BAJO FCST"),"")))</f>
        <v/>
      </c>
    </row>
    <row r="1935" customFormat="false" ht="15" hidden="false" customHeight="false" outlineLevel="0" collapsed="false">
      <c r="A1935" s="3" t="n">
        <v>30002113</v>
      </c>
      <c r="B1935" s="3" t="s">
        <v>498</v>
      </c>
      <c r="C1935" s="3" t="s">
        <v>1377</v>
      </c>
      <c r="D1935" s="23" t="n">
        <v>155</v>
      </c>
      <c r="E1935" s="23" t="n">
        <v>270</v>
      </c>
      <c r="F1935" s="23" t="n">
        <f aca="false">D1935-E1935</f>
        <v>-115</v>
      </c>
      <c r="G1935" s="24" t="n">
        <f aca="false">IF(E1935&gt;0,D1935/E1935-1,"")</f>
        <v>-0.425925925925926</v>
      </c>
      <c r="H1935" s="3" t="str">
        <f aca="false">IF(MAX(D1935,E1935)&lt;Parametros!$B$16,"",IF(E1935=0,"PIDE SIN FCST",IF(ABS(G1935)&gt;Parametros!$B$14,IF(G1935&gt;0,"SOBRE FCST","BAJO FCST"),"")))</f>
        <v/>
      </c>
    </row>
    <row r="1936" customFormat="false" ht="15" hidden="false" customHeight="false" outlineLevel="0" collapsed="false">
      <c r="A1936" s="3" t="n">
        <v>30001656</v>
      </c>
      <c r="B1936" s="3" t="s">
        <v>350</v>
      </c>
      <c r="C1936" s="3" t="s">
        <v>1377</v>
      </c>
      <c r="D1936" s="23" t="n">
        <v>898.56</v>
      </c>
      <c r="E1936" s="23" t="n">
        <v>1013.52</v>
      </c>
      <c r="F1936" s="23" t="n">
        <f aca="false">D1936-E1936</f>
        <v>-114.96</v>
      </c>
      <c r="G1936" s="24" t="n">
        <f aca="false">IF(E1936&gt;0,D1936/E1936-1,"")</f>
        <v>-0.113426474070566</v>
      </c>
      <c r="H1936" s="3" t="str">
        <f aca="false">IF(MAX(D1936,E1936)&lt;Parametros!$B$16,"",IF(E1936=0,"PIDE SIN FCST",IF(ABS(G1936)&gt;Parametros!$B$14,IF(G1936&gt;0,"SOBRE FCST","BAJO FCST"),"")))</f>
        <v/>
      </c>
    </row>
    <row r="1937" customFormat="false" ht="15" hidden="false" customHeight="false" outlineLevel="0" collapsed="false">
      <c r="A1937" s="3" t="n">
        <v>30002273</v>
      </c>
      <c r="B1937" s="3" t="s">
        <v>512</v>
      </c>
      <c r="C1937" s="3" t="s">
        <v>1375</v>
      </c>
      <c r="D1937" s="23" t="n">
        <v>1814.4</v>
      </c>
      <c r="E1937" s="23" t="n">
        <v>1700</v>
      </c>
      <c r="F1937" s="23" t="n">
        <f aca="false">D1937-E1937</f>
        <v>114.4</v>
      </c>
      <c r="G1937" s="24" t="n">
        <f aca="false">IF(E1937&gt;0,D1937/E1937-1,"")</f>
        <v>0.067294117647059</v>
      </c>
      <c r="H1937" s="3" t="str">
        <f aca="false">IF(MAX(D1937,E1937)&lt;Parametros!$B$16,"",IF(E1937=0,"PIDE SIN FCST",IF(ABS(G1937)&gt;Parametros!$B$14,IF(G1937&gt;0,"SOBRE FCST","BAJO FCST"),"")))</f>
        <v/>
      </c>
    </row>
    <row r="1938" customFormat="false" ht="15" hidden="false" customHeight="false" outlineLevel="0" collapsed="false">
      <c r="A1938" s="3" t="n">
        <v>30000642</v>
      </c>
      <c r="B1938" s="3" t="s">
        <v>451</v>
      </c>
      <c r="C1938" s="3" t="s">
        <v>1372</v>
      </c>
      <c r="D1938" s="23" t="n">
        <v>614.08</v>
      </c>
      <c r="E1938" s="23" t="n">
        <v>500</v>
      </c>
      <c r="F1938" s="23" t="n">
        <f aca="false">D1938-E1938</f>
        <v>114.08</v>
      </c>
      <c r="G1938" s="24" t="n">
        <f aca="false">IF(E1938&gt;0,D1938/E1938-1,"")</f>
        <v>0.22816</v>
      </c>
      <c r="H1938" s="3" t="str">
        <f aca="false">IF(MAX(D1938,E1938)&lt;Parametros!$B$16,"",IF(E1938=0,"PIDE SIN FCST",IF(ABS(G1938)&gt;Parametros!$B$14,IF(G1938&gt;0,"SOBRE FCST","BAJO FCST"),"")))</f>
        <v/>
      </c>
    </row>
    <row r="1939" customFormat="false" ht="15" hidden="false" customHeight="false" outlineLevel="0" collapsed="false">
      <c r="A1939" s="3" t="n">
        <v>30000253</v>
      </c>
      <c r="B1939" s="3" t="s">
        <v>542</v>
      </c>
      <c r="C1939" s="3" t="s">
        <v>1377</v>
      </c>
      <c r="D1939" s="23" t="n">
        <v>186</v>
      </c>
      <c r="E1939" s="23" t="n">
        <v>299.794887971499</v>
      </c>
      <c r="F1939" s="23" t="n">
        <f aca="false">D1939-E1939</f>
        <v>-113.794887971499</v>
      </c>
      <c r="G1939" s="24" t="n">
        <f aca="false">IF(E1939&gt;0,D1939/E1939-1,"")</f>
        <v>-0.379575811787416</v>
      </c>
      <c r="H1939" s="3" t="str">
        <f aca="false">IF(MAX(D1939,E1939)&lt;Parametros!$B$16,"",IF(E1939=0,"PIDE SIN FCST",IF(ABS(G1939)&gt;Parametros!$B$14,IF(G1939&gt;0,"SOBRE FCST","BAJO FCST"),"")))</f>
        <v/>
      </c>
    </row>
    <row r="1940" customFormat="false" ht="15" hidden="false" customHeight="false" outlineLevel="0" collapsed="false">
      <c r="A1940" s="3" t="n">
        <v>30000499</v>
      </c>
      <c r="B1940" s="3" t="s">
        <v>562</v>
      </c>
      <c r="C1940" s="3" t="s">
        <v>1380</v>
      </c>
      <c r="D1940" s="23" t="n">
        <v>1215</v>
      </c>
      <c r="E1940" s="23" t="n">
        <v>1101.36827831704</v>
      </c>
      <c r="F1940" s="23" t="n">
        <f aca="false">D1940-E1940</f>
        <v>113.631721682957</v>
      </c>
      <c r="G1940" s="24" t="n">
        <f aca="false">IF(E1940&gt;0,D1940/E1940-1,"")</f>
        <v>0.103173229082458</v>
      </c>
      <c r="H1940" s="3" t="str">
        <f aca="false">IF(MAX(D1940,E1940)&lt;Parametros!$B$16,"",IF(E1940=0,"PIDE SIN FCST",IF(ABS(G1940)&gt;Parametros!$B$14,IF(G1940&gt;0,"SOBRE FCST","BAJO FCST"),"")))</f>
        <v/>
      </c>
    </row>
    <row r="1941" customFormat="false" ht="15" hidden="false" customHeight="false" outlineLevel="0" collapsed="false">
      <c r="A1941" s="3" t="n">
        <v>30000309</v>
      </c>
      <c r="B1941" s="3" t="s">
        <v>236</v>
      </c>
      <c r="C1941" s="3" t="s">
        <v>1380</v>
      </c>
      <c r="D1941" s="23" t="n">
        <v>49248</v>
      </c>
      <c r="E1941" s="23" t="n">
        <v>49134.5</v>
      </c>
      <c r="F1941" s="23" t="n">
        <f aca="false">D1941-E1941</f>
        <v>113.5</v>
      </c>
      <c r="G1941" s="24" t="n">
        <f aca="false">IF(E1941&gt;0,D1941/E1941-1,"")</f>
        <v>0.00230998585515274</v>
      </c>
      <c r="H1941" s="3" t="str">
        <f aca="false">IF(MAX(D1941,E1941)&lt;Parametros!$B$16,"",IF(E1941=0,"PIDE SIN FCST",IF(ABS(G1941)&gt;Parametros!$B$14,IF(G1941&gt;0,"SOBRE FCST","BAJO FCST"),"")))</f>
        <v/>
      </c>
    </row>
    <row r="1942" customFormat="false" ht="15" hidden="false" customHeight="false" outlineLevel="0" collapsed="false">
      <c r="A1942" s="3" t="n">
        <v>30001060</v>
      </c>
      <c r="B1942" s="3" t="s">
        <v>474</v>
      </c>
      <c r="C1942" s="3" t="s">
        <v>1375</v>
      </c>
      <c r="D1942" s="23" t="n">
        <v>4196.64</v>
      </c>
      <c r="E1942" s="23" t="n">
        <v>4309.24137391702</v>
      </c>
      <c r="F1942" s="23" t="n">
        <f aca="false">D1942-E1942</f>
        <v>-112.601373917021</v>
      </c>
      <c r="G1942" s="24" t="n">
        <f aca="false">IF(E1942&gt;0,D1942/E1942-1,"")</f>
        <v>-0.0261302081147218</v>
      </c>
      <c r="H1942" s="3" t="str">
        <f aca="false">IF(MAX(D1942,E1942)&lt;Parametros!$B$16,"",IF(E1942=0,"PIDE SIN FCST",IF(ABS(G1942)&gt;Parametros!$B$14,IF(G1942&gt;0,"SOBRE FCST","BAJO FCST"),"")))</f>
        <v/>
      </c>
    </row>
    <row r="1943" customFormat="false" ht="15" hidden="false" customHeight="false" outlineLevel="0" collapsed="false">
      <c r="A1943" s="3" t="n">
        <v>30001860</v>
      </c>
      <c r="B1943" s="3" t="s">
        <v>626</v>
      </c>
      <c r="C1943" s="3" t="s">
        <v>1378</v>
      </c>
      <c r="D1943" s="23" t="n">
        <v>87.428</v>
      </c>
      <c r="E1943" s="23" t="n">
        <v>200</v>
      </c>
      <c r="F1943" s="23" t="n">
        <f aca="false">D1943-E1943</f>
        <v>-112.572</v>
      </c>
      <c r="G1943" s="24" t="n">
        <f aca="false">IF(E1943&gt;0,D1943/E1943-1,"")</f>
        <v>-0.56286</v>
      </c>
      <c r="H1943" s="3" t="str">
        <f aca="false">IF(MAX(D1943,E1943)&lt;Parametros!$B$16,"",IF(E1943=0,"PIDE SIN FCST",IF(ABS(G1943)&gt;Parametros!$B$14,IF(G1943&gt;0,"SOBRE FCST","BAJO FCST"),"")))</f>
        <v/>
      </c>
    </row>
    <row r="1944" customFormat="false" ht="15" hidden="false" customHeight="false" outlineLevel="0" collapsed="false">
      <c r="A1944" s="3" t="n">
        <v>30000177</v>
      </c>
      <c r="B1944" s="3" t="s">
        <v>439</v>
      </c>
      <c r="C1944" s="3" t="s">
        <v>1378</v>
      </c>
      <c r="D1944" s="23" t="n">
        <v>1051.2</v>
      </c>
      <c r="E1944" s="23" t="n">
        <v>1163.55636725884</v>
      </c>
      <c r="F1944" s="23" t="n">
        <f aca="false">D1944-E1944</f>
        <v>-112.356367258841</v>
      </c>
      <c r="G1944" s="24" t="n">
        <f aca="false">IF(E1944&gt;0,D1944/E1944-1,"")</f>
        <v>-0.0965628915112511</v>
      </c>
      <c r="H1944" s="3" t="str">
        <f aca="false">IF(MAX(D1944,E1944)&lt;Parametros!$B$16,"",IF(E1944=0,"PIDE SIN FCST",IF(ABS(G1944)&gt;Parametros!$B$14,IF(G1944&gt;0,"SOBRE FCST","BAJO FCST"),"")))</f>
        <v/>
      </c>
    </row>
    <row r="1945" customFormat="false" ht="15" hidden="false" customHeight="false" outlineLevel="0" collapsed="false">
      <c r="A1945" s="3" t="n">
        <v>30002125</v>
      </c>
      <c r="B1945" s="3" t="s">
        <v>430</v>
      </c>
      <c r="C1945" s="3" t="s">
        <v>1378</v>
      </c>
      <c r="D1945" s="23" t="n">
        <v>258.4</v>
      </c>
      <c r="E1945" s="23" t="n">
        <v>370.48025</v>
      </c>
      <c r="F1945" s="23" t="n">
        <f aca="false">D1945-E1945</f>
        <v>-112.08025</v>
      </c>
      <c r="G1945" s="24" t="n">
        <f aca="false">IF(E1945&gt;0,D1945/E1945-1,"")</f>
        <v>-0.302526922825171</v>
      </c>
      <c r="H1945" s="3" t="str">
        <f aca="false">IF(MAX(D1945,E1945)&lt;Parametros!$B$16,"",IF(E1945=0,"PIDE SIN FCST",IF(ABS(G1945)&gt;Parametros!$B$14,IF(G1945&gt;0,"SOBRE FCST","BAJO FCST"),"")))</f>
        <v/>
      </c>
    </row>
    <row r="1946" customFormat="false" ht="15" hidden="false" customHeight="false" outlineLevel="0" collapsed="false">
      <c r="A1946" s="3" t="n">
        <v>30000681</v>
      </c>
      <c r="B1946" s="3" t="s">
        <v>633</v>
      </c>
      <c r="C1946" s="3" t="s">
        <v>1373</v>
      </c>
      <c r="D1946" s="23" t="n">
        <v>112</v>
      </c>
      <c r="E1946" s="23" t="n">
        <v>0</v>
      </c>
      <c r="F1946" s="23" t="n">
        <f aca="false">D1946-E1946</f>
        <v>112</v>
      </c>
      <c r="G1946" s="24" t="str">
        <f aca="false">IF(E1946&gt;0,D1946/E1946-1,"")</f>
        <v/>
      </c>
      <c r="H1946" s="3" t="str">
        <f aca="false">IF(MAX(D1946,E1946)&lt;Parametros!$B$16,"",IF(E1946=0,"PIDE SIN FCST",IF(ABS(G1946)&gt;Parametros!$B$14,IF(G1946&gt;0,"SOBRE FCST","BAJO FCST"),"")))</f>
        <v/>
      </c>
    </row>
    <row r="1947" customFormat="false" ht="15" hidden="false" customHeight="false" outlineLevel="0" collapsed="false">
      <c r="A1947" s="3" t="n">
        <v>30001536</v>
      </c>
      <c r="B1947" s="3" t="s">
        <v>440</v>
      </c>
      <c r="C1947" s="3" t="s">
        <v>1378</v>
      </c>
      <c r="D1947" s="23" t="n">
        <v>365.4</v>
      </c>
      <c r="E1947" s="23" t="n">
        <v>254.056500772113</v>
      </c>
      <c r="F1947" s="23" t="n">
        <f aca="false">D1947-E1947</f>
        <v>111.343499227887</v>
      </c>
      <c r="G1947" s="24" t="n">
        <f aca="false">IF(E1947&gt;0,D1947/E1947-1,"")</f>
        <v>0.438262744269478</v>
      </c>
      <c r="H1947" s="3" t="str">
        <f aca="false">IF(MAX(D1947,E1947)&lt;Parametros!$B$16,"",IF(E1947=0,"PIDE SIN FCST",IF(ABS(G1947)&gt;Parametros!$B$14,IF(G1947&gt;0,"SOBRE FCST","BAJO FCST"),"")))</f>
        <v/>
      </c>
    </row>
    <row r="1948" customFormat="false" ht="15" hidden="false" customHeight="false" outlineLevel="0" collapsed="false">
      <c r="A1948" s="3" t="n">
        <v>30000206</v>
      </c>
      <c r="B1948" s="3" t="s">
        <v>287</v>
      </c>
      <c r="C1948" s="3" t="s">
        <v>1379</v>
      </c>
      <c r="D1948" s="23" t="n">
        <v>4320</v>
      </c>
      <c r="E1948" s="23" t="n">
        <v>4209.2392</v>
      </c>
      <c r="F1948" s="23" t="n">
        <f aca="false">D1948-E1948</f>
        <v>110.760799999999</v>
      </c>
      <c r="G1948" s="24" t="n">
        <f aca="false">IF(E1948&gt;0,D1948/E1948-1,"")</f>
        <v>0.026313733845299</v>
      </c>
      <c r="H1948" s="3" t="str">
        <f aca="false">IF(MAX(D1948,E1948)&lt;Parametros!$B$16,"",IF(E1948=0,"PIDE SIN FCST",IF(ABS(G1948)&gt;Parametros!$B$14,IF(G1948&gt;0,"SOBRE FCST","BAJO FCST"),"")))</f>
        <v/>
      </c>
    </row>
    <row r="1949" customFormat="false" ht="15" hidden="false" customHeight="false" outlineLevel="0" collapsed="false">
      <c r="A1949" s="3" t="n">
        <v>30001945</v>
      </c>
      <c r="B1949" s="3" t="s">
        <v>478</v>
      </c>
      <c r="C1949" s="3" t="s">
        <v>1375</v>
      </c>
      <c r="D1949" s="23" t="n">
        <v>4176</v>
      </c>
      <c r="E1949" s="23" t="n">
        <v>4065.31554315854</v>
      </c>
      <c r="F1949" s="23" t="n">
        <f aca="false">D1949-E1949</f>
        <v>110.684456841461</v>
      </c>
      <c r="G1949" s="24" t="n">
        <f aca="false">IF(E1949&gt;0,D1949/E1949-1,"")</f>
        <v>0.0272265352262089</v>
      </c>
      <c r="H1949" s="3" t="str">
        <f aca="false">IF(MAX(D1949,E1949)&lt;Parametros!$B$16,"",IF(E1949=0,"PIDE SIN FCST",IF(ABS(G1949)&gt;Parametros!$B$14,IF(G1949&gt;0,"SOBRE FCST","BAJO FCST"),"")))</f>
        <v/>
      </c>
    </row>
    <row r="1950" customFormat="false" ht="15" hidden="false" customHeight="false" outlineLevel="0" collapsed="false">
      <c r="A1950" s="3" t="n">
        <v>30001031</v>
      </c>
      <c r="B1950" s="3" t="s">
        <v>334</v>
      </c>
      <c r="C1950" s="3" t="s">
        <v>1378</v>
      </c>
      <c r="D1950" s="23" t="n">
        <v>788.4</v>
      </c>
      <c r="E1950" s="23" t="n">
        <v>677.906479108055</v>
      </c>
      <c r="F1950" s="23" t="n">
        <f aca="false">D1950-E1950</f>
        <v>110.493520891945</v>
      </c>
      <c r="G1950" s="24" t="n">
        <f aca="false">IF(E1950&gt;0,D1950/E1950-1,"")</f>
        <v>0.162992277396914</v>
      </c>
      <c r="H1950" s="3" t="str">
        <f aca="false">IF(MAX(D1950,E1950)&lt;Parametros!$B$16,"",IF(E1950=0,"PIDE SIN FCST",IF(ABS(G1950)&gt;Parametros!$B$14,IF(G1950&gt;0,"SOBRE FCST","BAJO FCST"),"")))</f>
        <v/>
      </c>
    </row>
    <row r="1951" customFormat="false" ht="15" hidden="false" customHeight="false" outlineLevel="0" collapsed="false">
      <c r="A1951" s="3" t="n">
        <v>30000635</v>
      </c>
      <c r="B1951" s="3" t="s">
        <v>558</v>
      </c>
      <c r="C1951" s="3" t="s">
        <v>1373</v>
      </c>
      <c r="D1951" s="23" t="n">
        <v>1723.2</v>
      </c>
      <c r="E1951" s="23" t="n">
        <v>1612.8</v>
      </c>
      <c r="F1951" s="23" t="n">
        <f aca="false">D1951-E1951</f>
        <v>110.4</v>
      </c>
      <c r="G1951" s="24" t="n">
        <f aca="false">IF(E1951&gt;0,D1951/E1951-1,"")</f>
        <v>0.0684523809523809</v>
      </c>
      <c r="H1951" s="3" t="str">
        <f aca="false">IF(MAX(D1951,E1951)&lt;Parametros!$B$16,"",IF(E1951=0,"PIDE SIN FCST",IF(ABS(G1951)&gt;Parametros!$B$14,IF(G1951&gt;0,"SOBRE FCST","BAJO FCST"),"")))</f>
        <v/>
      </c>
    </row>
    <row r="1952" customFormat="false" ht="15" hidden="false" customHeight="false" outlineLevel="0" collapsed="false">
      <c r="A1952" s="3" t="n">
        <v>30001752</v>
      </c>
      <c r="B1952" s="3" t="s">
        <v>475</v>
      </c>
      <c r="C1952" s="3" t="s">
        <v>1377</v>
      </c>
      <c r="D1952" s="23" t="n">
        <v>939.6</v>
      </c>
      <c r="E1952" s="23" t="n">
        <v>829.4</v>
      </c>
      <c r="F1952" s="23" t="n">
        <f aca="false">D1952-E1952</f>
        <v>110.2</v>
      </c>
      <c r="G1952" s="24" t="n">
        <f aca="false">IF(E1952&gt;0,D1952/E1952-1,"")</f>
        <v>0.132867132867133</v>
      </c>
      <c r="H1952" s="3" t="str">
        <f aca="false">IF(MAX(D1952,E1952)&lt;Parametros!$B$16,"",IF(E1952=0,"PIDE SIN FCST",IF(ABS(G1952)&gt;Parametros!$B$14,IF(G1952&gt;0,"SOBRE FCST","BAJO FCST"),"")))</f>
        <v/>
      </c>
    </row>
    <row r="1953" customFormat="false" ht="15" hidden="false" customHeight="false" outlineLevel="0" collapsed="false">
      <c r="A1953" s="3" t="n">
        <v>30002145</v>
      </c>
      <c r="B1953" s="3" t="s">
        <v>631</v>
      </c>
      <c r="C1953" s="3" t="s">
        <v>1378</v>
      </c>
      <c r="D1953" s="23" t="n">
        <v>239.4</v>
      </c>
      <c r="E1953" s="23" t="n">
        <v>129.386259824361</v>
      </c>
      <c r="F1953" s="23" t="n">
        <f aca="false">D1953-E1953</f>
        <v>110.01374017564</v>
      </c>
      <c r="G1953" s="24" t="n">
        <f aca="false">IF(E1953&gt;0,D1953/E1953-1,"")</f>
        <v>0.850273748734844</v>
      </c>
      <c r="H1953" s="3" t="str">
        <f aca="false">IF(MAX(D1953,E1953)&lt;Parametros!$B$16,"",IF(E1953=0,"PIDE SIN FCST",IF(ABS(G1953)&gt;Parametros!$B$14,IF(G1953&gt;0,"SOBRE FCST","BAJO FCST"),"")))</f>
        <v/>
      </c>
    </row>
    <row r="1954" customFormat="false" ht="15" hidden="false" customHeight="false" outlineLevel="0" collapsed="false">
      <c r="A1954" s="3" t="n">
        <v>30001852</v>
      </c>
      <c r="B1954" s="3" t="s">
        <v>482</v>
      </c>
      <c r="C1954" s="3" t="s">
        <v>1373</v>
      </c>
      <c r="D1954" s="23" t="n">
        <v>688.8</v>
      </c>
      <c r="E1954" s="23" t="n">
        <v>579.072651035554</v>
      </c>
      <c r="F1954" s="23" t="n">
        <f aca="false">D1954-E1954</f>
        <v>109.727348964446</v>
      </c>
      <c r="G1954" s="24" t="n">
        <f aca="false">IF(E1954&gt;0,D1954/E1954-1,"")</f>
        <v>0.189488052610016</v>
      </c>
      <c r="H1954" s="3" t="str">
        <f aca="false">IF(MAX(D1954,E1954)&lt;Parametros!$B$16,"",IF(E1954=0,"PIDE SIN FCST",IF(ABS(G1954)&gt;Parametros!$B$14,IF(G1954&gt;0,"SOBRE FCST","BAJO FCST"),"")))</f>
        <v/>
      </c>
    </row>
    <row r="1955" customFormat="false" ht="15" hidden="false" customHeight="false" outlineLevel="0" collapsed="false">
      <c r="A1955" s="3" t="n">
        <v>30001052</v>
      </c>
      <c r="B1955" s="3" t="s">
        <v>243</v>
      </c>
      <c r="C1955" s="3" t="s">
        <v>1377</v>
      </c>
      <c r="D1955" s="23" t="n">
        <v>2388</v>
      </c>
      <c r="E1955" s="23" t="n">
        <v>2497.22901366285</v>
      </c>
      <c r="F1955" s="23" t="n">
        <f aca="false">D1955-E1955</f>
        <v>-109.229013662851</v>
      </c>
      <c r="G1955" s="24" t="n">
        <f aca="false">IF(E1955&gt;0,D1955/E1955-1,"")</f>
        <v>-0.0437400867382353</v>
      </c>
      <c r="H1955" s="3" t="str">
        <f aca="false">IF(MAX(D1955,E1955)&lt;Parametros!$B$16,"",IF(E1955=0,"PIDE SIN FCST",IF(ABS(G1955)&gt;Parametros!$B$14,IF(G1955&gt;0,"SOBRE FCST","BAJO FCST"),"")))</f>
        <v/>
      </c>
    </row>
    <row r="1956" customFormat="false" ht="15" hidden="false" customHeight="false" outlineLevel="0" collapsed="false">
      <c r="A1956" s="3" t="n">
        <v>30000488</v>
      </c>
      <c r="B1956" s="3" t="s">
        <v>448</v>
      </c>
      <c r="C1956" s="3" t="s">
        <v>1378</v>
      </c>
      <c r="D1956" s="23" t="n">
        <v>1674</v>
      </c>
      <c r="E1956" s="23" t="n">
        <v>1565.16534378073</v>
      </c>
      <c r="F1956" s="23" t="n">
        <f aca="false">D1956-E1956</f>
        <v>108.834656219269</v>
      </c>
      <c r="G1956" s="24" t="n">
        <f aca="false">IF(E1956&gt;0,D1956/E1956-1,"")</f>
        <v>0.0695355648217801</v>
      </c>
      <c r="H1956" s="3" t="str">
        <f aca="false">IF(MAX(D1956,E1956)&lt;Parametros!$B$16,"",IF(E1956=0,"PIDE SIN FCST",IF(ABS(G1956)&gt;Parametros!$B$14,IF(G1956&gt;0,"SOBRE FCST","BAJO FCST"),"")))</f>
        <v/>
      </c>
    </row>
    <row r="1957" customFormat="false" ht="15" hidden="false" customHeight="false" outlineLevel="0" collapsed="false">
      <c r="A1957" s="3" t="n">
        <v>30001760</v>
      </c>
      <c r="B1957" s="3" t="s">
        <v>301</v>
      </c>
      <c r="C1957" s="3" t="s">
        <v>1376</v>
      </c>
      <c r="D1957" s="23" t="n">
        <v>291.6</v>
      </c>
      <c r="E1957" s="23" t="n">
        <v>400</v>
      </c>
      <c r="F1957" s="23" t="n">
        <f aca="false">D1957-E1957</f>
        <v>-108.4</v>
      </c>
      <c r="G1957" s="24" t="n">
        <f aca="false">IF(E1957&gt;0,D1957/E1957-1,"")</f>
        <v>-0.271</v>
      </c>
      <c r="H1957" s="3" t="str">
        <f aca="false">IF(MAX(D1957,E1957)&lt;Parametros!$B$16,"",IF(E1957=0,"PIDE SIN FCST",IF(ABS(G1957)&gt;Parametros!$B$14,IF(G1957&gt;0,"SOBRE FCST","BAJO FCST"),"")))</f>
        <v/>
      </c>
    </row>
    <row r="1958" customFormat="false" ht="15" hidden="false" customHeight="false" outlineLevel="0" collapsed="false">
      <c r="A1958" s="3" t="n">
        <v>30001976</v>
      </c>
      <c r="B1958" s="3" t="s">
        <v>432</v>
      </c>
      <c r="C1958" s="3" t="s">
        <v>1377</v>
      </c>
      <c r="D1958" s="23" t="n">
        <v>324</v>
      </c>
      <c r="E1958" s="23" t="n">
        <v>215.966836604574</v>
      </c>
      <c r="F1958" s="23" t="n">
        <f aca="false">D1958-E1958</f>
        <v>108.033163395426</v>
      </c>
      <c r="G1958" s="24" t="n">
        <f aca="false">IF(E1958&gt;0,D1958/E1958-1,"")</f>
        <v>0.500230336721696</v>
      </c>
      <c r="H1958" s="3" t="str">
        <f aca="false">IF(MAX(D1958,E1958)&lt;Parametros!$B$16,"",IF(E1958=0,"PIDE SIN FCST",IF(ABS(G1958)&gt;Parametros!$B$14,IF(G1958&gt;0,"SOBRE FCST","BAJO FCST"),"")))</f>
        <v/>
      </c>
    </row>
    <row r="1959" customFormat="false" ht="15" hidden="false" customHeight="false" outlineLevel="0" collapsed="false">
      <c r="A1959" s="3" t="n">
        <v>30000516</v>
      </c>
      <c r="B1959" s="3" t="s">
        <v>281</v>
      </c>
      <c r="C1959" s="3" t="s">
        <v>1376</v>
      </c>
      <c r="D1959" s="23" t="n">
        <v>108</v>
      </c>
      <c r="E1959" s="23" t="n">
        <v>0</v>
      </c>
      <c r="F1959" s="23" t="n">
        <f aca="false">D1959-E1959</f>
        <v>108</v>
      </c>
      <c r="G1959" s="24" t="str">
        <f aca="false">IF(E1959&gt;0,D1959/E1959-1,"")</f>
        <v/>
      </c>
      <c r="H1959" s="3" t="str">
        <f aca="false">IF(MAX(D1959,E1959)&lt;Parametros!$B$16,"",IF(E1959=0,"PIDE SIN FCST",IF(ABS(G1959)&gt;Parametros!$B$14,IF(G1959&gt;0,"SOBRE FCST","BAJO FCST"),"")))</f>
        <v/>
      </c>
    </row>
    <row r="1960" customFormat="false" ht="15" hidden="false" customHeight="false" outlineLevel="0" collapsed="false">
      <c r="A1960" s="3" t="n">
        <v>30002172</v>
      </c>
      <c r="B1960" s="3" t="s">
        <v>491</v>
      </c>
      <c r="C1960" s="3" t="s">
        <v>1378</v>
      </c>
      <c r="D1960" s="23" t="n">
        <v>470.4</v>
      </c>
      <c r="E1960" s="23" t="n">
        <v>578.023090412615</v>
      </c>
      <c r="F1960" s="23" t="n">
        <f aca="false">D1960-E1960</f>
        <v>-107.623090412615</v>
      </c>
      <c r="G1960" s="24" t="n">
        <f aca="false">IF(E1960&gt;0,D1960/E1960-1,"")</f>
        <v>-0.186191680224729</v>
      </c>
      <c r="H1960" s="3" t="str">
        <f aca="false">IF(MAX(D1960,E1960)&lt;Parametros!$B$16,"",IF(E1960=0,"PIDE SIN FCST",IF(ABS(G1960)&gt;Parametros!$B$14,IF(G1960&gt;0,"SOBRE FCST","BAJO FCST"),"")))</f>
        <v/>
      </c>
    </row>
    <row r="1961" customFormat="false" ht="15" hidden="false" customHeight="false" outlineLevel="0" collapsed="false">
      <c r="A1961" s="3" t="n">
        <v>30001020</v>
      </c>
      <c r="B1961" s="3" t="s">
        <v>461</v>
      </c>
      <c r="C1961" s="3" t="s">
        <v>1377</v>
      </c>
      <c r="D1961" s="23" t="n">
        <v>1092.96</v>
      </c>
      <c r="E1961" s="23" t="n">
        <v>985.417288704387</v>
      </c>
      <c r="F1961" s="23" t="n">
        <f aca="false">D1961-E1961</f>
        <v>107.542711295613</v>
      </c>
      <c r="G1961" s="24" t="n">
        <f aca="false">IF(E1961&gt;0,D1961/E1961-1,"")</f>
        <v>0.10913418358735</v>
      </c>
      <c r="H1961" s="3" t="str">
        <f aca="false">IF(MAX(D1961,E1961)&lt;Parametros!$B$16,"",IF(E1961=0,"PIDE SIN FCST",IF(ABS(G1961)&gt;Parametros!$B$14,IF(G1961&gt;0,"SOBRE FCST","BAJO FCST"),"")))</f>
        <v/>
      </c>
    </row>
    <row r="1962" customFormat="false" ht="15" hidden="false" customHeight="false" outlineLevel="0" collapsed="false">
      <c r="A1962" s="3" t="n">
        <v>30000648</v>
      </c>
      <c r="B1962" s="3" t="s">
        <v>487</v>
      </c>
      <c r="C1962" s="3" t="s">
        <v>1377</v>
      </c>
      <c r="D1962" s="23" t="n">
        <v>407.36</v>
      </c>
      <c r="E1962" s="23" t="n">
        <v>514.8</v>
      </c>
      <c r="F1962" s="23" t="n">
        <f aca="false">D1962-E1962</f>
        <v>-107.44</v>
      </c>
      <c r="G1962" s="24" t="n">
        <f aca="false">IF(E1962&gt;0,D1962/E1962-1,"")</f>
        <v>-0.208702408702409</v>
      </c>
      <c r="H1962" s="3" t="str">
        <f aca="false">IF(MAX(D1962,E1962)&lt;Parametros!$B$16,"",IF(E1962=0,"PIDE SIN FCST",IF(ABS(G1962)&gt;Parametros!$B$14,IF(G1962&gt;0,"SOBRE FCST","BAJO FCST"),"")))</f>
        <v/>
      </c>
    </row>
    <row r="1963" customFormat="false" ht="15" hidden="false" customHeight="false" outlineLevel="0" collapsed="false">
      <c r="A1963" s="3" t="n">
        <v>30002046</v>
      </c>
      <c r="B1963" s="3" t="s">
        <v>620</v>
      </c>
      <c r="C1963" s="3" t="s">
        <v>1380</v>
      </c>
      <c r="D1963" s="23" t="n">
        <v>493.02</v>
      </c>
      <c r="E1963" s="23" t="n">
        <v>600</v>
      </c>
      <c r="F1963" s="23" t="n">
        <f aca="false">D1963-E1963</f>
        <v>-106.98</v>
      </c>
      <c r="G1963" s="24" t="n">
        <f aca="false">IF(E1963&gt;0,D1963/E1963-1,"")</f>
        <v>-0.1783</v>
      </c>
      <c r="H1963" s="3" t="str">
        <f aca="false">IF(MAX(D1963,E1963)&lt;Parametros!$B$16,"",IF(E1963=0,"PIDE SIN FCST",IF(ABS(G1963)&gt;Parametros!$B$14,IF(G1963&gt;0,"SOBRE FCST","BAJO FCST"),"")))</f>
        <v/>
      </c>
    </row>
    <row r="1964" customFormat="false" ht="15" hidden="false" customHeight="false" outlineLevel="0" collapsed="false">
      <c r="A1964" s="3" t="n">
        <v>30001527</v>
      </c>
      <c r="B1964" s="3" t="s">
        <v>618</v>
      </c>
      <c r="C1964" s="3" t="s">
        <v>1377</v>
      </c>
      <c r="D1964" s="23" t="n">
        <v>43.52</v>
      </c>
      <c r="E1964" s="23" t="n">
        <v>150</v>
      </c>
      <c r="F1964" s="23" t="n">
        <f aca="false">D1964-E1964</f>
        <v>-106.48</v>
      </c>
      <c r="G1964" s="24" t="n">
        <f aca="false">IF(E1964&gt;0,D1964/E1964-1,"")</f>
        <v>-0.709866666666667</v>
      </c>
      <c r="H1964" s="3" t="str">
        <f aca="false">IF(MAX(D1964,E1964)&lt;Parametros!$B$16,"",IF(E1964=0,"PIDE SIN FCST",IF(ABS(G1964)&gt;Parametros!$B$14,IF(G1964&gt;0,"SOBRE FCST","BAJO FCST"),"")))</f>
        <v/>
      </c>
    </row>
    <row r="1965" customFormat="false" ht="15" hidden="false" customHeight="false" outlineLevel="0" collapsed="false">
      <c r="A1965" s="3" t="n">
        <v>30001091</v>
      </c>
      <c r="B1965" s="3" t="s">
        <v>303</v>
      </c>
      <c r="C1965" s="3" t="s">
        <v>1376</v>
      </c>
      <c r="D1965" s="23" t="n">
        <v>0</v>
      </c>
      <c r="E1965" s="23" t="n">
        <v>106.22526219838</v>
      </c>
      <c r="F1965" s="23" t="n">
        <f aca="false">D1965-E1965</f>
        <v>-106.22526219838</v>
      </c>
      <c r="G1965" s="24" t="n">
        <f aca="false">IF(E1965&gt;0,D1965/E1965-1,"")</f>
        <v>-1</v>
      </c>
      <c r="H1965" s="3" t="str">
        <f aca="false">IF(MAX(D1965,E1965)&lt;Parametros!$B$16,"",IF(E1965=0,"PIDE SIN FCST",IF(ABS(G1965)&gt;Parametros!$B$14,IF(G1965&gt;0,"SOBRE FCST","BAJO FCST"),"")))</f>
        <v/>
      </c>
    </row>
    <row r="1966" customFormat="false" ht="15" hidden="false" customHeight="false" outlineLevel="0" collapsed="false">
      <c r="A1966" s="3" t="n">
        <v>30001750</v>
      </c>
      <c r="B1966" s="3" t="s">
        <v>298</v>
      </c>
      <c r="C1966" s="3" t="s">
        <v>1377</v>
      </c>
      <c r="D1966" s="23" t="n">
        <v>1906.2</v>
      </c>
      <c r="E1966" s="23" t="n">
        <v>1800</v>
      </c>
      <c r="F1966" s="23" t="n">
        <f aca="false">D1966-E1966</f>
        <v>106.2</v>
      </c>
      <c r="G1966" s="24" t="n">
        <f aca="false">IF(E1966&gt;0,D1966/E1966-1,"")</f>
        <v>0.0589999999999999</v>
      </c>
      <c r="H1966" s="3" t="str">
        <f aca="false">IF(MAX(D1966,E1966)&lt;Parametros!$B$16,"",IF(E1966=0,"PIDE SIN FCST",IF(ABS(G1966)&gt;Parametros!$B$14,IF(G1966&gt;0,"SOBRE FCST","BAJO FCST"),"")))</f>
        <v/>
      </c>
    </row>
    <row r="1967" customFormat="false" ht="15" hidden="false" customHeight="false" outlineLevel="0" collapsed="false">
      <c r="A1967" s="3" t="n">
        <v>30001365</v>
      </c>
      <c r="B1967" s="3" t="s">
        <v>302</v>
      </c>
      <c r="C1967" s="3" t="s">
        <v>1377</v>
      </c>
      <c r="D1967" s="23" t="n">
        <v>615.85</v>
      </c>
      <c r="E1967" s="23" t="n">
        <v>510</v>
      </c>
      <c r="F1967" s="23" t="n">
        <f aca="false">D1967-E1967</f>
        <v>105.85</v>
      </c>
      <c r="G1967" s="24" t="n">
        <f aca="false">IF(E1967&gt;0,D1967/E1967-1,"")</f>
        <v>0.207549019607843</v>
      </c>
      <c r="H1967" s="3" t="str">
        <f aca="false">IF(MAX(D1967,E1967)&lt;Parametros!$B$16,"",IF(E1967=0,"PIDE SIN FCST",IF(ABS(G1967)&gt;Parametros!$B$14,IF(G1967&gt;0,"SOBRE FCST","BAJO FCST"),"")))</f>
        <v/>
      </c>
    </row>
    <row r="1968" customFormat="false" ht="15" hidden="false" customHeight="false" outlineLevel="0" collapsed="false">
      <c r="A1968" s="3" t="n">
        <v>30002135</v>
      </c>
      <c r="B1968" s="3" t="s">
        <v>446</v>
      </c>
      <c r="C1968" s="3" t="s">
        <v>1373</v>
      </c>
      <c r="D1968" s="23" t="n">
        <v>105.6</v>
      </c>
      <c r="E1968" s="23" t="n">
        <v>0</v>
      </c>
      <c r="F1968" s="23" t="n">
        <f aca="false">D1968-E1968</f>
        <v>105.6</v>
      </c>
      <c r="G1968" s="24" t="str">
        <f aca="false">IF(E1968&gt;0,D1968/E1968-1,"")</f>
        <v/>
      </c>
      <c r="H1968" s="3" t="str">
        <f aca="false">IF(MAX(D1968,E1968)&lt;Parametros!$B$16,"",IF(E1968=0,"PIDE SIN FCST",IF(ABS(G1968)&gt;Parametros!$B$14,IF(G1968&gt;0,"SOBRE FCST","BAJO FCST"),"")))</f>
        <v/>
      </c>
    </row>
    <row r="1969" customFormat="false" ht="15" hidden="false" customHeight="false" outlineLevel="0" collapsed="false">
      <c r="A1969" s="3" t="n">
        <v>30002114</v>
      </c>
      <c r="B1969" s="3" t="s">
        <v>600</v>
      </c>
      <c r="C1969" s="3" t="s">
        <v>1378</v>
      </c>
      <c r="D1969" s="23" t="n">
        <v>195</v>
      </c>
      <c r="E1969" s="23" t="n">
        <v>300</v>
      </c>
      <c r="F1969" s="23" t="n">
        <f aca="false">D1969-E1969</f>
        <v>-105</v>
      </c>
      <c r="G1969" s="24" t="n">
        <f aca="false">IF(E1969&gt;0,D1969/E1969-1,"")</f>
        <v>-0.35</v>
      </c>
      <c r="H1969" s="3" t="str">
        <f aca="false">IF(MAX(D1969,E1969)&lt;Parametros!$B$16,"",IF(E1969=0,"PIDE SIN FCST",IF(ABS(G1969)&gt;Parametros!$B$14,IF(G1969&gt;0,"SOBRE FCST","BAJO FCST"),"")))</f>
        <v/>
      </c>
    </row>
    <row r="1970" customFormat="false" ht="15" hidden="false" customHeight="false" outlineLevel="0" collapsed="false">
      <c r="A1970" s="3" t="n">
        <v>30001143</v>
      </c>
      <c r="B1970" s="3" t="s">
        <v>503</v>
      </c>
      <c r="C1970" s="3" t="s">
        <v>1377</v>
      </c>
      <c r="D1970" s="23" t="n">
        <v>155</v>
      </c>
      <c r="E1970" s="23" t="n">
        <v>260</v>
      </c>
      <c r="F1970" s="23" t="n">
        <f aca="false">D1970-E1970</f>
        <v>-105</v>
      </c>
      <c r="G1970" s="24" t="n">
        <f aca="false">IF(E1970&gt;0,D1970/E1970-1,"")</f>
        <v>-0.403846153846154</v>
      </c>
      <c r="H1970" s="3" t="str">
        <f aca="false">IF(MAX(D1970,E1970)&lt;Parametros!$B$16,"",IF(E1970=0,"PIDE SIN FCST",IF(ABS(G1970)&gt;Parametros!$B$14,IF(G1970&gt;0,"SOBRE FCST","BAJO FCST"),"")))</f>
        <v/>
      </c>
    </row>
    <row r="1971" customFormat="false" ht="15" hidden="false" customHeight="false" outlineLevel="0" collapsed="false">
      <c r="A1971" s="3" t="n">
        <v>30000639</v>
      </c>
      <c r="B1971" s="3" t="s">
        <v>244</v>
      </c>
      <c r="C1971" s="3" t="s">
        <v>1377</v>
      </c>
      <c r="D1971" s="23" t="n">
        <v>1830.08</v>
      </c>
      <c r="E1971" s="23" t="n">
        <v>1725.6</v>
      </c>
      <c r="F1971" s="23" t="n">
        <f aca="false">D1971-E1971</f>
        <v>104.48</v>
      </c>
      <c r="G1971" s="24" t="n">
        <f aca="false">IF(E1971&gt;0,D1971/E1971-1,"")</f>
        <v>0.0605470560964303</v>
      </c>
      <c r="H1971" s="3" t="str">
        <f aca="false">IF(MAX(D1971,E1971)&lt;Parametros!$B$16,"",IF(E1971=0,"PIDE SIN FCST",IF(ABS(G1971)&gt;Parametros!$B$14,IF(G1971&gt;0,"SOBRE FCST","BAJO FCST"),"")))</f>
        <v/>
      </c>
    </row>
    <row r="1972" customFormat="false" ht="15" hidden="false" customHeight="false" outlineLevel="0" collapsed="false">
      <c r="A1972" s="3" t="n">
        <v>30001898</v>
      </c>
      <c r="B1972" s="3" t="s">
        <v>486</v>
      </c>
      <c r="C1972" s="3" t="s">
        <v>1373</v>
      </c>
      <c r="D1972" s="23" t="n">
        <v>698.4</v>
      </c>
      <c r="E1972" s="23" t="n">
        <v>594.022326302202</v>
      </c>
      <c r="F1972" s="23" t="n">
        <f aca="false">D1972-E1972</f>
        <v>104.377673697798</v>
      </c>
      <c r="G1972" s="24" t="n">
        <f aca="false">IF(E1972&gt;0,D1972/E1972-1,"")</f>
        <v>0.175713384962397</v>
      </c>
      <c r="H1972" s="3" t="str">
        <f aca="false">IF(MAX(D1972,E1972)&lt;Parametros!$B$16,"",IF(E1972=0,"PIDE SIN FCST",IF(ABS(G1972)&gt;Parametros!$B$14,IF(G1972&gt;0,"SOBRE FCST","BAJO FCST"),"")))</f>
        <v/>
      </c>
    </row>
    <row r="1973" customFormat="false" ht="15" hidden="false" customHeight="false" outlineLevel="0" collapsed="false">
      <c r="A1973" s="3" t="n">
        <v>30001954</v>
      </c>
      <c r="B1973" s="3" t="s">
        <v>470</v>
      </c>
      <c r="C1973" s="3" t="s">
        <v>1373</v>
      </c>
      <c r="D1973" s="23" t="n">
        <v>1304</v>
      </c>
      <c r="E1973" s="23" t="n">
        <v>1200</v>
      </c>
      <c r="F1973" s="23" t="n">
        <f aca="false">D1973-E1973</f>
        <v>104</v>
      </c>
      <c r="G1973" s="24" t="n">
        <f aca="false">IF(E1973&gt;0,D1973/E1973-1,"")</f>
        <v>0.0866666666666667</v>
      </c>
      <c r="H1973" s="3" t="str">
        <f aca="false">IF(MAX(D1973,E1973)&lt;Parametros!$B$16,"",IF(E1973=0,"PIDE SIN FCST",IF(ABS(G1973)&gt;Parametros!$B$14,IF(G1973&gt;0,"SOBRE FCST","BAJO FCST"),"")))</f>
        <v/>
      </c>
    </row>
    <row r="1974" customFormat="false" ht="15" hidden="false" customHeight="false" outlineLevel="0" collapsed="false">
      <c r="A1974" s="3" t="n">
        <v>30000681</v>
      </c>
      <c r="B1974" s="3" t="s">
        <v>633</v>
      </c>
      <c r="C1974" s="3" t="s">
        <v>1377</v>
      </c>
      <c r="D1974" s="23" t="n">
        <v>104</v>
      </c>
      <c r="E1974" s="23" t="n">
        <v>0</v>
      </c>
      <c r="F1974" s="23" t="n">
        <f aca="false">D1974-E1974</f>
        <v>104</v>
      </c>
      <c r="G1974" s="24" t="str">
        <f aca="false">IF(E1974&gt;0,D1974/E1974-1,"")</f>
        <v/>
      </c>
      <c r="H1974" s="3" t="str">
        <f aca="false">IF(MAX(D1974,E1974)&lt;Parametros!$B$16,"",IF(E1974=0,"PIDE SIN FCST",IF(ABS(G1974)&gt;Parametros!$B$14,IF(G1974&gt;0,"SOBRE FCST","BAJO FCST"),"")))</f>
        <v/>
      </c>
    </row>
    <row r="1975" customFormat="false" ht="15" hidden="false" customHeight="false" outlineLevel="0" collapsed="false">
      <c r="A1975" s="3" t="n">
        <v>30001980</v>
      </c>
      <c r="B1975" s="3" t="s">
        <v>389</v>
      </c>
      <c r="C1975" s="3" t="s">
        <v>1377</v>
      </c>
      <c r="D1975" s="23" t="n">
        <v>189</v>
      </c>
      <c r="E1975" s="23" t="n">
        <v>292.324642116129</v>
      </c>
      <c r="F1975" s="23" t="n">
        <f aca="false">D1975-E1975</f>
        <v>-103.324642116128</v>
      </c>
      <c r="G1975" s="24" t="n">
        <f aca="false">IF(E1975&gt;0,D1975/E1975-1,"")</f>
        <v>-0.353458543105244</v>
      </c>
      <c r="H1975" s="3" t="str">
        <f aca="false">IF(MAX(D1975,E1975)&lt;Parametros!$B$16,"",IF(E1975=0,"PIDE SIN FCST",IF(ABS(G1975)&gt;Parametros!$B$14,IF(G1975&gt;0,"SOBRE FCST","BAJO FCST"),"")))</f>
        <v/>
      </c>
    </row>
    <row r="1976" customFormat="false" ht="15" hidden="false" customHeight="false" outlineLevel="0" collapsed="false">
      <c r="A1976" s="3" t="n">
        <v>30000662</v>
      </c>
      <c r="B1976" s="3" t="s">
        <v>628</v>
      </c>
      <c r="C1976" s="3" t="s">
        <v>1373</v>
      </c>
      <c r="D1976" s="23" t="n">
        <v>279.68</v>
      </c>
      <c r="E1976" s="23" t="n">
        <v>176.48</v>
      </c>
      <c r="F1976" s="23" t="n">
        <f aca="false">D1976-E1976</f>
        <v>103.2</v>
      </c>
      <c r="G1976" s="24" t="n">
        <f aca="false">IF(E1976&gt;0,D1976/E1976-1,"")</f>
        <v>0.584768812330009</v>
      </c>
      <c r="H1976" s="3" t="str">
        <f aca="false">IF(MAX(D1976,E1976)&lt;Parametros!$B$16,"",IF(E1976=0,"PIDE SIN FCST",IF(ABS(G1976)&gt;Parametros!$B$14,IF(G1976&gt;0,"SOBRE FCST","BAJO FCST"),"")))</f>
        <v/>
      </c>
    </row>
    <row r="1977" customFormat="false" ht="15" hidden="false" customHeight="false" outlineLevel="0" collapsed="false">
      <c r="A1977" s="3" t="n">
        <v>30001480</v>
      </c>
      <c r="B1977" s="3" t="s">
        <v>560</v>
      </c>
      <c r="C1977" s="3" t="s">
        <v>1377</v>
      </c>
      <c r="D1977" s="23" t="n">
        <v>97.2</v>
      </c>
      <c r="E1977" s="23" t="n">
        <v>200</v>
      </c>
      <c r="F1977" s="23" t="n">
        <f aca="false">D1977-E1977</f>
        <v>-102.8</v>
      </c>
      <c r="G1977" s="24" t="n">
        <f aca="false">IF(E1977&gt;0,D1977/E1977-1,"")</f>
        <v>-0.514</v>
      </c>
      <c r="H1977" s="3" t="str">
        <f aca="false">IF(MAX(D1977,E1977)&lt;Parametros!$B$16,"",IF(E1977=0,"PIDE SIN FCST",IF(ABS(G1977)&gt;Parametros!$B$14,IF(G1977&gt;0,"SOBRE FCST","BAJO FCST"),"")))</f>
        <v/>
      </c>
    </row>
    <row r="1978" customFormat="false" ht="15" hidden="false" customHeight="false" outlineLevel="0" collapsed="false">
      <c r="A1978" s="3" t="n">
        <v>30000250</v>
      </c>
      <c r="B1978" s="3" t="s">
        <v>544</v>
      </c>
      <c r="C1978" s="3" t="s">
        <v>1379</v>
      </c>
      <c r="D1978" s="23" t="n">
        <v>534</v>
      </c>
      <c r="E1978" s="23" t="n">
        <v>431.287532747868</v>
      </c>
      <c r="F1978" s="23" t="n">
        <f aca="false">D1978-E1978</f>
        <v>102.712467252132</v>
      </c>
      <c r="G1978" s="24" t="n">
        <f aca="false">IF(E1978&gt;0,D1978/E1978-1,"")</f>
        <v>0.238153110055648</v>
      </c>
      <c r="H1978" s="3" t="str">
        <f aca="false">IF(MAX(D1978,E1978)&lt;Parametros!$B$16,"",IF(E1978=0,"PIDE SIN FCST",IF(ABS(G1978)&gt;Parametros!$B$14,IF(G1978&gt;0,"SOBRE FCST","BAJO FCST"),"")))</f>
        <v/>
      </c>
    </row>
    <row r="1979" customFormat="false" ht="15" hidden="false" customHeight="false" outlineLevel="0" collapsed="false">
      <c r="A1979" s="3" t="n">
        <v>30002061</v>
      </c>
      <c r="B1979" s="3" t="s">
        <v>516</v>
      </c>
      <c r="C1979" s="3" t="s">
        <v>1378</v>
      </c>
      <c r="D1979" s="23" t="n">
        <v>317.9</v>
      </c>
      <c r="E1979" s="23" t="n">
        <v>215.643766373934</v>
      </c>
      <c r="F1979" s="23" t="n">
        <f aca="false">D1979-E1979</f>
        <v>102.256233626066</v>
      </c>
      <c r="G1979" s="24" t="n">
        <f aca="false">IF(E1979&gt;0,D1979/E1979-1,"")</f>
        <v>0.474190538152398</v>
      </c>
      <c r="H1979" s="3" t="str">
        <f aca="false">IF(MAX(D1979,E1979)&lt;Parametros!$B$16,"",IF(E1979=0,"PIDE SIN FCST",IF(ABS(G1979)&gt;Parametros!$B$14,IF(G1979&gt;0,"SOBRE FCST","BAJO FCST"),"")))</f>
        <v/>
      </c>
    </row>
    <row r="1980" customFormat="false" ht="15" hidden="false" customHeight="false" outlineLevel="0" collapsed="false">
      <c r="A1980" s="3" t="n">
        <v>30001574</v>
      </c>
      <c r="B1980" s="3" t="s">
        <v>365</v>
      </c>
      <c r="C1980" s="3" t="s">
        <v>1377</v>
      </c>
      <c r="D1980" s="23" t="n">
        <v>996</v>
      </c>
      <c r="E1980" s="23" t="n">
        <v>1097.84027206063</v>
      </c>
      <c r="F1980" s="23" t="n">
        <f aca="false">D1980-E1980</f>
        <v>-101.840272060625</v>
      </c>
      <c r="G1980" s="24" t="n">
        <f aca="false">IF(E1980&gt;0,D1980/E1980-1,"")</f>
        <v>-0.0927641977183737</v>
      </c>
      <c r="H1980" s="3" t="str">
        <f aca="false">IF(MAX(D1980,E1980)&lt;Parametros!$B$16,"",IF(E1980=0,"PIDE SIN FCST",IF(ABS(G1980)&gt;Parametros!$B$14,IF(G1980&gt;0,"SOBRE FCST","BAJO FCST"),"")))</f>
        <v/>
      </c>
    </row>
    <row r="1981" customFormat="false" ht="15" hidden="false" customHeight="false" outlineLevel="0" collapsed="false">
      <c r="A1981" s="3" t="n">
        <v>30001540</v>
      </c>
      <c r="B1981" s="3" t="s">
        <v>501</v>
      </c>
      <c r="C1981" s="3" t="s">
        <v>1375</v>
      </c>
      <c r="D1981" s="23" t="n">
        <v>3398.72</v>
      </c>
      <c r="E1981" s="23" t="n">
        <v>3500</v>
      </c>
      <c r="F1981" s="23" t="n">
        <f aca="false">D1981-E1981</f>
        <v>-101.28</v>
      </c>
      <c r="G1981" s="24" t="n">
        <f aca="false">IF(E1981&gt;0,D1981/E1981-1,"")</f>
        <v>-0.0289371428571429</v>
      </c>
      <c r="H1981" s="3" t="str">
        <f aca="false">IF(MAX(D1981,E1981)&lt;Parametros!$B$16,"",IF(E1981=0,"PIDE SIN FCST",IF(ABS(G1981)&gt;Parametros!$B$14,IF(G1981&gt;0,"SOBRE FCST","BAJO FCST"),"")))</f>
        <v/>
      </c>
    </row>
    <row r="1982" customFormat="false" ht="15" hidden="false" customHeight="false" outlineLevel="0" collapsed="false">
      <c r="A1982" s="3" t="n">
        <v>30001060</v>
      </c>
      <c r="B1982" s="3" t="s">
        <v>474</v>
      </c>
      <c r="C1982" s="3" t="s">
        <v>1373</v>
      </c>
      <c r="D1982" s="23" t="n">
        <v>719.04</v>
      </c>
      <c r="E1982" s="23" t="n">
        <v>819.976160595767</v>
      </c>
      <c r="F1982" s="23" t="n">
        <f aca="false">D1982-E1982</f>
        <v>-100.936160595767</v>
      </c>
      <c r="G1982" s="24" t="n">
        <f aca="false">IF(E1982&gt;0,D1982/E1982-1,"")</f>
        <v>-0.123096457490216</v>
      </c>
      <c r="H1982" s="3" t="str">
        <f aca="false">IF(MAX(D1982,E1982)&lt;Parametros!$B$16,"",IF(E1982=0,"PIDE SIN FCST",IF(ABS(G1982)&gt;Parametros!$B$14,IF(G1982&gt;0,"SOBRE FCST","BAJO FCST"),"")))</f>
        <v/>
      </c>
    </row>
    <row r="1983" customFormat="false" ht="15" hidden="false" customHeight="false" outlineLevel="0" collapsed="false">
      <c r="A1983" s="3" t="n">
        <v>30000634</v>
      </c>
      <c r="B1983" s="3" t="s">
        <v>471</v>
      </c>
      <c r="C1983" s="3" t="s">
        <v>1379</v>
      </c>
      <c r="D1983" s="23" t="n">
        <v>100.8</v>
      </c>
      <c r="E1983" s="23" t="n">
        <v>0</v>
      </c>
      <c r="F1983" s="23" t="n">
        <f aca="false">D1983-E1983</f>
        <v>100.8</v>
      </c>
      <c r="G1983" s="24" t="str">
        <f aca="false">IF(E1983&gt;0,D1983/E1983-1,"")</f>
        <v/>
      </c>
      <c r="H1983" s="3" t="str">
        <f aca="false">IF(MAX(D1983,E1983)&lt;Parametros!$B$16,"",IF(E1983=0,"PIDE SIN FCST",IF(ABS(G1983)&gt;Parametros!$B$14,IF(G1983&gt;0,"SOBRE FCST","BAJO FCST"),"")))</f>
        <v/>
      </c>
    </row>
    <row r="1984" customFormat="false" ht="15" hidden="false" customHeight="false" outlineLevel="0" collapsed="false">
      <c r="A1984" s="3" t="n">
        <v>30000631</v>
      </c>
      <c r="B1984" s="3" t="s">
        <v>515</v>
      </c>
      <c r="C1984" s="3" t="s">
        <v>1379</v>
      </c>
      <c r="D1984" s="23" t="n">
        <v>100.8</v>
      </c>
      <c r="E1984" s="23" t="n">
        <v>0</v>
      </c>
      <c r="F1984" s="23" t="n">
        <f aca="false">D1984-E1984</f>
        <v>100.8</v>
      </c>
      <c r="G1984" s="24" t="str">
        <f aca="false">IF(E1984&gt;0,D1984/E1984-1,"")</f>
        <v/>
      </c>
      <c r="H1984" s="3" t="str">
        <f aca="false">IF(MAX(D1984,E1984)&lt;Parametros!$B$16,"",IF(E1984=0,"PIDE SIN FCST",IF(ABS(G1984)&gt;Parametros!$B$14,IF(G1984&gt;0,"SOBRE FCST","BAJO FCST"),"")))</f>
        <v/>
      </c>
    </row>
    <row r="1985" customFormat="false" ht="15" hidden="false" customHeight="false" outlineLevel="0" collapsed="false">
      <c r="A1985" s="3" t="n">
        <v>30000176</v>
      </c>
      <c r="B1985" s="3" t="s">
        <v>366</v>
      </c>
      <c r="C1985" s="3" t="s">
        <v>1377</v>
      </c>
      <c r="D1985" s="23" t="n">
        <v>820.8</v>
      </c>
      <c r="E1985" s="23" t="n">
        <v>720</v>
      </c>
      <c r="F1985" s="23" t="n">
        <f aca="false">D1985-E1985</f>
        <v>100.8</v>
      </c>
      <c r="G1985" s="24" t="n">
        <f aca="false">IF(E1985&gt;0,D1985/E1985-1,"")</f>
        <v>0.14</v>
      </c>
      <c r="H1985" s="3" t="str">
        <f aca="false">IF(MAX(D1985,E1985)&lt;Parametros!$B$16,"",IF(E1985=0,"PIDE SIN FCST",IF(ABS(G1985)&gt;Parametros!$B$14,IF(G1985&gt;0,"SOBRE FCST","BAJO FCST"),"")))</f>
        <v/>
      </c>
    </row>
    <row r="1986" customFormat="false" ht="15" hidden="false" customHeight="false" outlineLevel="0" collapsed="false">
      <c r="A1986" s="3" t="n">
        <v>30000555</v>
      </c>
      <c r="B1986" s="3" t="s">
        <v>570</v>
      </c>
      <c r="C1986" s="3" t="s">
        <v>1380</v>
      </c>
      <c r="D1986" s="23" t="n">
        <v>1680</v>
      </c>
      <c r="E1986" s="23" t="n">
        <v>1579.40075310015</v>
      </c>
      <c r="F1986" s="23" t="n">
        <f aca="false">D1986-E1986</f>
        <v>100.599246899852</v>
      </c>
      <c r="G1986" s="24" t="n">
        <f aca="false">IF(E1986&gt;0,D1986/E1986-1,"")</f>
        <v>0.0636945668807549</v>
      </c>
      <c r="H1986" s="3" t="str">
        <f aca="false">IF(MAX(D1986,E1986)&lt;Parametros!$B$16,"",IF(E1986=0,"PIDE SIN FCST",IF(ABS(G1986)&gt;Parametros!$B$14,IF(G1986&gt;0,"SOBRE FCST","BAJO FCST"),"")))</f>
        <v/>
      </c>
    </row>
    <row r="1987" customFormat="false" ht="15" hidden="false" customHeight="false" outlineLevel="0" collapsed="false">
      <c r="A1987" s="3" t="n">
        <v>30001748</v>
      </c>
      <c r="B1987" s="3" t="s">
        <v>573</v>
      </c>
      <c r="C1987" s="3" t="s">
        <v>1375</v>
      </c>
      <c r="D1987" s="23" t="n">
        <v>0</v>
      </c>
      <c r="E1987" s="23" t="n">
        <v>100</v>
      </c>
      <c r="F1987" s="23" t="n">
        <f aca="false">D1987-E1987</f>
        <v>-100</v>
      </c>
      <c r="G1987" s="24" t="n">
        <f aca="false">IF(E1987&gt;0,D1987/E1987-1,"")</f>
        <v>-1</v>
      </c>
      <c r="H1987" s="3" t="str">
        <f aca="false">IF(MAX(D1987,E1987)&lt;Parametros!$B$16,"",IF(E1987=0,"PIDE SIN FCST",IF(ABS(G1987)&gt;Parametros!$B$14,IF(G1987&gt;0,"SOBRE FCST","BAJO FCST"),"")))</f>
        <v/>
      </c>
    </row>
    <row r="1988" customFormat="false" ht="15" hidden="false" customHeight="false" outlineLevel="0" collapsed="false">
      <c r="A1988" s="3" t="n">
        <v>30000195</v>
      </c>
      <c r="B1988" s="3" t="s">
        <v>348</v>
      </c>
      <c r="C1988" s="3" t="s">
        <v>1372</v>
      </c>
      <c r="D1988" s="23" t="n">
        <v>2700</v>
      </c>
      <c r="E1988" s="23" t="n">
        <v>2600</v>
      </c>
      <c r="F1988" s="23" t="n">
        <f aca="false">D1988-E1988</f>
        <v>100</v>
      </c>
      <c r="G1988" s="24" t="n">
        <f aca="false">IF(E1988&gt;0,D1988/E1988-1,"")</f>
        <v>0.0384615384615386</v>
      </c>
      <c r="H1988" s="3" t="str">
        <f aca="false">IF(MAX(D1988,E1988)&lt;Parametros!$B$16,"",IF(E1988=0,"PIDE SIN FCST",IF(ABS(G1988)&gt;Parametros!$B$14,IF(G1988&gt;0,"SOBRE FCST","BAJO FCST"),"")))</f>
        <v/>
      </c>
    </row>
    <row r="1989" customFormat="false" ht="15" hidden="false" customHeight="false" outlineLevel="0" collapsed="false">
      <c r="A1989" s="3" t="n">
        <v>30002176</v>
      </c>
      <c r="B1989" s="3" t="s">
        <v>548</v>
      </c>
      <c r="C1989" s="3" t="s">
        <v>1372</v>
      </c>
      <c r="D1989" s="23" t="n">
        <v>0</v>
      </c>
      <c r="E1989" s="23" t="n">
        <v>100</v>
      </c>
      <c r="F1989" s="23" t="n">
        <f aca="false">D1989-E1989</f>
        <v>-100</v>
      </c>
      <c r="G1989" s="24" t="n">
        <f aca="false">IF(E1989&gt;0,D1989/E1989-1,"")</f>
        <v>-1</v>
      </c>
      <c r="H1989" s="3" t="str">
        <f aca="false">IF(MAX(D1989,E1989)&lt;Parametros!$B$16,"",IF(E1989=0,"PIDE SIN FCST",IF(ABS(G1989)&gt;Parametros!$B$14,IF(G1989&gt;0,"SOBRE FCST","BAJO FCST"),"")))</f>
        <v/>
      </c>
    </row>
    <row r="1990" customFormat="false" ht="15" hidden="false" customHeight="false" outlineLevel="0" collapsed="false">
      <c r="A1990" s="3" t="n">
        <v>30001363</v>
      </c>
      <c r="B1990" s="3" t="s">
        <v>621</v>
      </c>
      <c r="C1990" s="3" t="s">
        <v>1379</v>
      </c>
      <c r="D1990" s="23" t="n">
        <v>0</v>
      </c>
      <c r="E1990" s="23" t="n">
        <v>100</v>
      </c>
      <c r="F1990" s="23" t="n">
        <f aca="false">D1990-E1990</f>
        <v>-100</v>
      </c>
      <c r="G1990" s="24" t="n">
        <f aca="false">IF(E1990&gt;0,D1990/E1990-1,"")</f>
        <v>-1</v>
      </c>
      <c r="H1990" s="3" t="str">
        <f aca="false">IF(MAX(D1990,E1990)&lt;Parametros!$B$16,"",IF(E1990=0,"PIDE SIN FCST",IF(ABS(G1990)&gt;Parametros!$B$14,IF(G1990&gt;0,"SOBRE FCST","BAJO FCST"),"")))</f>
        <v/>
      </c>
    </row>
    <row r="1991" customFormat="false" ht="15" hidden="false" customHeight="false" outlineLevel="0" collapsed="false">
      <c r="A1991" s="3" t="n">
        <v>30001661</v>
      </c>
      <c r="B1991" s="3" t="s">
        <v>431</v>
      </c>
      <c r="C1991" s="3" t="s">
        <v>1377</v>
      </c>
      <c r="D1991" s="23" t="n">
        <v>436.32</v>
      </c>
      <c r="E1991" s="23" t="n">
        <v>336.4</v>
      </c>
      <c r="F1991" s="23" t="n">
        <f aca="false">D1991-E1991</f>
        <v>99.9200000000001</v>
      </c>
      <c r="G1991" s="24" t="n">
        <f aca="false">IF(E1991&gt;0,D1991/E1991-1,"")</f>
        <v>0.297027348394769</v>
      </c>
      <c r="H1991" s="3" t="str">
        <f aca="false">IF(MAX(D1991,E1991)&lt;Parametros!$B$16,"",IF(E1991=0,"PIDE SIN FCST",IF(ABS(G1991)&gt;Parametros!$B$14,IF(G1991&gt;0,"SOBRE FCST","BAJO FCST"),"")))</f>
        <v/>
      </c>
    </row>
    <row r="1992" customFormat="false" ht="15" hidden="false" customHeight="false" outlineLevel="0" collapsed="false">
      <c r="A1992" s="3" t="n">
        <v>30002276</v>
      </c>
      <c r="B1992" s="3" t="s">
        <v>523</v>
      </c>
      <c r="C1992" s="3" t="s">
        <v>1375</v>
      </c>
      <c r="D1992" s="23" t="n">
        <v>993.6</v>
      </c>
      <c r="E1992" s="23" t="n">
        <v>894</v>
      </c>
      <c r="F1992" s="23" t="n">
        <f aca="false">D1992-E1992</f>
        <v>99.6</v>
      </c>
      <c r="G1992" s="24" t="n">
        <f aca="false">IF(E1992&gt;0,D1992/E1992-1,"")</f>
        <v>0.111409395973154</v>
      </c>
      <c r="H1992" s="3" t="str">
        <f aca="false">IF(MAX(D1992,E1992)&lt;Parametros!$B$16,"",IF(E1992=0,"PIDE SIN FCST",IF(ABS(G1992)&gt;Parametros!$B$14,IF(G1992&gt;0,"SOBRE FCST","BAJO FCST"),"")))</f>
        <v/>
      </c>
    </row>
    <row r="1993" customFormat="false" ht="15" hidden="false" customHeight="false" outlineLevel="0" collapsed="false">
      <c r="A1993" s="3" t="n">
        <v>30001982</v>
      </c>
      <c r="B1993" s="3" t="s">
        <v>565</v>
      </c>
      <c r="C1993" s="3" t="s">
        <v>1373</v>
      </c>
      <c r="D1993" s="23" t="n">
        <v>698.4</v>
      </c>
      <c r="E1993" s="23" t="n">
        <v>797.836344935275</v>
      </c>
      <c r="F1993" s="23" t="n">
        <f aca="false">D1993-E1993</f>
        <v>-99.4363449352744</v>
      </c>
      <c r="G1993" s="24" t="n">
        <f aca="false">IF(E1993&gt;0,D1993/E1993-1,"")</f>
        <v>-0.124632508366539</v>
      </c>
      <c r="H1993" s="3" t="str">
        <f aca="false">IF(MAX(D1993,E1993)&lt;Parametros!$B$16,"",IF(E1993=0,"PIDE SIN FCST",IF(ABS(G1993)&gt;Parametros!$B$14,IF(G1993&gt;0,"SOBRE FCST","BAJO FCST"),"")))</f>
        <v/>
      </c>
    </row>
    <row r="1994" customFormat="false" ht="15" hidden="false" customHeight="false" outlineLevel="0" collapsed="false">
      <c r="A1994" s="3" t="n">
        <v>30001766</v>
      </c>
      <c r="B1994" s="3" t="s">
        <v>414</v>
      </c>
      <c r="C1994" s="3" t="s">
        <v>1380</v>
      </c>
      <c r="D1994" s="23" t="n">
        <v>799.2</v>
      </c>
      <c r="E1994" s="23" t="n">
        <v>700</v>
      </c>
      <c r="F1994" s="23" t="n">
        <f aca="false">D1994-E1994</f>
        <v>99.2000000000001</v>
      </c>
      <c r="G1994" s="24" t="n">
        <f aca="false">IF(E1994&gt;0,D1994/E1994-1,"")</f>
        <v>0.141714285714286</v>
      </c>
      <c r="H1994" s="3" t="str">
        <f aca="false">IF(MAX(D1994,E1994)&lt;Parametros!$B$16,"",IF(E1994=0,"PIDE SIN FCST",IF(ABS(G1994)&gt;Parametros!$B$14,IF(G1994&gt;0,"SOBRE FCST","BAJO FCST"),"")))</f>
        <v/>
      </c>
    </row>
    <row r="1995" customFormat="false" ht="15" hidden="false" customHeight="false" outlineLevel="0" collapsed="false">
      <c r="A1995" s="3" t="n">
        <v>30002303</v>
      </c>
      <c r="B1995" s="3" t="s">
        <v>637</v>
      </c>
      <c r="C1995" s="3" t="s">
        <v>1373</v>
      </c>
      <c r="D1995" s="23" t="n">
        <v>100.8</v>
      </c>
      <c r="E1995" s="23" t="n">
        <v>200</v>
      </c>
      <c r="F1995" s="23" t="n">
        <f aca="false">D1995-E1995</f>
        <v>-99.2</v>
      </c>
      <c r="G1995" s="24" t="n">
        <f aca="false">IF(E1995&gt;0,D1995/E1995-1,"")</f>
        <v>-0.496</v>
      </c>
      <c r="H1995" s="3" t="str">
        <f aca="false">IF(MAX(D1995,E1995)&lt;Parametros!$B$16,"",IF(E1995=0,"PIDE SIN FCST",IF(ABS(G1995)&gt;Parametros!$B$14,IF(G1995&gt;0,"SOBRE FCST","BAJO FCST"),"")))</f>
        <v/>
      </c>
    </row>
    <row r="1996" customFormat="false" ht="15" hidden="false" customHeight="false" outlineLevel="0" collapsed="false">
      <c r="A1996" s="3" t="n">
        <v>30001037</v>
      </c>
      <c r="B1996" s="3" t="s">
        <v>614</v>
      </c>
      <c r="C1996" s="3" t="s">
        <v>1373</v>
      </c>
      <c r="D1996" s="23" t="n">
        <v>135</v>
      </c>
      <c r="E1996" s="23" t="n">
        <v>234.126295104922</v>
      </c>
      <c r="F1996" s="23" t="n">
        <f aca="false">D1996-E1996</f>
        <v>-99.1262951049219</v>
      </c>
      <c r="G1996" s="24" t="n">
        <f aca="false">IF(E1996&gt;0,D1996/E1996-1,"")</f>
        <v>-0.423388133573374</v>
      </c>
      <c r="H1996" s="3" t="str">
        <f aca="false">IF(MAX(D1996,E1996)&lt;Parametros!$B$16,"",IF(E1996=0,"PIDE SIN FCST",IF(ABS(G1996)&gt;Parametros!$B$14,IF(G1996&gt;0,"SOBRE FCST","BAJO FCST"),"")))</f>
        <v/>
      </c>
    </row>
    <row r="1997" customFormat="false" ht="15" hidden="false" customHeight="false" outlineLevel="0" collapsed="false">
      <c r="A1997" s="3" t="n">
        <v>30001996</v>
      </c>
      <c r="B1997" s="3" t="s">
        <v>394</v>
      </c>
      <c r="C1997" s="3" t="s">
        <v>1377</v>
      </c>
      <c r="D1997" s="23" t="n">
        <v>99</v>
      </c>
      <c r="E1997" s="23" t="n">
        <v>0</v>
      </c>
      <c r="F1997" s="23" t="n">
        <f aca="false">D1997-E1997</f>
        <v>99</v>
      </c>
      <c r="G1997" s="24" t="str">
        <f aca="false">IF(E1997&gt;0,D1997/E1997-1,"")</f>
        <v/>
      </c>
      <c r="H1997" s="3" t="str">
        <f aca="false">IF(MAX(D1997,E1997)&lt;Parametros!$B$16,"",IF(E1997=0,"PIDE SIN FCST",IF(ABS(G1997)&gt;Parametros!$B$14,IF(G1997&gt;0,"SOBRE FCST","BAJO FCST"),"")))</f>
        <v/>
      </c>
    </row>
    <row r="1998" customFormat="false" ht="15" hidden="false" customHeight="false" outlineLevel="0" collapsed="false">
      <c r="A1998" s="3" t="n">
        <v>30001707</v>
      </c>
      <c r="B1998" s="3" t="s">
        <v>549</v>
      </c>
      <c r="C1998" s="3" t="s">
        <v>1378</v>
      </c>
      <c r="D1998" s="23" t="n">
        <v>960.96</v>
      </c>
      <c r="E1998" s="23" t="n">
        <v>862.575065495737</v>
      </c>
      <c r="F1998" s="23" t="n">
        <f aca="false">D1998-E1998</f>
        <v>98.3849345042635</v>
      </c>
      <c r="G1998" s="24" t="n">
        <f aca="false">IF(E1998&gt;0,D1998/E1998-1,"")</f>
        <v>0.114059562396138</v>
      </c>
      <c r="H1998" s="3" t="str">
        <f aca="false">IF(MAX(D1998,E1998)&lt;Parametros!$B$16,"",IF(E1998=0,"PIDE SIN FCST",IF(ABS(G1998)&gt;Parametros!$B$14,IF(G1998&gt;0,"SOBRE FCST","BAJO FCST"),"")))</f>
        <v/>
      </c>
    </row>
    <row r="1999" customFormat="false" ht="15" hidden="false" customHeight="false" outlineLevel="0" collapsed="false">
      <c r="A1999" s="3" t="n">
        <v>30000494</v>
      </c>
      <c r="B1999" s="3" t="s">
        <v>611</v>
      </c>
      <c r="C1999" s="3" t="s">
        <v>1377</v>
      </c>
      <c r="D1999" s="23" t="n">
        <v>264.6</v>
      </c>
      <c r="E1999" s="23" t="n">
        <v>362.793706859069</v>
      </c>
      <c r="F1999" s="23" t="n">
        <f aca="false">D1999-E1999</f>
        <v>-98.1937068590693</v>
      </c>
      <c r="G1999" s="24" t="n">
        <f aca="false">IF(E1999&gt;0,D1999/E1999-1,"")</f>
        <v>-0.270659895699937</v>
      </c>
      <c r="H1999" s="3" t="str">
        <f aca="false">IF(MAX(D1999,E1999)&lt;Parametros!$B$16,"",IF(E1999=0,"PIDE SIN FCST",IF(ABS(G1999)&gt;Parametros!$B$14,IF(G1999&gt;0,"SOBRE FCST","BAJO FCST"),"")))</f>
        <v/>
      </c>
    </row>
    <row r="2000" customFormat="false" ht="15" hidden="false" customHeight="false" outlineLevel="0" collapsed="false">
      <c r="A2000" s="3" t="n">
        <v>30002269</v>
      </c>
      <c r="B2000" s="3" t="s">
        <v>541</v>
      </c>
      <c r="C2000" s="3" t="s">
        <v>1378</v>
      </c>
      <c r="D2000" s="23" t="n">
        <v>84</v>
      </c>
      <c r="E2000" s="23" t="n">
        <v>182.12525</v>
      </c>
      <c r="F2000" s="23" t="n">
        <f aca="false">D2000-E2000</f>
        <v>-98.12525</v>
      </c>
      <c r="G2000" s="24" t="n">
        <f aca="false">IF(E2000&gt;0,D2000/E2000-1,"")</f>
        <v>-0.538778944709753</v>
      </c>
      <c r="H2000" s="3" t="str">
        <f aca="false">IF(MAX(D2000,E2000)&lt;Parametros!$B$16,"",IF(E2000=0,"PIDE SIN FCST",IF(ABS(G2000)&gt;Parametros!$B$14,IF(G2000&gt;0,"SOBRE FCST","BAJO FCST"),"")))</f>
        <v/>
      </c>
    </row>
    <row r="2001" customFormat="false" ht="15" hidden="false" customHeight="false" outlineLevel="0" collapsed="false">
      <c r="A2001" s="3" t="n">
        <v>30001149</v>
      </c>
      <c r="B2001" s="3" t="s">
        <v>536</v>
      </c>
      <c r="C2001" s="3" t="s">
        <v>1375</v>
      </c>
      <c r="D2001" s="23" t="n">
        <v>1098</v>
      </c>
      <c r="E2001" s="23" t="n">
        <v>1000.17268552145</v>
      </c>
      <c r="F2001" s="23" t="n">
        <f aca="false">D2001-E2001</f>
        <v>97.827314478551</v>
      </c>
      <c r="G2001" s="24" t="n">
        <f aca="false">IF(E2001&gt;0,D2001/E2001-1,"")</f>
        <v>0.0978104240344735</v>
      </c>
      <c r="H2001" s="3" t="str">
        <f aca="false">IF(MAX(D2001,E2001)&lt;Parametros!$B$16,"",IF(E2001=0,"PIDE SIN FCST",IF(ABS(G2001)&gt;Parametros!$B$14,IF(G2001&gt;0,"SOBRE FCST","BAJO FCST"),"")))</f>
        <v/>
      </c>
    </row>
    <row r="2002" customFormat="false" ht="15" hidden="false" customHeight="false" outlineLevel="0" collapsed="false">
      <c r="A2002" s="3" t="n">
        <v>30001522</v>
      </c>
      <c r="B2002" s="3" t="s">
        <v>453</v>
      </c>
      <c r="C2002" s="3" t="s">
        <v>1377</v>
      </c>
      <c r="D2002" s="23" t="n">
        <v>437.76</v>
      </c>
      <c r="E2002" s="23" t="n">
        <v>340</v>
      </c>
      <c r="F2002" s="23" t="n">
        <f aca="false">D2002-E2002</f>
        <v>97.76</v>
      </c>
      <c r="G2002" s="24" t="n">
        <f aca="false">IF(E2002&gt;0,D2002/E2002-1,"")</f>
        <v>0.287529411764706</v>
      </c>
      <c r="H2002" s="3" t="str">
        <f aca="false">IF(MAX(D2002,E2002)&lt;Parametros!$B$16,"",IF(E2002=0,"PIDE SIN FCST",IF(ABS(G2002)&gt;Parametros!$B$14,IF(G2002&gt;0,"SOBRE FCST","BAJO FCST"),"")))</f>
        <v/>
      </c>
    </row>
    <row r="2003" customFormat="false" ht="15" hidden="false" customHeight="false" outlineLevel="0" collapsed="false">
      <c r="A2003" s="3" t="n">
        <v>30002105</v>
      </c>
      <c r="B2003" s="3" t="s">
        <v>517</v>
      </c>
      <c r="C2003" s="3" t="s">
        <v>1378</v>
      </c>
      <c r="D2003" s="23" t="n">
        <v>143.856</v>
      </c>
      <c r="E2003" s="23" t="n">
        <v>240.753471136181</v>
      </c>
      <c r="F2003" s="23" t="n">
        <f aca="false">D2003-E2003</f>
        <v>-96.8974711361813</v>
      </c>
      <c r="G2003" s="24" t="n">
        <f aca="false">IF(E2003&gt;0,D2003/E2003-1,"")</f>
        <v>-0.402475904828685</v>
      </c>
      <c r="H2003" s="3" t="str">
        <f aca="false">IF(MAX(D2003,E2003)&lt;Parametros!$B$16,"",IF(E2003=0,"PIDE SIN FCST",IF(ABS(G2003)&gt;Parametros!$B$14,IF(G2003&gt;0,"SOBRE FCST","BAJO FCST"),"")))</f>
        <v/>
      </c>
    </row>
    <row r="2004" customFormat="false" ht="15" hidden="false" customHeight="false" outlineLevel="0" collapsed="false">
      <c r="A2004" s="3" t="n">
        <v>30001895</v>
      </c>
      <c r="B2004" s="3" t="s">
        <v>341</v>
      </c>
      <c r="C2004" s="3" t="s">
        <v>1378</v>
      </c>
      <c r="D2004" s="23" t="n">
        <v>1216</v>
      </c>
      <c r="E2004" s="23" t="n">
        <v>1119.12648861268</v>
      </c>
      <c r="F2004" s="23" t="n">
        <f aca="false">D2004-E2004</f>
        <v>96.8735113873199</v>
      </c>
      <c r="G2004" s="24" t="n">
        <f aca="false">IF(E2004&gt;0,D2004/E2004-1,"")</f>
        <v>0.0865617178871432</v>
      </c>
      <c r="H2004" s="3" t="str">
        <f aca="false">IF(MAX(D2004,E2004)&lt;Parametros!$B$16,"",IF(E2004=0,"PIDE SIN FCST",IF(ABS(G2004)&gt;Parametros!$B$14,IF(G2004&gt;0,"SOBRE FCST","BAJO FCST"),"")))</f>
        <v/>
      </c>
    </row>
    <row r="2005" customFormat="false" ht="15" hidden="false" customHeight="false" outlineLevel="0" collapsed="false">
      <c r="A2005" s="3" t="n">
        <v>30001050</v>
      </c>
      <c r="B2005" s="3" t="s">
        <v>233</v>
      </c>
      <c r="C2005" s="3" t="s">
        <v>1377</v>
      </c>
      <c r="D2005" s="23" t="n">
        <v>1860</v>
      </c>
      <c r="E2005" s="23" t="n">
        <v>1956.81920187335</v>
      </c>
      <c r="F2005" s="23" t="n">
        <f aca="false">D2005-E2005</f>
        <v>-96.81920187335</v>
      </c>
      <c r="G2005" s="24" t="n">
        <f aca="false">IF(E2005&gt;0,D2005/E2005-1,"")</f>
        <v>-0.0494778474069861</v>
      </c>
      <c r="H2005" s="3" t="str">
        <f aca="false">IF(MAX(D2005,E2005)&lt;Parametros!$B$16,"",IF(E2005=0,"PIDE SIN FCST",IF(ABS(G2005)&gt;Parametros!$B$14,IF(G2005&gt;0,"SOBRE FCST","BAJO FCST"),"")))</f>
        <v/>
      </c>
    </row>
    <row r="2006" customFormat="false" ht="15" hidden="false" customHeight="false" outlineLevel="0" collapsed="false">
      <c r="A2006" s="3" t="n">
        <v>30001883</v>
      </c>
      <c r="B2006" s="3" t="s">
        <v>476</v>
      </c>
      <c r="C2006" s="3" t="s">
        <v>1375</v>
      </c>
      <c r="D2006" s="23" t="n">
        <v>853.2</v>
      </c>
      <c r="E2006" s="23" t="n">
        <v>950</v>
      </c>
      <c r="F2006" s="23" t="n">
        <f aca="false">D2006-E2006</f>
        <v>-96.8</v>
      </c>
      <c r="G2006" s="24" t="n">
        <f aca="false">IF(E2006&gt;0,D2006/E2006-1,"")</f>
        <v>-0.101894736842105</v>
      </c>
      <c r="H2006" s="3" t="str">
        <f aca="false">IF(MAX(D2006,E2006)&lt;Parametros!$B$16,"",IF(E2006=0,"PIDE SIN FCST",IF(ABS(G2006)&gt;Parametros!$B$14,IF(G2006&gt;0,"SOBRE FCST","BAJO FCST"),"")))</f>
        <v/>
      </c>
    </row>
    <row r="2007" customFormat="false" ht="15" hidden="false" customHeight="false" outlineLevel="0" collapsed="false">
      <c r="A2007" s="3" t="n">
        <v>30001898</v>
      </c>
      <c r="B2007" s="3" t="s">
        <v>486</v>
      </c>
      <c r="C2007" s="3" t="s">
        <v>1378</v>
      </c>
      <c r="D2007" s="23" t="n">
        <v>139.2</v>
      </c>
      <c r="E2007" s="23" t="n">
        <v>235.579532813261</v>
      </c>
      <c r="F2007" s="23" t="n">
        <f aca="false">D2007-E2007</f>
        <v>-96.3795328132609</v>
      </c>
      <c r="G2007" s="24" t="n">
        <f aca="false">IF(E2007&gt;0,D2007/E2007-1,"")</f>
        <v>-0.409116749924362</v>
      </c>
      <c r="H2007" s="3" t="str">
        <f aca="false">IF(MAX(D2007,E2007)&lt;Parametros!$B$16,"",IF(E2007=0,"PIDE SIN FCST",IF(ABS(G2007)&gt;Parametros!$B$14,IF(G2007&gt;0,"SOBRE FCST","BAJO FCST"),"")))</f>
        <v/>
      </c>
    </row>
    <row r="2008" customFormat="false" ht="15" hidden="false" customHeight="false" outlineLevel="0" collapsed="false">
      <c r="A2008" s="3" t="n">
        <v>30000090</v>
      </c>
      <c r="B2008" s="3" t="s">
        <v>518</v>
      </c>
      <c r="C2008" s="3" t="s">
        <v>1372</v>
      </c>
      <c r="D2008" s="23" t="n">
        <v>1152</v>
      </c>
      <c r="E2008" s="23" t="n">
        <v>1055.8825735027</v>
      </c>
      <c r="F2008" s="23" t="n">
        <f aca="false">D2008-E2008</f>
        <v>96.1174264972981</v>
      </c>
      <c r="G2008" s="24" t="n">
        <f aca="false">IF(E2008&gt;0,D2008/E2008-1,"")</f>
        <v>0.0910304127649779</v>
      </c>
      <c r="H2008" s="3" t="str">
        <f aca="false">IF(MAX(D2008,E2008)&lt;Parametros!$B$16,"",IF(E2008=0,"PIDE SIN FCST",IF(ABS(G2008)&gt;Parametros!$B$14,IF(G2008&gt;0,"SOBRE FCST","BAJO FCST"),"")))</f>
        <v/>
      </c>
    </row>
    <row r="2009" customFormat="false" ht="15" hidden="false" customHeight="false" outlineLevel="0" collapsed="false">
      <c r="A2009" s="3" t="n">
        <v>30002126</v>
      </c>
      <c r="B2009" s="3" t="s">
        <v>624</v>
      </c>
      <c r="C2009" s="3" t="s">
        <v>1377</v>
      </c>
      <c r="D2009" s="23" t="n">
        <v>11.76</v>
      </c>
      <c r="E2009" s="23" t="n">
        <v>107.821883186967</v>
      </c>
      <c r="F2009" s="23" t="n">
        <f aca="false">D2009-E2009</f>
        <v>-96.0618831869671</v>
      </c>
      <c r="G2009" s="24" t="n">
        <f aca="false">IF(E2009&gt;0,D2009/E2009-1,"")</f>
        <v>-0.890931231653525</v>
      </c>
      <c r="H2009" s="3" t="str">
        <f aca="false">IF(MAX(D2009,E2009)&lt;Parametros!$B$16,"",IF(E2009=0,"PIDE SIN FCST",IF(ABS(G2009)&gt;Parametros!$B$14,IF(G2009&gt;0,"SOBRE FCST","BAJO FCST"),"")))</f>
        <v/>
      </c>
    </row>
    <row r="2010" customFormat="false" ht="15" hidden="false" customHeight="false" outlineLevel="0" collapsed="false">
      <c r="A2010" s="3" t="n">
        <v>30000633</v>
      </c>
      <c r="B2010" s="3" t="s">
        <v>492</v>
      </c>
      <c r="C2010" s="3" t="s">
        <v>1378</v>
      </c>
      <c r="D2010" s="23" t="n">
        <v>408</v>
      </c>
      <c r="E2010" s="23" t="n">
        <v>312</v>
      </c>
      <c r="F2010" s="23" t="n">
        <f aca="false">D2010-E2010</f>
        <v>96</v>
      </c>
      <c r="G2010" s="24" t="n">
        <f aca="false">IF(E2010&gt;0,D2010/E2010-1,"")</f>
        <v>0.307692307692308</v>
      </c>
      <c r="H2010" s="3" t="str">
        <f aca="false">IF(MAX(D2010,E2010)&lt;Parametros!$B$16,"",IF(E2010=0,"PIDE SIN FCST",IF(ABS(G2010)&gt;Parametros!$B$14,IF(G2010&gt;0,"SOBRE FCST","BAJO FCST"),"")))</f>
        <v/>
      </c>
    </row>
    <row r="2011" customFormat="false" ht="15" hidden="false" customHeight="false" outlineLevel="0" collapsed="false">
      <c r="A2011" s="3" t="n">
        <v>30000248</v>
      </c>
      <c r="B2011" s="3" t="s">
        <v>434</v>
      </c>
      <c r="C2011" s="3" t="s">
        <v>1376</v>
      </c>
      <c r="D2011" s="23" t="n">
        <v>0</v>
      </c>
      <c r="E2011" s="23" t="n">
        <v>96</v>
      </c>
      <c r="F2011" s="23" t="n">
        <f aca="false">D2011-E2011</f>
        <v>-96</v>
      </c>
      <c r="G2011" s="24" t="n">
        <f aca="false">IF(E2011&gt;0,D2011/E2011-1,"")</f>
        <v>-1</v>
      </c>
      <c r="H2011" s="3" t="str">
        <f aca="false">IF(MAX(D2011,E2011)&lt;Parametros!$B$16,"",IF(E2011=0,"PIDE SIN FCST",IF(ABS(G2011)&gt;Parametros!$B$14,IF(G2011&gt;0,"SOBRE FCST","BAJO FCST"),"")))</f>
        <v/>
      </c>
    </row>
    <row r="2012" customFormat="false" ht="15" hidden="false" customHeight="false" outlineLevel="0" collapsed="false">
      <c r="A2012" s="3" t="n">
        <v>30000635</v>
      </c>
      <c r="B2012" s="3" t="s">
        <v>558</v>
      </c>
      <c r="C2012" s="3" t="s">
        <v>1379</v>
      </c>
      <c r="D2012" s="23" t="n">
        <v>96</v>
      </c>
      <c r="E2012" s="23" t="n">
        <v>0</v>
      </c>
      <c r="F2012" s="23" t="n">
        <f aca="false">D2012-E2012</f>
        <v>96</v>
      </c>
      <c r="G2012" s="24" t="str">
        <f aca="false">IF(E2012&gt;0,D2012/E2012-1,"")</f>
        <v/>
      </c>
      <c r="H2012" s="3" t="str">
        <f aca="false">IF(MAX(D2012,E2012)&lt;Parametros!$B$16,"",IF(E2012=0,"PIDE SIN FCST",IF(ABS(G2012)&gt;Parametros!$B$14,IF(G2012&gt;0,"SOBRE FCST","BAJO FCST"),"")))</f>
        <v/>
      </c>
    </row>
    <row r="2013" customFormat="false" ht="15" hidden="false" customHeight="false" outlineLevel="0" collapsed="false">
      <c r="A2013" s="3" t="n">
        <v>30001939</v>
      </c>
      <c r="B2013" s="3" t="s">
        <v>312</v>
      </c>
      <c r="C2013" s="3" t="s">
        <v>1377</v>
      </c>
      <c r="D2013" s="23" t="n">
        <v>96</v>
      </c>
      <c r="E2013" s="23" t="n">
        <v>0</v>
      </c>
      <c r="F2013" s="23" t="n">
        <f aca="false">D2013-E2013</f>
        <v>96</v>
      </c>
      <c r="G2013" s="24" t="str">
        <f aca="false">IF(E2013&gt;0,D2013/E2013-1,"")</f>
        <v/>
      </c>
      <c r="H2013" s="3" t="str">
        <f aca="false">IF(MAX(D2013,E2013)&lt;Parametros!$B$16,"",IF(E2013=0,"PIDE SIN FCST",IF(ABS(G2013)&gt;Parametros!$B$14,IF(G2013&gt;0,"SOBRE FCST","BAJO FCST"),"")))</f>
        <v/>
      </c>
    </row>
    <row r="2014" customFormat="false" ht="15" hidden="false" customHeight="false" outlineLevel="0" collapsed="false">
      <c r="A2014" s="3" t="n">
        <v>30002101</v>
      </c>
      <c r="B2014" s="3" t="s">
        <v>629</v>
      </c>
      <c r="C2014" s="3" t="s">
        <v>1373</v>
      </c>
      <c r="D2014" s="23" t="n">
        <v>645.84</v>
      </c>
      <c r="E2014" s="23" t="n">
        <v>550</v>
      </c>
      <c r="F2014" s="23" t="n">
        <f aca="false">D2014-E2014</f>
        <v>95.84</v>
      </c>
      <c r="G2014" s="24" t="n">
        <f aca="false">IF(E2014&gt;0,D2014/E2014-1,"")</f>
        <v>0.174254545454545</v>
      </c>
      <c r="H2014" s="3" t="str">
        <f aca="false">IF(MAX(D2014,E2014)&lt;Parametros!$B$16,"",IF(E2014=0,"PIDE SIN FCST",IF(ABS(G2014)&gt;Parametros!$B$14,IF(G2014&gt;0,"SOBRE FCST","BAJO FCST"),"")))</f>
        <v/>
      </c>
    </row>
    <row r="2015" customFormat="false" ht="15" hidden="false" customHeight="false" outlineLevel="0" collapsed="false">
      <c r="A2015" s="3" t="n">
        <v>30001852</v>
      </c>
      <c r="B2015" s="3" t="s">
        <v>482</v>
      </c>
      <c r="C2015" s="3" t="s">
        <v>1378</v>
      </c>
      <c r="D2015" s="23" t="n">
        <v>97.44</v>
      </c>
      <c r="E2015" s="23" t="n">
        <v>193.024217011851</v>
      </c>
      <c r="F2015" s="23" t="n">
        <f aca="false">D2015-E2015</f>
        <v>-95.5842170118512</v>
      </c>
      <c r="G2015" s="24" t="n">
        <f aca="false">IF(E2015&gt;0,D2015/E2015-1,"")</f>
        <v>-0.495192875233798</v>
      </c>
      <c r="H2015" s="3" t="str">
        <f aca="false">IF(MAX(D2015,E2015)&lt;Parametros!$B$16,"",IF(E2015=0,"PIDE SIN FCST",IF(ABS(G2015)&gt;Parametros!$B$14,IF(G2015&gt;0,"SOBRE FCST","BAJO FCST"),"")))</f>
        <v/>
      </c>
    </row>
    <row r="2016" customFormat="false" ht="15" hidden="false" customHeight="false" outlineLevel="0" collapsed="false">
      <c r="A2016" s="3" t="n">
        <v>30000489</v>
      </c>
      <c r="B2016" s="3" t="s">
        <v>415</v>
      </c>
      <c r="C2016" s="3" t="s">
        <v>1378</v>
      </c>
      <c r="D2016" s="23" t="n">
        <v>162</v>
      </c>
      <c r="E2016" s="23" t="n">
        <v>66.4444915493402</v>
      </c>
      <c r="F2016" s="23" t="n">
        <f aca="false">D2016-E2016</f>
        <v>95.5555084506598</v>
      </c>
      <c r="G2016" s="24" t="n">
        <f aca="false">IF(E2016&gt;0,D2016/E2016-1,"")</f>
        <v>1.4381253618248</v>
      </c>
      <c r="H2016" s="3" t="str">
        <f aca="false">IF(MAX(D2016,E2016)&lt;Parametros!$B$16,"",IF(E2016=0,"PIDE SIN FCST",IF(ABS(G2016)&gt;Parametros!$B$14,IF(G2016&gt;0,"SOBRE FCST","BAJO FCST"),"")))</f>
        <v/>
      </c>
    </row>
    <row r="2017" customFormat="false" ht="15" hidden="false" customHeight="false" outlineLevel="0" collapsed="false">
      <c r="A2017" s="3" t="n">
        <v>30000640</v>
      </c>
      <c r="B2017" s="3" t="s">
        <v>606</v>
      </c>
      <c r="C2017" s="3" t="s">
        <v>1375</v>
      </c>
      <c r="D2017" s="23" t="n">
        <v>954.56</v>
      </c>
      <c r="E2017" s="23" t="n">
        <v>1050</v>
      </c>
      <c r="F2017" s="23" t="n">
        <f aca="false">D2017-E2017</f>
        <v>-95.4400000000001</v>
      </c>
      <c r="G2017" s="24" t="n">
        <f aca="false">IF(E2017&gt;0,D2017/E2017-1,"")</f>
        <v>-0.0908952380952381</v>
      </c>
      <c r="H2017" s="3" t="str">
        <f aca="false">IF(MAX(D2017,E2017)&lt;Parametros!$B$16,"",IF(E2017=0,"PIDE SIN FCST",IF(ABS(G2017)&gt;Parametros!$B$14,IF(G2017&gt;0,"SOBRE FCST","BAJO FCST"),"")))</f>
        <v/>
      </c>
    </row>
    <row r="2018" customFormat="false" ht="15" hidden="false" customHeight="false" outlineLevel="0" collapsed="false">
      <c r="A2018" s="3" t="n">
        <v>30001942</v>
      </c>
      <c r="B2018" s="3" t="s">
        <v>342</v>
      </c>
      <c r="C2018" s="3" t="s">
        <v>1377</v>
      </c>
      <c r="D2018" s="23" t="n">
        <v>336</v>
      </c>
      <c r="E2018" s="23" t="n">
        <v>431.287532747868</v>
      </c>
      <c r="F2018" s="23" t="n">
        <f aca="false">D2018-E2018</f>
        <v>-95.2875327478682</v>
      </c>
      <c r="G2018" s="24" t="n">
        <f aca="false">IF(E2018&gt;0,D2018/E2018-1,"")</f>
        <v>-0.22093736895375</v>
      </c>
      <c r="H2018" s="3" t="str">
        <f aca="false">IF(MAX(D2018,E2018)&lt;Parametros!$B$16,"",IF(E2018=0,"PIDE SIN FCST",IF(ABS(G2018)&gt;Parametros!$B$14,IF(G2018&gt;0,"SOBRE FCST","BAJO FCST"),"")))</f>
        <v/>
      </c>
    </row>
    <row r="2019" customFormat="false" ht="15" hidden="false" customHeight="false" outlineLevel="0" collapsed="false">
      <c r="A2019" s="3" t="n">
        <v>30001341</v>
      </c>
      <c r="B2019" s="3" t="s">
        <v>540</v>
      </c>
      <c r="C2019" s="3" t="s">
        <v>1377</v>
      </c>
      <c r="D2019" s="23" t="n">
        <v>1252.8</v>
      </c>
      <c r="E2019" s="23" t="n">
        <v>1158.15396754922</v>
      </c>
      <c r="F2019" s="23" t="n">
        <f aca="false">D2019-E2019</f>
        <v>94.646032450783</v>
      </c>
      <c r="G2019" s="24" t="n">
        <f aca="false">IF(E2019&gt;0,D2019/E2019-1,"")</f>
        <v>0.0817214594110181</v>
      </c>
      <c r="H2019" s="3" t="str">
        <f aca="false">IF(MAX(D2019,E2019)&lt;Parametros!$B$16,"",IF(E2019=0,"PIDE SIN FCST",IF(ABS(G2019)&gt;Parametros!$B$14,IF(G2019&gt;0,"SOBRE FCST","BAJO FCST"),"")))</f>
        <v/>
      </c>
    </row>
    <row r="2020" customFormat="false" ht="15" hidden="false" customHeight="false" outlineLevel="0" collapsed="false">
      <c r="A2020" s="3" t="n">
        <v>30000499</v>
      </c>
      <c r="B2020" s="3" t="s">
        <v>562</v>
      </c>
      <c r="C2020" s="3" t="s">
        <v>1377</v>
      </c>
      <c r="D2020" s="23" t="n">
        <v>610.2</v>
      </c>
      <c r="E2020" s="23" t="n">
        <v>515.712085135034</v>
      </c>
      <c r="F2020" s="23" t="n">
        <f aca="false">D2020-E2020</f>
        <v>94.4879148649662</v>
      </c>
      <c r="G2020" s="24" t="n">
        <f aca="false">IF(E2020&gt;0,D2020/E2020-1,"")</f>
        <v>0.183218345252129</v>
      </c>
      <c r="H2020" s="3" t="str">
        <f aca="false">IF(MAX(D2020,E2020)&lt;Parametros!$B$16,"",IF(E2020=0,"PIDE SIN FCST",IF(ABS(G2020)&gt;Parametros!$B$14,IF(G2020&gt;0,"SOBRE FCST","BAJO FCST"),"")))</f>
        <v/>
      </c>
    </row>
    <row r="2021" customFormat="false" ht="15" hidden="false" customHeight="false" outlineLevel="0" collapsed="false">
      <c r="A2021" s="3" t="n">
        <v>30001032</v>
      </c>
      <c r="B2021" s="3" t="s">
        <v>316</v>
      </c>
      <c r="C2021" s="3" t="s">
        <v>1373</v>
      </c>
      <c r="D2021" s="23" t="n">
        <v>918</v>
      </c>
      <c r="E2021" s="23" t="n">
        <v>823.738927969343</v>
      </c>
      <c r="F2021" s="23" t="n">
        <f aca="false">D2021-E2021</f>
        <v>94.2610720306569</v>
      </c>
      <c r="G2021" s="24" t="n">
        <f aca="false">IF(E2021&gt;0,D2021/E2021-1,"")</f>
        <v>0.114430760560299</v>
      </c>
      <c r="H2021" s="3" t="str">
        <f aca="false">IF(MAX(D2021,E2021)&lt;Parametros!$B$16,"",IF(E2021=0,"PIDE SIN FCST",IF(ABS(G2021)&gt;Parametros!$B$14,IF(G2021&gt;0,"SOBRE FCST","BAJO FCST"),"")))</f>
        <v/>
      </c>
    </row>
    <row r="2022" customFormat="false" ht="15" hidden="false" customHeight="false" outlineLevel="0" collapsed="false">
      <c r="A2022" s="3" t="n">
        <v>30001899</v>
      </c>
      <c r="B2022" s="3" t="s">
        <v>582</v>
      </c>
      <c r="C2022" s="3" t="s">
        <v>1378</v>
      </c>
      <c r="D2022" s="23" t="n">
        <v>455.04</v>
      </c>
      <c r="E2022" s="23" t="n">
        <v>548.911405315469</v>
      </c>
      <c r="F2022" s="23" t="n">
        <f aca="false">D2022-E2022</f>
        <v>-93.8714053154687</v>
      </c>
      <c r="G2022" s="24" t="n">
        <f aca="false">IF(E2022&gt;0,D2022/E2022-1,"")</f>
        <v>-0.171013763617317</v>
      </c>
      <c r="H2022" s="3" t="str">
        <f aca="false">IF(MAX(D2022,E2022)&lt;Parametros!$B$16,"",IF(E2022=0,"PIDE SIN FCST",IF(ABS(G2022)&gt;Parametros!$B$14,IF(G2022&gt;0,"SOBRE FCST","BAJO FCST"),"")))</f>
        <v/>
      </c>
    </row>
    <row r="2023" customFormat="false" ht="15" hidden="false" customHeight="false" outlineLevel="0" collapsed="false">
      <c r="A2023" s="3" t="n">
        <v>30002274</v>
      </c>
      <c r="B2023" s="3" t="s">
        <v>576</v>
      </c>
      <c r="C2023" s="3" t="s">
        <v>1377</v>
      </c>
      <c r="D2023" s="23" t="n">
        <v>299.7</v>
      </c>
      <c r="E2023" s="23" t="n">
        <v>393.327619926994</v>
      </c>
      <c r="F2023" s="23" t="n">
        <f aca="false">D2023-E2023</f>
        <v>-93.6276199269938</v>
      </c>
      <c r="G2023" s="24" t="n">
        <f aca="false">IF(E2023&gt;0,D2023/E2023-1,"")</f>
        <v>-0.238039779521134</v>
      </c>
      <c r="H2023" s="3" t="str">
        <f aca="false">IF(MAX(D2023,E2023)&lt;Parametros!$B$16,"",IF(E2023=0,"PIDE SIN FCST",IF(ABS(G2023)&gt;Parametros!$B$14,IF(G2023&gt;0,"SOBRE FCST","BAJO FCST"),"")))</f>
        <v/>
      </c>
    </row>
    <row r="2024" customFormat="false" ht="15" hidden="false" customHeight="false" outlineLevel="0" collapsed="false">
      <c r="A2024" s="3" t="n">
        <v>30000616</v>
      </c>
      <c r="B2024" s="3" t="s">
        <v>372</v>
      </c>
      <c r="C2024" s="3" t="s">
        <v>1373</v>
      </c>
      <c r="D2024" s="23" t="n">
        <v>3427.2</v>
      </c>
      <c r="E2024" s="23" t="n">
        <v>3520</v>
      </c>
      <c r="F2024" s="23" t="n">
        <f aca="false">D2024-E2024</f>
        <v>-92.8000000000002</v>
      </c>
      <c r="G2024" s="24" t="n">
        <f aca="false">IF(E2024&gt;0,D2024/E2024-1,"")</f>
        <v>-0.0263636363636364</v>
      </c>
      <c r="H2024" s="3" t="str">
        <f aca="false">IF(MAX(D2024,E2024)&lt;Parametros!$B$16,"",IF(E2024=0,"PIDE SIN FCST",IF(ABS(G2024)&gt;Parametros!$B$14,IF(G2024&gt;0,"SOBRE FCST","BAJO FCST"),"")))</f>
        <v/>
      </c>
    </row>
    <row r="2025" customFormat="false" ht="15" hidden="false" customHeight="false" outlineLevel="0" collapsed="false">
      <c r="A2025" s="3" t="n">
        <v>30001856</v>
      </c>
      <c r="B2025" s="3" t="s">
        <v>472</v>
      </c>
      <c r="C2025" s="3" t="s">
        <v>1375</v>
      </c>
      <c r="D2025" s="23" t="n">
        <v>2990.4</v>
      </c>
      <c r="E2025" s="23" t="n">
        <v>2897.74768622165</v>
      </c>
      <c r="F2025" s="23" t="n">
        <f aca="false">D2025-E2025</f>
        <v>92.6523137783479</v>
      </c>
      <c r="G2025" s="24" t="n">
        <f aca="false">IF(E2025&gt;0,D2025/E2025-1,"")</f>
        <v>0.0319739065685034</v>
      </c>
      <c r="H2025" s="3" t="str">
        <f aca="false">IF(MAX(D2025,E2025)&lt;Parametros!$B$16,"",IF(E2025=0,"PIDE SIN FCST",IF(ABS(G2025)&gt;Parametros!$B$14,IF(G2025&gt;0,"SOBRE FCST","BAJO FCST"),"")))</f>
        <v/>
      </c>
    </row>
    <row r="2026" customFormat="false" ht="15" hidden="false" customHeight="false" outlineLevel="0" collapsed="false">
      <c r="A2026" s="3" t="n">
        <v>30001889</v>
      </c>
      <c r="B2026" s="3" t="s">
        <v>507</v>
      </c>
      <c r="C2026" s="3" t="s">
        <v>1379</v>
      </c>
      <c r="D2026" s="23" t="n">
        <v>1550.4</v>
      </c>
      <c r="E2026" s="23" t="n">
        <v>1642.85128609184</v>
      </c>
      <c r="F2026" s="23" t="n">
        <f aca="false">D2026-E2026</f>
        <v>-92.4512860918378</v>
      </c>
      <c r="G2026" s="24" t="n">
        <f aca="false">IF(E2026&gt;0,D2026/E2026-1,"")</f>
        <v>-0.0562748965012951</v>
      </c>
      <c r="H2026" s="3" t="str">
        <f aca="false">IF(MAX(D2026,E2026)&lt;Parametros!$B$16,"",IF(E2026=0,"PIDE SIN FCST",IF(ABS(G2026)&gt;Parametros!$B$14,IF(G2026&gt;0,"SOBRE FCST","BAJO FCST"),"")))</f>
        <v/>
      </c>
    </row>
    <row r="2027" customFormat="false" ht="15" hidden="false" customHeight="false" outlineLevel="0" collapsed="false">
      <c r="A2027" s="3" t="n">
        <v>30001828</v>
      </c>
      <c r="B2027" s="3" t="s">
        <v>510</v>
      </c>
      <c r="C2027" s="3" t="s">
        <v>1373</v>
      </c>
      <c r="D2027" s="23" t="n">
        <v>185.64</v>
      </c>
      <c r="E2027" s="23" t="n">
        <v>93.2336294573528</v>
      </c>
      <c r="F2027" s="23" t="n">
        <f aca="false">D2027-E2027</f>
        <v>92.4063705426472</v>
      </c>
      <c r="G2027" s="24" t="n">
        <f aca="false">IF(E2027&gt;0,D2027/E2027-1,"")</f>
        <v>0.991127033029599</v>
      </c>
      <c r="H2027" s="3" t="str">
        <f aca="false">IF(MAX(D2027,E2027)&lt;Parametros!$B$16,"",IF(E2027=0,"PIDE SIN FCST",IF(ABS(G2027)&gt;Parametros!$B$14,IF(G2027&gt;0,"SOBRE FCST","BAJO FCST"),"")))</f>
        <v/>
      </c>
    </row>
    <row r="2028" customFormat="false" ht="15" hidden="false" customHeight="false" outlineLevel="0" collapsed="false">
      <c r="A2028" s="3" t="n">
        <v>30001152</v>
      </c>
      <c r="B2028" s="3" t="s">
        <v>577</v>
      </c>
      <c r="C2028" s="3" t="s">
        <v>1380</v>
      </c>
      <c r="D2028" s="23" t="n">
        <v>2292.16</v>
      </c>
      <c r="E2028" s="23" t="n">
        <v>2200</v>
      </c>
      <c r="F2028" s="23" t="n">
        <f aca="false">D2028-E2028</f>
        <v>92.1599999999999</v>
      </c>
      <c r="G2028" s="24" t="n">
        <f aca="false">IF(E2028&gt;0,D2028/E2028-1,"")</f>
        <v>0.041890909090909</v>
      </c>
      <c r="H2028" s="3" t="str">
        <f aca="false">IF(MAX(D2028,E2028)&lt;Parametros!$B$16,"",IF(E2028=0,"PIDE SIN FCST",IF(ABS(G2028)&gt;Parametros!$B$14,IF(G2028&gt;0,"SOBRE FCST","BAJO FCST"),"")))</f>
        <v/>
      </c>
    </row>
    <row r="2029" customFormat="false" ht="15" hidden="false" customHeight="false" outlineLevel="0" collapsed="false">
      <c r="A2029" s="3" t="n">
        <v>30001041</v>
      </c>
      <c r="B2029" s="3" t="s">
        <v>258</v>
      </c>
      <c r="C2029" s="3" t="s">
        <v>1375</v>
      </c>
      <c r="D2029" s="23" t="n">
        <v>8923.2</v>
      </c>
      <c r="E2029" s="23" t="n">
        <v>8831.04816065662</v>
      </c>
      <c r="F2029" s="23" t="n">
        <f aca="false">D2029-E2029</f>
        <v>92.1518393433835</v>
      </c>
      <c r="G2029" s="24" t="n">
        <f aca="false">IF(E2029&gt;0,D2029/E2029-1,"")</f>
        <v>0.0104349832168202</v>
      </c>
      <c r="H2029" s="3" t="str">
        <f aca="false">IF(MAX(D2029,E2029)&lt;Parametros!$B$16,"",IF(E2029=0,"PIDE SIN FCST",IF(ABS(G2029)&gt;Parametros!$B$14,IF(G2029&gt;0,"SOBRE FCST","BAJO FCST"),"")))</f>
        <v/>
      </c>
    </row>
    <row r="2030" customFormat="false" ht="15" hidden="false" customHeight="false" outlineLevel="0" collapsed="false">
      <c r="A2030" s="3" t="n">
        <v>30001036</v>
      </c>
      <c r="B2030" s="3" t="s">
        <v>610</v>
      </c>
      <c r="C2030" s="3" t="s">
        <v>1377</v>
      </c>
      <c r="D2030" s="23" t="n">
        <v>167.4</v>
      </c>
      <c r="E2030" s="23" t="n">
        <v>259.154565691509</v>
      </c>
      <c r="F2030" s="23" t="n">
        <f aca="false">D2030-E2030</f>
        <v>-91.7545656915094</v>
      </c>
      <c r="G2030" s="24" t="n">
        <f aca="false">IF(E2030&gt;0,D2030/E2030-1,"")</f>
        <v>-0.354053440836275</v>
      </c>
      <c r="H2030" s="3" t="str">
        <f aca="false">IF(MAX(D2030,E2030)&lt;Parametros!$B$16,"",IF(E2030=0,"PIDE SIN FCST",IF(ABS(G2030)&gt;Parametros!$B$14,IF(G2030&gt;0,"SOBRE FCST","BAJO FCST"),"")))</f>
        <v/>
      </c>
    </row>
    <row r="2031" customFormat="false" ht="15" hidden="false" customHeight="false" outlineLevel="0" collapsed="false">
      <c r="A2031" s="3" t="n">
        <v>30001020</v>
      </c>
      <c r="B2031" s="3" t="s">
        <v>461</v>
      </c>
      <c r="C2031" s="3" t="s">
        <v>1380</v>
      </c>
      <c r="D2031" s="23" t="n">
        <v>5961.6</v>
      </c>
      <c r="E2031" s="23" t="n">
        <v>6051.77821806538</v>
      </c>
      <c r="F2031" s="23" t="n">
        <f aca="false">D2031-E2031</f>
        <v>-90.1782180653772</v>
      </c>
      <c r="G2031" s="24" t="n">
        <f aca="false">IF(E2031&gt;0,D2031/E2031-1,"")</f>
        <v>-0.0149011108497306</v>
      </c>
      <c r="H2031" s="3" t="str">
        <f aca="false">IF(MAX(D2031,E2031)&lt;Parametros!$B$16,"",IF(E2031=0,"PIDE SIN FCST",IF(ABS(G2031)&gt;Parametros!$B$14,IF(G2031&gt;0,"SOBRE FCST","BAJO FCST"),"")))</f>
        <v/>
      </c>
    </row>
    <row r="2032" customFormat="false" ht="15" hidden="false" customHeight="false" outlineLevel="0" collapsed="false">
      <c r="A2032" s="3" t="n">
        <v>30002330</v>
      </c>
      <c r="B2032" s="3" t="s">
        <v>275</v>
      </c>
      <c r="C2032" s="3" t="s">
        <v>1376</v>
      </c>
      <c r="D2032" s="23" t="n">
        <v>90</v>
      </c>
      <c r="E2032" s="23" t="n">
        <v>0</v>
      </c>
      <c r="F2032" s="23" t="n">
        <f aca="false">D2032-E2032</f>
        <v>90</v>
      </c>
      <c r="G2032" s="24" t="str">
        <f aca="false">IF(E2032&gt;0,D2032/E2032-1,"")</f>
        <v/>
      </c>
      <c r="H2032" s="3" t="str">
        <f aca="false">IF(MAX(D2032,E2032)&lt;Parametros!$B$16,"",IF(E2032=0,"PIDE SIN FCST",IF(ABS(G2032)&gt;Parametros!$B$14,IF(G2032&gt;0,"SOBRE FCST","BAJO FCST"),"")))</f>
        <v/>
      </c>
    </row>
    <row r="2033" customFormat="false" ht="15" hidden="false" customHeight="false" outlineLevel="0" collapsed="false">
      <c r="A2033" s="3" t="n">
        <v>30000441</v>
      </c>
      <c r="B2033" s="3" t="s">
        <v>229</v>
      </c>
      <c r="C2033" s="3" t="s">
        <v>1372</v>
      </c>
      <c r="D2033" s="23" t="n">
        <v>90</v>
      </c>
      <c r="E2033" s="23" t="n">
        <v>0</v>
      </c>
      <c r="F2033" s="23" t="n">
        <f aca="false">D2033-E2033</f>
        <v>90</v>
      </c>
      <c r="G2033" s="24" t="str">
        <f aca="false">IF(E2033&gt;0,D2033/E2033-1,"")</f>
        <v/>
      </c>
      <c r="H2033" s="3" t="str">
        <f aca="false">IF(MAX(D2033,E2033)&lt;Parametros!$B$16,"",IF(E2033=0,"PIDE SIN FCST",IF(ABS(G2033)&gt;Parametros!$B$14,IF(G2033&gt;0,"SOBRE FCST","BAJO FCST"),"")))</f>
        <v/>
      </c>
    </row>
    <row r="2034" customFormat="false" ht="15" hidden="false" customHeight="false" outlineLevel="0" collapsed="false">
      <c r="A2034" s="3" t="n">
        <v>30001815</v>
      </c>
      <c r="B2034" s="3" t="s">
        <v>332</v>
      </c>
      <c r="C2034" s="3" t="s">
        <v>1372</v>
      </c>
      <c r="D2034" s="23" t="n">
        <v>90</v>
      </c>
      <c r="E2034" s="23" t="n">
        <v>0</v>
      </c>
      <c r="F2034" s="23" t="n">
        <f aca="false">D2034-E2034</f>
        <v>90</v>
      </c>
      <c r="G2034" s="24" t="str">
        <f aca="false">IF(E2034&gt;0,D2034/E2034-1,"")</f>
        <v/>
      </c>
      <c r="H2034" s="3" t="str">
        <f aca="false">IF(MAX(D2034,E2034)&lt;Parametros!$B$16,"",IF(E2034=0,"PIDE SIN FCST",IF(ABS(G2034)&gt;Parametros!$B$14,IF(G2034&gt;0,"SOBRE FCST","BAJO FCST"),"")))</f>
        <v/>
      </c>
    </row>
    <row r="2035" customFormat="false" ht="15" hidden="false" customHeight="false" outlineLevel="0" collapsed="false">
      <c r="A2035" s="3" t="n">
        <v>30000638</v>
      </c>
      <c r="B2035" s="3" t="s">
        <v>277</v>
      </c>
      <c r="C2035" s="3" t="s">
        <v>1377</v>
      </c>
      <c r="D2035" s="23" t="n">
        <v>431.68</v>
      </c>
      <c r="E2035" s="23" t="n">
        <v>521.6</v>
      </c>
      <c r="F2035" s="23" t="n">
        <f aca="false">D2035-E2035</f>
        <v>-89.92</v>
      </c>
      <c r="G2035" s="24" t="n">
        <f aca="false">IF(E2035&gt;0,D2035/E2035-1,"")</f>
        <v>-0.17239263803681</v>
      </c>
      <c r="H2035" s="3" t="str">
        <f aca="false">IF(MAX(D2035,E2035)&lt;Parametros!$B$16,"",IF(E2035=0,"PIDE SIN FCST",IF(ABS(G2035)&gt;Parametros!$B$14,IF(G2035&gt;0,"SOBRE FCST","BAJO FCST"),"")))</f>
        <v/>
      </c>
    </row>
    <row r="2036" customFormat="false" ht="15" hidden="false" customHeight="false" outlineLevel="0" collapsed="false">
      <c r="A2036" s="3" t="n">
        <v>30000633</v>
      </c>
      <c r="B2036" s="3" t="s">
        <v>492</v>
      </c>
      <c r="C2036" s="3" t="s">
        <v>1376</v>
      </c>
      <c r="D2036" s="23" t="n">
        <v>710.4</v>
      </c>
      <c r="E2036" s="23" t="n">
        <v>800</v>
      </c>
      <c r="F2036" s="23" t="n">
        <f aca="false">D2036-E2036</f>
        <v>-89.6</v>
      </c>
      <c r="G2036" s="24" t="n">
        <f aca="false">IF(E2036&gt;0,D2036/E2036-1,"")</f>
        <v>-0.112</v>
      </c>
      <c r="H2036" s="3" t="str">
        <f aca="false">IF(MAX(D2036,E2036)&lt;Parametros!$B$16,"",IF(E2036=0,"PIDE SIN FCST",IF(ABS(G2036)&gt;Parametros!$B$14,IF(G2036&gt;0,"SOBRE FCST","BAJO FCST"),"")))</f>
        <v/>
      </c>
    </row>
    <row r="2037" customFormat="false" ht="15" hidden="false" customHeight="false" outlineLevel="0" collapsed="false">
      <c r="A2037" s="3" t="n">
        <v>30002066</v>
      </c>
      <c r="B2037" s="3" t="s">
        <v>247</v>
      </c>
      <c r="C2037" s="3" t="s">
        <v>1378</v>
      </c>
      <c r="D2037" s="23" t="n">
        <v>1260</v>
      </c>
      <c r="E2037" s="23" t="n">
        <v>1170.86388942215</v>
      </c>
      <c r="F2037" s="23" t="n">
        <f aca="false">D2037-E2037</f>
        <v>89.136110577846</v>
      </c>
      <c r="G2037" s="24" t="n">
        <f aca="false">IF(E2037&gt;0,D2037/E2037-1,"")</f>
        <v>0.0761284991219915</v>
      </c>
      <c r="H2037" s="3" t="str">
        <f aca="false">IF(MAX(D2037,E2037)&lt;Parametros!$B$16,"",IF(E2037=0,"PIDE SIN FCST",IF(ABS(G2037)&gt;Parametros!$B$14,IF(G2037&gt;0,"SOBRE FCST","BAJO FCST"),"")))</f>
        <v/>
      </c>
    </row>
    <row r="2038" customFormat="false" ht="15" hidden="false" customHeight="false" outlineLevel="0" collapsed="false">
      <c r="A2038" s="3" t="n">
        <v>30001050</v>
      </c>
      <c r="B2038" s="3" t="s">
        <v>233</v>
      </c>
      <c r="C2038" s="3" t="s">
        <v>1373</v>
      </c>
      <c r="D2038" s="23" t="n">
        <v>3312</v>
      </c>
      <c r="E2038" s="23" t="n">
        <v>3400.77977939578</v>
      </c>
      <c r="F2038" s="23" t="n">
        <f aca="false">D2038-E2038</f>
        <v>-88.7797793957761</v>
      </c>
      <c r="G2038" s="24" t="n">
        <f aca="false">IF(E2038&gt;0,D2038/E2038-1,"")</f>
        <v>-0.0261057125585327</v>
      </c>
      <c r="H2038" s="3" t="str">
        <f aca="false">IF(MAX(D2038,E2038)&lt;Parametros!$B$16,"",IF(E2038=0,"PIDE SIN FCST",IF(ABS(G2038)&gt;Parametros!$B$14,IF(G2038&gt;0,"SOBRE FCST","BAJO FCST"),"")))</f>
        <v/>
      </c>
    </row>
    <row r="2039" customFormat="false" ht="15" hidden="false" customHeight="false" outlineLevel="0" collapsed="false">
      <c r="A2039" s="3" t="n">
        <v>30001710</v>
      </c>
      <c r="B2039" s="3" t="s">
        <v>335</v>
      </c>
      <c r="C2039" s="3" t="s">
        <v>1378</v>
      </c>
      <c r="D2039" s="23" t="n">
        <v>1868.16</v>
      </c>
      <c r="E2039" s="23" t="n">
        <v>1956.47944695108</v>
      </c>
      <c r="F2039" s="23" t="n">
        <f aca="false">D2039-E2039</f>
        <v>-88.3194469510809</v>
      </c>
      <c r="G2039" s="24" t="n">
        <f aca="false">IF(E2039&gt;0,D2039/E2039-1,"")</f>
        <v>-0.0451420264540552</v>
      </c>
      <c r="H2039" s="3" t="str">
        <f aca="false">IF(MAX(D2039,E2039)&lt;Parametros!$B$16,"",IF(E2039=0,"PIDE SIN FCST",IF(ABS(G2039)&gt;Parametros!$B$14,IF(G2039&gt;0,"SOBRE FCST","BAJO FCST"),"")))</f>
        <v/>
      </c>
    </row>
    <row r="2040" customFormat="false" ht="15" hidden="false" customHeight="false" outlineLevel="0" collapsed="false">
      <c r="A2040" s="3" t="n">
        <v>30002268</v>
      </c>
      <c r="B2040" s="3" t="s">
        <v>370</v>
      </c>
      <c r="C2040" s="3" t="s">
        <v>1379</v>
      </c>
      <c r="D2040" s="23" t="n">
        <v>0</v>
      </c>
      <c r="E2040" s="23" t="n">
        <v>87.8</v>
      </c>
      <c r="F2040" s="23" t="n">
        <f aca="false">D2040-E2040</f>
        <v>-87.8</v>
      </c>
      <c r="G2040" s="24" t="n">
        <f aca="false">IF(E2040&gt;0,D2040/E2040-1,"")</f>
        <v>-1</v>
      </c>
      <c r="H2040" s="3" t="str">
        <f aca="false">IF(MAX(D2040,E2040)&lt;Parametros!$B$16,"",IF(E2040=0,"PIDE SIN FCST",IF(ABS(G2040)&gt;Parametros!$B$14,IF(G2040&gt;0,"SOBRE FCST","BAJO FCST"),"")))</f>
        <v/>
      </c>
    </row>
    <row r="2041" customFormat="false" ht="15" hidden="false" customHeight="false" outlineLevel="0" collapsed="false">
      <c r="A2041" s="3" t="n">
        <v>30001536</v>
      </c>
      <c r="B2041" s="3" t="s">
        <v>440</v>
      </c>
      <c r="C2041" s="3" t="s">
        <v>1373</v>
      </c>
      <c r="D2041" s="23" t="n">
        <v>584.64</v>
      </c>
      <c r="E2041" s="23" t="n">
        <v>496.898319203764</v>
      </c>
      <c r="F2041" s="23" t="n">
        <f aca="false">D2041-E2041</f>
        <v>87.7416807962361</v>
      </c>
      <c r="G2041" s="24" t="n">
        <f aca="false">IF(E2041&gt;0,D2041/E2041-1,"")</f>
        <v>0.176578743387248</v>
      </c>
      <c r="H2041" s="3" t="str">
        <f aca="false">IF(MAX(D2041,E2041)&lt;Parametros!$B$16,"",IF(E2041=0,"PIDE SIN FCST",IF(ABS(G2041)&gt;Parametros!$B$14,IF(G2041&gt;0,"SOBRE FCST","BAJO FCST"),"")))</f>
        <v/>
      </c>
    </row>
    <row r="2042" customFormat="false" ht="15" hidden="false" customHeight="false" outlineLevel="0" collapsed="false">
      <c r="A2042" s="3" t="n">
        <v>30001537</v>
      </c>
      <c r="B2042" s="3" t="s">
        <v>571</v>
      </c>
      <c r="C2042" s="3" t="s">
        <v>1377</v>
      </c>
      <c r="D2042" s="23" t="n">
        <v>668.16</v>
      </c>
      <c r="E2042" s="23" t="n">
        <v>755.160496492422</v>
      </c>
      <c r="F2042" s="23" t="n">
        <f aca="false">D2042-E2042</f>
        <v>-87.0004964924221</v>
      </c>
      <c r="G2042" s="24" t="n">
        <f aca="false">IF(E2042&gt;0,D2042/E2042-1,"")</f>
        <v>-0.115207954993042</v>
      </c>
      <c r="H2042" s="3" t="str">
        <f aca="false">IF(MAX(D2042,E2042)&lt;Parametros!$B$16,"",IF(E2042=0,"PIDE SIN FCST",IF(ABS(G2042)&gt;Parametros!$B$14,IF(G2042&gt;0,"SOBRE FCST","BAJO FCST"),"")))</f>
        <v/>
      </c>
    </row>
    <row r="2043" customFormat="false" ht="15" hidden="false" customHeight="false" outlineLevel="0" collapsed="false">
      <c r="A2043" s="3" t="n">
        <v>30000635</v>
      </c>
      <c r="B2043" s="3" t="s">
        <v>558</v>
      </c>
      <c r="C2043" s="3" t="s">
        <v>1377</v>
      </c>
      <c r="D2043" s="23" t="n">
        <v>393.6</v>
      </c>
      <c r="E2043" s="23" t="n">
        <v>306.8</v>
      </c>
      <c r="F2043" s="23" t="n">
        <f aca="false">D2043-E2043</f>
        <v>86.8</v>
      </c>
      <c r="G2043" s="24" t="n">
        <f aca="false">IF(E2043&gt;0,D2043/E2043-1,"")</f>
        <v>0.282920469361147</v>
      </c>
      <c r="H2043" s="3" t="str">
        <f aca="false">IF(MAX(D2043,E2043)&lt;Parametros!$B$16,"",IF(E2043=0,"PIDE SIN FCST",IF(ABS(G2043)&gt;Parametros!$B$14,IF(G2043&gt;0,"SOBRE FCST","BAJO FCST"),"")))</f>
        <v/>
      </c>
    </row>
    <row r="2044" customFormat="false" ht="15" hidden="false" customHeight="false" outlineLevel="0" collapsed="false">
      <c r="A2044" s="3" t="n">
        <v>30000355</v>
      </c>
      <c r="B2044" s="3" t="s">
        <v>583</v>
      </c>
      <c r="C2044" s="3" t="s">
        <v>1380</v>
      </c>
      <c r="D2044" s="23" t="n">
        <v>0</v>
      </c>
      <c r="E2044" s="23" t="n">
        <v>86.2845150362159</v>
      </c>
      <c r="F2044" s="23" t="n">
        <f aca="false">D2044-E2044</f>
        <v>-86.2845150362159</v>
      </c>
      <c r="G2044" s="24" t="n">
        <f aca="false">IF(E2044&gt;0,D2044/E2044-1,"")</f>
        <v>-1</v>
      </c>
      <c r="H2044" s="3" t="str">
        <f aca="false">IF(MAX(D2044,E2044)&lt;Parametros!$B$16,"",IF(E2044=0,"PIDE SIN FCST",IF(ABS(G2044)&gt;Parametros!$B$14,IF(G2044&gt;0,"SOBRE FCST","BAJO FCST"),"")))</f>
        <v/>
      </c>
    </row>
    <row r="2045" customFormat="false" ht="15" hidden="false" customHeight="false" outlineLevel="0" collapsed="false">
      <c r="A2045" s="3" t="n">
        <v>30001047</v>
      </c>
      <c r="B2045" s="3" t="s">
        <v>374</v>
      </c>
      <c r="C2045" s="3" t="s">
        <v>1373</v>
      </c>
      <c r="D2045" s="23" t="n">
        <v>3240</v>
      </c>
      <c r="E2045" s="23" t="n">
        <v>3153.78761294491</v>
      </c>
      <c r="F2045" s="23" t="n">
        <f aca="false">D2045-E2045</f>
        <v>86.212387055089</v>
      </c>
      <c r="G2045" s="24" t="n">
        <f aca="false">IF(E2045&gt;0,D2045/E2045-1,"")</f>
        <v>0.0273361423265235</v>
      </c>
      <c r="H2045" s="3" t="str">
        <f aca="false">IF(MAX(D2045,E2045)&lt;Parametros!$B$16,"",IF(E2045=0,"PIDE SIN FCST",IF(ABS(G2045)&gt;Parametros!$B$14,IF(G2045&gt;0,"SOBRE FCST","BAJO FCST"),"")))</f>
        <v/>
      </c>
    </row>
    <row r="2046" customFormat="false" ht="15" hidden="false" customHeight="false" outlineLevel="0" collapsed="false">
      <c r="A2046" s="3" t="n">
        <v>30001365</v>
      </c>
      <c r="B2046" s="3" t="s">
        <v>302</v>
      </c>
      <c r="C2046" s="3" t="s">
        <v>1372</v>
      </c>
      <c r="D2046" s="23" t="n">
        <v>395.5</v>
      </c>
      <c r="E2046" s="23" t="n">
        <v>481.65</v>
      </c>
      <c r="F2046" s="23" t="n">
        <f aca="false">D2046-E2046</f>
        <v>-86.15</v>
      </c>
      <c r="G2046" s="24" t="n">
        <f aca="false">IF(E2046&gt;0,D2046/E2046-1,"")</f>
        <v>-0.178864320564725</v>
      </c>
      <c r="H2046" s="3" t="str">
        <f aca="false">IF(MAX(D2046,E2046)&lt;Parametros!$B$16,"",IF(E2046=0,"PIDE SIN FCST",IF(ABS(G2046)&gt;Parametros!$B$14,IF(G2046&gt;0,"SOBRE FCST","BAJO FCST"),"")))</f>
        <v/>
      </c>
    </row>
    <row r="2047" customFormat="false" ht="15" hidden="false" customHeight="false" outlineLevel="0" collapsed="false">
      <c r="A2047" s="3" t="n">
        <v>30001092</v>
      </c>
      <c r="B2047" s="3" t="s">
        <v>473</v>
      </c>
      <c r="C2047" s="3" t="s">
        <v>1376</v>
      </c>
      <c r="D2047" s="23" t="n">
        <v>165.6</v>
      </c>
      <c r="E2047" s="23" t="n">
        <v>79.6689466487848</v>
      </c>
      <c r="F2047" s="23" t="n">
        <f aca="false">D2047-E2047</f>
        <v>85.9310533512152</v>
      </c>
      <c r="G2047" s="24" t="n">
        <f aca="false">IF(E2047&gt;0,D2047/E2047-1,"")</f>
        <v>1.07860160032034</v>
      </c>
      <c r="H2047" s="3" t="str">
        <f aca="false">IF(MAX(D2047,E2047)&lt;Parametros!$B$16,"",IF(E2047=0,"PIDE SIN FCST",IF(ABS(G2047)&gt;Parametros!$B$14,IF(G2047&gt;0,"SOBRE FCST","BAJO FCST"),"")))</f>
        <v/>
      </c>
    </row>
    <row r="2048" customFormat="false" ht="15" hidden="false" customHeight="false" outlineLevel="0" collapsed="false">
      <c r="A2048" s="3" t="n">
        <v>30001048</v>
      </c>
      <c r="B2048" s="3" t="s">
        <v>456</v>
      </c>
      <c r="C2048" s="3" t="s">
        <v>1373</v>
      </c>
      <c r="D2048" s="23" t="n">
        <v>2859.84</v>
      </c>
      <c r="E2048" s="23" t="n">
        <v>2945.53224446571</v>
      </c>
      <c r="F2048" s="23" t="n">
        <f aca="false">D2048-E2048</f>
        <v>-85.6922444657107</v>
      </c>
      <c r="G2048" s="24" t="n">
        <f aca="false">IF(E2048&gt;0,D2048/E2048-1,"")</f>
        <v>-0.029092278526815</v>
      </c>
      <c r="H2048" s="3" t="str">
        <f aca="false">IF(MAX(D2048,E2048)&lt;Parametros!$B$16,"",IF(E2048=0,"PIDE SIN FCST",IF(ABS(G2048)&gt;Parametros!$B$14,IF(G2048&gt;0,"SOBRE FCST","BAJO FCST"),"")))</f>
        <v/>
      </c>
    </row>
    <row r="2049" customFormat="false" ht="15" hidden="false" customHeight="false" outlineLevel="0" collapsed="false">
      <c r="A2049" s="3" t="n">
        <v>30000653</v>
      </c>
      <c r="B2049" s="3" t="s">
        <v>596</v>
      </c>
      <c r="C2049" s="3" t="s">
        <v>1379</v>
      </c>
      <c r="D2049" s="23" t="n">
        <v>1185.6</v>
      </c>
      <c r="E2049" s="23" t="n">
        <v>1100</v>
      </c>
      <c r="F2049" s="23" t="n">
        <f aca="false">D2049-E2049</f>
        <v>85.5999999999999</v>
      </c>
      <c r="G2049" s="24" t="n">
        <f aca="false">IF(E2049&gt;0,D2049/E2049-1,"")</f>
        <v>0.0778181818181818</v>
      </c>
      <c r="H2049" s="3" t="str">
        <f aca="false">IF(MAX(D2049,E2049)&lt;Parametros!$B$16,"",IF(E2049=0,"PIDE SIN FCST",IF(ABS(G2049)&gt;Parametros!$B$14,IF(G2049&gt;0,"SOBRE FCST","BAJO FCST"),"")))</f>
        <v/>
      </c>
    </row>
    <row r="2050" customFormat="false" ht="15" hidden="false" customHeight="false" outlineLevel="0" collapsed="false">
      <c r="A2050" s="3" t="n">
        <v>30001853</v>
      </c>
      <c r="B2050" s="3" t="s">
        <v>511</v>
      </c>
      <c r="C2050" s="3" t="s">
        <v>1373</v>
      </c>
      <c r="D2050" s="23" t="n">
        <v>446.88</v>
      </c>
      <c r="E2050" s="23" t="n">
        <v>362.07208494389</v>
      </c>
      <c r="F2050" s="23" t="n">
        <f aca="false">D2050-E2050</f>
        <v>84.8079150561101</v>
      </c>
      <c r="G2050" s="24" t="n">
        <f aca="false">IF(E2050&gt;0,D2050/E2050-1,"")</f>
        <v>0.234229366423685</v>
      </c>
      <c r="H2050" s="3" t="str">
        <f aca="false">IF(MAX(D2050,E2050)&lt;Parametros!$B$16,"",IF(E2050=0,"PIDE SIN FCST",IF(ABS(G2050)&gt;Parametros!$B$14,IF(G2050&gt;0,"SOBRE FCST","BAJO FCST"),"")))</f>
        <v/>
      </c>
    </row>
    <row r="2051" customFormat="false" ht="15" hidden="false" customHeight="false" outlineLevel="0" collapsed="false">
      <c r="A2051" s="3" t="n">
        <v>30002065</v>
      </c>
      <c r="B2051" s="3" t="s">
        <v>313</v>
      </c>
      <c r="C2051" s="3" t="s">
        <v>1379</v>
      </c>
      <c r="D2051" s="23" t="n">
        <v>612</v>
      </c>
      <c r="E2051" s="23" t="n">
        <v>696.55</v>
      </c>
      <c r="F2051" s="23" t="n">
        <f aca="false">D2051-E2051</f>
        <v>-84.5500000000001</v>
      </c>
      <c r="G2051" s="24" t="n">
        <f aca="false">IF(E2051&gt;0,D2051/E2051-1,"")</f>
        <v>-0.121383963821693</v>
      </c>
      <c r="H2051" s="3" t="str">
        <f aca="false">IF(MAX(D2051,E2051)&lt;Parametros!$B$16,"",IF(E2051=0,"PIDE SIN FCST",IF(ABS(G2051)&gt;Parametros!$B$14,IF(G2051&gt;0,"SOBRE FCST","BAJO FCST"),"")))</f>
        <v/>
      </c>
    </row>
    <row r="2052" customFormat="false" ht="15" hidden="false" customHeight="false" outlineLevel="0" collapsed="false">
      <c r="A2052" s="3" t="n">
        <v>30001748</v>
      </c>
      <c r="B2052" s="3" t="s">
        <v>573</v>
      </c>
      <c r="C2052" s="3" t="s">
        <v>1377</v>
      </c>
      <c r="D2052" s="23" t="n">
        <v>912.6</v>
      </c>
      <c r="E2052" s="23" t="n">
        <v>828.2</v>
      </c>
      <c r="F2052" s="23" t="n">
        <f aca="false">D2052-E2052</f>
        <v>84.4</v>
      </c>
      <c r="G2052" s="24" t="n">
        <f aca="false">IF(E2052&gt;0,D2052/E2052-1,"")</f>
        <v>0.101907751750785</v>
      </c>
      <c r="H2052" s="3" t="str">
        <f aca="false">IF(MAX(D2052,E2052)&lt;Parametros!$B$16,"",IF(E2052=0,"PIDE SIN FCST",IF(ABS(G2052)&gt;Parametros!$B$14,IF(G2052&gt;0,"SOBRE FCST","BAJO FCST"),"")))</f>
        <v/>
      </c>
    </row>
    <row r="2053" customFormat="false" ht="15" hidden="false" customHeight="false" outlineLevel="0" collapsed="false">
      <c r="A2053" s="3" t="n">
        <v>30000555</v>
      </c>
      <c r="B2053" s="3" t="s">
        <v>570</v>
      </c>
      <c r="C2053" s="3" t="s">
        <v>1377</v>
      </c>
      <c r="D2053" s="23" t="n">
        <v>84</v>
      </c>
      <c r="E2053" s="23" t="n">
        <v>0</v>
      </c>
      <c r="F2053" s="23" t="n">
        <f aca="false">D2053-E2053</f>
        <v>84</v>
      </c>
      <c r="G2053" s="24" t="str">
        <f aca="false">IF(E2053&gt;0,D2053/E2053-1,"")</f>
        <v/>
      </c>
      <c r="H2053" s="3" t="str">
        <f aca="false">IF(MAX(D2053,E2053)&lt;Parametros!$B$16,"",IF(E2053=0,"PIDE SIN FCST",IF(ABS(G2053)&gt;Parametros!$B$14,IF(G2053&gt;0,"SOBRE FCST","BAJO FCST"),"")))</f>
        <v/>
      </c>
    </row>
    <row r="2054" customFormat="false" ht="15" hidden="false" customHeight="false" outlineLevel="0" collapsed="false">
      <c r="A2054" s="3" t="n">
        <v>30000514</v>
      </c>
      <c r="B2054" s="3" t="s">
        <v>252</v>
      </c>
      <c r="C2054" s="3" t="s">
        <v>1376</v>
      </c>
      <c r="D2054" s="23" t="n">
        <v>84</v>
      </c>
      <c r="E2054" s="23" t="n">
        <v>0</v>
      </c>
      <c r="F2054" s="23" t="n">
        <f aca="false">D2054-E2054</f>
        <v>84</v>
      </c>
      <c r="G2054" s="24" t="str">
        <f aca="false">IF(E2054&gt;0,D2054/E2054-1,"")</f>
        <v/>
      </c>
      <c r="H2054" s="3" t="str">
        <f aca="false">IF(MAX(D2054,E2054)&lt;Parametros!$B$16,"",IF(E2054=0,"PIDE SIN FCST",IF(ABS(G2054)&gt;Parametros!$B$14,IF(G2054&gt;0,"SOBRE FCST","BAJO FCST"),"")))</f>
        <v/>
      </c>
    </row>
    <row r="2055" customFormat="false" ht="15" hidden="false" customHeight="false" outlineLevel="0" collapsed="false">
      <c r="A2055" s="3" t="n">
        <v>30000354</v>
      </c>
      <c r="B2055" s="3" t="s">
        <v>378</v>
      </c>
      <c r="C2055" s="3" t="s">
        <v>1379</v>
      </c>
      <c r="D2055" s="23" t="n">
        <v>2016</v>
      </c>
      <c r="E2055" s="23" t="n">
        <v>2100</v>
      </c>
      <c r="F2055" s="23" t="n">
        <f aca="false">D2055-E2055</f>
        <v>-84</v>
      </c>
      <c r="G2055" s="24" t="n">
        <f aca="false">IF(E2055&gt;0,D2055/E2055-1,"")</f>
        <v>-0.04</v>
      </c>
      <c r="H2055" s="3" t="str">
        <f aca="false">IF(MAX(D2055,E2055)&lt;Parametros!$B$16,"",IF(E2055=0,"PIDE SIN FCST",IF(ABS(G2055)&gt;Parametros!$B$14,IF(G2055&gt;0,"SOBRE FCST","BAJO FCST"),"")))</f>
        <v/>
      </c>
    </row>
    <row r="2056" customFormat="false" ht="15" hidden="false" customHeight="false" outlineLevel="0" collapsed="false">
      <c r="A2056" s="3" t="n">
        <v>30001885</v>
      </c>
      <c r="B2056" s="3" t="s">
        <v>550</v>
      </c>
      <c r="C2056" s="3" t="s">
        <v>1377</v>
      </c>
      <c r="D2056" s="23" t="n">
        <v>393.6</v>
      </c>
      <c r="E2056" s="23" t="n">
        <v>310</v>
      </c>
      <c r="F2056" s="23" t="n">
        <f aca="false">D2056-E2056</f>
        <v>83.6</v>
      </c>
      <c r="G2056" s="24" t="n">
        <f aca="false">IF(E2056&gt;0,D2056/E2056-1,"")</f>
        <v>0.269677419354839</v>
      </c>
      <c r="H2056" s="3" t="str">
        <f aca="false">IF(MAX(D2056,E2056)&lt;Parametros!$B$16,"",IF(E2056=0,"PIDE SIN FCST",IF(ABS(G2056)&gt;Parametros!$B$14,IF(G2056&gt;0,"SOBRE FCST","BAJO FCST"),"")))</f>
        <v/>
      </c>
    </row>
    <row r="2057" customFormat="false" ht="15" hidden="false" customHeight="false" outlineLevel="0" collapsed="false">
      <c r="A2057" s="3" t="n">
        <v>30002076</v>
      </c>
      <c r="B2057" s="3" t="s">
        <v>489</v>
      </c>
      <c r="C2057" s="3" t="s">
        <v>1380</v>
      </c>
      <c r="D2057" s="23" t="n">
        <v>3024</v>
      </c>
      <c r="E2057" s="23" t="n">
        <v>2940.4</v>
      </c>
      <c r="F2057" s="23" t="n">
        <f aca="false">D2057-E2057</f>
        <v>83.5999999999999</v>
      </c>
      <c r="G2057" s="24" t="n">
        <f aca="false">IF(E2057&gt;0,D2057/E2057-1,"")</f>
        <v>0.0284315059175622</v>
      </c>
      <c r="H2057" s="3" t="str">
        <f aca="false">IF(MAX(D2057,E2057)&lt;Parametros!$B$16,"",IF(E2057=0,"PIDE SIN FCST",IF(ABS(G2057)&gt;Parametros!$B$14,IF(G2057&gt;0,"SOBRE FCST","BAJO FCST"),"")))</f>
        <v/>
      </c>
    </row>
    <row r="2058" customFormat="false" ht="15" hidden="false" customHeight="false" outlineLevel="0" collapsed="false">
      <c r="A2058" s="3" t="n">
        <v>30001889</v>
      </c>
      <c r="B2058" s="3" t="s">
        <v>507</v>
      </c>
      <c r="C2058" s="3" t="s">
        <v>1376</v>
      </c>
      <c r="D2058" s="23" t="n">
        <v>0</v>
      </c>
      <c r="E2058" s="23" t="n">
        <v>83.5777808420047</v>
      </c>
      <c r="F2058" s="23" t="n">
        <f aca="false">D2058-E2058</f>
        <v>-83.5777808420047</v>
      </c>
      <c r="G2058" s="24" t="n">
        <f aca="false">IF(E2058&gt;0,D2058/E2058-1,"")</f>
        <v>-1</v>
      </c>
      <c r="H2058" s="3" t="str">
        <f aca="false">IF(MAX(D2058,E2058)&lt;Parametros!$B$16,"",IF(E2058=0,"PIDE SIN FCST",IF(ABS(G2058)&gt;Parametros!$B$14,IF(G2058&gt;0,"SOBRE FCST","BAJO FCST"),"")))</f>
        <v/>
      </c>
    </row>
    <row r="2059" customFormat="false" ht="15" hidden="false" customHeight="false" outlineLevel="0" collapsed="false">
      <c r="A2059" s="3" t="n">
        <v>30001017</v>
      </c>
      <c r="B2059" s="3" t="s">
        <v>360</v>
      </c>
      <c r="C2059" s="3" t="s">
        <v>1376</v>
      </c>
      <c r="D2059" s="23" t="n">
        <v>82.8</v>
      </c>
      <c r="E2059" s="23" t="n">
        <v>0</v>
      </c>
      <c r="F2059" s="23" t="n">
        <f aca="false">D2059-E2059</f>
        <v>82.8</v>
      </c>
      <c r="G2059" s="24" t="str">
        <f aca="false">IF(E2059&gt;0,D2059/E2059-1,"")</f>
        <v/>
      </c>
      <c r="H2059" s="3" t="str">
        <f aca="false">IF(MAX(D2059,E2059)&lt;Parametros!$B$16,"",IF(E2059=0,"PIDE SIN FCST",IF(ABS(G2059)&gt;Parametros!$B$14,IF(G2059&gt;0,"SOBRE FCST","BAJO FCST"),"")))</f>
        <v/>
      </c>
    </row>
    <row r="2060" customFormat="false" ht="15" hidden="false" customHeight="false" outlineLevel="0" collapsed="false">
      <c r="A2060" s="3" t="n">
        <v>30001665</v>
      </c>
      <c r="B2060" s="3" t="s">
        <v>572</v>
      </c>
      <c r="C2060" s="3" t="s">
        <v>1377</v>
      </c>
      <c r="D2060" s="23" t="n">
        <v>144</v>
      </c>
      <c r="E2060" s="23" t="n">
        <v>225.955674388588</v>
      </c>
      <c r="F2060" s="23" t="n">
        <f aca="false">D2060-E2060</f>
        <v>-81.9556743885875</v>
      </c>
      <c r="G2060" s="24" t="n">
        <f aca="false">IF(E2060&gt;0,D2060/E2060-1,"")</f>
        <v>-0.362706865452045</v>
      </c>
      <c r="H2060" s="3" t="str">
        <f aca="false">IF(MAX(D2060,E2060)&lt;Parametros!$B$16,"",IF(E2060=0,"PIDE SIN FCST",IF(ABS(G2060)&gt;Parametros!$B$14,IF(G2060&gt;0,"SOBRE FCST","BAJO FCST"),"")))</f>
        <v/>
      </c>
    </row>
    <row r="2061" customFormat="false" ht="15" hidden="false" customHeight="false" outlineLevel="0" collapsed="false">
      <c r="A2061" s="3" t="n">
        <v>30001902</v>
      </c>
      <c r="B2061" s="3" t="s">
        <v>547</v>
      </c>
      <c r="C2061" s="3" t="s">
        <v>1375</v>
      </c>
      <c r="D2061" s="23" t="n">
        <v>2262.6</v>
      </c>
      <c r="E2061" s="23" t="n">
        <v>2180.64626174911</v>
      </c>
      <c r="F2061" s="23" t="n">
        <f aca="false">D2061-E2061</f>
        <v>81.9537382508938</v>
      </c>
      <c r="G2061" s="24" t="n">
        <f aca="false">IF(E2061&gt;0,D2061/E2061-1,"")</f>
        <v>0.0375823166225771</v>
      </c>
      <c r="H2061" s="3" t="str">
        <f aca="false">IF(MAX(D2061,E2061)&lt;Parametros!$B$16,"",IF(E2061=0,"PIDE SIN FCST",IF(ABS(G2061)&gt;Parametros!$B$14,IF(G2061&gt;0,"SOBRE FCST","BAJO FCST"),"")))</f>
        <v/>
      </c>
    </row>
    <row r="2062" customFormat="false" ht="15" hidden="false" customHeight="false" outlineLevel="0" collapsed="false">
      <c r="A2062" s="3" t="n">
        <v>30002077</v>
      </c>
      <c r="B2062" s="3" t="s">
        <v>364</v>
      </c>
      <c r="C2062" s="3" t="s">
        <v>1377</v>
      </c>
      <c r="D2062" s="23" t="n">
        <v>636</v>
      </c>
      <c r="E2062" s="23" t="n">
        <v>717.927601090543</v>
      </c>
      <c r="F2062" s="23" t="n">
        <f aca="false">D2062-E2062</f>
        <v>-81.9276010905433</v>
      </c>
      <c r="G2062" s="24" t="n">
        <f aca="false">IF(E2062&gt;0,D2062/E2062-1,"")</f>
        <v>-0.114116800866959</v>
      </c>
      <c r="H2062" s="3" t="str">
        <f aca="false">IF(MAX(D2062,E2062)&lt;Parametros!$B$16,"",IF(E2062=0,"PIDE SIN FCST",IF(ABS(G2062)&gt;Parametros!$B$14,IF(G2062&gt;0,"SOBRE FCST","BAJO FCST"),"")))</f>
        <v/>
      </c>
    </row>
    <row r="2063" customFormat="false" ht="15" hidden="false" customHeight="false" outlineLevel="0" collapsed="false">
      <c r="A2063" s="3" t="n">
        <v>30001404</v>
      </c>
      <c r="B2063" s="3" t="s">
        <v>305</v>
      </c>
      <c r="C2063" s="3" t="s">
        <v>1377</v>
      </c>
      <c r="D2063" s="23" t="n">
        <v>2092.5</v>
      </c>
      <c r="E2063" s="23" t="n">
        <v>2011.19227928479</v>
      </c>
      <c r="F2063" s="23" t="n">
        <f aca="false">D2063-E2063</f>
        <v>81.3077207152089</v>
      </c>
      <c r="G2063" s="24" t="n">
        <f aca="false">IF(E2063&gt;0,D2063/E2063-1,"")</f>
        <v>0.0404276217409323</v>
      </c>
      <c r="H2063" s="3" t="str">
        <f aca="false">IF(MAX(D2063,E2063)&lt;Parametros!$B$16,"",IF(E2063=0,"PIDE SIN FCST",IF(ABS(G2063)&gt;Parametros!$B$14,IF(G2063&gt;0,"SOBRE FCST","BAJO FCST"),"")))</f>
        <v/>
      </c>
    </row>
    <row r="2064" customFormat="false" ht="15" hidden="false" customHeight="false" outlineLevel="0" collapsed="false">
      <c r="A2064" s="3" t="n">
        <v>30001873</v>
      </c>
      <c r="B2064" s="3" t="s">
        <v>299</v>
      </c>
      <c r="C2064" s="3" t="s">
        <v>1372</v>
      </c>
      <c r="D2064" s="23" t="n">
        <v>1306.8</v>
      </c>
      <c r="E2064" s="23" t="n">
        <v>1388.05182953337</v>
      </c>
      <c r="F2064" s="23" t="n">
        <f aca="false">D2064-E2064</f>
        <v>-81.2518295333691</v>
      </c>
      <c r="G2064" s="24" t="n">
        <f aca="false">IF(E2064&gt;0,D2064/E2064-1,"")</f>
        <v>-0.0585365962600144</v>
      </c>
      <c r="H2064" s="3" t="str">
        <f aca="false">IF(MAX(D2064,E2064)&lt;Parametros!$B$16,"",IF(E2064=0,"PIDE SIN FCST",IF(ABS(G2064)&gt;Parametros!$B$14,IF(G2064&gt;0,"SOBRE FCST","BAJO FCST"),"")))</f>
        <v/>
      </c>
    </row>
    <row r="2065" customFormat="false" ht="15" hidden="false" customHeight="false" outlineLevel="0" collapsed="false">
      <c r="A2065" s="3" t="n">
        <v>30000673</v>
      </c>
      <c r="B2065" s="3" t="s">
        <v>531</v>
      </c>
      <c r="C2065" s="3" t="s">
        <v>1380</v>
      </c>
      <c r="D2065" s="23" t="n">
        <v>1180.8</v>
      </c>
      <c r="E2065" s="23" t="n">
        <v>1100</v>
      </c>
      <c r="F2065" s="23" t="n">
        <f aca="false">D2065-E2065</f>
        <v>80.8</v>
      </c>
      <c r="G2065" s="24" t="n">
        <f aca="false">IF(E2065&gt;0,D2065/E2065-1,"")</f>
        <v>0.0734545454545454</v>
      </c>
      <c r="H2065" s="3" t="str">
        <f aca="false">IF(MAX(D2065,E2065)&lt;Parametros!$B$16,"",IF(E2065=0,"PIDE SIN FCST",IF(ABS(G2065)&gt;Parametros!$B$14,IF(G2065&gt;0,"SOBRE FCST","BAJO FCST"),"")))</f>
        <v/>
      </c>
    </row>
    <row r="2066" customFormat="false" ht="15" hidden="false" customHeight="false" outlineLevel="0" collapsed="false">
      <c r="A2066" s="3" t="n">
        <v>30000608</v>
      </c>
      <c r="B2066" s="3" t="s">
        <v>416</v>
      </c>
      <c r="C2066" s="3" t="s">
        <v>1376</v>
      </c>
      <c r="D2066" s="23" t="n">
        <v>26.88</v>
      </c>
      <c r="E2066" s="23" t="n">
        <v>107.52</v>
      </c>
      <c r="F2066" s="23" t="n">
        <f aca="false">D2066-E2066</f>
        <v>-80.64</v>
      </c>
      <c r="G2066" s="24" t="n">
        <f aca="false">IF(E2066&gt;0,D2066/E2066-1,"")</f>
        <v>-0.75</v>
      </c>
      <c r="H2066" s="3" t="str">
        <f aca="false">IF(MAX(D2066,E2066)&lt;Parametros!$B$16,"",IF(E2066=0,"PIDE SIN FCST",IF(ABS(G2066)&gt;Parametros!$B$14,IF(G2066&gt;0,"SOBRE FCST","BAJO FCST"),"")))</f>
        <v/>
      </c>
    </row>
    <row r="2067" customFormat="false" ht="15" hidden="false" customHeight="false" outlineLevel="0" collapsed="false">
      <c r="A2067" s="3" t="n">
        <v>30001017</v>
      </c>
      <c r="B2067" s="3" t="s">
        <v>360</v>
      </c>
      <c r="C2067" s="3" t="s">
        <v>1377</v>
      </c>
      <c r="D2067" s="23" t="n">
        <v>1501.44</v>
      </c>
      <c r="E2067" s="23" t="n">
        <v>1420.89542296494</v>
      </c>
      <c r="F2067" s="23" t="n">
        <f aca="false">D2067-E2067</f>
        <v>80.5445770350641</v>
      </c>
      <c r="G2067" s="24" t="n">
        <f aca="false">IF(E2067&gt;0,D2067/E2067-1,"")</f>
        <v>0.0566857882242975</v>
      </c>
      <c r="H2067" s="3" t="str">
        <f aca="false">IF(MAX(D2067,E2067)&lt;Parametros!$B$16,"",IF(E2067=0,"PIDE SIN FCST",IF(ABS(G2067)&gt;Parametros!$B$14,IF(G2067&gt;0,"SOBRE FCST","BAJO FCST"),"")))</f>
        <v/>
      </c>
    </row>
    <row r="2068" customFormat="false" ht="15" hidden="false" customHeight="false" outlineLevel="0" collapsed="false">
      <c r="A2068" s="3" t="n">
        <v>30001754</v>
      </c>
      <c r="B2068" s="3" t="s">
        <v>296</v>
      </c>
      <c r="C2068" s="3" t="s">
        <v>1377</v>
      </c>
      <c r="D2068" s="23" t="n">
        <v>1819.8</v>
      </c>
      <c r="E2068" s="23" t="n">
        <v>1900</v>
      </c>
      <c r="F2068" s="23" t="n">
        <f aca="false">D2068-E2068</f>
        <v>-80.2000000000001</v>
      </c>
      <c r="G2068" s="24" t="n">
        <f aca="false">IF(E2068&gt;0,D2068/E2068-1,"")</f>
        <v>-0.0422105263157895</v>
      </c>
      <c r="H2068" s="3" t="str">
        <f aca="false">IF(MAX(D2068,E2068)&lt;Parametros!$B$16,"",IF(E2068=0,"PIDE SIN FCST",IF(ABS(G2068)&gt;Parametros!$B$14,IF(G2068&gt;0,"SOBRE FCST","BAJO FCST"),"")))</f>
        <v/>
      </c>
    </row>
    <row r="2069" customFormat="false" ht="15" hidden="false" customHeight="false" outlineLevel="0" collapsed="false">
      <c r="A2069" s="3" t="n">
        <v>30001598</v>
      </c>
      <c r="B2069" s="3" t="s">
        <v>383</v>
      </c>
      <c r="C2069" s="3" t="s">
        <v>1379</v>
      </c>
      <c r="D2069" s="23" t="n">
        <v>2280</v>
      </c>
      <c r="E2069" s="23" t="n">
        <v>2200</v>
      </c>
      <c r="F2069" s="23" t="n">
        <f aca="false">D2069-E2069</f>
        <v>80</v>
      </c>
      <c r="G2069" s="24" t="n">
        <f aca="false">IF(E2069&gt;0,D2069/E2069-1,"")</f>
        <v>0.0363636363636364</v>
      </c>
      <c r="H2069" s="3" t="str">
        <f aca="false">IF(MAX(D2069,E2069)&lt;Parametros!$B$16,"",IF(E2069=0,"PIDE SIN FCST",IF(ABS(G2069)&gt;Parametros!$B$14,IF(G2069&gt;0,"SOBRE FCST","BAJO FCST"),"")))</f>
        <v/>
      </c>
    </row>
    <row r="2070" customFormat="false" ht="15" hidden="false" customHeight="false" outlineLevel="0" collapsed="false">
      <c r="A2070" s="3" t="n">
        <v>30002164</v>
      </c>
      <c r="B2070" s="3" t="s">
        <v>632</v>
      </c>
      <c r="C2070" s="3" t="s">
        <v>1379</v>
      </c>
      <c r="D2070" s="23" t="n">
        <v>6.4</v>
      </c>
      <c r="E2070" s="23" t="n">
        <v>86.2575065495737</v>
      </c>
      <c r="F2070" s="23" t="n">
        <f aca="false">D2070-E2070</f>
        <v>-79.8575065495737</v>
      </c>
      <c r="G2070" s="24" t="n">
        <f aca="false">IF(E2070&gt;0,D2070/E2070-1,"")</f>
        <v>-0.925803558947976</v>
      </c>
      <c r="H2070" s="3" t="str">
        <f aca="false">IF(MAX(D2070,E2070)&lt;Parametros!$B$16,"",IF(E2070=0,"PIDE SIN FCST",IF(ABS(G2070)&gt;Parametros!$B$14,IF(G2070&gt;0,"SOBRE FCST","BAJO FCST"),"")))</f>
        <v/>
      </c>
    </row>
    <row r="2071" customFormat="false" ht="15" hidden="false" customHeight="false" outlineLevel="0" collapsed="false">
      <c r="A2071" s="3" t="n">
        <v>30000435</v>
      </c>
      <c r="B2071" s="3" t="s">
        <v>459</v>
      </c>
      <c r="C2071" s="3" t="s">
        <v>1378</v>
      </c>
      <c r="D2071" s="23" t="n">
        <v>1208.32</v>
      </c>
      <c r="E2071" s="23" t="n">
        <v>1128.47415974321</v>
      </c>
      <c r="F2071" s="23" t="n">
        <f aca="false">D2071-E2071</f>
        <v>79.845840256789</v>
      </c>
      <c r="G2071" s="24" t="n">
        <f aca="false">IF(E2071&gt;0,D2071/E2071-1,"")</f>
        <v>0.0707555769597403</v>
      </c>
      <c r="H2071" s="3" t="str">
        <f aca="false">IF(MAX(D2071,E2071)&lt;Parametros!$B$16,"",IF(E2071=0,"PIDE SIN FCST",IF(ABS(G2071)&gt;Parametros!$B$14,IF(G2071&gt;0,"SOBRE FCST","BAJO FCST"),"")))</f>
        <v/>
      </c>
    </row>
    <row r="2072" customFormat="false" ht="15" hidden="false" customHeight="false" outlineLevel="0" collapsed="false">
      <c r="A2072" s="3" t="n">
        <v>30001988</v>
      </c>
      <c r="B2072" s="3" t="s">
        <v>599</v>
      </c>
      <c r="C2072" s="3" t="s">
        <v>1377</v>
      </c>
      <c r="D2072" s="23" t="n">
        <v>79.35</v>
      </c>
      <c r="E2072" s="23" t="n">
        <v>0</v>
      </c>
      <c r="F2072" s="23" t="n">
        <f aca="false">D2072-E2072</f>
        <v>79.35</v>
      </c>
      <c r="G2072" s="24" t="str">
        <f aca="false">IF(E2072&gt;0,D2072/E2072-1,"")</f>
        <v/>
      </c>
      <c r="H2072" s="3" t="str">
        <f aca="false">IF(MAX(D2072,E2072)&lt;Parametros!$B$16,"",IF(E2072=0,"PIDE SIN FCST",IF(ABS(G2072)&gt;Parametros!$B$14,IF(G2072&gt;0,"SOBRE FCST","BAJO FCST"),"")))</f>
        <v/>
      </c>
    </row>
    <row r="2073" customFormat="false" ht="15" hidden="false" customHeight="false" outlineLevel="0" collapsed="false">
      <c r="A2073" s="3" t="n">
        <v>30001765</v>
      </c>
      <c r="B2073" s="3" t="s">
        <v>438</v>
      </c>
      <c r="C2073" s="3" t="s">
        <v>1380</v>
      </c>
      <c r="D2073" s="23" t="n">
        <v>621</v>
      </c>
      <c r="E2073" s="23" t="n">
        <v>700</v>
      </c>
      <c r="F2073" s="23" t="n">
        <f aca="false">D2073-E2073</f>
        <v>-79</v>
      </c>
      <c r="G2073" s="24" t="n">
        <f aca="false">IF(E2073&gt;0,D2073/E2073-1,"")</f>
        <v>-0.112857142857143</v>
      </c>
      <c r="H2073" s="3" t="str">
        <f aca="false">IF(MAX(D2073,E2073)&lt;Parametros!$B$16,"",IF(E2073=0,"PIDE SIN FCST",IF(ABS(G2073)&gt;Parametros!$B$14,IF(G2073&gt;0,"SOBRE FCST","BAJO FCST"),"")))</f>
        <v/>
      </c>
    </row>
    <row r="2074" customFormat="false" ht="15" hidden="false" customHeight="false" outlineLevel="0" collapsed="false">
      <c r="A2074" s="3" t="n">
        <v>30000671</v>
      </c>
      <c r="B2074" s="3" t="s">
        <v>552</v>
      </c>
      <c r="C2074" s="3" t="s">
        <v>1375</v>
      </c>
      <c r="D2074" s="23" t="n">
        <v>3021.76</v>
      </c>
      <c r="E2074" s="23" t="n">
        <v>3100</v>
      </c>
      <c r="F2074" s="23" t="n">
        <f aca="false">D2074-E2074</f>
        <v>-78.2399999999998</v>
      </c>
      <c r="G2074" s="24" t="n">
        <f aca="false">IF(E2074&gt;0,D2074/E2074-1,"")</f>
        <v>-0.0252387096774193</v>
      </c>
      <c r="H2074" s="3" t="str">
        <f aca="false">IF(MAX(D2074,E2074)&lt;Parametros!$B$16,"",IF(E2074=0,"PIDE SIN FCST",IF(ABS(G2074)&gt;Parametros!$B$14,IF(G2074&gt;0,"SOBRE FCST","BAJO FCST"),"")))</f>
        <v/>
      </c>
    </row>
    <row r="2075" customFormat="false" ht="15" hidden="false" customHeight="false" outlineLevel="0" collapsed="false">
      <c r="A2075" s="3" t="n">
        <v>30001376</v>
      </c>
      <c r="B2075" s="3" t="s">
        <v>404</v>
      </c>
      <c r="C2075" s="3" t="s">
        <v>1373</v>
      </c>
      <c r="D2075" s="23" t="n">
        <v>4797</v>
      </c>
      <c r="E2075" s="23" t="n">
        <v>4875.125</v>
      </c>
      <c r="F2075" s="23" t="n">
        <f aca="false">D2075-E2075</f>
        <v>-78.125</v>
      </c>
      <c r="G2075" s="24" t="n">
        <f aca="false">IF(E2075&gt;0,D2075/E2075-1,"")</f>
        <v>-0.0160252301223045</v>
      </c>
      <c r="H2075" s="3" t="str">
        <f aca="false">IF(MAX(D2075,E2075)&lt;Parametros!$B$16,"",IF(E2075=0,"PIDE SIN FCST",IF(ABS(G2075)&gt;Parametros!$B$14,IF(G2075&gt;0,"SOBRE FCST","BAJO FCST"),"")))</f>
        <v/>
      </c>
    </row>
    <row r="2076" customFormat="false" ht="15" hidden="false" customHeight="false" outlineLevel="0" collapsed="false">
      <c r="A2076" s="3" t="n">
        <v>30001750</v>
      </c>
      <c r="B2076" s="3" t="s">
        <v>298</v>
      </c>
      <c r="C2076" s="3" t="s">
        <v>1378</v>
      </c>
      <c r="D2076" s="23" t="n">
        <v>561.6</v>
      </c>
      <c r="E2076" s="23" t="n">
        <v>639.538043478261</v>
      </c>
      <c r="F2076" s="23" t="n">
        <f aca="false">D2076-E2076</f>
        <v>-77.9380434782607</v>
      </c>
      <c r="G2076" s="24" t="n">
        <f aca="false">IF(E2076&gt;0,D2076/E2076-1,"")</f>
        <v>-0.121866156787763</v>
      </c>
      <c r="H2076" s="3" t="str">
        <f aca="false">IF(MAX(D2076,E2076)&lt;Parametros!$B$16,"",IF(E2076=0,"PIDE SIN FCST",IF(ABS(G2076)&gt;Parametros!$B$14,IF(G2076&gt;0,"SOBRE FCST","BAJO FCST"),"")))</f>
        <v/>
      </c>
    </row>
    <row r="2077" customFormat="false" ht="15" hidden="false" customHeight="false" outlineLevel="0" collapsed="false">
      <c r="A2077" s="3" t="n">
        <v>30000667</v>
      </c>
      <c r="B2077" s="3" t="s">
        <v>608</v>
      </c>
      <c r="C2077" s="3" t="s">
        <v>1377</v>
      </c>
      <c r="D2077" s="23" t="n">
        <v>66.88</v>
      </c>
      <c r="E2077" s="23" t="n">
        <v>144.72</v>
      </c>
      <c r="F2077" s="23" t="n">
        <f aca="false">D2077-E2077</f>
        <v>-77.84</v>
      </c>
      <c r="G2077" s="24" t="n">
        <f aca="false">IF(E2077&gt;0,D2077/E2077-1,"")</f>
        <v>-0.537866224433389</v>
      </c>
      <c r="H2077" s="3" t="str">
        <f aca="false">IF(MAX(D2077,E2077)&lt;Parametros!$B$16,"",IF(E2077=0,"PIDE SIN FCST",IF(ABS(G2077)&gt;Parametros!$B$14,IF(G2077&gt;0,"SOBRE FCST","BAJO FCST"),"")))</f>
        <v/>
      </c>
    </row>
    <row r="2078" customFormat="false" ht="15" hidden="false" customHeight="false" outlineLevel="0" collapsed="false">
      <c r="A2078" s="3" t="n">
        <v>30000052</v>
      </c>
      <c r="B2078" s="3" t="s">
        <v>602</v>
      </c>
      <c r="C2078" s="3" t="s">
        <v>1377</v>
      </c>
      <c r="D2078" s="23" t="n">
        <v>99.9</v>
      </c>
      <c r="E2078" s="23" t="n">
        <v>177.6</v>
      </c>
      <c r="F2078" s="23" t="n">
        <f aca="false">D2078-E2078</f>
        <v>-77.7</v>
      </c>
      <c r="G2078" s="24" t="n">
        <f aca="false">IF(E2078&gt;0,D2078/E2078-1,"")</f>
        <v>-0.4375</v>
      </c>
      <c r="H2078" s="3" t="str">
        <f aca="false">IF(MAX(D2078,E2078)&lt;Parametros!$B$16,"",IF(E2078=0,"PIDE SIN FCST",IF(ABS(G2078)&gt;Parametros!$B$14,IF(G2078&gt;0,"SOBRE FCST","BAJO FCST"),"")))</f>
        <v/>
      </c>
    </row>
    <row r="2079" customFormat="false" ht="15" hidden="false" customHeight="false" outlineLevel="0" collapsed="false">
      <c r="A2079" s="3" t="n">
        <v>30000642</v>
      </c>
      <c r="B2079" s="3" t="s">
        <v>451</v>
      </c>
      <c r="C2079" s="3" t="s">
        <v>1377</v>
      </c>
      <c r="D2079" s="23" t="n">
        <v>437.76</v>
      </c>
      <c r="E2079" s="23" t="n">
        <v>514.8</v>
      </c>
      <c r="F2079" s="23" t="n">
        <f aca="false">D2079-E2079</f>
        <v>-77.04</v>
      </c>
      <c r="G2079" s="24" t="n">
        <f aca="false">IF(E2079&gt;0,D2079/E2079-1,"")</f>
        <v>-0.14965034965035</v>
      </c>
      <c r="H2079" s="3" t="str">
        <f aca="false">IF(MAX(D2079,E2079)&lt;Parametros!$B$16,"",IF(E2079=0,"PIDE SIN FCST",IF(ABS(G2079)&gt;Parametros!$B$14,IF(G2079&gt;0,"SOBRE FCST","BAJO FCST"),"")))</f>
        <v/>
      </c>
    </row>
    <row r="2080" customFormat="false" ht="15" hidden="false" customHeight="false" outlineLevel="0" collapsed="false">
      <c r="A2080" s="3" t="n">
        <v>30001945</v>
      </c>
      <c r="B2080" s="3" t="s">
        <v>478</v>
      </c>
      <c r="C2080" s="3" t="s">
        <v>1377</v>
      </c>
      <c r="D2080" s="23" t="n">
        <v>76.8</v>
      </c>
      <c r="E2080" s="23" t="n">
        <v>0</v>
      </c>
      <c r="F2080" s="23" t="n">
        <f aca="false">D2080-E2080</f>
        <v>76.8</v>
      </c>
      <c r="G2080" s="24" t="str">
        <f aca="false">IF(E2080&gt;0,D2080/E2080-1,"")</f>
        <v/>
      </c>
      <c r="H2080" s="3" t="str">
        <f aca="false">IF(MAX(D2080,E2080)&lt;Parametros!$B$16,"",IF(E2080=0,"PIDE SIN FCST",IF(ABS(G2080)&gt;Parametros!$B$14,IF(G2080&gt;0,"SOBRE FCST","BAJO FCST"),"")))</f>
        <v/>
      </c>
    </row>
    <row r="2081" customFormat="false" ht="15" hidden="false" customHeight="false" outlineLevel="0" collapsed="false">
      <c r="A2081" s="3" t="n">
        <v>30002330</v>
      </c>
      <c r="B2081" s="3" t="s">
        <v>275</v>
      </c>
      <c r="C2081" s="3" t="s">
        <v>1380</v>
      </c>
      <c r="D2081" s="23" t="n">
        <v>17424</v>
      </c>
      <c r="E2081" s="23" t="n">
        <v>17500</v>
      </c>
      <c r="F2081" s="23" t="n">
        <f aca="false">D2081-E2081</f>
        <v>-76</v>
      </c>
      <c r="G2081" s="24" t="n">
        <f aca="false">IF(E2081&gt;0,D2081/E2081-1,"")</f>
        <v>-0.00434285714285709</v>
      </c>
      <c r="H2081" s="3" t="str">
        <f aca="false">IF(MAX(D2081,E2081)&lt;Parametros!$B$16,"",IF(E2081=0,"PIDE SIN FCST",IF(ABS(G2081)&gt;Parametros!$B$14,IF(G2081&gt;0,"SOBRE FCST","BAJO FCST"),"")))</f>
        <v/>
      </c>
    </row>
    <row r="2082" customFormat="false" ht="15" hidden="false" customHeight="false" outlineLevel="0" collapsed="false">
      <c r="A2082" s="3" t="n">
        <v>30000630</v>
      </c>
      <c r="B2082" s="3" t="s">
        <v>356</v>
      </c>
      <c r="C2082" s="3" t="s">
        <v>1375</v>
      </c>
      <c r="D2082" s="23" t="n">
        <v>4275.84</v>
      </c>
      <c r="E2082" s="23" t="n">
        <v>4200</v>
      </c>
      <c r="F2082" s="23" t="n">
        <f aca="false">D2082-E2082</f>
        <v>75.8400000000002</v>
      </c>
      <c r="G2082" s="24" t="n">
        <f aca="false">IF(E2082&gt;0,D2082/E2082-1,"")</f>
        <v>0.018057142857143</v>
      </c>
      <c r="H2082" s="3" t="str">
        <f aca="false">IF(MAX(D2082,E2082)&lt;Parametros!$B$16,"",IF(E2082=0,"PIDE SIN FCST",IF(ABS(G2082)&gt;Parametros!$B$14,IF(G2082&gt;0,"SOBRE FCST","BAJO FCST"),"")))</f>
        <v/>
      </c>
    </row>
    <row r="2083" customFormat="false" ht="15" hidden="false" customHeight="false" outlineLevel="0" collapsed="false">
      <c r="A2083" s="3" t="n">
        <v>30001899</v>
      </c>
      <c r="B2083" s="3" t="s">
        <v>582</v>
      </c>
      <c r="C2083" s="3" t="s">
        <v>1377</v>
      </c>
      <c r="D2083" s="23" t="n">
        <v>144</v>
      </c>
      <c r="E2083" s="23" t="n">
        <v>68.6139256644336</v>
      </c>
      <c r="F2083" s="23" t="n">
        <f aca="false">D2083-E2083</f>
        <v>75.3860743355664</v>
      </c>
      <c r="G2083" s="24" t="n">
        <f aca="false">IF(E2083&gt;0,D2083/E2083-1,"")</f>
        <v>1.09869933261439</v>
      </c>
      <c r="H2083" s="3" t="str">
        <f aca="false">IF(MAX(D2083,E2083)&lt;Parametros!$B$16,"",IF(E2083=0,"PIDE SIN FCST",IF(ABS(G2083)&gt;Parametros!$B$14,IF(G2083&gt;0,"SOBRE FCST","BAJO FCST"),"")))</f>
        <v/>
      </c>
    </row>
    <row r="2084" customFormat="false" ht="15" hidden="false" customHeight="false" outlineLevel="0" collapsed="false">
      <c r="A2084" s="3" t="n">
        <v>30001851</v>
      </c>
      <c r="B2084" s="3" t="s">
        <v>499</v>
      </c>
      <c r="C2084" s="3" t="s">
        <v>1378</v>
      </c>
      <c r="D2084" s="23" t="n">
        <v>140.4</v>
      </c>
      <c r="E2084" s="23" t="n">
        <v>215.643766373934</v>
      </c>
      <c r="F2084" s="23" t="n">
        <f aca="false">D2084-E2084</f>
        <v>-75.2437663739342</v>
      </c>
      <c r="G2084" s="24" t="n">
        <f aca="false">IF(E2084&gt;0,D2084/E2084-1,"")</f>
        <v>-0.348926229768491</v>
      </c>
      <c r="H2084" s="3" t="str">
        <f aca="false">IF(MAX(D2084,E2084)&lt;Parametros!$B$16,"",IF(E2084=0,"PIDE SIN FCST",IF(ABS(G2084)&gt;Parametros!$B$14,IF(G2084&gt;0,"SOBRE FCST","BAJO FCST"),"")))</f>
        <v/>
      </c>
    </row>
    <row r="2085" customFormat="false" ht="15" hidden="false" customHeight="false" outlineLevel="0" collapsed="false">
      <c r="A2085" s="3" t="n">
        <v>30001143</v>
      </c>
      <c r="B2085" s="3" t="s">
        <v>503</v>
      </c>
      <c r="C2085" s="3" t="s">
        <v>1373</v>
      </c>
      <c r="D2085" s="23" t="n">
        <v>625</v>
      </c>
      <c r="E2085" s="23" t="n">
        <v>550</v>
      </c>
      <c r="F2085" s="23" t="n">
        <f aca="false">D2085-E2085</f>
        <v>75</v>
      </c>
      <c r="G2085" s="24" t="n">
        <f aca="false">IF(E2085&gt;0,D2085/E2085-1,"")</f>
        <v>0.136363636363636</v>
      </c>
      <c r="H2085" s="3" t="str">
        <f aca="false">IF(MAX(D2085,E2085)&lt;Parametros!$B$16,"",IF(E2085=0,"PIDE SIN FCST",IF(ABS(G2085)&gt;Parametros!$B$14,IF(G2085&gt;0,"SOBRE FCST","BAJO FCST"),"")))</f>
        <v/>
      </c>
    </row>
    <row r="2086" customFormat="false" ht="15" hidden="false" customHeight="false" outlineLevel="0" collapsed="false">
      <c r="A2086" s="3" t="n">
        <v>30001031</v>
      </c>
      <c r="B2086" s="3" t="s">
        <v>334</v>
      </c>
      <c r="C2086" s="3" t="s">
        <v>1373</v>
      </c>
      <c r="D2086" s="23" t="n">
        <v>928.8</v>
      </c>
      <c r="E2086" s="23" t="n">
        <v>854.000562949089</v>
      </c>
      <c r="F2086" s="23" t="n">
        <f aca="false">D2086-E2086</f>
        <v>74.7994370509114</v>
      </c>
      <c r="G2086" s="24" t="n">
        <f aca="false">IF(E2086&gt;0,D2086/E2086-1,"")</f>
        <v>0.0875871050864525</v>
      </c>
      <c r="H2086" s="3" t="str">
        <f aca="false">IF(MAX(D2086,E2086)&lt;Parametros!$B$16,"",IF(E2086=0,"PIDE SIN FCST",IF(ABS(G2086)&gt;Parametros!$B$14,IF(G2086&gt;0,"SOBRE FCST","BAJO FCST"),"")))</f>
        <v/>
      </c>
    </row>
    <row r="2087" customFormat="false" ht="15" hidden="false" customHeight="false" outlineLevel="0" collapsed="false">
      <c r="A2087" s="3" t="n">
        <v>30001049</v>
      </c>
      <c r="B2087" s="3" t="s">
        <v>269</v>
      </c>
      <c r="C2087" s="3" t="s">
        <v>1376</v>
      </c>
      <c r="D2087" s="23" t="n">
        <v>8700</v>
      </c>
      <c r="E2087" s="23" t="n">
        <v>8625.75065495737</v>
      </c>
      <c r="F2087" s="23" t="n">
        <f aca="false">D2087-E2087</f>
        <v>74.2493450426337</v>
      </c>
      <c r="G2087" s="24" t="n">
        <f aca="false">IF(E2087&gt;0,D2087/E2087-1,"")</f>
        <v>0.00860787055094869</v>
      </c>
      <c r="H2087" s="3" t="str">
        <f aca="false">IF(MAX(D2087,E2087)&lt;Parametros!$B$16,"",IF(E2087=0,"PIDE SIN FCST",IF(ABS(G2087)&gt;Parametros!$B$14,IF(G2087&gt;0,"SOBRE FCST","BAJO FCST"),"")))</f>
        <v/>
      </c>
    </row>
    <row r="2088" customFormat="false" ht="15" hidden="false" customHeight="false" outlineLevel="0" collapsed="false">
      <c r="A2088" s="3" t="n">
        <v>30000171</v>
      </c>
      <c r="B2088" s="3" t="s">
        <v>502</v>
      </c>
      <c r="C2088" s="3" t="s">
        <v>1377</v>
      </c>
      <c r="D2088" s="23" t="n">
        <v>415.8</v>
      </c>
      <c r="E2088" s="23" t="n">
        <v>490</v>
      </c>
      <c r="F2088" s="23" t="n">
        <f aca="false">D2088-E2088</f>
        <v>-74.2</v>
      </c>
      <c r="G2088" s="24" t="n">
        <f aca="false">IF(E2088&gt;0,D2088/E2088-1,"")</f>
        <v>-0.151428571428571</v>
      </c>
      <c r="H2088" s="3" t="str">
        <f aca="false">IF(MAX(D2088,E2088)&lt;Parametros!$B$16,"",IF(E2088=0,"PIDE SIN FCST",IF(ABS(G2088)&gt;Parametros!$B$14,IF(G2088&gt;0,"SOBRE FCST","BAJO FCST"),"")))</f>
        <v/>
      </c>
    </row>
    <row r="2089" customFormat="false" ht="15" hidden="false" customHeight="false" outlineLevel="0" collapsed="false">
      <c r="A2089" s="3" t="n">
        <v>30002177</v>
      </c>
      <c r="B2089" s="3" t="s">
        <v>285</v>
      </c>
      <c r="C2089" s="3" t="s">
        <v>1372</v>
      </c>
      <c r="D2089" s="23" t="n">
        <v>1830.8</v>
      </c>
      <c r="E2089" s="23" t="n">
        <v>1904.86666666667</v>
      </c>
      <c r="F2089" s="23" t="n">
        <f aca="false">D2089-E2089</f>
        <v>-74.0666666666671</v>
      </c>
      <c r="G2089" s="24" t="n">
        <f aca="false">IF(E2089&gt;0,D2089/E2089-1,"")</f>
        <v>-0.0388828614426209</v>
      </c>
      <c r="H2089" s="3" t="str">
        <f aca="false">IF(MAX(D2089,E2089)&lt;Parametros!$B$16,"",IF(E2089=0,"PIDE SIN FCST",IF(ABS(G2089)&gt;Parametros!$B$14,IF(G2089&gt;0,"SOBRE FCST","BAJO FCST"),"")))</f>
        <v/>
      </c>
    </row>
    <row r="2090" customFormat="false" ht="15" hidden="false" customHeight="false" outlineLevel="0" collapsed="false">
      <c r="A2090" s="3" t="n">
        <v>30000177</v>
      </c>
      <c r="B2090" s="3" t="s">
        <v>439</v>
      </c>
      <c r="C2090" s="3" t="s">
        <v>1375</v>
      </c>
      <c r="D2090" s="23" t="n">
        <v>3326.4</v>
      </c>
      <c r="E2090" s="23" t="n">
        <v>3400</v>
      </c>
      <c r="F2090" s="23" t="n">
        <f aca="false">D2090-E2090</f>
        <v>-73.5999999999999</v>
      </c>
      <c r="G2090" s="24" t="n">
        <f aca="false">IF(E2090&gt;0,D2090/E2090-1,"")</f>
        <v>-0.0216470588235294</v>
      </c>
      <c r="H2090" s="3" t="str">
        <f aca="false">IF(MAX(D2090,E2090)&lt;Parametros!$B$16,"",IF(E2090=0,"PIDE SIN FCST",IF(ABS(G2090)&gt;Parametros!$B$14,IF(G2090&gt;0,"SOBRE FCST","BAJO FCST"),"")))</f>
        <v/>
      </c>
    </row>
    <row r="2091" customFormat="false" ht="15" hidden="false" customHeight="false" outlineLevel="0" collapsed="false">
      <c r="A2091" s="3" t="n">
        <v>30001828</v>
      </c>
      <c r="B2091" s="3" t="s">
        <v>510</v>
      </c>
      <c r="C2091" s="3" t="s">
        <v>1376</v>
      </c>
      <c r="D2091" s="23" t="n">
        <v>73.32</v>
      </c>
      <c r="E2091" s="23" t="n">
        <v>0</v>
      </c>
      <c r="F2091" s="23" t="n">
        <f aca="false">D2091-E2091</f>
        <v>73.32</v>
      </c>
      <c r="G2091" s="24" t="str">
        <f aca="false">IF(E2091&gt;0,D2091/E2091-1,"")</f>
        <v/>
      </c>
      <c r="H2091" s="3" t="str">
        <f aca="false">IF(MAX(D2091,E2091)&lt;Parametros!$B$16,"",IF(E2091=0,"PIDE SIN FCST",IF(ABS(G2091)&gt;Parametros!$B$14,IF(G2091&gt;0,"SOBRE FCST","BAJO FCST"),"")))</f>
        <v/>
      </c>
    </row>
    <row r="2092" customFormat="false" ht="15" hidden="false" customHeight="false" outlineLevel="0" collapsed="false">
      <c r="A2092" s="3" t="n">
        <v>30000055</v>
      </c>
      <c r="B2092" s="3" t="s">
        <v>417</v>
      </c>
      <c r="C2092" s="3" t="s">
        <v>1375</v>
      </c>
      <c r="D2092" s="23" t="n">
        <v>1173</v>
      </c>
      <c r="E2092" s="23" t="n">
        <v>1100</v>
      </c>
      <c r="F2092" s="23" t="n">
        <f aca="false">D2092-E2092</f>
        <v>73</v>
      </c>
      <c r="G2092" s="24" t="n">
        <f aca="false">IF(E2092&gt;0,D2092/E2092-1,"")</f>
        <v>0.0663636363636364</v>
      </c>
      <c r="H2092" s="3" t="str">
        <f aca="false">IF(MAX(D2092,E2092)&lt;Parametros!$B$16,"",IF(E2092=0,"PIDE SIN FCST",IF(ABS(G2092)&gt;Parametros!$B$14,IF(G2092&gt;0,"SOBRE FCST","BAJO FCST"),"")))</f>
        <v/>
      </c>
    </row>
    <row r="2093" customFormat="false" ht="15" hidden="false" customHeight="false" outlineLevel="0" collapsed="false">
      <c r="A2093" s="3" t="n">
        <v>30000238</v>
      </c>
      <c r="B2093" s="3" t="s">
        <v>408</v>
      </c>
      <c r="C2093" s="3" t="s">
        <v>1377</v>
      </c>
      <c r="D2093" s="23" t="n">
        <v>504</v>
      </c>
      <c r="E2093" s="23" t="n">
        <v>431.287532747868</v>
      </c>
      <c r="F2093" s="23" t="n">
        <f aca="false">D2093-E2093</f>
        <v>72.7124672521318</v>
      </c>
      <c r="G2093" s="24" t="n">
        <f aca="false">IF(E2093&gt;0,D2093/E2093-1,"")</f>
        <v>0.168593946569375</v>
      </c>
      <c r="H2093" s="3" t="str">
        <f aca="false">IF(MAX(D2093,E2093)&lt;Parametros!$B$16,"",IF(E2093=0,"PIDE SIN FCST",IF(ABS(G2093)&gt;Parametros!$B$14,IF(G2093&gt;0,"SOBRE FCST","BAJO FCST"),"")))</f>
        <v/>
      </c>
    </row>
    <row r="2094" customFormat="false" ht="15" hidden="false" customHeight="false" outlineLevel="0" collapsed="false">
      <c r="A2094" s="3" t="n">
        <v>30000043</v>
      </c>
      <c r="B2094" s="3" t="s">
        <v>546</v>
      </c>
      <c r="C2094" s="3" t="s">
        <v>1373</v>
      </c>
      <c r="D2094" s="23" t="n">
        <v>397.44</v>
      </c>
      <c r="E2094" s="23" t="n">
        <v>470</v>
      </c>
      <c r="F2094" s="23" t="n">
        <f aca="false">D2094-E2094</f>
        <v>-72.56</v>
      </c>
      <c r="G2094" s="24" t="n">
        <f aca="false">IF(E2094&gt;0,D2094/E2094-1,"")</f>
        <v>-0.154382978723404</v>
      </c>
      <c r="H2094" s="3" t="str">
        <f aca="false">IF(MAX(D2094,E2094)&lt;Parametros!$B$16,"",IF(E2094=0,"PIDE SIN FCST",IF(ABS(G2094)&gt;Parametros!$B$14,IF(G2094&gt;0,"SOBRE FCST","BAJO FCST"),"")))</f>
        <v/>
      </c>
    </row>
    <row r="2095" customFormat="false" ht="15" hidden="false" customHeight="false" outlineLevel="0" collapsed="false">
      <c r="A2095" s="3" t="n">
        <v>30000052</v>
      </c>
      <c r="B2095" s="3" t="s">
        <v>602</v>
      </c>
      <c r="C2095" s="3" t="s">
        <v>1378</v>
      </c>
      <c r="D2095" s="23" t="n">
        <v>277.5</v>
      </c>
      <c r="E2095" s="23" t="n">
        <v>350</v>
      </c>
      <c r="F2095" s="23" t="n">
        <f aca="false">D2095-E2095</f>
        <v>-72.5</v>
      </c>
      <c r="G2095" s="24" t="n">
        <f aca="false">IF(E2095&gt;0,D2095/E2095-1,"")</f>
        <v>-0.207142857142857</v>
      </c>
      <c r="H2095" s="3" t="str">
        <f aca="false">IF(MAX(D2095,E2095)&lt;Parametros!$B$16,"",IF(E2095=0,"PIDE SIN FCST",IF(ABS(G2095)&gt;Parametros!$B$14,IF(G2095&gt;0,"SOBRE FCST","BAJO FCST"),"")))</f>
        <v/>
      </c>
    </row>
    <row r="2096" customFormat="false" ht="15" hidden="false" customHeight="false" outlineLevel="0" collapsed="false">
      <c r="A2096" s="3" t="n">
        <v>30001075</v>
      </c>
      <c r="B2096" s="3" t="s">
        <v>297</v>
      </c>
      <c r="C2096" s="3" t="s">
        <v>1373</v>
      </c>
      <c r="D2096" s="23" t="n">
        <v>2465.76</v>
      </c>
      <c r="E2096" s="23" t="n">
        <v>2538.18733582979</v>
      </c>
      <c r="F2096" s="23" t="n">
        <f aca="false">D2096-E2096</f>
        <v>-72.4273358297887</v>
      </c>
      <c r="G2096" s="24" t="n">
        <f aca="false">IF(E2096&gt;0,D2096/E2096-1,"")</f>
        <v>-0.0285350631166516</v>
      </c>
      <c r="H2096" s="3" t="str">
        <f aca="false">IF(MAX(D2096,E2096)&lt;Parametros!$B$16,"",IF(E2096=0,"PIDE SIN FCST",IF(ABS(G2096)&gt;Parametros!$B$14,IF(G2096&gt;0,"SOBRE FCST","BAJO FCST"),"")))</f>
        <v/>
      </c>
    </row>
    <row r="2097" customFormat="false" ht="15" hidden="false" customHeight="false" outlineLevel="0" collapsed="false">
      <c r="A2097" s="3" t="n">
        <v>30001776</v>
      </c>
      <c r="B2097" s="3" t="s">
        <v>605</v>
      </c>
      <c r="C2097" s="3" t="s">
        <v>1377</v>
      </c>
      <c r="D2097" s="23" t="n">
        <v>48</v>
      </c>
      <c r="E2097" s="23" t="n">
        <v>120.339558535119</v>
      </c>
      <c r="F2097" s="23" t="n">
        <f aca="false">D2097-E2097</f>
        <v>-72.3395585351189</v>
      </c>
      <c r="G2097" s="24" t="n">
        <f aca="false">IF(E2097&gt;0,D2097/E2097-1,"")</f>
        <v>-0.601128668043168</v>
      </c>
      <c r="H2097" s="3" t="str">
        <f aca="false">IF(MAX(D2097,E2097)&lt;Parametros!$B$16,"",IF(E2097=0,"PIDE SIN FCST",IF(ABS(G2097)&gt;Parametros!$B$14,IF(G2097&gt;0,"SOBRE FCST","BAJO FCST"),"")))</f>
        <v/>
      </c>
    </row>
    <row r="2098" customFormat="false" ht="15" hidden="false" customHeight="false" outlineLevel="0" collapsed="false">
      <c r="A2098" s="3" t="n">
        <v>30001481</v>
      </c>
      <c r="B2098" s="3" t="s">
        <v>588</v>
      </c>
      <c r="C2098" s="3" t="s">
        <v>1377</v>
      </c>
      <c r="D2098" s="23" t="n">
        <v>77.76</v>
      </c>
      <c r="E2098" s="23" t="n">
        <v>150</v>
      </c>
      <c r="F2098" s="23" t="n">
        <f aca="false">D2098-E2098</f>
        <v>-72.24</v>
      </c>
      <c r="G2098" s="24" t="n">
        <f aca="false">IF(E2098&gt;0,D2098/E2098-1,"")</f>
        <v>-0.4816</v>
      </c>
      <c r="H2098" s="3" t="str">
        <f aca="false">IF(MAX(D2098,E2098)&lt;Parametros!$B$16,"",IF(E2098=0,"PIDE SIN FCST",IF(ABS(G2098)&gt;Parametros!$B$14,IF(G2098&gt;0,"SOBRE FCST","BAJO FCST"),"")))</f>
        <v/>
      </c>
    </row>
    <row r="2099" customFormat="false" ht="15" hidden="false" customHeight="false" outlineLevel="0" collapsed="false">
      <c r="A2099" s="3" t="n">
        <v>30001764</v>
      </c>
      <c r="B2099" s="3" t="s">
        <v>390</v>
      </c>
      <c r="C2099" s="3" t="s">
        <v>1380</v>
      </c>
      <c r="D2099" s="23" t="n">
        <v>772.2</v>
      </c>
      <c r="E2099" s="23" t="n">
        <v>700</v>
      </c>
      <c r="F2099" s="23" t="n">
        <f aca="false">D2099-E2099</f>
        <v>72.2000000000001</v>
      </c>
      <c r="G2099" s="24" t="n">
        <f aca="false">IF(E2099&gt;0,D2099/E2099-1,"")</f>
        <v>0.103142857142857</v>
      </c>
      <c r="H2099" s="3" t="str">
        <f aca="false">IF(MAX(D2099,E2099)&lt;Parametros!$B$16,"",IF(E2099=0,"PIDE SIN FCST",IF(ABS(G2099)&gt;Parametros!$B$14,IF(G2099&gt;0,"SOBRE FCST","BAJO FCST"),"")))</f>
        <v/>
      </c>
    </row>
    <row r="2100" customFormat="false" ht="15" hidden="false" customHeight="false" outlineLevel="0" collapsed="false">
      <c r="A2100" s="3" t="n">
        <v>30001776</v>
      </c>
      <c r="B2100" s="3" t="s">
        <v>605</v>
      </c>
      <c r="C2100" s="3" t="s">
        <v>1376</v>
      </c>
      <c r="D2100" s="23" t="n">
        <v>72</v>
      </c>
      <c r="E2100" s="23" t="n">
        <v>0</v>
      </c>
      <c r="F2100" s="23" t="n">
        <f aca="false">D2100-E2100</f>
        <v>72</v>
      </c>
      <c r="G2100" s="24" t="str">
        <f aca="false">IF(E2100&gt;0,D2100/E2100-1,"")</f>
        <v/>
      </c>
      <c r="H2100" s="3" t="str">
        <f aca="false">IF(MAX(D2100,E2100)&lt;Parametros!$B$16,"",IF(E2100=0,"PIDE SIN FCST",IF(ABS(G2100)&gt;Parametros!$B$14,IF(G2100&gt;0,"SOBRE FCST","BAJO FCST"),"")))</f>
        <v/>
      </c>
    </row>
    <row r="2101" customFormat="false" ht="15" hidden="false" customHeight="false" outlineLevel="0" collapsed="false">
      <c r="A2101" s="3" t="n">
        <v>30000383</v>
      </c>
      <c r="B2101" s="3" t="s">
        <v>578</v>
      </c>
      <c r="C2101" s="3" t="s">
        <v>1376</v>
      </c>
      <c r="D2101" s="23" t="n">
        <v>24</v>
      </c>
      <c r="E2101" s="23" t="n">
        <v>96</v>
      </c>
      <c r="F2101" s="23" t="n">
        <f aca="false">D2101-E2101</f>
        <v>-72</v>
      </c>
      <c r="G2101" s="24" t="n">
        <f aca="false">IF(E2101&gt;0,D2101/E2101-1,"")</f>
        <v>-0.75</v>
      </c>
      <c r="H2101" s="3" t="str">
        <f aca="false">IF(MAX(D2101,E2101)&lt;Parametros!$B$16,"",IF(E2101=0,"PIDE SIN FCST",IF(ABS(G2101)&gt;Parametros!$B$14,IF(G2101&gt;0,"SOBRE FCST","BAJO FCST"),"")))</f>
        <v/>
      </c>
    </row>
    <row r="2102" customFormat="false" ht="15" hidden="false" customHeight="false" outlineLevel="0" collapsed="false">
      <c r="A2102" s="3" t="n">
        <v>30000306</v>
      </c>
      <c r="B2102" s="3" t="s">
        <v>329</v>
      </c>
      <c r="C2102" s="3" t="s">
        <v>1378</v>
      </c>
      <c r="D2102" s="23" t="n">
        <v>1152</v>
      </c>
      <c r="E2102" s="23" t="n">
        <v>1223.91386609882</v>
      </c>
      <c r="F2102" s="23" t="n">
        <f aca="false">D2102-E2102</f>
        <v>-71.913866098816</v>
      </c>
      <c r="G2102" s="24" t="n">
        <f aca="false">IF(E2102&gt;0,D2102/E2102-1,"")</f>
        <v>-0.0587572933772202</v>
      </c>
      <c r="H2102" s="3" t="str">
        <f aca="false">IF(MAX(D2102,E2102)&lt;Parametros!$B$16,"",IF(E2102=0,"PIDE SIN FCST",IF(ABS(G2102)&gt;Parametros!$B$14,IF(G2102&gt;0,"SOBRE FCST","BAJO FCST"),"")))</f>
        <v/>
      </c>
    </row>
    <row r="2103" customFormat="false" ht="15" hidden="false" customHeight="false" outlineLevel="0" collapsed="false">
      <c r="A2103" s="3" t="n">
        <v>30000089</v>
      </c>
      <c r="B2103" s="3" t="s">
        <v>467</v>
      </c>
      <c r="C2103" s="3" t="s">
        <v>1377</v>
      </c>
      <c r="D2103" s="23" t="n">
        <v>1312</v>
      </c>
      <c r="E2103" s="23" t="n">
        <v>1383.82386025405</v>
      </c>
      <c r="F2103" s="23" t="n">
        <f aca="false">D2103-E2103</f>
        <v>-71.8238602540539</v>
      </c>
      <c r="G2103" s="24" t="n">
        <f aca="false">IF(E2103&gt;0,D2103/E2103-1,"")</f>
        <v>-0.0519024583380633</v>
      </c>
      <c r="H2103" s="3" t="str">
        <f aca="false">IF(MAX(D2103,E2103)&lt;Parametros!$B$16,"",IF(E2103=0,"PIDE SIN FCST",IF(ABS(G2103)&gt;Parametros!$B$14,IF(G2103&gt;0,"SOBRE FCST","BAJO FCST"),"")))</f>
        <v/>
      </c>
    </row>
    <row r="2104" customFormat="false" ht="15" hidden="false" customHeight="false" outlineLevel="0" collapsed="false">
      <c r="A2104" s="3" t="n">
        <v>30002137</v>
      </c>
      <c r="B2104" s="3" t="s">
        <v>627</v>
      </c>
      <c r="C2104" s="3" t="s">
        <v>1377</v>
      </c>
      <c r="D2104" s="23" t="n">
        <v>71.4</v>
      </c>
      <c r="E2104" s="23" t="n">
        <v>0</v>
      </c>
      <c r="F2104" s="23" t="n">
        <f aca="false">D2104-E2104</f>
        <v>71.4</v>
      </c>
      <c r="G2104" s="24" t="str">
        <f aca="false">IF(E2104&gt;0,D2104/E2104-1,"")</f>
        <v/>
      </c>
      <c r="H2104" s="3" t="str">
        <f aca="false">IF(MAX(D2104,E2104)&lt;Parametros!$B$16,"",IF(E2104=0,"PIDE SIN FCST",IF(ABS(G2104)&gt;Parametros!$B$14,IF(G2104&gt;0,"SOBRE FCST","BAJO FCST"),"")))</f>
        <v/>
      </c>
    </row>
    <row r="2105" customFormat="false" ht="15" hidden="false" customHeight="false" outlineLevel="0" collapsed="false">
      <c r="A2105" s="3" t="n">
        <v>30000246</v>
      </c>
      <c r="B2105" s="3" t="s">
        <v>413</v>
      </c>
      <c r="C2105" s="3" t="s">
        <v>1377</v>
      </c>
      <c r="D2105" s="23" t="n">
        <v>2604</v>
      </c>
      <c r="E2105" s="23" t="n">
        <v>2675.28349372829</v>
      </c>
      <c r="F2105" s="23" t="n">
        <f aca="false">D2105-E2105</f>
        <v>-71.2834937282901</v>
      </c>
      <c r="G2105" s="24" t="n">
        <f aca="false">IF(E2105&gt;0,D2105/E2105-1,"")</f>
        <v>-0.0266452112067379</v>
      </c>
      <c r="H2105" s="3" t="str">
        <f aca="false">IF(MAX(D2105,E2105)&lt;Parametros!$B$16,"",IF(E2105=0,"PIDE SIN FCST",IF(ABS(G2105)&gt;Parametros!$B$14,IF(G2105&gt;0,"SOBRE FCST","BAJO FCST"),"")))</f>
        <v/>
      </c>
    </row>
    <row r="2106" customFormat="false" ht="15" hidden="false" customHeight="false" outlineLevel="0" collapsed="false">
      <c r="A2106" s="3" t="n">
        <v>30001924</v>
      </c>
      <c r="B2106" s="3" t="s">
        <v>563</v>
      </c>
      <c r="C2106" s="3" t="s">
        <v>1377</v>
      </c>
      <c r="D2106" s="23" t="n">
        <v>132</v>
      </c>
      <c r="E2106" s="23" t="n">
        <v>202.722881016653</v>
      </c>
      <c r="F2106" s="23" t="n">
        <f aca="false">D2106-E2106</f>
        <v>-70.7228810166529</v>
      </c>
      <c r="G2106" s="24" t="n">
        <f aca="false">IF(E2106&gt;0,D2106/E2106-1,"")</f>
        <v>-0.348864818129944</v>
      </c>
      <c r="H2106" s="3" t="str">
        <f aca="false">IF(MAX(D2106,E2106)&lt;Parametros!$B$16,"",IF(E2106=0,"PIDE SIN FCST",IF(ABS(G2106)&gt;Parametros!$B$14,IF(G2106&gt;0,"SOBRE FCST","BAJO FCST"),"")))</f>
        <v/>
      </c>
    </row>
    <row r="2107" customFormat="false" ht="15" hidden="false" customHeight="false" outlineLevel="0" collapsed="false">
      <c r="A2107" s="3" t="n">
        <v>30000039</v>
      </c>
      <c r="B2107" s="3" t="s">
        <v>406</v>
      </c>
      <c r="C2107" s="3" t="s">
        <v>1377</v>
      </c>
      <c r="D2107" s="23" t="n">
        <v>450.8</v>
      </c>
      <c r="E2107" s="23" t="n">
        <v>520</v>
      </c>
      <c r="F2107" s="23" t="n">
        <f aca="false">D2107-E2107</f>
        <v>-69.2</v>
      </c>
      <c r="G2107" s="24" t="n">
        <f aca="false">IF(E2107&gt;0,D2107/E2107-1,"")</f>
        <v>-0.133076923076923</v>
      </c>
      <c r="H2107" s="3" t="str">
        <f aca="false">IF(MAX(D2107,E2107)&lt;Parametros!$B$16,"",IF(E2107=0,"PIDE SIN FCST",IF(ABS(G2107)&gt;Parametros!$B$14,IF(G2107&gt;0,"SOBRE FCST","BAJO FCST"),"")))</f>
        <v/>
      </c>
    </row>
    <row r="2108" customFormat="false" ht="15" hidden="false" customHeight="false" outlineLevel="0" collapsed="false">
      <c r="A2108" s="3" t="n">
        <v>30000090</v>
      </c>
      <c r="B2108" s="3" t="s">
        <v>518</v>
      </c>
      <c r="C2108" s="3" t="s">
        <v>1373</v>
      </c>
      <c r="D2108" s="23" t="n">
        <v>5148</v>
      </c>
      <c r="E2108" s="23" t="n">
        <v>5079.41286751351</v>
      </c>
      <c r="F2108" s="23" t="n">
        <f aca="false">D2108-E2108</f>
        <v>68.5871324864884</v>
      </c>
      <c r="G2108" s="24" t="n">
        <f aca="false">IF(E2108&gt;0,D2108/E2108-1,"")</f>
        <v>0.0135029646684466</v>
      </c>
      <c r="H2108" s="3" t="str">
        <f aca="false">IF(MAX(D2108,E2108)&lt;Parametros!$B$16,"",IF(E2108=0,"PIDE SIN FCST",IF(ABS(G2108)&gt;Parametros!$B$14,IF(G2108&gt;0,"SOBRE FCST","BAJO FCST"),"")))</f>
        <v/>
      </c>
    </row>
    <row r="2109" customFormat="false" ht="15" hidden="false" customHeight="false" outlineLevel="0" collapsed="false">
      <c r="A2109" s="3" t="n">
        <v>30000498</v>
      </c>
      <c r="B2109" s="3" t="s">
        <v>450</v>
      </c>
      <c r="C2109" s="3" t="s">
        <v>1373</v>
      </c>
      <c r="D2109" s="23" t="n">
        <v>1587.6</v>
      </c>
      <c r="E2109" s="23" t="n">
        <v>1519.10394224476</v>
      </c>
      <c r="F2109" s="23" t="n">
        <f aca="false">D2109-E2109</f>
        <v>68.4960577552429</v>
      </c>
      <c r="G2109" s="24" t="n">
        <f aca="false">IF(E2109&gt;0,D2109/E2109-1,"")</f>
        <v>0.0450897768417526</v>
      </c>
      <c r="H2109" s="3" t="str">
        <f aca="false">IF(MAX(D2109,E2109)&lt;Parametros!$B$16,"",IF(E2109=0,"PIDE SIN FCST",IF(ABS(G2109)&gt;Parametros!$B$14,IF(G2109&gt;0,"SOBRE FCST","BAJO FCST"),"")))</f>
        <v/>
      </c>
    </row>
    <row r="2110" customFormat="false" ht="15" hidden="false" customHeight="false" outlineLevel="0" collapsed="false">
      <c r="A2110" s="3" t="n">
        <v>30001409</v>
      </c>
      <c r="B2110" s="3" t="s">
        <v>270</v>
      </c>
      <c r="C2110" s="3" t="s">
        <v>1376</v>
      </c>
      <c r="D2110" s="23" t="n">
        <v>136</v>
      </c>
      <c r="E2110" s="23" t="n">
        <v>68</v>
      </c>
      <c r="F2110" s="23" t="n">
        <f aca="false">D2110-E2110</f>
        <v>68</v>
      </c>
      <c r="G2110" s="24" t="n">
        <f aca="false">IF(E2110&gt;0,D2110/E2110-1,"")</f>
        <v>1</v>
      </c>
      <c r="H2110" s="3" t="str">
        <f aca="false">IF(MAX(D2110,E2110)&lt;Parametros!$B$16,"",IF(E2110=0,"PIDE SIN FCST",IF(ABS(G2110)&gt;Parametros!$B$14,IF(G2110&gt;0,"SOBRE FCST","BAJO FCST"),"")))</f>
        <v/>
      </c>
    </row>
    <row r="2111" customFormat="false" ht="15" hidden="false" customHeight="false" outlineLevel="0" collapsed="false">
      <c r="A2111" s="3" t="n">
        <v>30002176</v>
      </c>
      <c r="B2111" s="3" t="s">
        <v>548</v>
      </c>
      <c r="C2111" s="3" t="s">
        <v>1373</v>
      </c>
      <c r="D2111" s="23" t="n">
        <v>608</v>
      </c>
      <c r="E2111" s="23" t="n">
        <v>540</v>
      </c>
      <c r="F2111" s="23" t="n">
        <f aca="false">D2111-E2111</f>
        <v>68</v>
      </c>
      <c r="G2111" s="24" t="n">
        <f aca="false">IF(E2111&gt;0,D2111/E2111-1,"")</f>
        <v>0.125925925925926</v>
      </c>
      <c r="H2111" s="3" t="str">
        <f aca="false">IF(MAX(D2111,E2111)&lt;Parametros!$B$16,"",IF(E2111=0,"PIDE SIN FCST",IF(ABS(G2111)&gt;Parametros!$B$14,IF(G2111&gt;0,"SOBRE FCST","BAJO FCST"),"")))</f>
        <v/>
      </c>
    </row>
    <row r="2112" customFormat="false" ht="15" hidden="false" customHeight="false" outlineLevel="0" collapsed="false">
      <c r="A2112" s="3" t="n">
        <v>30000360</v>
      </c>
      <c r="B2112" s="3" t="s">
        <v>382</v>
      </c>
      <c r="C2112" s="3" t="s">
        <v>1377</v>
      </c>
      <c r="D2112" s="23" t="n">
        <v>840</v>
      </c>
      <c r="E2112" s="23" t="n">
        <v>772.314921573093</v>
      </c>
      <c r="F2112" s="23" t="n">
        <f aca="false">D2112-E2112</f>
        <v>67.6850784269075</v>
      </c>
      <c r="G2112" s="24" t="n">
        <f aca="false">IF(E2112&gt;0,D2112/E2112-1,"")</f>
        <v>0.0876392214319035</v>
      </c>
      <c r="H2112" s="3" t="str">
        <f aca="false">IF(MAX(D2112,E2112)&lt;Parametros!$B$16,"",IF(E2112=0,"PIDE SIN FCST",IF(ABS(G2112)&gt;Parametros!$B$14,IF(G2112&gt;0,"SOBRE FCST","BAJO FCST"),"")))</f>
        <v/>
      </c>
    </row>
    <row r="2113" customFormat="false" ht="15" hidden="false" customHeight="false" outlineLevel="0" collapsed="false">
      <c r="A2113" s="3" t="n">
        <v>30000054</v>
      </c>
      <c r="B2113" s="3" t="s">
        <v>349</v>
      </c>
      <c r="C2113" s="3" t="s">
        <v>1373</v>
      </c>
      <c r="D2113" s="23" t="n">
        <v>1567.68</v>
      </c>
      <c r="E2113" s="23" t="n">
        <v>1500</v>
      </c>
      <c r="F2113" s="23" t="n">
        <f aca="false">D2113-E2113</f>
        <v>67.6800000000001</v>
      </c>
      <c r="G2113" s="24" t="n">
        <f aca="false">IF(E2113&gt;0,D2113/E2113-1,"")</f>
        <v>0.0451200000000001</v>
      </c>
      <c r="H2113" s="3" t="str">
        <f aca="false">IF(MAX(D2113,E2113)&lt;Parametros!$B$16,"",IF(E2113=0,"PIDE SIN FCST",IF(ABS(G2113)&gt;Parametros!$B$14,IF(G2113&gt;0,"SOBRE FCST","BAJO FCST"),"")))</f>
        <v/>
      </c>
    </row>
    <row r="2114" customFormat="false" ht="15" hidden="false" customHeight="false" outlineLevel="0" collapsed="false">
      <c r="A2114" s="3" t="n">
        <v>30000086</v>
      </c>
      <c r="B2114" s="3" t="s">
        <v>508</v>
      </c>
      <c r="C2114" s="3" t="s">
        <v>1380</v>
      </c>
      <c r="D2114" s="23" t="n">
        <v>3024</v>
      </c>
      <c r="E2114" s="23" t="n">
        <v>2956.43766373934</v>
      </c>
      <c r="F2114" s="23" t="n">
        <f aca="false">D2114-E2114</f>
        <v>67.5623362606589</v>
      </c>
      <c r="G2114" s="24" t="n">
        <f aca="false">IF(E2114&gt;0,D2114/E2114-1,"")</f>
        <v>0.0228526165423035</v>
      </c>
      <c r="H2114" s="3" t="str">
        <f aca="false">IF(MAX(D2114,E2114)&lt;Parametros!$B$16,"",IF(E2114=0,"PIDE SIN FCST",IF(ABS(G2114)&gt;Parametros!$B$14,IF(G2114&gt;0,"SOBRE FCST","BAJO FCST"),"")))</f>
        <v/>
      </c>
    </row>
    <row r="2115" customFormat="false" ht="15" hidden="false" customHeight="false" outlineLevel="0" collapsed="false">
      <c r="A2115" s="3" t="n">
        <v>30000559</v>
      </c>
      <c r="B2115" s="3" t="s">
        <v>399</v>
      </c>
      <c r="C2115" s="3" t="s">
        <v>1378</v>
      </c>
      <c r="D2115" s="23" t="n">
        <v>1226.4</v>
      </c>
      <c r="E2115" s="23" t="n">
        <v>1293.86259824361</v>
      </c>
      <c r="F2115" s="23" t="n">
        <f aca="false">D2115-E2115</f>
        <v>-67.4625982436048</v>
      </c>
      <c r="G2115" s="24" t="n">
        <f aca="false">IF(E2115&gt;0,D2115/E2115-1,"")</f>
        <v>-0.0521404655603958</v>
      </c>
      <c r="H2115" s="3" t="str">
        <f aca="false">IF(MAX(D2115,E2115)&lt;Parametros!$B$16,"",IF(E2115=0,"PIDE SIN FCST",IF(ABS(G2115)&gt;Parametros!$B$14,IF(G2115&gt;0,"SOBRE FCST","BAJO FCST"),"")))</f>
        <v/>
      </c>
    </row>
    <row r="2116" customFormat="false" ht="15" hidden="false" customHeight="false" outlineLevel="0" collapsed="false">
      <c r="A2116" s="3" t="n">
        <v>30002163</v>
      </c>
      <c r="B2116" s="3" t="s">
        <v>630</v>
      </c>
      <c r="C2116" s="3" t="s">
        <v>1379</v>
      </c>
      <c r="D2116" s="23" t="n">
        <v>19.2</v>
      </c>
      <c r="E2116" s="23" t="n">
        <v>86.2575065495737</v>
      </c>
      <c r="F2116" s="23" t="n">
        <f aca="false">D2116-E2116</f>
        <v>-67.0575065495737</v>
      </c>
      <c r="G2116" s="24" t="n">
        <f aca="false">IF(E2116&gt;0,D2116/E2116-1,"")</f>
        <v>-0.777410676843929</v>
      </c>
      <c r="H2116" s="3" t="str">
        <f aca="false">IF(MAX(D2116,E2116)&lt;Parametros!$B$16,"",IF(E2116=0,"PIDE SIN FCST",IF(ABS(G2116)&gt;Parametros!$B$14,IF(G2116&gt;0,"SOBRE FCST","BAJO FCST"),"")))</f>
        <v/>
      </c>
    </row>
    <row r="2117" customFormat="false" ht="15" hidden="false" customHeight="false" outlineLevel="0" collapsed="false">
      <c r="A2117" s="3" t="n">
        <v>30002262</v>
      </c>
      <c r="B2117" s="3" t="s">
        <v>522</v>
      </c>
      <c r="C2117" s="3" t="s">
        <v>1377</v>
      </c>
      <c r="D2117" s="23" t="n">
        <v>276</v>
      </c>
      <c r="E2117" s="23" t="n">
        <v>208.994621857243</v>
      </c>
      <c r="F2117" s="23" t="n">
        <f aca="false">D2117-E2117</f>
        <v>67.0053781427574</v>
      </c>
      <c r="G2117" s="24" t="n">
        <f aca="false">IF(E2117&gt;0,D2117/E2117-1,"")</f>
        <v>0.320608145546093</v>
      </c>
      <c r="H2117" s="3" t="str">
        <f aca="false">IF(MAX(D2117,E2117)&lt;Parametros!$B$16,"",IF(E2117=0,"PIDE SIN FCST",IF(ABS(G2117)&gt;Parametros!$B$14,IF(G2117&gt;0,"SOBRE FCST","BAJO FCST"),"")))</f>
        <v/>
      </c>
    </row>
    <row r="2118" customFormat="false" ht="15" hidden="false" customHeight="false" outlineLevel="0" collapsed="false">
      <c r="A2118" s="3" t="n">
        <v>30002217</v>
      </c>
      <c r="B2118" s="3" t="s">
        <v>584</v>
      </c>
      <c r="C2118" s="3" t="s">
        <v>1377</v>
      </c>
      <c r="D2118" s="23" t="n">
        <v>131.1</v>
      </c>
      <c r="E2118" s="23" t="n">
        <v>197.926745928884</v>
      </c>
      <c r="F2118" s="23" t="n">
        <f aca="false">D2118-E2118</f>
        <v>-66.8267459288835</v>
      </c>
      <c r="G2118" s="24" t="n">
        <f aca="false">IF(E2118&gt;0,D2118/E2118-1,"")</f>
        <v>-0.3376337321935</v>
      </c>
      <c r="H2118" s="3" t="str">
        <f aca="false">IF(MAX(D2118,E2118)&lt;Parametros!$B$16,"",IF(E2118=0,"PIDE SIN FCST",IF(ABS(G2118)&gt;Parametros!$B$14,IF(G2118&gt;0,"SOBRE FCST","BAJO FCST"),"")))</f>
        <v/>
      </c>
    </row>
    <row r="2119" customFormat="false" ht="15" hidden="false" customHeight="false" outlineLevel="0" collapsed="false">
      <c r="A2119" s="3" t="n">
        <v>30002076</v>
      </c>
      <c r="B2119" s="3" t="s">
        <v>489</v>
      </c>
      <c r="C2119" s="3" t="s">
        <v>1377</v>
      </c>
      <c r="D2119" s="23" t="n">
        <v>120</v>
      </c>
      <c r="E2119" s="23" t="n">
        <v>186.765081776929</v>
      </c>
      <c r="F2119" s="23" t="n">
        <f aca="false">D2119-E2119</f>
        <v>-66.7650817769287</v>
      </c>
      <c r="G2119" s="24" t="n">
        <f aca="false">IF(E2119&gt;0,D2119/E2119-1,"")</f>
        <v>-0.357481608134183</v>
      </c>
      <c r="H2119" s="3" t="str">
        <f aca="false">IF(MAX(D2119,E2119)&lt;Parametros!$B$16,"",IF(E2119=0,"PIDE SIN FCST",IF(ABS(G2119)&gt;Parametros!$B$14,IF(G2119&gt;0,"SOBRE FCST","BAJO FCST"),"")))</f>
        <v/>
      </c>
    </row>
    <row r="2120" customFormat="false" ht="15" hidden="false" customHeight="false" outlineLevel="0" collapsed="false">
      <c r="A2120" s="3" t="n">
        <v>30001780</v>
      </c>
      <c r="B2120" s="3" t="s">
        <v>340</v>
      </c>
      <c r="C2120" s="3" t="s">
        <v>1377</v>
      </c>
      <c r="D2120" s="23" t="n">
        <v>1033.344</v>
      </c>
      <c r="E2120" s="23" t="n">
        <v>1100</v>
      </c>
      <c r="F2120" s="23" t="n">
        <f aca="false">D2120-E2120</f>
        <v>-66.656</v>
      </c>
      <c r="G2120" s="24" t="n">
        <f aca="false">IF(E2120&gt;0,D2120/E2120-1,"")</f>
        <v>-0.0605963636363636</v>
      </c>
      <c r="H2120" s="3" t="str">
        <f aca="false">IF(MAX(D2120,E2120)&lt;Parametros!$B$16,"",IF(E2120=0,"PIDE SIN FCST",IF(ABS(G2120)&gt;Parametros!$B$14,IF(G2120&gt;0,"SOBRE FCST","BAJO FCST"),"")))</f>
        <v/>
      </c>
    </row>
    <row r="2121" customFormat="false" ht="15" hidden="false" customHeight="false" outlineLevel="0" collapsed="false">
      <c r="A2121" s="3" t="n">
        <v>30000488</v>
      </c>
      <c r="B2121" s="3" t="s">
        <v>448</v>
      </c>
      <c r="C2121" s="3" t="s">
        <v>1377</v>
      </c>
      <c r="D2121" s="23" t="n">
        <v>615.6</v>
      </c>
      <c r="E2121" s="23" t="n">
        <v>681.587886887242</v>
      </c>
      <c r="F2121" s="23" t="n">
        <f aca="false">D2121-E2121</f>
        <v>-65.9878868872419</v>
      </c>
      <c r="G2121" s="24" t="n">
        <f aca="false">IF(E2121&gt;0,D2121/E2121-1,"")</f>
        <v>-0.0968149348847782</v>
      </c>
      <c r="H2121" s="3" t="str">
        <f aca="false">IF(MAX(D2121,E2121)&lt;Parametros!$B$16,"",IF(E2121=0,"PIDE SIN FCST",IF(ABS(G2121)&gt;Parametros!$B$14,IF(G2121&gt;0,"SOBRE FCST","BAJO FCST"),"")))</f>
        <v/>
      </c>
    </row>
    <row r="2122" customFormat="false" ht="15" hidden="false" customHeight="false" outlineLevel="0" collapsed="false">
      <c r="A2122" s="3" t="n">
        <v>30000172</v>
      </c>
      <c r="B2122" s="3" t="s">
        <v>495</v>
      </c>
      <c r="C2122" s="3" t="s">
        <v>1378</v>
      </c>
      <c r="D2122" s="23" t="n">
        <v>415.8</v>
      </c>
      <c r="E2122" s="23" t="n">
        <v>350</v>
      </c>
      <c r="F2122" s="23" t="n">
        <f aca="false">D2122-E2122</f>
        <v>65.8</v>
      </c>
      <c r="G2122" s="24" t="n">
        <f aca="false">IF(E2122&gt;0,D2122/E2122-1,"")</f>
        <v>0.188</v>
      </c>
      <c r="H2122" s="3" t="str">
        <f aca="false">IF(MAX(D2122,E2122)&lt;Parametros!$B$16,"",IF(E2122=0,"PIDE SIN FCST",IF(ABS(G2122)&gt;Parametros!$B$14,IF(G2122&gt;0,"SOBRE FCST","BAJO FCST"),"")))</f>
        <v/>
      </c>
    </row>
    <row r="2123" customFormat="false" ht="15" hidden="false" customHeight="false" outlineLevel="0" collapsed="false">
      <c r="A2123" s="3" t="n">
        <v>30001407</v>
      </c>
      <c r="B2123" s="3" t="s">
        <v>537</v>
      </c>
      <c r="C2123" s="3" t="s">
        <v>1375</v>
      </c>
      <c r="D2123" s="23" t="n">
        <v>1165.5</v>
      </c>
      <c r="E2123" s="23" t="n">
        <v>1100</v>
      </c>
      <c r="F2123" s="23" t="n">
        <f aca="false">D2123-E2123</f>
        <v>65.5</v>
      </c>
      <c r="G2123" s="24" t="n">
        <f aca="false">IF(E2123&gt;0,D2123/E2123-1,"")</f>
        <v>0.0595454545454546</v>
      </c>
      <c r="H2123" s="3" t="str">
        <f aca="false">IF(MAX(D2123,E2123)&lt;Parametros!$B$16,"",IF(E2123=0,"PIDE SIN FCST",IF(ABS(G2123)&gt;Parametros!$B$14,IF(G2123&gt;0,"SOBRE FCST","BAJO FCST"),"")))</f>
        <v/>
      </c>
    </row>
    <row r="2124" customFormat="false" ht="15" hidden="false" customHeight="false" outlineLevel="0" collapsed="false">
      <c r="A2124" s="3" t="n">
        <v>30001745</v>
      </c>
      <c r="B2124" s="3" t="s">
        <v>445</v>
      </c>
      <c r="C2124" s="3" t="s">
        <v>1379</v>
      </c>
      <c r="D2124" s="23" t="n">
        <v>1321.92</v>
      </c>
      <c r="E2124" s="23" t="n">
        <v>1256.68</v>
      </c>
      <c r="F2124" s="23" t="n">
        <f aca="false">D2124-E2124</f>
        <v>65.24</v>
      </c>
      <c r="G2124" s="24" t="n">
        <f aca="false">IF(E2124&gt;0,D2124/E2124-1,"")</f>
        <v>0.0519145685456919</v>
      </c>
      <c r="H2124" s="3" t="str">
        <f aca="false">IF(MAX(D2124,E2124)&lt;Parametros!$B$16,"",IF(E2124=0,"PIDE SIN FCST",IF(ABS(G2124)&gt;Parametros!$B$14,IF(G2124&gt;0,"SOBRE FCST","BAJO FCST"),"")))</f>
        <v/>
      </c>
    </row>
    <row r="2125" customFormat="false" ht="15" hidden="false" customHeight="false" outlineLevel="0" collapsed="false">
      <c r="A2125" s="3" t="n">
        <v>30002065</v>
      </c>
      <c r="B2125" s="3" t="s">
        <v>313</v>
      </c>
      <c r="C2125" s="3" t="s">
        <v>1377</v>
      </c>
      <c r="D2125" s="23" t="n">
        <v>1476</v>
      </c>
      <c r="E2125" s="23" t="n">
        <v>1410.83892186765</v>
      </c>
      <c r="F2125" s="23" t="n">
        <f aca="false">D2125-E2125</f>
        <v>65.1610781323491</v>
      </c>
      <c r="G2125" s="24" t="n">
        <f aca="false">IF(E2125&gt;0,D2125/E2125-1,"")</f>
        <v>0.0461860508115906</v>
      </c>
      <c r="H2125" s="3" t="str">
        <f aca="false">IF(MAX(D2125,E2125)&lt;Parametros!$B$16,"",IF(E2125=0,"PIDE SIN FCST",IF(ABS(G2125)&gt;Parametros!$B$14,IF(G2125&gt;0,"SOBRE FCST","BAJO FCST"),"")))</f>
        <v/>
      </c>
    </row>
    <row r="2126" customFormat="false" ht="15" hidden="false" customHeight="false" outlineLevel="0" collapsed="false">
      <c r="A2126" s="3" t="n">
        <v>30001423</v>
      </c>
      <c r="B2126" s="3" t="s">
        <v>328</v>
      </c>
      <c r="C2126" s="3" t="s">
        <v>1378</v>
      </c>
      <c r="D2126" s="23" t="n">
        <v>1647</v>
      </c>
      <c r="E2126" s="23" t="n">
        <v>1582</v>
      </c>
      <c r="F2126" s="23" t="n">
        <f aca="false">D2126-E2126</f>
        <v>65</v>
      </c>
      <c r="G2126" s="24" t="n">
        <f aca="false">IF(E2126&gt;0,D2126/E2126-1,"")</f>
        <v>0.041087231352718</v>
      </c>
      <c r="H2126" s="3" t="str">
        <f aca="false">IF(MAX(D2126,E2126)&lt;Parametros!$B$16,"",IF(E2126=0,"PIDE SIN FCST",IF(ABS(G2126)&gt;Parametros!$B$14,IF(G2126&gt;0,"SOBRE FCST","BAJO FCST"),"")))</f>
        <v/>
      </c>
    </row>
    <row r="2127" customFormat="false" ht="15" hidden="false" customHeight="false" outlineLevel="0" collapsed="false">
      <c r="A2127" s="3" t="n">
        <v>30002114</v>
      </c>
      <c r="B2127" s="3" t="s">
        <v>600</v>
      </c>
      <c r="C2127" s="3" t="s">
        <v>1377</v>
      </c>
      <c r="D2127" s="23" t="n">
        <v>105</v>
      </c>
      <c r="E2127" s="23" t="n">
        <v>170</v>
      </c>
      <c r="F2127" s="23" t="n">
        <f aca="false">D2127-E2127</f>
        <v>-65</v>
      </c>
      <c r="G2127" s="24" t="n">
        <f aca="false">IF(E2127&gt;0,D2127/E2127-1,"")</f>
        <v>-0.382352941176471</v>
      </c>
      <c r="H2127" s="3" t="str">
        <f aca="false">IF(MAX(D2127,E2127)&lt;Parametros!$B$16,"",IF(E2127=0,"PIDE SIN FCST",IF(ABS(G2127)&gt;Parametros!$B$14,IF(G2127&gt;0,"SOBRE FCST","BAJO FCST"),"")))</f>
        <v/>
      </c>
    </row>
    <row r="2128" customFormat="false" ht="15" hidden="false" customHeight="false" outlineLevel="0" collapsed="false">
      <c r="A2128" s="3" t="n">
        <v>30002165</v>
      </c>
      <c r="B2128" s="3" t="s">
        <v>314</v>
      </c>
      <c r="C2128" s="3" t="s">
        <v>1375</v>
      </c>
      <c r="D2128" s="23" t="n">
        <v>9075.36</v>
      </c>
      <c r="E2128" s="23" t="n">
        <v>9140.18942732801</v>
      </c>
      <c r="F2128" s="23" t="n">
        <f aca="false">D2128-E2128</f>
        <v>-64.8294273280026</v>
      </c>
      <c r="G2128" s="24" t="n">
        <f aca="false">IF(E2128&gt;0,D2128/E2128-1,"")</f>
        <v>-0.00709278815755954</v>
      </c>
      <c r="H2128" s="3" t="str">
        <f aca="false">IF(MAX(D2128,E2128)&lt;Parametros!$B$16,"",IF(E2128=0,"PIDE SIN FCST",IF(ABS(G2128)&gt;Parametros!$B$14,IF(G2128&gt;0,"SOBRE FCST","BAJO FCST"),"")))</f>
        <v/>
      </c>
    </row>
    <row r="2129" customFormat="false" ht="15" hidden="false" customHeight="false" outlineLevel="0" collapsed="false">
      <c r="A2129" s="3" t="n">
        <v>30001060</v>
      </c>
      <c r="B2129" s="3" t="s">
        <v>474</v>
      </c>
      <c r="C2129" s="3" t="s">
        <v>1378</v>
      </c>
      <c r="D2129" s="23" t="n">
        <v>927.36</v>
      </c>
      <c r="E2129" s="23" t="n">
        <v>862.575065495737</v>
      </c>
      <c r="F2129" s="23" t="n">
        <f aca="false">D2129-E2129</f>
        <v>64.7849345042633</v>
      </c>
      <c r="G2129" s="24" t="n">
        <f aca="false">IF(E2129&gt;0,D2129/E2129-1,"")</f>
        <v>0.075106430843825</v>
      </c>
      <c r="H2129" s="3" t="str">
        <f aca="false">IF(MAX(D2129,E2129)&lt;Parametros!$B$16,"",IF(E2129=0,"PIDE SIN FCST",IF(ABS(G2129)&gt;Parametros!$B$14,IF(G2129&gt;0,"SOBRE FCST","BAJO FCST"),"")))</f>
        <v/>
      </c>
    </row>
    <row r="2130" customFormat="false" ht="15" hidden="false" customHeight="false" outlineLevel="0" collapsed="false">
      <c r="A2130" s="3" t="n">
        <v>30000327</v>
      </c>
      <c r="B2130" s="3" t="s">
        <v>423</v>
      </c>
      <c r="C2130" s="3" t="s">
        <v>1377</v>
      </c>
      <c r="D2130" s="23" t="n">
        <v>924</v>
      </c>
      <c r="E2130" s="23" t="n">
        <v>988.418816526434</v>
      </c>
      <c r="F2130" s="23" t="n">
        <f aca="false">D2130-E2130</f>
        <v>-64.4188165264343</v>
      </c>
      <c r="G2130" s="24" t="n">
        <f aca="false">IF(E2130&gt;0,D2130/E2130-1,"")</f>
        <v>-0.065173603991898</v>
      </c>
      <c r="H2130" s="3" t="str">
        <f aca="false">IF(MAX(D2130,E2130)&lt;Parametros!$B$16,"",IF(E2130=0,"PIDE SIN FCST",IF(ABS(G2130)&gt;Parametros!$B$14,IF(G2130&gt;0,"SOBRE FCST","BAJO FCST"),"")))</f>
        <v/>
      </c>
    </row>
    <row r="2131" customFormat="false" ht="15" hidden="false" customHeight="false" outlineLevel="0" collapsed="false">
      <c r="A2131" s="3" t="n">
        <v>30000500</v>
      </c>
      <c r="B2131" s="3" t="s">
        <v>526</v>
      </c>
      <c r="C2131" s="3" t="s">
        <v>1373</v>
      </c>
      <c r="D2131" s="23" t="n">
        <v>1301.4</v>
      </c>
      <c r="E2131" s="23" t="n">
        <v>1365.55412191187</v>
      </c>
      <c r="F2131" s="23" t="n">
        <f aca="false">D2131-E2131</f>
        <v>-64.1541219118649</v>
      </c>
      <c r="G2131" s="24" t="n">
        <f aca="false">IF(E2131&gt;0,D2131/E2131-1,"")</f>
        <v>-0.0469802850596979</v>
      </c>
      <c r="H2131" s="3" t="str">
        <f aca="false">IF(MAX(D2131,E2131)&lt;Parametros!$B$16,"",IF(E2131=0,"PIDE SIN FCST",IF(ABS(G2131)&gt;Parametros!$B$14,IF(G2131&gt;0,"SOBRE FCST","BAJO FCST"),"")))</f>
        <v/>
      </c>
    </row>
    <row r="2132" customFormat="false" ht="15" hidden="false" customHeight="false" outlineLevel="0" collapsed="false">
      <c r="A2132" s="3" t="n">
        <v>30001876</v>
      </c>
      <c r="B2132" s="3" t="s">
        <v>373</v>
      </c>
      <c r="C2132" s="3" t="s">
        <v>1373</v>
      </c>
      <c r="D2132" s="23" t="n">
        <v>367.2</v>
      </c>
      <c r="E2132" s="23" t="n">
        <v>431.287532747868</v>
      </c>
      <c r="F2132" s="23" t="n">
        <f aca="false">D2132-E2132</f>
        <v>-64.0875327478682</v>
      </c>
      <c r="G2132" s="24" t="n">
        <f aca="false">IF(E2132&gt;0,D2132/E2132-1,"")</f>
        <v>-0.148595838928027</v>
      </c>
      <c r="H2132" s="3" t="str">
        <f aca="false">IF(MAX(D2132,E2132)&lt;Parametros!$B$16,"",IF(E2132=0,"PIDE SIN FCST",IF(ABS(G2132)&gt;Parametros!$B$14,IF(G2132&gt;0,"SOBRE FCST","BAJO FCST"),"")))</f>
        <v/>
      </c>
    </row>
    <row r="2133" customFormat="false" ht="15" hidden="false" customHeight="false" outlineLevel="0" collapsed="false">
      <c r="A2133" s="3" t="n">
        <v>30000192</v>
      </c>
      <c r="B2133" s="3" t="s">
        <v>311</v>
      </c>
      <c r="C2133" s="3" t="s">
        <v>1372</v>
      </c>
      <c r="D2133" s="23" t="n">
        <v>2472</v>
      </c>
      <c r="E2133" s="23" t="n">
        <v>2408</v>
      </c>
      <c r="F2133" s="23" t="n">
        <f aca="false">D2133-E2133</f>
        <v>64</v>
      </c>
      <c r="G2133" s="24" t="n">
        <f aca="false">IF(E2133&gt;0,D2133/E2133-1,"")</f>
        <v>0.026578073089701</v>
      </c>
      <c r="H2133" s="3" t="str">
        <f aca="false">IF(MAX(D2133,E2133)&lt;Parametros!$B$16,"",IF(E2133=0,"PIDE SIN FCST",IF(ABS(G2133)&gt;Parametros!$B$14,IF(G2133&gt;0,"SOBRE FCST","BAJO FCST"),"")))</f>
        <v/>
      </c>
    </row>
    <row r="2134" customFormat="false" ht="15" hidden="false" customHeight="false" outlineLevel="0" collapsed="false">
      <c r="A2134" s="3" t="n">
        <v>30002297</v>
      </c>
      <c r="B2134" s="3" t="s">
        <v>567</v>
      </c>
      <c r="C2134" s="3" t="s">
        <v>1377</v>
      </c>
      <c r="D2134" s="23" t="n">
        <v>513.6</v>
      </c>
      <c r="E2134" s="23" t="n">
        <v>450</v>
      </c>
      <c r="F2134" s="23" t="n">
        <f aca="false">D2134-E2134</f>
        <v>63.5999999999999</v>
      </c>
      <c r="G2134" s="24" t="n">
        <f aca="false">IF(E2134&gt;0,D2134/E2134-1,"")</f>
        <v>0.141333333333333</v>
      </c>
      <c r="H2134" s="3" t="str">
        <f aca="false">IF(MAX(D2134,E2134)&lt;Parametros!$B$16,"",IF(E2134=0,"PIDE SIN FCST",IF(ABS(G2134)&gt;Parametros!$B$14,IF(G2134&gt;0,"SOBRE FCST","BAJO FCST"),"")))</f>
        <v/>
      </c>
    </row>
    <row r="2135" customFormat="false" ht="15" hidden="false" customHeight="false" outlineLevel="0" collapsed="false">
      <c r="A2135" s="3" t="n">
        <v>30001752</v>
      </c>
      <c r="B2135" s="3" t="s">
        <v>475</v>
      </c>
      <c r="C2135" s="3" t="s">
        <v>1375</v>
      </c>
      <c r="D2135" s="23" t="n">
        <v>3963.6</v>
      </c>
      <c r="E2135" s="23" t="n">
        <v>3900</v>
      </c>
      <c r="F2135" s="23" t="n">
        <f aca="false">D2135-E2135</f>
        <v>63.5999999999999</v>
      </c>
      <c r="G2135" s="24" t="n">
        <f aca="false">IF(E2135&gt;0,D2135/E2135-1,"")</f>
        <v>0.0163076923076924</v>
      </c>
      <c r="H2135" s="3" t="str">
        <f aca="false">IF(MAX(D2135,E2135)&lt;Parametros!$B$16,"",IF(E2135=0,"PIDE SIN FCST",IF(ABS(G2135)&gt;Parametros!$B$14,IF(G2135&gt;0,"SOBRE FCST","BAJO FCST"),"")))</f>
        <v/>
      </c>
    </row>
    <row r="2136" customFormat="false" ht="15" hidden="false" customHeight="false" outlineLevel="0" collapsed="false">
      <c r="A2136" s="3" t="n">
        <v>30000006</v>
      </c>
      <c r="B2136" s="3" t="s">
        <v>402</v>
      </c>
      <c r="C2136" s="3" t="s">
        <v>1377</v>
      </c>
      <c r="D2136" s="23" t="n">
        <v>876</v>
      </c>
      <c r="E2136" s="23" t="n">
        <v>812.411520600292</v>
      </c>
      <c r="F2136" s="23" t="n">
        <f aca="false">D2136-E2136</f>
        <v>63.588479399708</v>
      </c>
      <c r="G2136" s="24" t="n">
        <f aca="false">IF(E2136&gt;0,D2136/E2136-1,"")</f>
        <v>0.0782712674393422</v>
      </c>
      <c r="H2136" s="3" t="str">
        <f aca="false">IF(MAX(D2136,E2136)&lt;Parametros!$B$16,"",IF(E2136=0,"PIDE SIN FCST",IF(ABS(G2136)&gt;Parametros!$B$14,IF(G2136&gt;0,"SOBRE FCST","BAJO FCST"),"")))</f>
        <v/>
      </c>
    </row>
    <row r="2137" customFormat="false" ht="15" hidden="false" customHeight="false" outlineLevel="0" collapsed="false">
      <c r="A2137" s="3" t="n">
        <v>30001935</v>
      </c>
      <c r="B2137" s="3" t="s">
        <v>412</v>
      </c>
      <c r="C2137" s="3" t="s">
        <v>1378</v>
      </c>
      <c r="D2137" s="23" t="n">
        <v>1357.44</v>
      </c>
      <c r="E2137" s="23" t="n">
        <v>1293.86259824361</v>
      </c>
      <c r="F2137" s="23" t="n">
        <f aca="false">D2137-E2137</f>
        <v>63.5774017563952</v>
      </c>
      <c r="G2137" s="24" t="n">
        <f aca="false">IF(E2137&gt;0,D2137/E2137-1,"")</f>
        <v>0.0491376764756168</v>
      </c>
      <c r="H2137" s="3" t="str">
        <f aca="false">IF(MAX(D2137,E2137)&lt;Parametros!$B$16,"",IF(E2137=0,"PIDE SIN FCST",IF(ABS(G2137)&gt;Parametros!$B$14,IF(G2137&gt;0,"SOBRE FCST","BAJO FCST"),"")))</f>
        <v/>
      </c>
    </row>
    <row r="2138" customFormat="false" ht="15" hidden="false" customHeight="false" outlineLevel="0" collapsed="false">
      <c r="A2138" s="3" t="n">
        <v>30001045</v>
      </c>
      <c r="B2138" s="3" t="s">
        <v>361</v>
      </c>
      <c r="C2138" s="3" t="s">
        <v>1375</v>
      </c>
      <c r="D2138" s="23" t="n">
        <v>1153.44</v>
      </c>
      <c r="E2138" s="23" t="n">
        <v>1089.98875383543</v>
      </c>
      <c r="F2138" s="23" t="n">
        <f aca="false">D2138-E2138</f>
        <v>63.4512461645661</v>
      </c>
      <c r="G2138" s="24" t="n">
        <f aca="false">IF(E2138&gt;0,D2138/E2138-1,"")</f>
        <v>0.0582127530594192</v>
      </c>
      <c r="H2138" s="3" t="str">
        <f aca="false">IF(MAX(D2138,E2138)&lt;Parametros!$B$16,"",IF(E2138=0,"PIDE SIN FCST",IF(ABS(G2138)&gt;Parametros!$B$14,IF(G2138&gt;0,"SOBRE FCST","BAJO FCST"),"")))</f>
        <v/>
      </c>
    </row>
    <row r="2139" customFormat="false" ht="15" hidden="false" customHeight="false" outlineLevel="0" collapsed="false">
      <c r="A2139" s="3" t="n">
        <v>30000206</v>
      </c>
      <c r="B2139" s="3" t="s">
        <v>287</v>
      </c>
      <c r="C2139" s="3" t="s">
        <v>1373</v>
      </c>
      <c r="D2139" s="23" t="n">
        <v>7392</v>
      </c>
      <c r="E2139" s="23" t="n">
        <v>7328.59833333333</v>
      </c>
      <c r="F2139" s="23" t="n">
        <f aca="false">D2139-E2139</f>
        <v>63.4016666666666</v>
      </c>
      <c r="G2139" s="24" t="n">
        <f aca="false">IF(E2139&gt;0,D2139/E2139-1,"")</f>
        <v>0.00865126778449454</v>
      </c>
      <c r="H2139" s="3" t="str">
        <f aca="false">IF(MAX(D2139,E2139)&lt;Parametros!$B$16,"",IF(E2139=0,"PIDE SIN FCST",IF(ABS(G2139)&gt;Parametros!$B$14,IF(G2139&gt;0,"SOBRE FCST","BAJO FCST"),"")))</f>
        <v/>
      </c>
    </row>
    <row r="2140" customFormat="false" ht="15" hidden="false" customHeight="false" outlineLevel="0" collapsed="false">
      <c r="A2140" s="3" t="n">
        <v>30001412</v>
      </c>
      <c r="B2140" s="3" t="s">
        <v>635</v>
      </c>
      <c r="C2140" s="3" t="s">
        <v>1377</v>
      </c>
      <c r="D2140" s="23" t="n">
        <v>3.6</v>
      </c>
      <c r="E2140" s="23" t="n">
        <v>66.9552489072976</v>
      </c>
      <c r="F2140" s="23" t="n">
        <f aca="false">D2140-E2140</f>
        <v>-63.3552489072976</v>
      </c>
      <c r="G2140" s="24" t="n">
        <f aca="false">IF(E2140&gt;0,D2140/E2140-1,"")</f>
        <v>-0.946232744127584</v>
      </c>
      <c r="H2140" s="3" t="str">
        <f aca="false">IF(MAX(D2140,E2140)&lt;Parametros!$B$16,"",IF(E2140=0,"PIDE SIN FCST",IF(ABS(G2140)&gt;Parametros!$B$14,IF(G2140&gt;0,"SOBRE FCST","BAJO FCST"),"")))</f>
        <v/>
      </c>
    </row>
    <row r="2141" customFormat="false" ht="15" hidden="false" customHeight="false" outlineLevel="0" collapsed="false">
      <c r="A2141" s="3" t="n">
        <v>30002087</v>
      </c>
      <c r="B2141" s="3" t="s">
        <v>595</v>
      </c>
      <c r="C2141" s="3" t="s">
        <v>1373</v>
      </c>
      <c r="D2141" s="23" t="n">
        <v>268.8</v>
      </c>
      <c r="E2141" s="23" t="n">
        <v>205.461198266907</v>
      </c>
      <c r="F2141" s="23" t="n">
        <f aca="false">D2141-E2141</f>
        <v>63.3388017330927</v>
      </c>
      <c r="G2141" s="24" t="n">
        <f aca="false">IF(E2141&gt;0,D2141/E2141-1,"")</f>
        <v>0.308276220850282</v>
      </c>
      <c r="H2141" s="3" t="str">
        <f aca="false">IF(MAX(D2141,E2141)&lt;Parametros!$B$16,"",IF(E2141=0,"PIDE SIN FCST",IF(ABS(G2141)&gt;Parametros!$B$14,IF(G2141&gt;0,"SOBRE FCST","BAJO FCST"),"")))</f>
        <v/>
      </c>
    </row>
    <row r="2142" customFormat="false" ht="15" hidden="false" customHeight="false" outlineLevel="0" collapsed="false">
      <c r="A2142" s="3" t="n">
        <v>30000179</v>
      </c>
      <c r="B2142" s="3" t="s">
        <v>449</v>
      </c>
      <c r="C2142" s="3" t="s">
        <v>1372</v>
      </c>
      <c r="D2142" s="23" t="n">
        <v>297.6</v>
      </c>
      <c r="E2142" s="23" t="n">
        <v>234.4</v>
      </c>
      <c r="F2142" s="23" t="n">
        <f aca="false">D2142-E2142</f>
        <v>63.2</v>
      </c>
      <c r="G2142" s="24" t="n">
        <f aca="false">IF(E2142&gt;0,D2142/E2142-1,"")</f>
        <v>0.26962457337884</v>
      </c>
      <c r="H2142" s="3" t="str">
        <f aca="false">IF(MAX(D2142,E2142)&lt;Parametros!$B$16,"",IF(E2142=0,"PIDE SIN FCST",IF(ABS(G2142)&gt;Parametros!$B$14,IF(G2142&gt;0,"SOBRE FCST","BAJO FCST"),"")))</f>
        <v/>
      </c>
    </row>
    <row r="2143" customFormat="false" ht="15" hidden="false" customHeight="false" outlineLevel="0" collapsed="false">
      <c r="A2143" s="3" t="n">
        <v>30000328</v>
      </c>
      <c r="B2143" s="3" t="s">
        <v>367</v>
      </c>
      <c r="C2143" s="3" t="s">
        <v>1377</v>
      </c>
      <c r="D2143" s="23" t="n">
        <v>1068</v>
      </c>
      <c r="E2143" s="23" t="n">
        <v>1130.85661392002</v>
      </c>
      <c r="F2143" s="23" t="n">
        <f aca="false">D2143-E2143</f>
        <v>-62.8566139200159</v>
      </c>
      <c r="G2143" s="24" t="n">
        <f aca="false">IF(E2143&gt;0,D2143/E2143-1,"")</f>
        <v>-0.0555831863618226</v>
      </c>
      <c r="H2143" s="3" t="str">
        <f aca="false">IF(MAX(D2143,E2143)&lt;Parametros!$B$16,"",IF(E2143=0,"PIDE SIN FCST",IF(ABS(G2143)&gt;Parametros!$B$14,IF(G2143&gt;0,"SOBRE FCST","BAJO FCST"),"")))</f>
        <v/>
      </c>
    </row>
    <row r="2144" customFormat="false" ht="15" hidden="false" customHeight="false" outlineLevel="0" collapsed="false">
      <c r="A2144" s="3" t="n">
        <v>30000469</v>
      </c>
      <c r="B2144" s="3" t="s">
        <v>428</v>
      </c>
      <c r="C2144" s="3" t="s">
        <v>1373</v>
      </c>
      <c r="D2144" s="23" t="n">
        <v>1356.6</v>
      </c>
      <c r="E2144" s="23" t="n">
        <v>1293.86259824361</v>
      </c>
      <c r="F2144" s="23" t="n">
        <f aca="false">D2144-E2144</f>
        <v>62.737401756395</v>
      </c>
      <c r="G2144" s="24" t="n">
        <f aca="false">IF(E2144&gt;0,D2144/E2144-1,"")</f>
        <v>0.0484884576164115</v>
      </c>
      <c r="H2144" s="3" t="str">
        <f aca="false">IF(MAX(D2144,E2144)&lt;Parametros!$B$16,"",IF(E2144=0,"PIDE SIN FCST",IF(ABS(G2144)&gt;Parametros!$B$14,IF(G2144&gt;0,"SOBRE FCST","BAJO FCST"),"")))</f>
        <v/>
      </c>
    </row>
    <row r="2145" customFormat="false" ht="15" hidden="false" customHeight="false" outlineLevel="0" collapsed="false">
      <c r="A2145" s="3" t="n">
        <v>30002091</v>
      </c>
      <c r="B2145" s="3" t="s">
        <v>325</v>
      </c>
      <c r="C2145" s="3" t="s">
        <v>1378</v>
      </c>
      <c r="D2145" s="23" t="n">
        <v>925.2</v>
      </c>
      <c r="E2145" s="23" t="n">
        <v>862.575065495737</v>
      </c>
      <c r="F2145" s="23" t="n">
        <f aca="false">D2145-E2145</f>
        <v>62.6249345042635</v>
      </c>
      <c r="G2145" s="24" t="n">
        <f aca="false">IF(E2145&gt;0,D2145/E2145-1,"")</f>
        <v>0.0726023009583194</v>
      </c>
      <c r="H2145" s="3" t="str">
        <f aca="false">IF(MAX(D2145,E2145)&lt;Parametros!$B$16,"",IF(E2145=0,"PIDE SIN FCST",IF(ABS(G2145)&gt;Parametros!$B$14,IF(G2145&gt;0,"SOBRE FCST","BAJO FCST"),"")))</f>
        <v/>
      </c>
    </row>
    <row r="2146" customFormat="false" ht="15" hidden="false" customHeight="false" outlineLevel="0" collapsed="false">
      <c r="A2146" s="3" t="n">
        <v>30001923</v>
      </c>
      <c r="B2146" s="3" t="s">
        <v>346</v>
      </c>
      <c r="C2146" s="3" t="s">
        <v>1373</v>
      </c>
      <c r="D2146" s="23" t="n">
        <v>1656</v>
      </c>
      <c r="E2146" s="23" t="n">
        <v>1718.36666666667</v>
      </c>
      <c r="F2146" s="23" t="n">
        <f aca="false">D2146-E2146</f>
        <v>-62.366666666667</v>
      </c>
      <c r="G2146" s="24" t="n">
        <f aca="false">IF(E2146&gt;0,D2146/E2146-1,"")</f>
        <v>-0.0362941553025161</v>
      </c>
      <c r="H2146" s="3" t="str">
        <f aca="false">IF(MAX(D2146,E2146)&lt;Parametros!$B$16,"",IF(E2146=0,"PIDE SIN FCST",IF(ABS(G2146)&gt;Parametros!$B$14,IF(G2146&gt;0,"SOBRE FCST","BAJO FCST"),"")))</f>
        <v/>
      </c>
    </row>
    <row r="2147" customFormat="false" ht="15" hidden="false" customHeight="false" outlineLevel="0" collapsed="false">
      <c r="A2147" s="3" t="n">
        <v>30002155</v>
      </c>
      <c r="B2147" s="3" t="s">
        <v>273</v>
      </c>
      <c r="C2147" s="3" t="s">
        <v>1373</v>
      </c>
      <c r="D2147" s="23" t="n">
        <v>4329.6</v>
      </c>
      <c r="E2147" s="23" t="n">
        <v>4267.52910576954</v>
      </c>
      <c r="F2147" s="23" t="n">
        <f aca="false">D2147-E2147</f>
        <v>62.0708942304591</v>
      </c>
      <c r="G2147" s="24" t="n">
        <f aca="false">IF(E2147&gt;0,D2147/E2147-1,"")</f>
        <v>0.0145449258088344</v>
      </c>
      <c r="H2147" s="3" t="str">
        <f aca="false">IF(MAX(D2147,E2147)&lt;Parametros!$B$16,"",IF(E2147=0,"PIDE SIN FCST",IF(ABS(G2147)&gt;Parametros!$B$14,IF(G2147&gt;0,"SOBRE FCST","BAJO FCST"),"")))</f>
        <v/>
      </c>
    </row>
    <row r="2148" customFormat="false" ht="15" hidden="false" customHeight="false" outlineLevel="0" collapsed="false">
      <c r="A2148" s="3" t="n">
        <v>30000551</v>
      </c>
      <c r="B2148" s="3" t="s">
        <v>245</v>
      </c>
      <c r="C2148" s="3" t="s">
        <v>1377</v>
      </c>
      <c r="D2148" s="23" t="n">
        <v>2094.4</v>
      </c>
      <c r="E2148" s="23" t="n">
        <v>2156.43766373934</v>
      </c>
      <c r="F2148" s="23" t="n">
        <f aca="false">D2148-E2148</f>
        <v>-62.037663739341</v>
      </c>
      <c r="G2148" s="24" t="n">
        <f aca="false">IF(E2148&gt;0,D2148/E2148-1,"")</f>
        <v>-0.0287685866290081</v>
      </c>
      <c r="H2148" s="3" t="str">
        <f aca="false">IF(MAX(D2148,E2148)&lt;Parametros!$B$16,"",IF(E2148=0,"PIDE SIN FCST",IF(ABS(G2148)&gt;Parametros!$B$14,IF(G2148&gt;0,"SOBRE FCST","BAJO FCST"),"")))</f>
        <v/>
      </c>
    </row>
    <row r="2149" customFormat="false" ht="15" hidden="false" customHeight="false" outlineLevel="0" collapsed="false">
      <c r="A2149" s="3" t="n">
        <v>30000641</v>
      </c>
      <c r="B2149" s="3" t="s">
        <v>524</v>
      </c>
      <c r="C2149" s="3" t="s">
        <v>1379</v>
      </c>
      <c r="D2149" s="23" t="n">
        <v>1003.2</v>
      </c>
      <c r="E2149" s="23" t="n">
        <v>1064.8</v>
      </c>
      <c r="F2149" s="23" t="n">
        <f aca="false">D2149-E2149</f>
        <v>-61.5999999999999</v>
      </c>
      <c r="G2149" s="24" t="n">
        <f aca="false">IF(E2149&gt;0,D2149/E2149-1,"")</f>
        <v>-0.0578512396694214</v>
      </c>
      <c r="H2149" s="3" t="str">
        <f aca="false">IF(MAX(D2149,E2149)&lt;Parametros!$B$16,"",IF(E2149=0,"PIDE SIN FCST",IF(ABS(G2149)&gt;Parametros!$B$14,IF(G2149&gt;0,"SOBRE FCST","BAJO FCST"),"")))</f>
        <v/>
      </c>
    </row>
    <row r="2150" customFormat="false" ht="15" hidden="false" customHeight="false" outlineLevel="0" collapsed="false">
      <c r="A2150" s="3" t="n">
        <v>30000560</v>
      </c>
      <c r="B2150" s="3" t="s">
        <v>384</v>
      </c>
      <c r="C2150" s="3" t="s">
        <v>1379</v>
      </c>
      <c r="D2150" s="23" t="n">
        <v>1355.2</v>
      </c>
      <c r="E2150" s="23" t="n">
        <v>1293.86259824361</v>
      </c>
      <c r="F2150" s="23" t="n">
        <f aca="false">D2150-E2150</f>
        <v>61.3374017563951</v>
      </c>
      <c r="G2150" s="24" t="n">
        <f aca="false">IF(E2150&gt;0,D2150/E2150-1,"")</f>
        <v>0.0474064261844029</v>
      </c>
      <c r="H2150" s="3" t="str">
        <f aca="false">IF(MAX(D2150,E2150)&lt;Parametros!$B$16,"",IF(E2150=0,"PIDE SIN FCST",IF(ABS(G2150)&gt;Parametros!$B$14,IF(G2150&gt;0,"SOBRE FCST","BAJO FCST"),"")))</f>
        <v/>
      </c>
    </row>
    <row r="2151" customFormat="false" ht="15" hidden="false" customHeight="false" outlineLevel="0" collapsed="false">
      <c r="A2151" s="3" t="n">
        <v>30001860</v>
      </c>
      <c r="B2151" s="3" t="s">
        <v>626</v>
      </c>
      <c r="C2151" s="3" t="s">
        <v>1375</v>
      </c>
      <c r="D2151" s="23" t="n">
        <v>689.489</v>
      </c>
      <c r="E2151" s="23" t="n">
        <v>750</v>
      </c>
      <c r="F2151" s="23" t="n">
        <f aca="false">D2151-E2151</f>
        <v>-60.511</v>
      </c>
      <c r="G2151" s="24" t="n">
        <f aca="false">IF(E2151&gt;0,D2151/E2151-1,"")</f>
        <v>-0.0806813333333333</v>
      </c>
      <c r="H2151" s="3" t="str">
        <f aca="false">IF(MAX(D2151,E2151)&lt;Parametros!$B$16,"",IF(E2151=0,"PIDE SIN FCST",IF(ABS(G2151)&gt;Parametros!$B$14,IF(G2151&gt;0,"SOBRE FCST","BAJO FCST"),"")))</f>
        <v/>
      </c>
    </row>
    <row r="2152" customFormat="false" ht="15" hidden="false" customHeight="false" outlineLevel="0" collapsed="false">
      <c r="A2152" s="3" t="n">
        <v>30000435</v>
      </c>
      <c r="B2152" s="3" t="s">
        <v>459</v>
      </c>
      <c r="C2152" s="3" t="s">
        <v>1373</v>
      </c>
      <c r="D2152" s="23" t="n">
        <v>491.52</v>
      </c>
      <c r="E2152" s="23" t="n">
        <v>551.908178387866</v>
      </c>
      <c r="F2152" s="23" t="n">
        <f aca="false">D2152-E2152</f>
        <v>-60.3881783878655</v>
      </c>
      <c r="G2152" s="24" t="n">
        <f aca="false">IF(E2152&gt;0,D2152/E2152-1,"")</f>
        <v>-0.109417074710255</v>
      </c>
      <c r="H2152" s="3" t="str">
        <f aca="false">IF(MAX(D2152,E2152)&lt;Parametros!$B$16,"",IF(E2152=0,"PIDE SIN FCST",IF(ABS(G2152)&gt;Parametros!$B$14,IF(G2152&gt;0,"SOBRE FCST","BAJO FCST"),"")))</f>
        <v/>
      </c>
    </row>
    <row r="2153" customFormat="false" ht="15" hidden="false" customHeight="false" outlineLevel="0" collapsed="false">
      <c r="A2153" s="3" t="n">
        <v>30001886</v>
      </c>
      <c r="B2153" s="3" t="s">
        <v>500</v>
      </c>
      <c r="C2153" s="3" t="s">
        <v>1380</v>
      </c>
      <c r="D2153" s="23" t="n">
        <v>1039.68</v>
      </c>
      <c r="E2153" s="23" t="n">
        <v>1100</v>
      </c>
      <c r="F2153" s="23" t="n">
        <f aca="false">D2153-E2153</f>
        <v>-60.3199999999999</v>
      </c>
      <c r="G2153" s="24" t="n">
        <f aca="false">IF(E2153&gt;0,D2153/E2153-1,"")</f>
        <v>-0.0548363636363636</v>
      </c>
      <c r="H2153" s="3" t="str">
        <f aca="false">IF(MAX(D2153,E2153)&lt;Parametros!$B$16,"",IF(E2153=0,"PIDE SIN FCST",IF(ABS(G2153)&gt;Parametros!$B$14,IF(G2153&gt;0,"SOBRE FCST","BAJO FCST"),"")))</f>
        <v/>
      </c>
    </row>
    <row r="2154" customFormat="false" ht="15" hidden="false" customHeight="false" outlineLevel="0" collapsed="false">
      <c r="A2154" s="3" t="n">
        <v>30000258</v>
      </c>
      <c r="B2154" s="3" t="s">
        <v>227</v>
      </c>
      <c r="C2154" s="3" t="s">
        <v>1376</v>
      </c>
      <c r="D2154" s="23" t="n">
        <v>60</v>
      </c>
      <c r="E2154" s="23" t="n">
        <v>0</v>
      </c>
      <c r="F2154" s="23" t="n">
        <f aca="false">D2154-E2154</f>
        <v>60</v>
      </c>
      <c r="G2154" s="24" t="str">
        <f aca="false">IF(E2154&gt;0,D2154/E2154-1,"")</f>
        <v/>
      </c>
      <c r="H2154" s="3" t="str">
        <f aca="false">IF(MAX(D2154,E2154)&lt;Parametros!$B$16,"",IF(E2154=0,"PIDE SIN FCST",IF(ABS(G2154)&gt;Parametros!$B$14,IF(G2154&gt;0,"SOBRE FCST","BAJO FCST"),"")))</f>
        <v/>
      </c>
    </row>
    <row r="2155" customFormat="false" ht="15" hidden="false" customHeight="false" outlineLevel="0" collapsed="false">
      <c r="A2155" s="3" t="n">
        <v>30000192</v>
      </c>
      <c r="B2155" s="3" t="s">
        <v>311</v>
      </c>
      <c r="C2155" s="3" t="s">
        <v>1375</v>
      </c>
      <c r="D2155" s="23" t="n">
        <v>5760</v>
      </c>
      <c r="E2155" s="23" t="n">
        <v>5700</v>
      </c>
      <c r="F2155" s="23" t="n">
        <f aca="false">D2155-E2155</f>
        <v>60</v>
      </c>
      <c r="G2155" s="24" t="n">
        <f aca="false">IF(E2155&gt;0,D2155/E2155-1,"")</f>
        <v>0.0105263157894737</v>
      </c>
      <c r="H2155" s="3" t="str">
        <f aca="false">IF(MAX(D2155,E2155)&lt;Parametros!$B$16,"",IF(E2155=0,"PIDE SIN FCST",IF(ABS(G2155)&gt;Parametros!$B$14,IF(G2155&gt;0,"SOBRE FCST","BAJO FCST"),"")))</f>
        <v/>
      </c>
    </row>
    <row r="2156" customFormat="false" ht="15" hidden="false" customHeight="false" outlineLevel="0" collapsed="false">
      <c r="A2156" s="3" t="n">
        <v>30000436</v>
      </c>
      <c r="B2156" s="3" t="s">
        <v>559</v>
      </c>
      <c r="C2156" s="3" t="s">
        <v>1377</v>
      </c>
      <c r="D2156" s="23" t="n">
        <v>266.24</v>
      </c>
      <c r="E2156" s="23" t="n">
        <v>206.447424426552</v>
      </c>
      <c r="F2156" s="23" t="n">
        <f aca="false">D2156-E2156</f>
        <v>59.7925755734478</v>
      </c>
      <c r="G2156" s="24" t="n">
        <f aca="false">IF(E2156&gt;0,D2156/E2156-1,"")</f>
        <v>0.289626163850352</v>
      </c>
      <c r="H2156" s="3" t="str">
        <f aca="false">IF(MAX(D2156,E2156)&lt;Parametros!$B$16,"",IF(E2156=0,"PIDE SIN FCST",IF(ABS(G2156)&gt;Parametros!$B$14,IF(G2156&gt;0,"SOBRE FCST","BAJO FCST"),"")))</f>
        <v/>
      </c>
    </row>
    <row r="2157" customFormat="false" ht="15" hidden="false" customHeight="false" outlineLevel="0" collapsed="false">
      <c r="A2157" s="3" t="n">
        <v>30001657</v>
      </c>
      <c r="B2157" s="3" t="s">
        <v>395</v>
      </c>
      <c r="C2157" s="3" t="s">
        <v>1377</v>
      </c>
      <c r="D2157" s="23" t="n">
        <v>561.6</v>
      </c>
      <c r="E2157" s="23" t="n">
        <v>620.96</v>
      </c>
      <c r="F2157" s="23" t="n">
        <f aca="false">D2157-E2157</f>
        <v>-59.36</v>
      </c>
      <c r="G2157" s="24" t="n">
        <f aca="false">IF(E2157&gt;0,D2157/E2157-1,"")</f>
        <v>-0.0955939190930173</v>
      </c>
      <c r="H2157" s="3" t="str">
        <f aca="false">IF(MAX(D2157,E2157)&lt;Parametros!$B$16,"",IF(E2157=0,"PIDE SIN FCST",IF(ABS(G2157)&gt;Parametros!$B$14,IF(G2157&gt;0,"SOBRE FCST","BAJO FCST"),"")))</f>
        <v/>
      </c>
    </row>
    <row r="2158" customFormat="false" ht="15" hidden="false" customHeight="false" outlineLevel="0" collapsed="false">
      <c r="A2158" s="3" t="n">
        <v>30001018</v>
      </c>
      <c r="B2158" s="3" t="s">
        <v>385</v>
      </c>
      <c r="C2158" s="3" t="s">
        <v>1378</v>
      </c>
      <c r="D2158" s="23" t="n">
        <v>921.84</v>
      </c>
      <c r="E2158" s="23" t="n">
        <v>862.575065495737</v>
      </c>
      <c r="F2158" s="23" t="n">
        <f aca="false">D2158-E2158</f>
        <v>59.2649345042634</v>
      </c>
      <c r="G2158" s="24" t="n">
        <f aca="false">IF(E2158&gt;0,D2158/E2158-1,"")</f>
        <v>0.0687069878030879</v>
      </c>
      <c r="H2158" s="3" t="str">
        <f aca="false">IF(MAX(D2158,E2158)&lt;Parametros!$B$16,"",IF(E2158=0,"PIDE SIN FCST",IF(ABS(G2158)&gt;Parametros!$B$14,IF(G2158&gt;0,"SOBRE FCST","BAJO FCST"),"")))</f>
        <v/>
      </c>
    </row>
    <row r="2159" customFormat="false" ht="15" hidden="false" customHeight="false" outlineLevel="0" collapsed="false">
      <c r="A2159" s="3" t="n">
        <v>30001152</v>
      </c>
      <c r="B2159" s="3" t="s">
        <v>577</v>
      </c>
      <c r="C2159" s="3" t="s">
        <v>1377</v>
      </c>
      <c r="D2159" s="23" t="n">
        <v>91.2</v>
      </c>
      <c r="E2159" s="23" t="n">
        <v>150</v>
      </c>
      <c r="F2159" s="23" t="n">
        <f aca="false">D2159-E2159</f>
        <v>-58.8</v>
      </c>
      <c r="G2159" s="24" t="n">
        <f aca="false">IF(E2159&gt;0,D2159/E2159-1,"")</f>
        <v>-0.392</v>
      </c>
      <c r="H2159" s="3" t="str">
        <f aca="false">IF(MAX(D2159,E2159)&lt;Parametros!$B$16,"",IF(E2159=0,"PIDE SIN FCST",IF(ABS(G2159)&gt;Parametros!$B$14,IF(G2159&gt;0,"SOBRE FCST","BAJO FCST"),"")))</f>
        <v/>
      </c>
    </row>
    <row r="2160" customFormat="false" ht="15" hidden="false" customHeight="false" outlineLevel="0" collapsed="false">
      <c r="A2160" s="3" t="n">
        <v>30002126</v>
      </c>
      <c r="B2160" s="3" t="s">
        <v>624</v>
      </c>
      <c r="C2160" s="3" t="s">
        <v>1373</v>
      </c>
      <c r="D2160" s="23" t="n">
        <v>58.8</v>
      </c>
      <c r="E2160" s="23" t="n">
        <v>0</v>
      </c>
      <c r="F2160" s="23" t="n">
        <f aca="false">D2160-E2160</f>
        <v>58.8</v>
      </c>
      <c r="G2160" s="24" t="str">
        <f aca="false">IF(E2160&gt;0,D2160/E2160-1,"")</f>
        <v/>
      </c>
      <c r="H2160" s="3" t="str">
        <f aca="false">IF(MAX(D2160,E2160)&lt;Parametros!$B$16,"",IF(E2160=0,"PIDE SIN FCST",IF(ABS(G2160)&gt;Parametros!$B$14,IF(G2160&gt;0,"SOBRE FCST","BAJO FCST"),"")))</f>
        <v/>
      </c>
    </row>
    <row r="2161" customFormat="false" ht="15" hidden="false" customHeight="false" outlineLevel="0" collapsed="false">
      <c r="A2161" s="3" t="n">
        <v>30001898</v>
      </c>
      <c r="B2161" s="3" t="s">
        <v>486</v>
      </c>
      <c r="C2161" s="3" t="s">
        <v>1375</v>
      </c>
      <c r="D2161" s="23" t="n">
        <v>3940.8</v>
      </c>
      <c r="E2161" s="23" t="n">
        <v>3999.284340348</v>
      </c>
      <c r="F2161" s="23" t="n">
        <f aca="false">D2161-E2161</f>
        <v>-58.4843403480008</v>
      </c>
      <c r="G2161" s="24" t="n">
        <f aca="false">IF(E2161&gt;0,D2161/E2161-1,"")</f>
        <v>-0.0146237014852791</v>
      </c>
      <c r="H2161" s="3" t="str">
        <f aca="false">IF(MAX(D2161,E2161)&lt;Parametros!$B$16,"",IF(E2161=0,"PIDE SIN FCST",IF(ABS(G2161)&gt;Parametros!$B$14,IF(G2161&gt;0,"SOBRE FCST","BAJO FCST"),"")))</f>
        <v/>
      </c>
    </row>
    <row r="2162" customFormat="false" ht="15" hidden="false" customHeight="false" outlineLevel="0" collapsed="false">
      <c r="A2162" s="3" t="n">
        <v>30001709</v>
      </c>
      <c r="B2162" s="3" t="s">
        <v>343</v>
      </c>
      <c r="C2162" s="3" t="s">
        <v>1375</v>
      </c>
      <c r="D2162" s="23" t="n">
        <v>6743.52</v>
      </c>
      <c r="E2162" s="23" t="n">
        <v>6800.81041993855</v>
      </c>
      <c r="F2162" s="23" t="n">
        <f aca="false">D2162-E2162</f>
        <v>-57.2904199385494</v>
      </c>
      <c r="G2162" s="24" t="n">
        <f aca="false">IF(E2162&gt;0,D2162/E2162-1,"")</f>
        <v>-0.00842405778149413</v>
      </c>
      <c r="H2162" s="3" t="str">
        <f aca="false">IF(MAX(D2162,E2162)&lt;Parametros!$B$16,"",IF(E2162=0,"PIDE SIN FCST",IF(ABS(G2162)&gt;Parametros!$B$14,IF(G2162&gt;0,"SOBRE FCST","BAJO FCST"),"")))</f>
        <v/>
      </c>
    </row>
    <row r="2163" customFormat="false" ht="15" hidden="false" customHeight="false" outlineLevel="0" collapsed="false">
      <c r="A2163" s="3" t="n">
        <v>30000054</v>
      </c>
      <c r="B2163" s="3" t="s">
        <v>349</v>
      </c>
      <c r="C2163" s="3" t="s">
        <v>1372</v>
      </c>
      <c r="D2163" s="23" t="n">
        <v>187.68</v>
      </c>
      <c r="E2163" s="23" t="n">
        <v>244.16</v>
      </c>
      <c r="F2163" s="23" t="n">
        <f aca="false">D2163-E2163</f>
        <v>-56.48</v>
      </c>
      <c r="G2163" s="24" t="n">
        <f aca="false">IF(E2163&gt;0,D2163/E2163-1,"")</f>
        <v>-0.23132372214941</v>
      </c>
      <c r="H2163" s="3" t="str">
        <f aca="false">IF(MAX(D2163,E2163)&lt;Parametros!$B$16,"",IF(E2163=0,"PIDE SIN FCST",IF(ABS(G2163)&gt;Parametros!$B$14,IF(G2163&gt;0,"SOBRE FCST","BAJO FCST"),"")))</f>
        <v/>
      </c>
    </row>
    <row r="2164" customFormat="false" ht="15" hidden="false" customHeight="false" outlineLevel="0" collapsed="false">
      <c r="A2164" s="3" t="n">
        <v>30000642</v>
      </c>
      <c r="B2164" s="3" t="s">
        <v>451</v>
      </c>
      <c r="C2164" s="3" t="s">
        <v>1373</v>
      </c>
      <c r="D2164" s="23" t="n">
        <v>1793.6</v>
      </c>
      <c r="E2164" s="23" t="n">
        <v>1850</v>
      </c>
      <c r="F2164" s="23" t="n">
        <f aca="false">D2164-E2164</f>
        <v>-56.4000000000001</v>
      </c>
      <c r="G2164" s="24" t="n">
        <f aca="false">IF(E2164&gt;0,D2164/E2164-1,"")</f>
        <v>-0.0304864864864866</v>
      </c>
      <c r="H2164" s="3" t="str">
        <f aca="false">IF(MAX(D2164,E2164)&lt;Parametros!$B$16,"",IF(E2164=0,"PIDE SIN FCST",IF(ABS(G2164)&gt;Parametros!$B$14,IF(G2164&gt;0,"SOBRE FCST","BAJO FCST"),"")))</f>
        <v/>
      </c>
    </row>
    <row r="2165" customFormat="false" ht="15" hidden="false" customHeight="false" outlineLevel="0" collapsed="false">
      <c r="A2165" s="3" t="n">
        <v>30000559</v>
      </c>
      <c r="B2165" s="3" t="s">
        <v>399</v>
      </c>
      <c r="C2165" s="3" t="s">
        <v>1373</v>
      </c>
      <c r="D2165" s="23" t="n">
        <v>487.2</v>
      </c>
      <c r="E2165" s="23" t="n">
        <v>431.287532747868</v>
      </c>
      <c r="F2165" s="23" t="n">
        <f aca="false">D2165-E2165</f>
        <v>55.9124672521318</v>
      </c>
      <c r="G2165" s="24" t="n">
        <f aca="false">IF(E2165&gt;0,D2165/E2165-1,"")</f>
        <v>0.129640815017063</v>
      </c>
      <c r="H2165" s="3" t="str">
        <f aca="false">IF(MAX(D2165,E2165)&lt;Parametros!$B$16,"",IF(E2165=0,"PIDE SIN FCST",IF(ABS(G2165)&gt;Parametros!$B$14,IF(G2165&gt;0,"SOBRE FCST","BAJO FCST"),"")))</f>
        <v/>
      </c>
    </row>
    <row r="2166" customFormat="false" ht="15" hidden="false" customHeight="false" outlineLevel="0" collapsed="false">
      <c r="A2166" s="3" t="n">
        <v>30002164</v>
      </c>
      <c r="B2166" s="3" t="s">
        <v>632</v>
      </c>
      <c r="C2166" s="3" t="s">
        <v>1378</v>
      </c>
      <c r="D2166" s="23" t="n">
        <v>160</v>
      </c>
      <c r="E2166" s="23" t="n">
        <v>215.643766373934</v>
      </c>
      <c r="F2166" s="23" t="n">
        <f aca="false">D2166-E2166</f>
        <v>-55.6437663739342</v>
      </c>
      <c r="G2166" s="24" t="n">
        <f aca="false">IF(E2166&gt;0,D2166/E2166-1,"")</f>
        <v>-0.258035589479762</v>
      </c>
      <c r="H2166" s="3" t="str">
        <f aca="false">IF(MAX(D2166,E2166)&lt;Parametros!$B$16,"",IF(E2166=0,"PIDE SIN FCST",IF(ABS(G2166)&gt;Parametros!$B$14,IF(G2166&gt;0,"SOBRE FCST","BAJO FCST"),"")))</f>
        <v/>
      </c>
    </row>
    <row r="2167" customFormat="false" ht="15" hidden="false" customHeight="false" outlineLevel="0" collapsed="false">
      <c r="A2167" s="3" t="n">
        <v>30001898</v>
      </c>
      <c r="B2167" s="3" t="s">
        <v>486</v>
      </c>
      <c r="C2167" s="3" t="s">
        <v>1377</v>
      </c>
      <c r="D2167" s="23" t="n">
        <v>273.6</v>
      </c>
      <c r="E2167" s="23" t="n">
        <v>329.118827052062</v>
      </c>
      <c r="F2167" s="23" t="n">
        <f aca="false">D2167-E2167</f>
        <v>-55.5188270520624</v>
      </c>
      <c r="G2167" s="24" t="n">
        <f aca="false">IF(E2167&gt;0,D2167/E2167-1,"")</f>
        <v>-0.168689307595521</v>
      </c>
      <c r="H2167" s="3" t="str">
        <f aca="false">IF(MAX(D2167,E2167)&lt;Parametros!$B$16,"",IF(E2167=0,"PIDE SIN FCST",IF(ABS(G2167)&gt;Parametros!$B$14,IF(G2167&gt;0,"SOBRE FCST","BAJO FCST"),"")))</f>
        <v/>
      </c>
    </row>
    <row r="2168" customFormat="false" ht="15" hidden="false" customHeight="false" outlineLevel="0" collapsed="false">
      <c r="A2168" s="3" t="n">
        <v>30002268</v>
      </c>
      <c r="B2168" s="3" t="s">
        <v>370</v>
      </c>
      <c r="C2168" s="3" t="s">
        <v>1373</v>
      </c>
      <c r="D2168" s="23" t="n">
        <v>9044.52</v>
      </c>
      <c r="E2168" s="23" t="n">
        <v>9100</v>
      </c>
      <c r="F2168" s="23" t="n">
        <f aca="false">D2168-E2168</f>
        <v>-55.4799999999996</v>
      </c>
      <c r="G2168" s="24" t="n">
        <f aca="false">IF(E2168&gt;0,D2168/E2168-1,"")</f>
        <v>-0.0060967032967032</v>
      </c>
      <c r="H2168" s="3" t="str">
        <f aca="false">IF(MAX(D2168,E2168)&lt;Parametros!$B$16,"",IF(E2168=0,"PIDE SIN FCST",IF(ABS(G2168)&gt;Parametros!$B$14,IF(G2168&gt;0,"SOBRE FCST","BAJO FCST"),"")))</f>
        <v/>
      </c>
    </row>
    <row r="2169" customFormat="false" ht="15" hidden="false" customHeight="false" outlineLevel="0" collapsed="false">
      <c r="A2169" s="3" t="n">
        <v>30002163</v>
      </c>
      <c r="B2169" s="3" t="s">
        <v>630</v>
      </c>
      <c r="C2169" s="3" t="s">
        <v>1375</v>
      </c>
      <c r="D2169" s="23" t="n">
        <v>486.4</v>
      </c>
      <c r="E2169" s="23" t="n">
        <v>431.287532747868</v>
      </c>
      <c r="F2169" s="23" t="n">
        <f aca="false">D2169-E2169</f>
        <v>55.1124672521318</v>
      </c>
      <c r="G2169" s="24" t="n">
        <f aca="false">IF(E2169&gt;0,D2169/E2169-1,"")</f>
        <v>0.127785903990762</v>
      </c>
      <c r="H2169" s="3" t="str">
        <f aca="false">IF(MAX(D2169,E2169)&lt;Parametros!$B$16,"",IF(E2169=0,"PIDE SIN FCST",IF(ABS(G2169)&gt;Parametros!$B$14,IF(G2169&gt;0,"SOBRE FCST","BAJO FCST"),"")))</f>
        <v/>
      </c>
    </row>
    <row r="2170" customFormat="false" ht="15" hidden="false" customHeight="false" outlineLevel="0" collapsed="false">
      <c r="A2170" s="3" t="n">
        <v>30001142</v>
      </c>
      <c r="B2170" s="3" t="s">
        <v>521</v>
      </c>
      <c r="C2170" s="3" t="s">
        <v>1377</v>
      </c>
      <c r="D2170" s="23" t="n">
        <v>160</v>
      </c>
      <c r="E2170" s="23" t="n">
        <v>215</v>
      </c>
      <c r="F2170" s="23" t="n">
        <f aca="false">D2170-E2170</f>
        <v>-55</v>
      </c>
      <c r="G2170" s="24" t="n">
        <f aca="false">IF(E2170&gt;0,D2170/E2170-1,"")</f>
        <v>-0.255813953488372</v>
      </c>
      <c r="H2170" s="3" t="str">
        <f aca="false">IF(MAX(D2170,E2170)&lt;Parametros!$B$16,"",IF(E2170=0,"PIDE SIN FCST",IF(ABS(G2170)&gt;Parametros!$B$14,IF(G2170&gt;0,"SOBRE FCST","BAJO FCST"),"")))</f>
        <v/>
      </c>
    </row>
    <row r="2171" customFormat="false" ht="15" hidden="false" customHeight="false" outlineLevel="0" collapsed="false">
      <c r="A2171" s="3" t="n">
        <v>30000383</v>
      </c>
      <c r="B2171" s="3" t="s">
        <v>578</v>
      </c>
      <c r="C2171" s="3" t="s">
        <v>1375</v>
      </c>
      <c r="D2171" s="23" t="n">
        <v>1092</v>
      </c>
      <c r="E2171" s="23" t="n">
        <v>1146.9</v>
      </c>
      <c r="F2171" s="23" t="n">
        <f aca="false">D2171-E2171</f>
        <v>-54.9000000000001</v>
      </c>
      <c r="G2171" s="24" t="n">
        <f aca="false">IF(E2171&gt;0,D2171/E2171-1,"")</f>
        <v>-0.0478681663614963</v>
      </c>
      <c r="H2171" s="3" t="str">
        <f aca="false">IF(MAX(D2171,E2171)&lt;Parametros!$B$16,"",IF(E2171=0,"PIDE SIN FCST",IF(ABS(G2171)&gt;Parametros!$B$14,IF(G2171&gt;0,"SOBRE FCST","BAJO FCST"),"")))</f>
        <v/>
      </c>
    </row>
    <row r="2172" customFormat="false" ht="15" hidden="false" customHeight="false" outlineLevel="0" collapsed="false">
      <c r="A2172" s="3" t="n">
        <v>30001743</v>
      </c>
      <c r="B2172" s="3" t="s">
        <v>639</v>
      </c>
      <c r="C2172" s="3" t="s">
        <v>1373</v>
      </c>
      <c r="D2172" s="23" t="n">
        <v>54.4</v>
      </c>
      <c r="E2172" s="23" t="n">
        <v>0</v>
      </c>
      <c r="F2172" s="23" t="n">
        <f aca="false">D2172-E2172</f>
        <v>54.4</v>
      </c>
      <c r="G2172" s="24" t="str">
        <f aca="false">IF(E2172&gt;0,D2172/E2172-1,"")</f>
        <v/>
      </c>
      <c r="H2172" s="3" t="str">
        <f aca="false">IF(MAX(D2172,E2172)&lt;Parametros!$B$16,"",IF(E2172=0,"PIDE SIN FCST",IF(ABS(G2172)&gt;Parametros!$B$14,IF(G2172&gt;0,"SOBRE FCST","BAJO FCST"),"")))</f>
        <v/>
      </c>
    </row>
    <row r="2173" customFormat="false" ht="15" hidden="false" customHeight="false" outlineLevel="0" collapsed="false">
      <c r="A2173" s="3" t="n">
        <v>30000087</v>
      </c>
      <c r="B2173" s="3" t="s">
        <v>594</v>
      </c>
      <c r="C2173" s="3" t="s">
        <v>1378</v>
      </c>
      <c r="D2173" s="23" t="n">
        <v>270</v>
      </c>
      <c r="E2173" s="23" t="n">
        <v>215.643766373934</v>
      </c>
      <c r="F2173" s="23" t="n">
        <f aca="false">D2173-E2173</f>
        <v>54.3562336260658</v>
      </c>
      <c r="G2173" s="24" t="n">
        <f aca="false">IF(E2173&gt;0,D2173/E2173-1,"")</f>
        <v>0.252064942752902</v>
      </c>
      <c r="H2173" s="3" t="str">
        <f aca="false">IF(MAX(D2173,E2173)&lt;Parametros!$B$16,"",IF(E2173=0,"PIDE SIN FCST",IF(ABS(G2173)&gt;Parametros!$B$14,IF(G2173&gt;0,"SOBRE FCST","BAJO FCST"),"")))</f>
        <v/>
      </c>
    </row>
    <row r="2174" customFormat="false" ht="15" hidden="false" customHeight="false" outlineLevel="0" collapsed="false">
      <c r="A2174" s="3" t="n">
        <v>30002066</v>
      </c>
      <c r="B2174" s="3" t="s">
        <v>247</v>
      </c>
      <c r="C2174" s="3" t="s">
        <v>1377</v>
      </c>
      <c r="D2174" s="23" t="n">
        <v>492</v>
      </c>
      <c r="E2174" s="23" t="n">
        <v>437.752891658713</v>
      </c>
      <c r="F2174" s="23" t="n">
        <f aca="false">D2174-E2174</f>
        <v>54.2471083412867</v>
      </c>
      <c r="G2174" s="24" t="n">
        <f aca="false">IF(E2174&gt;0,D2174/E2174-1,"")</f>
        <v>0.123921758999092</v>
      </c>
      <c r="H2174" s="3" t="str">
        <f aca="false">IF(MAX(D2174,E2174)&lt;Parametros!$B$16,"",IF(E2174=0,"PIDE SIN FCST",IF(ABS(G2174)&gt;Parametros!$B$14,IF(G2174&gt;0,"SOBRE FCST","BAJO FCST"),"")))</f>
        <v/>
      </c>
    </row>
    <row r="2175" customFormat="false" ht="15" hidden="false" customHeight="false" outlineLevel="0" collapsed="false">
      <c r="A2175" s="3" t="n">
        <v>30000052</v>
      </c>
      <c r="B2175" s="3" t="s">
        <v>602</v>
      </c>
      <c r="C2175" s="3" t="s">
        <v>1373</v>
      </c>
      <c r="D2175" s="23" t="n">
        <v>210.9</v>
      </c>
      <c r="E2175" s="23" t="n">
        <v>265</v>
      </c>
      <c r="F2175" s="23" t="n">
        <f aca="false">D2175-E2175</f>
        <v>-54.1</v>
      </c>
      <c r="G2175" s="24" t="n">
        <f aca="false">IF(E2175&gt;0,D2175/E2175-1,"")</f>
        <v>-0.204150943396226</v>
      </c>
      <c r="H2175" s="3" t="str">
        <f aca="false">IF(MAX(D2175,E2175)&lt;Parametros!$B$16,"",IF(E2175=0,"PIDE SIN FCST",IF(ABS(G2175)&gt;Parametros!$B$14,IF(G2175&gt;0,"SOBRE FCST","BAJO FCST"),"")))</f>
        <v/>
      </c>
    </row>
    <row r="2176" customFormat="false" ht="15" hidden="false" customHeight="false" outlineLevel="0" collapsed="false">
      <c r="A2176" s="3" t="n">
        <v>30001751</v>
      </c>
      <c r="B2176" s="3" t="s">
        <v>264</v>
      </c>
      <c r="C2176" s="3" t="s">
        <v>1376</v>
      </c>
      <c r="D2176" s="23" t="n">
        <v>162</v>
      </c>
      <c r="E2176" s="23" t="n">
        <v>108</v>
      </c>
      <c r="F2176" s="23" t="n">
        <f aca="false">D2176-E2176</f>
        <v>54</v>
      </c>
      <c r="G2176" s="24" t="n">
        <f aca="false">IF(E2176&gt;0,D2176/E2176-1,"")</f>
        <v>0.5</v>
      </c>
      <c r="H2176" s="3" t="str">
        <f aca="false">IF(MAX(D2176,E2176)&lt;Parametros!$B$16,"",IF(E2176=0,"PIDE SIN FCST",IF(ABS(G2176)&gt;Parametros!$B$14,IF(G2176&gt;0,"SOBRE FCST","BAJO FCST"),"")))</f>
        <v/>
      </c>
    </row>
    <row r="2177" customFormat="false" ht="15" hidden="false" customHeight="false" outlineLevel="0" collapsed="false">
      <c r="A2177" s="3" t="n">
        <v>30000010</v>
      </c>
      <c r="B2177" s="3" t="s">
        <v>331</v>
      </c>
      <c r="C2177" s="3" t="s">
        <v>1377</v>
      </c>
      <c r="D2177" s="23" t="n">
        <v>1392</v>
      </c>
      <c r="E2177" s="23" t="n">
        <v>1338.04550057474</v>
      </c>
      <c r="F2177" s="23" t="n">
        <f aca="false">D2177-E2177</f>
        <v>53.954499425259</v>
      </c>
      <c r="G2177" s="24" t="n">
        <f aca="false">IF(E2177&gt;0,D2177/E2177-1,"")</f>
        <v>0.0403233667331069</v>
      </c>
      <c r="H2177" s="3" t="str">
        <f aca="false">IF(MAX(D2177,E2177)&lt;Parametros!$B$16,"",IF(E2177=0,"PIDE SIN FCST",IF(ABS(G2177)&gt;Parametros!$B$14,IF(G2177&gt;0,"SOBRE FCST","BAJO FCST"),"")))</f>
        <v/>
      </c>
    </row>
    <row r="2178" customFormat="false" ht="15" hidden="false" customHeight="false" outlineLevel="0" collapsed="false">
      <c r="A2178" s="3" t="n">
        <v>30000543</v>
      </c>
      <c r="B2178" s="3" t="s">
        <v>422</v>
      </c>
      <c r="C2178" s="3" t="s">
        <v>1377</v>
      </c>
      <c r="D2178" s="23" t="n">
        <v>642</v>
      </c>
      <c r="E2178" s="23" t="n">
        <v>695.914522393494</v>
      </c>
      <c r="F2178" s="23" t="n">
        <f aca="false">D2178-E2178</f>
        <v>-53.9145223934944</v>
      </c>
      <c r="G2178" s="24" t="n">
        <f aca="false">IF(E2178&gt;0,D2178/E2178-1,"")</f>
        <v>-0.0774729088970056</v>
      </c>
      <c r="H2178" s="3" t="str">
        <f aca="false">IF(MAX(D2178,E2178)&lt;Parametros!$B$16,"",IF(E2178=0,"PIDE SIN FCST",IF(ABS(G2178)&gt;Parametros!$B$14,IF(G2178&gt;0,"SOBRE FCST","BAJO FCST"),"")))</f>
        <v/>
      </c>
    </row>
    <row r="2179" customFormat="false" ht="15" hidden="false" customHeight="false" outlineLevel="0" collapsed="false">
      <c r="A2179" s="3" t="n">
        <v>30000252</v>
      </c>
      <c r="B2179" s="3" t="s">
        <v>405</v>
      </c>
      <c r="C2179" s="3" t="s">
        <v>1377</v>
      </c>
      <c r="D2179" s="23" t="n">
        <v>246</v>
      </c>
      <c r="E2179" s="23" t="n">
        <v>299.794887971499</v>
      </c>
      <c r="F2179" s="23" t="n">
        <f aca="false">D2179-E2179</f>
        <v>-53.7948879714994</v>
      </c>
      <c r="G2179" s="24" t="n">
        <f aca="false">IF(E2179&gt;0,D2179/E2179-1,"")</f>
        <v>-0.179438976880131</v>
      </c>
      <c r="H2179" s="3" t="str">
        <f aca="false">IF(MAX(D2179,E2179)&lt;Parametros!$B$16,"",IF(E2179=0,"PIDE SIN FCST",IF(ABS(G2179)&gt;Parametros!$B$14,IF(G2179&gt;0,"SOBRE FCST","BAJO FCST"),"")))</f>
        <v/>
      </c>
    </row>
    <row r="2180" customFormat="false" ht="15" hidden="false" customHeight="false" outlineLevel="0" collapsed="false">
      <c r="A2180" s="3" t="n">
        <v>30000610</v>
      </c>
      <c r="B2180" s="3" t="s">
        <v>387</v>
      </c>
      <c r="C2180" s="3" t="s">
        <v>1376</v>
      </c>
      <c r="D2180" s="23" t="n">
        <v>53.76</v>
      </c>
      <c r="E2180" s="23" t="n">
        <v>0</v>
      </c>
      <c r="F2180" s="23" t="n">
        <f aca="false">D2180-E2180</f>
        <v>53.76</v>
      </c>
      <c r="G2180" s="24" t="str">
        <f aca="false">IF(E2180&gt;0,D2180/E2180-1,"")</f>
        <v/>
      </c>
      <c r="H2180" s="3" t="str">
        <f aca="false">IF(MAX(D2180,E2180)&lt;Parametros!$B$16,"",IF(E2180=0,"PIDE SIN FCST",IF(ABS(G2180)&gt;Parametros!$B$14,IF(G2180&gt;0,"SOBRE FCST","BAJO FCST"),"")))</f>
        <v/>
      </c>
    </row>
    <row r="2181" customFormat="false" ht="15" hidden="false" customHeight="false" outlineLevel="0" collapsed="false">
      <c r="A2181" s="3" t="n">
        <v>30001976</v>
      </c>
      <c r="B2181" s="3" t="s">
        <v>432</v>
      </c>
      <c r="C2181" s="3" t="s">
        <v>1378</v>
      </c>
      <c r="D2181" s="23" t="n">
        <v>582</v>
      </c>
      <c r="E2181" s="23" t="n">
        <v>635.502709462276</v>
      </c>
      <c r="F2181" s="23" t="n">
        <f aca="false">D2181-E2181</f>
        <v>-53.5027094622759</v>
      </c>
      <c r="G2181" s="24" t="n">
        <f aca="false">IF(E2181&gt;0,D2181/E2181-1,"")</f>
        <v>-0.0841895851357529</v>
      </c>
      <c r="H2181" s="3" t="str">
        <f aca="false">IF(MAX(D2181,E2181)&lt;Parametros!$B$16,"",IF(E2181=0,"PIDE SIN FCST",IF(ABS(G2181)&gt;Parametros!$B$14,IF(G2181&gt;0,"SOBRE FCST","BAJO FCST"),"")))</f>
        <v/>
      </c>
    </row>
    <row r="2182" customFormat="false" ht="15" hidden="false" customHeight="false" outlineLevel="0" collapsed="false">
      <c r="A2182" s="3" t="n">
        <v>30000253</v>
      </c>
      <c r="B2182" s="3" t="s">
        <v>542</v>
      </c>
      <c r="C2182" s="3" t="s">
        <v>1378</v>
      </c>
      <c r="D2182" s="23" t="n">
        <v>378</v>
      </c>
      <c r="E2182" s="23" t="n">
        <v>431.287532747868</v>
      </c>
      <c r="F2182" s="23" t="n">
        <f aca="false">D2182-E2182</f>
        <v>-53.2875327478682</v>
      </c>
      <c r="G2182" s="24" t="n">
        <f aca="false">IF(E2182&gt;0,D2182/E2182-1,"")</f>
        <v>-0.123554540072969</v>
      </c>
      <c r="H2182" s="3" t="str">
        <f aca="false">IF(MAX(D2182,E2182)&lt;Parametros!$B$16,"",IF(E2182=0,"PIDE SIN FCST",IF(ABS(G2182)&gt;Parametros!$B$14,IF(G2182&gt;0,"SOBRE FCST","BAJO FCST"),"")))</f>
        <v/>
      </c>
    </row>
    <row r="2183" customFormat="false" ht="15" hidden="false" customHeight="false" outlineLevel="0" collapsed="false">
      <c r="A2183" s="3" t="n">
        <v>30000050</v>
      </c>
      <c r="B2183" s="3" t="s">
        <v>604</v>
      </c>
      <c r="C2183" s="3" t="s">
        <v>1373</v>
      </c>
      <c r="D2183" s="23" t="n">
        <v>800.4</v>
      </c>
      <c r="E2183" s="23" t="n">
        <v>853.6</v>
      </c>
      <c r="F2183" s="23" t="n">
        <f aca="false">D2183-E2183</f>
        <v>-53.1999999999999</v>
      </c>
      <c r="G2183" s="24" t="n">
        <f aca="false">IF(E2183&gt;0,D2183/E2183-1,"")</f>
        <v>-0.0623242736644798</v>
      </c>
      <c r="H2183" s="3" t="str">
        <f aca="false">IF(MAX(D2183,E2183)&lt;Parametros!$B$16,"",IF(E2183=0,"PIDE SIN FCST",IF(ABS(G2183)&gt;Parametros!$B$14,IF(G2183&gt;0,"SOBRE FCST","BAJO FCST"),"")))</f>
        <v/>
      </c>
    </row>
    <row r="2184" customFormat="false" ht="15" hidden="false" customHeight="false" outlineLevel="0" collapsed="false">
      <c r="A2184" s="3" t="n">
        <v>30002269</v>
      </c>
      <c r="B2184" s="3" t="s">
        <v>541</v>
      </c>
      <c r="C2184" s="3" t="s">
        <v>1377</v>
      </c>
      <c r="D2184" s="23" t="n">
        <v>228</v>
      </c>
      <c r="E2184" s="23" t="n">
        <v>281.05821728515</v>
      </c>
      <c r="F2184" s="23" t="n">
        <f aca="false">D2184-E2184</f>
        <v>-53.0582172851496</v>
      </c>
      <c r="G2184" s="24" t="n">
        <f aca="false">IF(E2184&gt;0,D2184/E2184-1,"")</f>
        <v>-0.188780167317859</v>
      </c>
      <c r="H2184" s="3" t="str">
        <f aca="false">IF(MAX(D2184,E2184)&lt;Parametros!$B$16,"",IF(E2184=0,"PIDE SIN FCST",IF(ABS(G2184)&gt;Parametros!$B$14,IF(G2184&gt;0,"SOBRE FCST","BAJO FCST"),"")))</f>
        <v/>
      </c>
    </row>
    <row r="2185" customFormat="false" ht="15" hidden="false" customHeight="false" outlineLevel="0" collapsed="false">
      <c r="A2185" s="3" t="n">
        <v>30002180</v>
      </c>
      <c r="B2185" s="3" t="s">
        <v>426</v>
      </c>
      <c r="C2185" s="3" t="s">
        <v>1378</v>
      </c>
      <c r="D2185" s="23" t="n">
        <v>381.9</v>
      </c>
      <c r="E2185" s="23" t="n">
        <v>434.708</v>
      </c>
      <c r="F2185" s="23" t="n">
        <f aca="false">D2185-E2185</f>
        <v>-52.8080000000001</v>
      </c>
      <c r="G2185" s="24" t="n">
        <f aca="false">IF(E2185&gt;0,D2185/E2185-1,"")</f>
        <v>-0.121479245838586</v>
      </c>
      <c r="H2185" s="3" t="str">
        <f aca="false">IF(MAX(D2185,E2185)&lt;Parametros!$B$16,"",IF(E2185=0,"PIDE SIN FCST",IF(ABS(G2185)&gt;Parametros!$B$14,IF(G2185&gt;0,"SOBRE FCST","BAJO FCST"),"")))</f>
        <v/>
      </c>
    </row>
    <row r="2186" customFormat="false" ht="15" hidden="false" customHeight="false" outlineLevel="0" collapsed="false">
      <c r="A2186" s="3" t="n">
        <v>30000178</v>
      </c>
      <c r="B2186" s="3" t="s">
        <v>359</v>
      </c>
      <c r="C2186" s="3" t="s">
        <v>1376</v>
      </c>
      <c r="D2186" s="23" t="n">
        <v>52.8</v>
      </c>
      <c r="E2186" s="23" t="n">
        <v>0</v>
      </c>
      <c r="F2186" s="23" t="n">
        <f aca="false">D2186-E2186</f>
        <v>52.8</v>
      </c>
      <c r="G2186" s="24" t="str">
        <f aca="false">IF(E2186&gt;0,D2186/E2186-1,"")</f>
        <v/>
      </c>
      <c r="H2186" s="3" t="str">
        <f aca="false">IF(MAX(D2186,E2186)&lt;Parametros!$B$16,"",IF(E2186=0,"PIDE SIN FCST",IF(ABS(G2186)&gt;Parametros!$B$14,IF(G2186&gt;0,"SOBRE FCST","BAJO FCST"),"")))</f>
        <v/>
      </c>
    </row>
    <row r="2187" customFormat="false" ht="15" hidden="false" customHeight="false" outlineLevel="0" collapsed="false">
      <c r="A2187" s="3" t="n">
        <v>30000495</v>
      </c>
      <c r="B2187" s="3" t="s">
        <v>613</v>
      </c>
      <c r="C2187" s="3" t="s">
        <v>1380</v>
      </c>
      <c r="D2187" s="23" t="n">
        <v>810</v>
      </c>
      <c r="E2187" s="23" t="n">
        <v>862.575065495737</v>
      </c>
      <c r="F2187" s="23" t="n">
        <f aca="false">D2187-E2187</f>
        <v>-52.5750654957366</v>
      </c>
      <c r="G2187" s="24" t="n">
        <f aca="false">IF(E2187&gt;0,D2187/E2187-1,"")</f>
        <v>-0.0609512929353235</v>
      </c>
      <c r="H2187" s="3" t="str">
        <f aca="false">IF(MAX(D2187,E2187)&lt;Parametros!$B$16,"",IF(E2187=0,"PIDE SIN FCST",IF(ABS(G2187)&gt;Parametros!$B$14,IF(G2187&gt;0,"SOBRE FCST","BAJO FCST"),"")))</f>
        <v/>
      </c>
    </row>
    <row r="2188" customFormat="false" ht="15" hidden="false" customHeight="false" outlineLevel="0" collapsed="false">
      <c r="A2188" s="3" t="n">
        <v>30001423</v>
      </c>
      <c r="B2188" s="3" t="s">
        <v>328</v>
      </c>
      <c r="C2188" s="3" t="s">
        <v>1377</v>
      </c>
      <c r="D2188" s="23" t="n">
        <v>553.5</v>
      </c>
      <c r="E2188" s="23" t="n">
        <v>500.984720820568</v>
      </c>
      <c r="F2188" s="23" t="n">
        <f aca="false">D2188-E2188</f>
        <v>52.5152791794319</v>
      </c>
      <c r="G2188" s="24" t="n">
        <f aca="false">IF(E2188&gt;0,D2188/E2188-1,"")</f>
        <v>0.104824113384968</v>
      </c>
      <c r="H2188" s="3" t="str">
        <f aca="false">IF(MAX(D2188,E2188)&lt;Parametros!$B$16,"",IF(E2188=0,"PIDE SIN FCST",IF(ABS(G2188)&gt;Parametros!$B$14,IF(G2188&gt;0,"SOBRE FCST","BAJO FCST"),"")))</f>
        <v/>
      </c>
    </row>
    <row r="2189" customFormat="false" ht="15" hidden="false" customHeight="false" outlineLevel="0" collapsed="false">
      <c r="A2189" s="3" t="n">
        <v>30001860</v>
      </c>
      <c r="B2189" s="3" t="s">
        <v>626</v>
      </c>
      <c r="C2189" s="3" t="s">
        <v>1373</v>
      </c>
      <c r="D2189" s="23" t="n">
        <v>137.103</v>
      </c>
      <c r="E2189" s="23" t="n">
        <v>84.935</v>
      </c>
      <c r="F2189" s="23" t="n">
        <f aca="false">D2189-E2189</f>
        <v>52.168</v>
      </c>
      <c r="G2189" s="24" t="n">
        <f aca="false">IF(E2189&gt;0,D2189/E2189-1,"")</f>
        <v>0.614210867133691</v>
      </c>
      <c r="H2189" s="3" t="str">
        <f aca="false">IF(MAX(D2189,E2189)&lt;Parametros!$B$16,"",IF(E2189=0,"PIDE SIN FCST",IF(ABS(G2189)&gt;Parametros!$B$14,IF(G2189&gt;0,"SOBRE FCST","BAJO FCST"),"")))</f>
        <v/>
      </c>
    </row>
    <row r="2190" customFormat="false" ht="15" hidden="false" customHeight="false" outlineLevel="0" collapsed="false">
      <c r="A2190" s="3" t="n">
        <v>30001829</v>
      </c>
      <c r="B2190" s="3" t="s">
        <v>504</v>
      </c>
      <c r="C2190" s="3" t="s">
        <v>1377</v>
      </c>
      <c r="D2190" s="23" t="n">
        <v>46.8</v>
      </c>
      <c r="E2190" s="23" t="n">
        <v>98.8881801481362</v>
      </c>
      <c r="F2190" s="23" t="n">
        <f aca="false">D2190-E2190</f>
        <v>-52.0881801481362</v>
      </c>
      <c r="G2190" s="24" t="n">
        <f aca="false">IF(E2190&gt;0,D2190/E2190-1,"")</f>
        <v>-0.526738181146697</v>
      </c>
      <c r="H2190" s="3" t="str">
        <f aca="false">IF(MAX(D2190,E2190)&lt;Parametros!$B$16,"",IF(E2190=0,"PIDE SIN FCST",IF(ABS(G2190)&gt;Parametros!$B$14,IF(G2190&gt;0,"SOBRE FCST","BAJO FCST"),"")))</f>
        <v/>
      </c>
    </row>
    <row r="2191" customFormat="false" ht="15" hidden="false" customHeight="false" outlineLevel="0" collapsed="false">
      <c r="A2191" s="3" t="n">
        <v>30001883</v>
      </c>
      <c r="B2191" s="3" t="s">
        <v>476</v>
      </c>
      <c r="C2191" s="3" t="s">
        <v>1373</v>
      </c>
      <c r="D2191" s="23" t="n">
        <v>2052</v>
      </c>
      <c r="E2191" s="23" t="n">
        <v>2000</v>
      </c>
      <c r="F2191" s="23" t="n">
        <f aca="false">D2191-E2191</f>
        <v>52</v>
      </c>
      <c r="G2191" s="24" t="n">
        <f aca="false">IF(E2191&gt;0,D2191/E2191-1,"")</f>
        <v>0.026</v>
      </c>
      <c r="H2191" s="3" t="str">
        <f aca="false">IF(MAX(D2191,E2191)&lt;Parametros!$B$16,"",IF(E2191=0,"PIDE SIN FCST",IF(ABS(G2191)&gt;Parametros!$B$14,IF(G2191&gt;0,"SOBRE FCST","BAJO FCST"),"")))</f>
        <v/>
      </c>
    </row>
    <row r="2192" customFormat="false" ht="15" hidden="false" customHeight="false" outlineLevel="0" collapsed="false">
      <c r="A2192" s="3" t="n">
        <v>30000599</v>
      </c>
      <c r="B2192" s="3" t="s">
        <v>333</v>
      </c>
      <c r="C2192" s="3" t="s">
        <v>1376</v>
      </c>
      <c r="D2192" s="23" t="n">
        <v>28.32</v>
      </c>
      <c r="E2192" s="23" t="n">
        <v>80</v>
      </c>
      <c r="F2192" s="23" t="n">
        <f aca="false">D2192-E2192</f>
        <v>-51.68</v>
      </c>
      <c r="G2192" s="24" t="n">
        <f aca="false">IF(E2192&gt;0,D2192/E2192-1,"")</f>
        <v>-0.646</v>
      </c>
      <c r="H2192" s="3" t="str">
        <f aca="false">IF(MAX(D2192,E2192)&lt;Parametros!$B$16,"",IF(E2192=0,"PIDE SIN FCST",IF(ABS(G2192)&gt;Parametros!$B$14,IF(G2192&gt;0,"SOBRE FCST","BAJO FCST"),"")))</f>
        <v/>
      </c>
    </row>
    <row r="2193" customFormat="false" ht="15" hidden="false" customHeight="false" outlineLevel="0" collapsed="false">
      <c r="A2193" s="3" t="n">
        <v>30001754</v>
      </c>
      <c r="B2193" s="3" t="s">
        <v>296</v>
      </c>
      <c r="C2193" s="3" t="s">
        <v>1372</v>
      </c>
      <c r="D2193" s="23" t="n">
        <v>302.4</v>
      </c>
      <c r="E2193" s="23" t="n">
        <v>354</v>
      </c>
      <c r="F2193" s="23" t="n">
        <f aca="false">D2193-E2193</f>
        <v>-51.6</v>
      </c>
      <c r="G2193" s="24" t="n">
        <f aca="false">IF(E2193&gt;0,D2193/E2193-1,"")</f>
        <v>-0.145762711864407</v>
      </c>
      <c r="H2193" s="3" t="str">
        <f aca="false">IF(MAX(D2193,E2193)&lt;Parametros!$B$16,"",IF(E2193=0,"PIDE SIN FCST",IF(ABS(G2193)&gt;Parametros!$B$14,IF(G2193&gt;0,"SOBRE FCST","BAJO FCST"),"")))</f>
        <v/>
      </c>
    </row>
    <row r="2194" customFormat="false" ht="15" hidden="false" customHeight="false" outlineLevel="0" collapsed="false">
      <c r="A2194" s="3" t="n">
        <v>30001526</v>
      </c>
      <c r="B2194" s="3" t="s">
        <v>569</v>
      </c>
      <c r="C2194" s="3" t="s">
        <v>1372</v>
      </c>
      <c r="D2194" s="23" t="n">
        <v>326.4</v>
      </c>
      <c r="E2194" s="23" t="n">
        <v>275</v>
      </c>
      <c r="F2194" s="23" t="n">
        <f aca="false">D2194-E2194</f>
        <v>51.4</v>
      </c>
      <c r="G2194" s="24" t="n">
        <f aca="false">IF(E2194&gt;0,D2194/E2194-1,"")</f>
        <v>0.186909090909091</v>
      </c>
      <c r="H2194" s="3" t="str">
        <f aca="false">IF(MAX(D2194,E2194)&lt;Parametros!$B$16,"",IF(E2194=0,"PIDE SIN FCST",IF(ABS(G2194)&gt;Parametros!$B$14,IF(G2194&gt;0,"SOBRE FCST","BAJO FCST"),"")))</f>
        <v/>
      </c>
    </row>
    <row r="2195" customFormat="false" ht="15" hidden="false" customHeight="false" outlineLevel="0" collapsed="false">
      <c r="A2195" s="3" t="n">
        <v>30001774</v>
      </c>
      <c r="B2195" s="3" t="s">
        <v>284</v>
      </c>
      <c r="C2195" s="3" t="s">
        <v>1378</v>
      </c>
      <c r="D2195" s="23" t="n">
        <v>380</v>
      </c>
      <c r="E2195" s="23" t="n">
        <v>431.287532747868</v>
      </c>
      <c r="F2195" s="23" t="n">
        <f aca="false">D2195-E2195</f>
        <v>-51.2875327478682</v>
      </c>
      <c r="G2195" s="24" t="n">
        <f aca="false">IF(E2195&gt;0,D2195/E2195-1,"")</f>
        <v>-0.118917262507217</v>
      </c>
      <c r="H2195" s="3" t="str">
        <f aca="false">IF(MAX(D2195,E2195)&lt;Parametros!$B$16,"",IF(E2195=0,"PIDE SIN FCST",IF(ABS(G2195)&gt;Parametros!$B$14,IF(G2195&gt;0,"SOBRE FCST","BAJO FCST"),"")))</f>
        <v/>
      </c>
    </row>
    <row r="2196" customFormat="false" ht="15" hidden="false" customHeight="false" outlineLevel="0" collapsed="false">
      <c r="A2196" s="3" t="n">
        <v>30000469</v>
      </c>
      <c r="B2196" s="3" t="s">
        <v>428</v>
      </c>
      <c r="C2196" s="3" t="s">
        <v>1379</v>
      </c>
      <c r="D2196" s="23" t="n">
        <v>1449</v>
      </c>
      <c r="E2196" s="23" t="n">
        <v>1500</v>
      </c>
      <c r="F2196" s="23" t="n">
        <f aca="false">D2196-E2196</f>
        <v>-51</v>
      </c>
      <c r="G2196" s="24" t="n">
        <f aca="false">IF(E2196&gt;0,D2196/E2196-1,"")</f>
        <v>-0.034</v>
      </c>
      <c r="H2196" s="3" t="str">
        <f aca="false">IF(MAX(D2196,E2196)&lt;Parametros!$B$16,"",IF(E2196=0,"PIDE SIN FCST",IF(ABS(G2196)&gt;Parametros!$B$14,IF(G2196&gt;0,"SOBRE FCST","BAJO FCST"),"")))</f>
        <v/>
      </c>
    </row>
    <row r="2197" customFormat="false" ht="15" hidden="false" customHeight="false" outlineLevel="0" collapsed="false">
      <c r="A2197" s="3" t="n">
        <v>30000627</v>
      </c>
      <c r="B2197" s="3" t="s">
        <v>308</v>
      </c>
      <c r="C2197" s="3" t="s">
        <v>1377</v>
      </c>
      <c r="D2197" s="23" t="n">
        <v>473.28</v>
      </c>
      <c r="E2197" s="23" t="n">
        <v>524.08</v>
      </c>
      <c r="F2197" s="23" t="n">
        <f aca="false">D2197-E2197</f>
        <v>-50.8000000000001</v>
      </c>
      <c r="G2197" s="24" t="n">
        <f aca="false">IF(E2197&gt;0,D2197/E2197-1,"")</f>
        <v>-0.0969317661425738</v>
      </c>
      <c r="H2197" s="3" t="str">
        <f aca="false">IF(MAX(D2197,E2197)&lt;Parametros!$B$16,"",IF(E2197=0,"PIDE SIN FCST",IF(ABS(G2197)&gt;Parametros!$B$14,IF(G2197&gt;0,"SOBRE FCST","BAJO FCST"),"")))</f>
        <v/>
      </c>
    </row>
    <row r="2198" customFormat="false" ht="15" hidden="false" customHeight="false" outlineLevel="0" collapsed="false">
      <c r="A2198" s="3" t="n">
        <v>30000321</v>
      </c>
      <c r="B2198" s="3" t="s">
        <v>351</v>
      </c>
      <c r="C2198" s="3" t="s">
        <v>1372</v>
      </c>
      <c r="D2198" s="23" t="n">
        <v>864</v>
      </c>
      <c r="E2198" s="23" t="n">
        <v>914.512277161117</v>
      </c>
      <c r="F2198" s="23" t="n">
        <f aca="false">D2198-E2198</f>
        <v>-50.5122771611167</v>
      </c>
      <c r="G2198" s="24" t="n">
        <f aca="false">IF(E2198&gt;0,D2198/E2198-1,"")</f>
        <v>-0.0552341159573274</v>
      </c>
      <c r="H2198" s="3" t="str">
        <f aca="false">IF(MAX(D2198,E2198)&lt;Parametros!$B$16,"",IF(E2198=0,"PIDE SIN FCST",IF(ABS(G2198)&gt;Parametros!$B$14,IF(G2198&gt;0,"SOBRE FCST","BAJO FCST"),"")))</f>
        <v/>
      </c>
    </row>
    <row r="2199" customFormat="false" ht="15" hidden="false" customHeight="false" outlineLevel="0" collapsed="false">
      <c r="A2199" s="3" t="n">
        <v>30000464</v>
      </c>
      <c r="B2199" s="3" t="s">
        <v>612</v>
      </c>
      <c r="C2199" s="3" t="s">
        <v>1377</v>
      </c>
      <c r="D2199" s="23" t="n">
        <v>50</v>
      </c>
      <c r="E2199" s="23" t="n">
        <v>0</v>
      </c>
      <c r="F2199" s="23" t="n">
        <f aca="false">D2199-E2199</f>
        <v>50</v>
      </c>
      <c r="G2199" s="24" t="str">
        <f aca="false">IF(E2199&gt;0,D2199/E2199-1,"")</f>
        <v/>
      </c>
      <c r="H2199" s="3" t="str">
        <f aca="false">IF(MAX(D2199,E2199)&lt;Parametros!$B$16,"",IF(E2199=0,"PIDE SIN FCST",IF(ABS(G2199)&gt;Parametros!$B$14,IF(G2199&gt;0,"SOBRE FCST","BAJO FCST"),"")))</f>
        <v/>
      </c>
    </row>
    <row r="2200" customFormat="false" ht="15" hidden="false" customHeight="false" outlineLevel="0" collapsed="false">
      <c r="A2200" s="3" t="n">
        <v>30000087</v>
      </c>
      <c r="B2200" s="3" t="s">
        <v>594</v>
      </c>
      <c r="C2200" s="3" t="s">
        <v>1376</v>
      </c>
      <c r="D2200" s="23" t="n">
        <v>50</v>
      </c>
      <c r="E2200" s="23" t="n">
        <v>0</v>
      </c>
      <c r="F2200" s="23" t="n">
        <f aca="false">D2200-E2200</f>
        <v>50</v>
      </c>
      <c r="G2200" s="24" t="str">
        <f aca="false">IF(E2200&gt;0,D2200/E2200-1,"")</f>
        <v/>
      </c>
      <c r="H2200" s="3" t="str">
        <f aca="false">IF(MAX(D2200,E2200)&lt;Parametros!$B$16,"",IF(E2200=0,"PIDE SIN FCST",IF(ABS(G2200)&gt;Parametros!$B$14,IF(G2200&gt;0,"SOBRE FCST","BAJO FCST"),"")))</f>
        <v/>
      </c>
    </row>
    <row r="2201" customFormat="false" ht="15" hidden="false" customHeight="false" outlineLevel="0" collapsed="false">
      <c r="A2201" s="3" t="n">
        <v>30000671</v>
      </c>
      <c r="B2201" s="3" t="s">
        <v>552</v>
      </c>
      <c r="C2201" s="3" t="s">
        <v>1377</v>
      </c>
      <c r="D2201" s="23" t="n">
        <v>231.04</v>
      </c>
      <c r="E2201" s="23" t="n">
        <v>280</v>
      </c>
      <c r="F2201" s="23" t="n">
        <f aca="false">D2201-E2201</f>
        <v>-48.96</v>
      </c>
      <c r="G2201" s="24" t="n">
        <f aca="false">IF(E2201&gt;0,D2201/E2201-1,"")</f>
        <v>-0.174857142857143</v>
      </c>
      <c r="H2201" s="3" t="str">
        <f aca="false">IF(MAX(D2201,E2201)&lt;Parametros!$B$16,"",IF(E2201=0,"PIDE SIN FCST",IF(ABS(G2201)&gt;Parametros!$B$14,IF(G2201&gt;0,"SOBRE FCST","BAJO FCST"),"")))</f>
        <v/>
      </c>
    </row>
    <row r="2202" customFormat="false" ht="15" hidden="false" customHeight="false" outlineLevel="0" collapsed="false">
      <c r="A2202" s="3" t="n">
        <v>30000493</v>
      </c>
      <c r="B2202" s="3" t="s">
        <v>557</v>
      </c>
      <c r="C2202" s="3" t="s">
        <v>1378</v>
      </c>
      <c r="D2202" s="23" t="n">
        <v>59.4</v>
      </c>
      <c r="E2202" s="23" t="n">
        <v>107.821883186967</v>
      </c>
      <c r="F2202" s="23" t="n">
        <f aca="false">D2202-E2202</f>
        <v>-48.4218831869671</v>
      </c>
      <c r="G2202" s="24" t="n">
        <f aca="false">IF(E2202&gt;0,D2202/E2202-1,"")</f>
        <v>-0.449091425188723</v>
      </c>
      <c r="H2202" s="3" t="str">
        <f aca="false">IF(MAX(D2202,E2202)&lt;Parametros!$B$16,"",IF(E2202=0,"PIDE SIN FCST",IF(ABS(G2202)&gt;Parametros!$B$14,IF(G2202&gt;0,"SOBRE FCST","BAJO FCST"),"")))</f>
        <v/>
      </c>
    </row>
    <row r="2203" customFormat="false" ht="15" hidden="false" customHeight="false" outlineLevel="0" collapsed="false">
      <c r="A2203" s="3" t="n">
        <v>30001017</v>
      </c>
      <c r="B2203" s="3" t="s">
        <v>360</v>
      </c>
      <c r="C2203" s="3" t="s">
        <v>1378</v>
      </c>
      <c r="D2203" s="23" t="n">
        <v>910.8</v>
      </c>
      <c r="E2203" s="23" t="n">
        <v>862.575065495737</v>
      </c>
      <c r="F2203" s="23" t="n">
        <f aca="false">D2203-E2203</f>
        <v>48.2249345042635</v>
      </c>
      <c r="G2203" s="24" t="n">
        <f aca="false">IF(E2203&gt;0,D2203/E2203-1,"")</f>
        <v>0.0559081017216141</v>
      </c>
      <c r="H2203" s="3" t="str">
        <f aca="false">IF(MAX(D2203,E2203)&lt;Parametros!$B$16,"",IF(E2203=0,"PIDE SIN FCST",IF(ABS(G2203)&gt;Parametros!$B$14,IF(G2203&gt;0,"SOBRE FCST","BAJO FCST"),"")))</f>
        <v/>
      </c>
    </row>
    <row r="2204" customFormat="false" ht="15" hidden="false" customHeight="false" outlineLevel="0" collapsed="false">
      <c r="A2204" s="3" t="n">
        <v>30000178</v>
      </c>
      <c r="B2204" s="3" t="s">
        <v>359</v>
      </c>
      <c r="C2204" s="3" t="s">
        <v>1380</v>
      </c>
      <c r="D2204" s="23" t="n">
        <v>6552</v>
      </c>
      <c r="E2204" s="23" t="n">
        <v>6600</v>
      </c>
      <c r="F2204" s="23" t="n">
        <f aca="false">D2204-E2204</f>
        <v>-48</v>
      </c>
      <c r="G2204" s="24" t="n">
        <f aca="false">IF(E2204&gt;0,D2204/E2204-1,"")</f>
        <v>-0.00727272727272732</v>
      </c>
      <c r="H2204" s="3" t="str">
        <f aca="false">IF(MAX(D2204,E2204)&lt;Parametros!$B$16,"",IF(E2204=0,"PIDE SIN FCST",IF(ABS(G2204)&gt;Parametros!$B$14,IF(G2204&gt;0,"SOBRE FCST","BAJO FCST"),"")))</f>
        <v/>
      </c>
    </row>
    <row r="2205" customFormat="false" ht="15" hidden="false" customHeight="false" outlineLevel="0" collapsed="false">
      <c r="A2205" s="3" t="n">
        <v>30000555</v>
      </c>
      <c r="B2205" s="3" t="s">
        <v>570</v>
      </c>
      <c r="C2205" s="3" t="s">
        <v>1375</v>
      </c>
      <c r="D2205" s="23" t="n">
        <v>48</v>
      </c>
      <c r="E2205" s="23" t="n">
        <v>0</v>
      </c>
      <c r="F2205" s="23" t="n">
        <f aca="false">D2205-E2205</f>
        <v>48</v>
      </c>
      <c r="G2205" s="24" t="str">
        <f aca="false">IF(E2205&gt;0,D2205/E2205-1,"")</f>
        <v/>
      </c>
      <c r="H2205" s="3" t="str">
        <f aca="false">IF(MAX(D2205,E2205)&lt;Parametros!$B$16,"",IF(E2205=0,"PIDE SIN FCST",IF(ABS(G2205)&gt;Parametros!$B$14,IF(G2205&gt;0,"SOBRE FCST","BAJO FCST"),"")))</f>
        <v/>
      </c>
    </row>
    <row r="2206" customFormat="false" ht="15" hidden="false" customHeight="false" outlineLevel="0" collapsed="false">
      <c r="A2206" s="3" t="n">
        <v>30002172</v>
      </c>
      <c r="B2206" s="3" t="s">
        <v>491</v>
      </c>
      <c r="C2206" s="3" t="s">
        <v>1375</v>
      </c>
      <c r="D2206" s="23" t="n">
        <v>48</v>
      </c>
      <c r="E2206" s="23" t="n">
        <v>0</v>
      </c>
      <c r="F2206" s="23" t="n">
        <f aca="false">D2206-E2206</f>
        <v>48</v>
      </c>
      <c r="G2206" s="24" t="str">
        <f aca="false">IF(E2206&gt;0,D2206/E2206-1,"")</f>
        <v/>
      </c>
      <c r="H2206" s="3" t="str">
        <f aca="false">IF(MAX(D2206,E2206)&lt;Parametros!$B$16,"",IF(E2206=0,"PIDE SIN FCST",IF(ABS(G2206)&gt;Parametros!$B$14,IF(G2206&gt;0,"SOBRE FCST","BAJO FCST"),"")))</f>
        <v/>
      </c>
    </row>
    <row r="2207" customFormat="false" ht="15" hidden="false" customHeight="false" outlineLevel="0" collapsed="false">
      <c r="A2207" s="3" t="n">
        <v>30000628</v>
      </c>
      <c r="B2207" s="3" t="s">
        <v>574</v>
      </c>
      <c r="C2207" s="3" t="s">
        <v>1377</v>
      </c>
      <c r="D2207" s="23" t="n">
        <v>217.6</v>
      </c>
      <c r="E2207" s="23" t="n">
        <v>170</v>
      </c>
      <c r="F2207" s="23" t="n">
        <f aca="false">D2207-E2207</f>
        <v>47.6</v>
      </c>
      <c r="G2207" s="24" t="n">
        <f aca="false">IF(E2207&gt;0,D2207/E2207-1,"")</f>
        <v>0.28</v>
      </c>
      <c r="H2207" s="3" t="str">
        <f aca="false">IF(MAX(D2207,E2207)&lt;Parametros!$B$16,"",IF(E2207=0,"PIDE SIN FCST",IF(ABS(G2207)&gt;Parametros!$B$14,IF(G2207&gt;0,"SOBRE FCST","BAJO FCST"),"")))</f>
        <v/>
      </c>
    </row>
    <row r="2208" customFormat="false" ht="15" hidden="false" customHeight="false" outlineLevel="0" collapsed="false">
      <c r="A2208" s="3" t="n">
        <v>30001829</v>
      </c>
      <c r="B2208" s="3" t="s">
        <v>504</v>
      </c>
      <c r="C2208" s="3" t="s">
        <v>1373</v>
      </c>
      <c r="D2208" s="23" t="n">
        <v>140.4</v>
      </c>
      <c r="E2208" s="23" t="n">
        <v>93.2336294573528</v>
      </c>
      <c r="F2208" s="23" t="n">
        <f aca="false">D2208-E2208</f>
        <v>47.1663705426472</v>
      </c>
      <c r="G2208" s="24" t="n">
        <f aca="false">IF(E2208&gt;0,D2208/E2208-1,"")</f>
        <v>0.505894394728268</v>
      </c>
      <c r="H2208" s="3" t="str">
        <f aca="false">IF(MAX(D2208,E2208)&lt;Parametros!$B$16,"",IF(E2208=0,"PIDE SIN FCST",IF(ABS(G2208)&gt;Parametros!$B$14,IF(G2208&gt;0,"SOBRE FCST","BAJO FCST"),"")))</f>
        <v/>
      </c>
    </row>
    <row r="2209" customFormat="false" ht="15" hidden="false" customHeight="false" outlineLevel="0" collapsed="false">
      <c r="A2209" s="3" t="n">
        <v>30001490</v>
      </c>
      <c r="B2209" s="3" t="s">
        <v>337</v>
      </c>
      <c r="C2209" s="3" t="s">
        <v>1377</v>
      </c>
      <c r="D2209" s="23" t="n">
        <v>816</v>
      </c>
      <c r="E2209" s="23" t="n">
        <v>862.575065495737</v>
      </c>
      <c r="F2209" s="23" t="n">
        <f aca="false">D2209-E2209</f>
        <v>-46.5750654957366</v>
      </c>
      <c r="G2209" s="24" t="n">
        <f aca="false">IF(E2209&gt;0,D2209/E2209-1,"")</f>
        <v>-0.0539953765866964</v>
      </c>
      <c r="H2209" s="3" t="str">
        <f aca="false">IF(MAX(D2209,E2209)&lt;Parametros!$B$16,"",IF(E2209=0,"PIDE SIN FCST",IF(ABS(G2209)&gt;Parametros!$B$14,IF(G2209&gt;0,"SOBRE FCST","BAJO FCST"),"")))</f>
        <v/>
      </c>
    </row>
    <row r="2210" customFormat="false" ht="15" hidden="false" customHeight="false" outlineLevel="0" collapsed="false">
      <c r="A2210" s="3" t="n">
        <v>30000666</v>
      </c>
      <c r="B2210" s="3" t="s">
        <v>592</v>
      </c>
      <c r="C2210" s="3" t="s">
        <v>1373</v>
      </c>
      <c r="D2210" s="23" t="n">
        <v>370.88</v>
      </c>
      <c r="E2210" s="23" t="n">
        <v>325.12</v>
      </c>
      <c r="F2210" s="23" t="n">
        <f aca="false">D2210-E2210</f>
        <v>45.76</v>
      </c>
      <c r="G2210" s="24" t="n">
        <f aca="false">IF(E2210&gt;0,D2210/E2210-1,"")</f>
        <v>0.140748031496063</v>
      </c>
      <c r="H2210" s="3" t="str">
        <f aca="false">IF(MAX(D2210,E2210)&lt;Parametros!$B$16,"",IF(E2210=0,"PIDE SIN FCST",IF(ABS(G2210)&gt;Parametros!$B$14,IF(G2210&gt;0,"SOBRE FCST","BAJO FCST"),"")))</f>
        <v/>
      </c>
    </row>
    <row r="2211" customFormat="false" ht="15" hidden="false" customHeight="false" outlineLevel="0" collapsed="false">
      <c r="A2211" s="3" t="n">
        <v>30002164</v>
      </c>
      <c r="B2211" s="3" t="s">
        <v>632</v>
      </c>
      <c r="C2211" s="3" t="s">
        <v>1375</v>
      </c>
      <c r="D2211" s="23" t="n">
        <v>476.8</v>
      </c>
      <c r="E2211" s="23" t="n">
        <v>431.287532747868</v>
      </c>
      <c r="F2211" s="23" t="n">
        <f aca="false">D2211-E2211</f>
        <v>45.5124672521319</v>
      </c>
      <c r="G2211" s="24" t="n">
        <f aca="false">IF(E2211&gt;0,D2211/E2211-1,"")</f>
        <v>0.105526971675155</v>
      </c>
      <c r="H2211" s="3" t="str">
        <f aca="false">IF(MAX(D2211,E2211)&lt;Parametros!$B$16,"",IF(E2211=0,"PIDE SIN FCST",IF(ABS(G2211)&gt;Parametros!$B$14,IF(G2211&gt;0,"SOBRE FCST","BAJO FCST"),"")))</f>
        <v/>
      </c>
    </row>
    <row r="2212" customFormat="false" ht="15" hidden="false" customHeight="false" outlineLevel="0" collapsed="false">
      <c r="A2212" s="3" t="n">
        <v>30000177</v>
      </c>
      <c r="B2212" s="3" t="s">
        <v>439</v>
      </c>
      <c r="C2212" s="3" t="s">
        <v>1372</v>
      </c>
      <c r="D2212" s="23" t="n">
        <v>297.6</v>
      </c>
      <c r="E2212" s="23" t="n">
        <v>252.4</v>
      </c>
      <c r="F2212" s="23" t="n">
        <f aca="false">D2212-E2212</f>
        <v>45.2</v>
      </c>
      <c r="G2212" s="24" t="n">
        <f aca="false">IF(E2212&gt;0,D2212/E2212-1,"")</f>
        <v>0.179080824088748</v>
      </c>
      <c r="H2212" s="3" t="str">
        <f aca="false">IF(MAX(D2212,E2212)&lt;Parametros!$B$16,"",IF(E2212=0,"PIDE SIN FCST",IF(ABS(G2212)&gt;Parametros!$B$14,IF(G2212&gt;0,"SOBRE FCST","BAJO FCST"),"")))</f>
        <v/>
      </c>
    </row>
    <row r="2213" customFormat="false" ht="15" hidden="false" customHeight="false" outlineLevel="0" collapsed="false">
      <c r="A2213" s="3" t="n">
        <v>30001885</v>
      </c>
      <c r="B2213" s="3" t="s">
        <v>550</v>
      </c>
      <c r="C2213" s="3" t="s">
        <v>1378</v>
      </c>
      <c r="D2213" s="23" t="n">
        <v>268.8</v>
      </c>
      <c r="E2213" s="23" t="n">
        <v>313.896729204715</v>
      </c>
      <c r="F2213" s="23" t="n">
        <f aca="false">D2213-E2213</f>
        <v>-45.0967292047153</v>
      </c>
      <c r="G2213" s="24" t="n">
        <f aca="false">IF(E2213&gt;0,D2213/E2213-1,"")</f>
        <v>-0.143667407172326</v>
      </c>
      <c r="H2213" s="3" t="str">
        <f aca="false">IF(MAX(D2213,E2213)&lt;Parametros!$B$16,"",IF(E2213=0,"PIDE SIN FCST",IF(ABS(G2213)&gt;Parametros!$B$14,IF(G2213&gt;0,"SOBRE FCST","BAJO FCST"),"")))</f>
        <v/>
      </c>
    </row>
    <row r="2214" customFormat="false" ht="15" hidden="false" customHeight="false" outlineLevel="0" collapsed="false">
      <c r="A2214" s="3" t="n">
        <v>30002114</v>
      </c>
      <c r="B2214" s="3" t="s">
        <v>600</v>
      </c>
      <c r="C2214" s="3" t="s">
        <v>1373</v>
      </c>
      <c r="D2214" s="23" t="n">
        <v>205</v>
      </c>
      <c r="E2214" s="23" t="n">
        <v>250</v>
      </c>
      <c r="F2214" s="23" t="n">
        <f aca="false">D2214-E2214</f>
        <v>-45</v>
      </c>
      <c r="G2214" s="24" t="n">
        <f aca="false">IF(E2214&gt;0,D2214/E2214-1,"")</f>
        <v>-0.18</v>
      </c>
      <c r="H2214" s="3" t="str">
        <f aca="false">IF(MAX(D2214,E2214)&lt;Parametros!$B$16,"",IF(E2214=0,"PIDE SIN FCST",IF(ABS(G2214)&gt;Parametros!$B$14,IF(G2214&gt;0,"SOBRE FCST","BAJO FCST"),"")))</f>
        <v/>
      </c>
    </row>
    <row r="2215" customFormat="false" ht="15" hidden="false" customHeight="false" outlineLevel="0" collapsed="false">
      <c r="A2215" s="3" t="n">
        <v>30000328</v>
      </c>
      <c r="B2215" s="3" t="s">
        <v>367</v>
      </c>
      <c r="C2215" s="3" t="s">
        <v>1380</v>
      </c>
      <c r="D2215" s="23" t="n">
        <v>10200</v>
      </c>
      <c r="E2215" s="23" t="n">
        <v>10155.04</v>
      </c>
      <c r="F2215" s="23" t="n">
        <f aca="false">D2215-E2215</f>
        <v>44.9599999999991</v>
      </c>
      <c r="G2215" s="24" t="n">
        <f aca="false">IF(E2215&gt;0,D2215/E2215-1,"")</f>
        <v>0.00442735823787976</v>
      </c>
      <c r="H2215" s="3" t="str">
        <f aca="false">IF(MAX(D2215,E2215)&lt;Parametros!$B$16,"",IF(E2215=0,"PIDE SIN FCST",IF(ABS(G2215)&gt;Parametros!$B$14,IF(G2215&gt;0,"SOBRE FCST","BAJO FCST"),"")))</f>
        <v/>
      </c>
    </row>
    <row r="2216" customFormat="false" ht="15" hidden="false" customHeight="false" outlineLevel="0" collapsed="false">
      <c r="A2216" s="3" t="n">
        <v>30001661</v>
      </c>
      <c r="B2216" s="3" t="s">
        <v>431</v>
      </c>
      <c r="C2216" s="3" t="s">
        <v>1375</v>
      </c>
      <c r="D2216" s="23" t="n">
        <v>1555.2</v>
      </c>
      <c r="E2216" s="23" t="n">
        <v>1600</v>
      </c>
      <c r="F2216" s="23" t="n">
        <f aca="false">D2216-E2216</f>
        <v>-44.8</v>
      </c>
      <c r="G2216" s="24" t="n">
        <f aca="false">IF(E2216&gt;0,D2216/E2216-1,"")</f>
        <v>-0.028</v>
      </c>
      <c r="H2216" s="3" t="str">
        <f aca="false">IF(MAX(D2216,E2216)&lt;Parametros!$B$16,"",IF(E2216=0,"PIDE SIN FCST",IF(ABS(G2216)&gt;Parametros!$B$14,IF(G2216&gt;0,"SOBRE FCST","BAJO FCST"),"")))</f>
        <v/>
      </c>
    </row>
    <row r="2217" customFormat="false" ht="15" hidden="false" customHeight="false" outlineLevel="0" collapsed="false">
      <c r="A2217" s="3" t="n">
        <v>30000053</v>
      </c>
      <c r="B2217" s="3" t="s">
        <v>525</v>
      </c>
      <c r="C2217" s="3" t="s">
        <v>1377</v>
      </c>
      <c r="D2217" s="23" t="n">
        <v>99.9</v>
      </c>
      <c r="E2217" s="23" t="n">
        <v>144.3</v>
      </c>
      <c r="F2217" s="23" t="n">
        <f aca="false">D2217-E2217</f>
        <v>-44.4</v>
      </c>
      <c r="G2217" s="24" t="n">
        <f aca="false">IF(E2217&gt;0,D2217/E2217-1,"")</f>
        <v>-0.307692307692308</v>
      </c>
      <c r="H2217" s="3" t="str">
        <f aca="false">IF(MAX(D2217,E2217)&lt;Parametros!$B$16,"",IF(E2217=0,"PIDE SIN FCST",IF(ABS(G2217)&gt;Parametros!$B$14,IF(G2217&gt;0,"SOBRE FCST","BAJO FCST"),"")))</f>
        <v/>
      </c>
    </row>
    <row r="2218" customFormat="false" ht="15" hidden="false" customHeight="false" outlineLevel="0" collapsed="false">
      <c r="A2218" s="3" t="n">
        <v>30001409</v>
      </c>
      <c r="B2218" s="3" t="s">
        <v>270</v>
      </c>
      <c r="C2218" s="3" t="s">
        <v>1379</v>
      </c>
      <c r="D2218" s="23" t="n">
        <v>3740</v>
      </c>
      <c r="E2218" s="23" t="n">
        <v>3784.15941311936</v>
      </c>
      <c r="F2218" s="23" t="n">
        <f aca="false">D2218-E2218</f>
        <v>-44.159413119356</v>
      </c>
      <c r="G2218" s="24" t="n">
        <f aca="false">IF(E2218&gt;0,D2218/E2218-1,"")</f>
        <v>-0.0116695435626362</v>
      </c>
      <c r="H2218" s="3" t="str">
        <f aca="false">IF(MAX(D2218,E2218)&lt;Parametros!$B$16,"",IF(E2218=0,"PIDE SIN FCST",IF(ABS(G2218)&gt;Parametros!$B$14,IF(G2218&gt;0,"SOBRE FCST","BAJO FCST"),"")))</f>
        <v/>
      </c>
    </row>
    <row r="2219" customFormat="false" ht="15" hidden="false" customHeight="false" outlineLevel="0" collapsed="false">
      <c r="A2219" s="3" t="n">
        <v>30001752</v>
      </c>
      <c r="B2219" s="3" t="s">
        <v>475</v>
      </c>
      <c r="C2219" s="3" t="s">
        <v>1373</v>
      </c>
      <c r="D2219" s="23" t="n">
        <v>2106</v>
      </c>
      <c r="E2219" s="23" t="n">
        <v>2150</v>
      </c>
      <c r="F2219" s="23" t="n">
        <f aca="false">D2219-E2219</f>
        <v>-44</v>
      </c>
      <c r="G2219" s="24" t="n">
        <f aca="false">IF(E2219&gt;0,D2219/E2219-1,"")</f>
        <v>-0.0204651162790698</v>
      </c>
      <c r="H2219" s="3" t="str">
        <f aca="false">IF(MAX(D2219,E2219)&lt;Parametros!$B$16,"",IF(E2219=0,"PIDE SIN FCST",IF(ABS(G2219)&gt;Parametros!$B$14,IF(G2219&gt;0,"SOBRE FCST","BAJO FCST"),"")))</f>
        <v/>
      </c>
    </row>
    <row r="2220" customFormat="false" ht="15" hidden="false" customHeight="false" outlineLevel="0" collapsed="false">
      <c r="A2220" s="3" t="n">
        <v>30001829</v>
      </c>
      <c r="B2220" s="3" t="s">
        <v>504</v>
      </c>
      <c r="C2220" s="3" t="s">
        <v>1376</v>
      </c>
      <c r="D2220" s="23" t="n">
        <v>43.68</v>
      </c>
      <c r="E2220" s="23" t="n">
        <v>0</v>
      </c>
      <c r="F2220" s="23" t="n">
        <f aca="false">D2220-E2220</f>
        <v>43.68</v>
      </c>
      <c r="G2220" s="24" t="str">
        <f aca="false">IF(E2220&gt;0,D2220/E2220-1,"")</f>
        <v/>
      </c>
      <c r="H2220" s="3" t="str">
        <f aca="false">IF(MAX(D2220,E2220)&lt;Parametros!$B$16,"",IF(E2220=0,"PIDE SIN FCST",IF(ABS(G2220)&gt;Parametros!$B$14,IF(G2220&gt;0,"SOBRE FCST","BAJO FCST"),"")))</f>
        <v/>
      </c>
    </row>
    <row r="2221" customFormat="false" ht="15" hidden="false" customHeight="false" outlineLevel="0" collapsed="false">
      <c r="A2221" s="3" t="n">
        <v>30001902</v>
      </c>
      <c r="B2221" s="3" t="s">
        <v>547</v>
      </c>
      <c r="C2221" s="3" t="s">
        <v>1378</v>
      </c>
      <c r="D2221" s="23" t="n">
        <v>378</v>
      </c>
      <c r="E2221" s="23" t="n">
        <v>334.582845333693</v>
      </c>
      <c r="F2221" s="23" t="n">
        <f aca="false">D2221-E2221</f>
        <v>43.4171546663071</v>
      </c>
      <c r="G2221" s="24" t="n">
        <f aca="false">IF(E2221&gt;0,D2221/E2221-1,"")</f>
        <v>0.129765035093193</v>
      </c>
      <c r="H2221" s="3" t="str">
        <f aca="false">IF(MAX(D2221,E2221)&lt;Parametros!$B$16,"",IF(E2221=0,"PIDE SIN FCST",IF(ABS(G2221)&gt;Parametros!$B$14,IF(G2221&gt;0,"SOBRE FCST","BAJO FCST"),"")))</f>
        <v/>
      </c>
    </row>
    <row r="2222" customFormat="false" ht="15" hidden="false" customHeight="false" outlineLevel="0" collapsed="false">
      <c r="A2222" s="3" t="n">
        <v>30001402</v>
      </c>
      <c r="B2222" s="3" t="s">
        <v>460</v>
      </c>
      <c r="C2222" s="3" t="s">
        <v>1375</v>
      </c>
      <c r="D2222" s="23" t="n">
        <v>43.2</v>
      </c>
      <c r="E2222" s="23" t="n">
        <v>0</v>
      </c>
      <c r="F2222" s="23" t="n">
        <f aca="false">D2222-E2222</f>
        <v>43.2</v>
      </c>
      <c r="G2222" s="24" t="str">
        <f aca="false">IF(E2222&gt;0,D2222/E2222-1,"")</f>
        <v/>
      </c>
      <c r="H2222" s="3" t="str">
        <f aca="false">IF(MAX(D2222,E2222)&lt;Parametros!$B$16,"",IF(E2222=0,"PIDE SIN FCST",IF(ABS(G2222)&gt;Parametros!$B$14,IF(G2222&gt;0,"SOBRE FCST","BAJO FCST"),"")))</f>
        <v/>
      </c>
    </row>
    <row r="2223" customFormat="false" ht="15" hidden="false" customHeight="false" outlineLevel="0" collapsed="false">
      <c r="A2223" s="3" t="n">
        <v>30001897</v>
      </c>
      <c r="B2223" s="3" t="s">
        <v>409</v>
      </c>
      <c r="C2223" s="3" t="s">
        <v>1379</v>
      </c>
      <c r="D2223" s="23" t="n">
        <v>1896</v>
      </c>
      <c r="E2223" s="23" t="n">
        <v>1852.80429728468</v>
      </c>
      <c r="F2223" s="23" t="n">
        <f aca="false">D2223-E2223</f>
        <v>43.1957027153189</v>
      </c>
      <c r="G2223" s="24" t="n">
        <f aca="false">IF(E2223&gt;0,D2223/E2223-1,"")</f>
        <v>0.0233136887574272</v>
      </c>
      <c r="H2223" s="3" t="str">
        <f aca="false">IF(MAX(D2223,E2223)&lt;Parametros!$B$16,"",IF(E2223=0,"PIDE SIN FCST",IF(ABS(G2223)&gt;Parametros!$B$14,IF(G2223&gt;0,"SOBRE FCST","BAJO FCST"),"")))</f>
        <v/>
      </c>
    </row>
    <row r="2224" customFormat="false" ht="15" hidden="false" customHeight="false" outlineLevel="0" collapsed="false">
      <c r="A2224" s="3" t="n">
        <v>30002125</v>
      </c>
      <c r="B2224" s="3" t="s">
        <v>430</v>
      </c>
      <c r="C2224" s="3" t="s">
        <v>1375</v>
      </c>
      <c r="D2224" s="23" t="n">
        <v>836</v>
      </c>
      <c r="E2224" s="23" t="n">
        <v>879.14</v>
      </c>
      <c r="F2224" s="23" t="n">
        <f aca="false">D2224-E2224</f>
        <v>-43.1400000000001</v>
      </c>
      <c r="G2224" s="24" t="n">
        <f aca="false">IF(E2224&gt;0,D2224/E2224-1,"")</f>
        <v>-0.0490706827126511</v>
      </c>
      <c r="H2224" s="3" t="str">
        <f aca="false">IF(MAX(D2224,E2224)&lt;Parametros!$B$16,"",IF(E2224=0,"PIDE SIN FCST",IF(ABS(G2224)&gt;Parametros!$B$14,IF(G2224&gt;0,"SOBRE FCST","BAJO FCST"),"")))</f>
        <v/>
      </c>
    </row>
    <row r="2225" customFormat="false" ht="15" hidden="false" customHeight="false" outlineLevel="0" collapsed="false">
      <c r="A2225" s="3" t="n">
        <v>30002046</v>
      </c>
      <c r="B2225" s="3" t="s">
        <v>620</v>
      </c>
      <c r="C2225" s="3" t="s">
        <v>1373</v>
      </c>
      <c r="D2225" s="23" t="n">
        <v>37.62</v>
      </c>
      <c r="E2225" s="23" t="n">
        <v>79.9</v>
      </c>
      <c r="F2225" s="23" t="n">
        <f aca="false">D2225-E2225</f>
        <v>-42.28</v>
      </c>
      <c r="G2225" s="24" t="n">
        <f aca="false">IF(E2225&gt;0,D2225/E2225-1,"")</f>
        <v>-0.529161451814769</v>
      </c>
      <c r="H2225" s="3" t="str">
        <f aca="false">IF(MAX(D2225,E2225)&lt;Parametros!$B$16,"",IF(E2225=0,"PIDE SIN FCST",IF(ABS(G2225)&gt;Parametros!$B$14,IF(G2225&gt;0,"SOBRE FCST","BAJO FCST"),"")))</f>
        <v/>
      </c>
    </row>
    <row r="2226" customFormat="false" ht="15" hidden="false" customHeight="false" outlineLevel="0" collapsed="false">
      <c r="A2226" s="3" t="n">
        <v>30002145</v>
      </c>
      <c r="B2226" s="3" t="s">
        <v>631</v>
      </c>
      <c r="C2226" s="3" t="s">
        <v>1377</v>
      </c>
      <c r="D2226" s="23" t="n">
        <v>42</v>
      </c>
      <c r="E2226" s="23" t="n">
        <v>0</v>
      </c>
      <c r="F2226" s="23" t="n">
        <f aca="false">D2226-E2226</f>
        <v>42</v>
      </c>
      <c r="G2226" s="24" t="str">
        <f aca="false">IF(E2226&gt;0,D2226/E2226-1,"")</f>
        <v/>
      </c>
      <c r="H2226" s="3" t="str">
        <f aca="false">IF(MAX(D2226,E2226)&lt;Parametros!$B$16,"",IF(E2226=0,"PIDE SIN FCST",IF(ABS(G2226)&gt;Parametros!$B$14,IF(G2226&gt;0,"SOBRE FCST","BAJO FCST"),"")))</f>
        <v/>
      </c>
    </row>
    <row r="2227" customFormat="false" ht="15" hidden="false" customHeight="false" outlineLevel="0" collapsed="false">
      <c r="A2227" s="3" t="n">
        <v>30001902</v>
      </c>
      <c r="B2227" s="3" t="s">
        <v>547</v>
      </c>
      <c r="C2227" s="3" t="s">
        <v>1377</v>
      </c>
      <c r="D2227" s="23" t="n">
        <v>723.6</v>
      </c>
      <c r="E2227" s="23" t="n">
        <v>765.207625634131</v>
      </c>
      <c r="F2227" s="23" t="n">
        <f aca="false">D2227-E2227</f>
        <v>-41.6076256341308</v>
      </c>
      <c r="G2227" s="24" t="n">
        <f aca="false">IF(E2227&gt;0,D2227/E2227-1,"")</f>
        <v>-0.0543742956033017</v>
      </c>
      <c r="H2227" s="3" t="str">
        <f aca="false">IF(MAX(D2227,E2227)&lt;Parametros!$B$16,"",IF(E2227=0,"PIDE SIN FCST",IF(ABS(G2227)&gt;Parametros!$B$14,IF(G2227&gt;0,"SOBRE FCST","BAJO FCST"),"")))</f>
        <v/>
      </c>
    </row>
    <row r="2228" customFormat="false" ht="15" hidden="false" customHeight="false" outlineLevel="0" collapsed="false">
      <c r="A2228" s="3" t="n">
        <v>30000478</v>
      </c>
      <c r="B2228" s="3" t="s">
        <v>392</v>
      </c>
      <c r="C2228" s="3" t="s">
        <v>1377</v>
      </c>
      <c r="D2228" s="23" t="n">
        <v>1152</v>
      </c>
      <c r="E2228" s="23" t="n">
        <v>1110.41824984936</v>
      </c>
      <c r="F2228" s="23" t="n">
        <f aca="false">D2228-E2228</f>
        <v>41.581750150636</v>
      </c>
      <c r="G2228" s="24" t="n">
        <f aca="false">IF(E2228&gt;0,D2228/E2228-1,"")</f>
        <v>0.0374469261075967</v>
      </c>
      <c r="H2228" s="3" t="str">
        <f aca="false">IF(MAX(D2228,E2228)&lt;Parametros!$B$16,"",IF(E2228=0,"PIDE SIN FCST",IF(ABS(G2228)&gt;Parametros!$B$14,IF(G2228&gt;0,"SOBRE FCST","BAJO FCST"),"")))</f>
        <v/>
      </c>
    </row>
    <row r="2229" customFormat="false" ht="15" hidden="false" customHeight="false" outlineLevel="0" collapsed="false">
      <c r="A2229" s="3" t="n">
        <v>30001403</v>
      </c>
      <c r="B2229" s="3" t="s">
        <v>465</v>
      </c>
      <c r="C2229" s="3" t="s">
        <v>1377</v>
      </c>
      <c r="D2229" s="23" t="n">
        <v>4271.4</v>
      </c>
      <c r="E2229" s="23" t="n">
        <v>4312.87532747868</v>
      </c>
      <c r="F2229" s="23" t="n">
        <f aca="false">D2229-E2229</f>
        <v>-41.4753274786835</v>
      </c>
      <c r="G2229" s="24" t="n">
        <f aca="false">IF(E2229&gt;0,D2229/E2229-1,"")</f>
        <v>-0.00961663028245474</v>
      </c>
      <c r="H2229" s="3" t="str">
        <f aca="false">IF(MAX(D2229,E2229)&lt;Parametros!$B$16,"",IF(E2229=0,"PIDE SIN FCST",IF(ABS(G2229)&gt;Parametros!$B$14,IF(G2229&gt;0,"SOBRE FCST","BAJO FCST"),"")))</f>
        <v/>
      </c>
    </row>
    <row r="2230" customFormat="false" ht="15" hidden="false" customHeight="false" outlineLevel="0" collapsed="false">
      <c r="A2230" s="3" t="n">
        <v>30000493</v>
      </c>
      <c r="B2230" s="3" t="s">
        <v>557</v>
      </c>
      <c r="C2230" s="3" t="s">
        <v>1377</v>
      </c>
      <c r="D2230" s="23" t="n">
        <v>313.2</v>
      </c>
      <c r="E2230" s="23" t="n">
        <v>354.66387589304</v>
      </c>
      <c r="F2230" s="23" t="n">
        <f aca="false">D2230-E2230</f>
        <v>-41.4638758930396</v>
      </c>
      <c r="G2230" s="24" t="n">
        <f aca="false">IF(E2230&gt;0,D2230/E2230-1,"")</f>
        <v>-0.116910344445523</v>
      </c>
      <c r="H2230" s="3" t="str">
        <f aca="false">IF(MAX(D2230,E2230)&lt;Parametros!$B$16,"",IF(E2230=0,"PIDE SIN FCST",IF(ABS(G2230)&gt;Parametros!$B$14,IF(G2230&gt;0,"SOBRE FCST","BAJO FCST"),"")))</f>
        <v/>
      </c>
    </row>
    <row r="2231" customFormat="false" ht="15" hidden="false" customHeight="false" outlineLevel="0" collapsed="false">
      <c r="A2231" s="3" t="n">
        <v>30000638</v>
      </c>
      <c r="B2231" s="3" t="s">
        <v>277</v>
      </c>
      <c r="C2231" s="3" t="s">
        <v>1372</v>
      </c>
      <c r="D2231" s="23" t="n">
        <v>1684.16</v>
      </c>
      <c r="E2231" s="23" t="n">
        <v>1643.04</v>
      </c>
      <c r="F2231" s="23" t="n">
        <f aca="false">D2231-E2231</f>
        <v>41.1200000000001</v>
      </c>
      <c r="G2231" s="24" t="n">
        <f aca="false">IF(E2231&gt;0,D2231/E2231-1,"")</f>
        <v>0.0250267796280066</v>
      </c>
      <c r="H2231" s="3" t="str">
        <f aca="false">IF(MAX(D2231,E2231)&lt;Parametros!$B$16,"",IF(E2231=0,"PIDE SIN FCST",IF(ABS(G2231)&gt;Parametros!$B$14,IF(G2231&gt;0,"SOBRE FCST","BAJO FCST"),"")))</f>
        <v/>
      </c>
    </row>
    <row r="2232" customFormat="false" ht="15" hidden="false" customHeight="false" outlineLevel="0" collapsed="false">
      <c r="A2232" s="3" t="n">
        <v>30001494</v>
      </c>
      <c r="B2232" s="3" t="s">
        <v>411</v>
      </c>
      <c r="C2232" s="3" t="s">
        <v>1380</v>
      </c>
      <c r="D2232" s="23" t="n">
        <v>3060</v>
      </c>
      <c r="E2232" s="23" t="n">
        <v>3019.01272923508</v>
      </c>
      <c r="F2232" s="23" t="n">
        <f aca="false">D2232-E2232</f>
        <v>40.987270764922</v>
      </c>
      <c r="G2232" s="24" t="n">
        <f aca="false">IF(E2232&gt;0,D2232/E2232-1,"")</f>
        <v>0.0135763822285395</v>
      </c>
      <c r="H2232" s="3" t="str">
        <f aca="false">IF(MAX(D2232,E2232)&lt;Parametros!$B$16,"",IF(E2232=0,"PIDE SIN FCST",IF(ABS(G2232)&gt;Parametros!$B$14,IF(G2232&gt;0,"SOBRE FCST","BAJO FCST"),"")))</f>
        <v/>
      </c>
    </row>
    <row r="2233" customFormat="false" ht="15" hidden="false" customHeight="false" outlineLevel="0" collapsed="false">
      <c r="A2233" s="3" t="n">
        <v>30001882</v>
      </c>
      <c r="B2233" s="3" t="s">
        <v>376</v>
      </c>
      <c r="C2233" s="3" t="s">
        <v>1377</v>
      </c>
      <c r="D2233" s="23" t="n">
        <v>1614</v>
      </c>
      <c r="E2233" s="23" t="n">
        <v>1573.04670757896</v>
      </c>
      <c r="F2233" s="23" t="n">
        <f aca="false">D2233-E2233</f>
        <v>40.953292421043</v>
      </c>
      <c r="G2233" s="24" t="n">
        <f aca="false">IF(E2233&gt;0,D2233/E2233-1,"")</f>
        <v>0.0260343778882912</v>
      </c>
      <c r="H2233" s="3" t="str">
        <f aca="false">IF(MAX(D2233,E2233)&lt;Parametros!$B$16,"",IF(E2233=0,"PIDE SIN FCST",IF(ABS(G2233)&gt;Parametros!$B$14,IF(G2233&gt;0,"SOBRE FCST","BAJO FCST"),"")))</f>
        <v/>
      </c>
    </row>
    <row r="2234" customFormat="false" ht="15" hidden="false" customHeight="false" outlineLevel="0" collapsed="false">
      <c r="A2234" s="3" t="n">
        <v>30001935</v>
      </c>
      <c r="B2234" s="3" t="s">
        <v>412</v>
      </c>
      <c r="C2234" s="3" t="s">
        <v>1377</v>
      </c>
      <c r="D2234" s="23" t="n">
        <v>1024.8</v>
      </c>
      <c r="E2234" s="23" t="n">
        <v>984.234459358649</v>
      </c>
      <c r="F2234" s="23" t="n">
        <f aca="false">D2234-E2234</f>
        <v>40.5655406413512</v>
      </c>
      <c r="G2234" s="24" t="n">
        <f aca="false">IF(E2234&gt;0,D2234/E2234-1,"")</f>
        <v>0.0412153224830034</v>
      </c>
      <c r="H2234" s="3" t="str">
        <f aca="false">IF(MAX(D2234,E2234)&lt;Parametros!$B$16,"",IF(E2234=0,"PIDE SIN FCST",IF(ABS(G2234)&gt;Parametros!$B$14,IF(G2234&gt;0,"SOBRE FCST","BAJO FCST"),"")))</f>
        <v/>
      </c>
    </row>
    <row r="2235" customFormat="false" ht="15" hidden="false" customHeight="false" outlineLevel="0" collapsed="false">
      <c r="A2235" s="3" t="n">
        <v>30000479</v>
      </c>
      <c r="B2235" s="3" t="s">
        <v>581</v>
      </c>
      <c r="C2235" s="3" t="s">
        <v>1377</v>
      </c>
      <c r="D2235" s="23" t="n">
        <v>624</v>
      </c>
      <c r="E2235" s="23" t="n">
        <v>664.227923924871</v>
      </c>
      <c r="F2235" s="23" t="n">
        <f aca="false">D2235-E2235</f>
        <v>-40.227923924871</v>
      </c>
      <c r="G2235" s="24" t="n">
        <f aca="false">IF(E2235&gt;0,D2235/E2235-1,"")</f>
        <v>-0.0605634338393474</v>
      </c>
      <c r="H2235" s="3" t="str">
        <f aca="false">IF(MAX(D2235,E2235)&lt;Parametros!$B$16,"",IF(E2235=0,"PIDE SIN FCST",IF(ABS(G2235)&gt;Parametros!$B$14,IF(G2235&gt;0,"SOBRE FCST","BAJO FCST"),"")))</f>
        <v/>
      </c>
    </row>
    <row r="2236" customFormat="false" ht="15" hidden="false" customHeight="false" outlineLevel="0" collapsed="false">
      <c r="A2236" s="3" t="n">
        <v>30000041</v>
      </c>
      <c r="B2236" s="3" t="s">
        <v>419</v>
      </c>
      <c r="C2236" s="3" t="s">
        <v>1376</v>
      </c>
      <c r="D2236" s="23" t="n">
        <v>0</v>
      </c>
      <c r="E2236" s="23" t="n">
        <v>40</v>
      </c>
      <c r="F2236" s="23" t="n">
        <f aca="false">D2236-E2236</f>
        <v>-40</v>
      </c>
      <c r="G2236" s="24" t="n">
        <f aca="false">IF(E2236&gt;0,D2236/E2236-1,"")</f>
        <v>-1</v>
      </c>
      <c r="H2236" s="3" t="str">
        <f aca="false">IF(MAX(D2236,E2236)&lt;Parametros!$B$16,"",IF(E2236=0,"PIDE SIN FCST",IF(ABS(G2236)&gt;Parametros!$B$14,IF(G2236&gt;0,"SOBRE FCST","BAJO FCST"),"")))</f>
        <v/>
      </c>
    </row>
    <row r="2237" customFormat="false" ht="15" hidden="false" customHeight="false" outlineLevel="0" collapsed="false">
      <c r="A2237" s="3" t="n">
        <v>30002113</v>
      </c>
      <c r="B2237" s="3" t="s">
        <v>498</v>
      </c>
      <c r="C2237" s="3" t="s">
        <v>1380</v>
      </c>
      <c r="D2237" s="23" t="n">
        <v>1240</v>
      </c>
      <c r="E2237" s="23" t="n">
        <v>1200</v>
      </c>
      <c r="F2237" s="23" t="n">
        <f aca="false">D2237-E2237</f>
        <v>40</v>
      </c>
      <c r="G2237" s="24" t="n">
        <f aca="false">IF(E2237&gt;0,D2237/E2237-1,"")</f>
        <v>0.0333333333333334</v>
      </c>
      <c r="H2237" s="3" t="str">
        <f aca="false">IF(MAX(D2237,E2237)&lt;Parametros!$B$16,"",IF(E2237=0,"PIDE SIN FCST",IF(ABS(G2237)&gt;Parametros!$B$14,IF(G2237&gt;0,"SOBRE FCST","BAJO FCST"),"")))</f>
        <v/>
      </c>
    </row>
    <row r="2238" customFormat="false" ht="15" hidden="false" customHeight="false" outlineLevel="0" collapsed="false">
      <c r="A2238" s="3" t="n">
        <v>30000637</v>
      </c>
      <c r="B2238" s="3" t="s">
        <v>232</v>
      </c>
      <c r="C2238" s="3" t="s">
        <v>1376</v>
      </c>
      <c r="D2238" s="23" t="n">
        <v>0</v>
      </c>
      <c r="E2238" s="23" t="n">
        <v>40</v>
      </c>
      <c r="F2238" s="23" t="n">
        <f aca="false">D2238-E2238</f>
        <v>-40</v>
      </c>
      <c r="G2238" s="24" t="n">
        <f aca="false">IF(E2238&gt;0,D2238/E2238-1,"")</f>
        <v>-1</v>
      </c>
      <c r="H2238" s="3" t="str">
        <f aca="false">IF(MAX(D2238,E2238)&lt;Parametros!$B$16,"",IF(E2238=0,"PIDE SIN FCST",IF(ABS(G2238)&gt;Parametros!$B$14,IF(G2238&gt;0,"SOBRE FCST","BAJO FCST"),"")))</f>
        <v/>
      </c>
    </row>
    <row r="2239" customFormat="false" ht="15" hidden="false" customHeight="false" outlineLevel="0" collapsed="false">
      <c r="A2239" s="3" t="n">
        <v>30002261</v>
      </c>
      <c r="B2239" s="3" t="s">
        <v>545</v>
      </c>
      <c r="C2239" s="3" t="s">
        <v>1375</v>
      </c>
      <c r="D2239" s="23" t="n">
        <v>2960.1</v>
      </c>
      <c r="E2239" s="23" t="n">
        <v>3000</v>
      </c>
      <c r="F2239" s="23" t="n">
        <f aca="false">D2239-E2239</f>
        <v>-39.9000000000001</v>
      </c>
      <c r="G2239" s="24" t="n">
        <f aca="false">IF(E2239&gt;0,D2239/E2239-1,"")</f>
        <v>-0.0133</v>
      </c>
      <c r="H2239" s="3" t="str">
        <f aca="false">IF(MAX(D2239,E2239)&lt;Parametros!$B$16,"",IF(E2239=0,"PIDE SIN FCST",IF(ABS(G2239)&gt;Parametros!$B$14,IF(G2239&gt;0,"SOBRE FCST","BAJO FCST"),"")))</f>
        <v/>
      </c>
    </row>
    <row r="2240" customFormat="false" ht="15" hidden="false" customHeight="false" outlineLevel="0" collapsed="false">
      <c r="A2240" s="3" t="n">
        <v>30000662</v>
      </c>
      <c r="B2240" s="3" t="s">
        <v>628</v>
      </c>
      <c r="C2240" s="3" t="s">
        <v>1377</v>
      </c>
      <c r="D2240" s="23" t="n">
        <v>66.88</v>
      </c>
      <c r="E2240" s="23" t="n">
        <v>106.08</v>
      </c>
      <c r="F2240" s="23" t="n">
        <f aca="false">D2240-E2240</f>
        <v>-39.2</v>
      </c>
      <c r="G2240" s="24" t="n">
        <f aca="false">IF(E2240&gt;0,D2240/E2240-1,"")</f>
        <v>-0.369532428355958</v>
      </c>
      <c r="H2240" s="3" t="str">
        <f aca="false">IF(MAX(D2240,E2240)&lt;Parametros!$B$16,"",IF(E2240=0,"PIDE SIN FCST",IF(ABS(G2240)&gt;Parametros!$B$14,IF(G2240&gt;0,"SOBRE FCST","BAJO FCST"),"")))</f>
        <v/>
      </c>
    </row>
    <row r="2241" customFormat="false" ht="15" hidden="false" customHeight="false" outlineLevel="0" collapsed="false">
      <c r="A2241" s="3" t="n">
        <v>30002120</v>
      </c>
      <c r="B2241" s="3" t="s">
        <v>598</v>
      </c>
      <c r="C2241" s="3" t="s">
        <v>1373</v>
      </c>
      <c r="D2241" s="23" t="n">
        <v>39.072</v>
      </c>
      <c r="E2241" s="23" t="n">
        <v>0</v>
      </c>
      <c r="F2241" s="23" t="n">
        <f aca="false">D2241-E2241</f>
        <v>39.072</v>
      </c>
      <c r="G2241" s="24" t="str">
        <f aca="false">IF(E2241&gt;0,D2241/E2241-1,"")</f>
        <v/>
      </c>
      <c r="H2241" s="3" t="str">
        <f aca="false">IF(MAX(D2241,E2241)&lt;Parametros!$B$16,"",IF(E2241=0,"PIDE SIN FCST",IF(ABS(G2241)&gt;Parametros!$B$14,IF(G2241&gt;0,"SOBRE FCST","BAJO FCST"),"")))</f>
        <v/>
      </c>
    </row>
    <row r="2242" customFormat="false" ht="15" hidden="false" customHeight="false" outlineLevel="0" collapsed="false">
      <c r="A2242" s="3" t="n">
        <v>30000053</v>
      </c>
      <c r="B2242" s="3" t="s">
        <v>525</v>
      </c>
      <c r="C2242" s="3" t="s">
        <v>1372</v>
      </c>
      <c r="D2242" s="23" t="n">
        <v>44.4</v>
      </c>
      <c r="E2242" s="23" t="n">
        <v>83.3</v>
      </c>
      <c r="F2242" s="23" t="n">
        <f aca="false">D2242-E2242</f>
        <v>-38.9</v>
      </c>
      <c r="G2242" s="24" t="n">
        <f aca="false">IF(E2242&gt;0,D2242/E2242-1,"")</f>
        <v>-0.466986794717887</v>
      </c>
      <c r="H2242" s="3" t="str">
        <f aca="false">IF(MAX(D2242,E2242)&lt;Parametros!$B$16,"",IF(E2242=0,"PIDE SIN FCST",IF(ABS(G2242)&gt;Parametros!$B$14,IF(G2242&gt;0,"SOBRE FCST","BAJO FCST"),"")))</f>
        <v/>
      </c>
    </row>
    <row r="2243" customFormat="false" ht="15" hidden="false" customHeight="false" outlineLevel="0" collapsed="false">
      <c r="A2243" s="3" t="n">
        <v>30001925</v>
      </c>
      <c r="B2243" s="3" t="s">
        <v>551</v>
      </c>
      <c r="C2243" s="3" t="s">
        <v>1377</v>
      </c>
      <c r="D2243" s="23" t="n">
        <v>576.15</v>
      </c>
      <c r="E2243" s="23" t="n">
        <v>614.85059298779</v>
      </c>
      <c r="F2243" s="23" t="n">
        <f aca="false">D2243-E2243</f>
        <v>-38.7005929877903</v>
      </c>
      <c r="G2243" s="24" t="n">
        <f aca="false">IF(E2243&gt;0,D2243/E2243-1,"")</f>
        <v>-0.0629430847577613</v>
      </c>
      <c r="H2243" s="3" t="str">
        <f aca="false">IF(MAX(D2243,E2243)&lt;Parametros!$B$16,"",IF(E2243=0,"PIDE SIN FCST",IF(ABS(G2243)&gt;Parametros!$B$14,IF(G2243&gt;0,"SOBRE FCST","BAJO FCST"),"")))</f>
        <v/>
      </c>
    </row>
    <row r="2244" customFormat="false" ht="15" hidden="false" customHeight="false" outlineLevel="0" collapsed="false">
      <c r="A2244" s="3" t="n">
        <v>30001489</v>
      </c>
      <c r="B2244" s="3" t="s">
        <v>289</v>
      </c>
      <c r="C2244" s="3" t="s">
        <v>1377</v>
      </c>
      <c r="D2244" s="23" t="n">
        <v>1763.64</v>
      </c>
      <c r="E2244" s="23" t="n">
        <v>1725.15013099147</v>
      </c>
      <c r="F2244" s="23" t="n">
        <f aca="false">D2244-E2244</f>
        <v>38.4898690085272</v>
      </c>
      <c r="G2244" s="24" t="n">
        <f aca="false">IF(E2244&gt;0,D2244/E2244-1,"")</f>
        <v>0.0223110257577446</v>
      </c>
      <c r="H2244" s="3" t="str">
        <f aca="false">IF(MAX(D2244,E2244)&lt;Parametros!$B$16,"",IF(E2244=0,"PIDE SIN FCST",IF(ABS(G2244)&gt;Parametros!$B$14,IF(G2244&gt;0,"SOBRE FCST","BAJO FCST"),"")))</f>
        <v/>
      </c>
    </row>
    <row r="2245" customFormat="false" ht="15" hidden="false" customHeight="false" outlineLevel="0" collapsed="false">
      <c r="A2245" s="3" t="n">
        <v>30000542</v>
      </c>
      <c r="B2245" s="3" t="s">
        <v>616</v>
      </c>
      <c r="C2245" s="3" t="s">
        <v>1377</v>
      </c>
      <c r="D2245" s="23" t="n">
        <v>0</v>
      </c>
      <c r="E2245" s="23" t="n">
        <v>38.0212243672918</v>
      </c>
      <c r="F2245" s="23" t="n">
        <f aca="false">D2245-E2245</f>
        <v>-38.0212243672918</v>
      </c>
      <c r="G2245" s="24" t="n">
        <f aca="false">IF(E2245&gt;0,D2245/E2245-1,"")</f>
        <v>-1</v>
      </c>
      <c r="H2245" s="3" t="str">
        <f aca="false">IF(MAX(D2245,E2245)&lt;Parametros!$B$16,"",IF(E2245=0,"PIDE SIN FCST",IF(ABS(G2245)&gt;Parametros!$B$14,IF(G2245&gt;0,"SOBRE FCST","BAJO FCST"),"")))</f>
        <v/>
      </c>
    </row>
    <row r="2246" customFormat="false" ht="15" hidden="false" customHeight="false" outlineLevel="0" collapsed="false">
      <c r="A2246" s="3" t="n">
        <v>30000169</v>
      </c>
      <c r="B2246" s="3" t="s">
        <v>519</v>
      </c>
      <c r="C2246" s="3" t="s">
        <v>1377</v>
      </c>
      <c r="D2246" s="23" t="n">
        <v>408</v>
      </c>
      <c r="E2246" s="23" t="n">
        <v>370</v>
      </c>
      <c r="F2246" s="23" t="n">
        <f aca="false">D2246-E2246</f>
        <v>38</v>
      </c>
      <c r="G2246" s="24" t="n">
        <f aca="false">IF(E2246&gt;0,D2246/E2246-1,"")</f>
        <v>0.102702702702703</v>
      </c>
      <c r="H2246" s="3" t="str">
        <f aca="false">IF(MAX(D2246,E2246)&lt;Parametros!$B$16,"",IF(E2246=0,"PIDE SIN FCST",IF(ABS(G2246)&gt;Parametros!$B$14,IF(G2246&gt;0,"SOBRE FCST","BAJO FCST"),"")))</f>
        <v/>
      </c>
    </row>
    <row r="2247" customFormat="false" ht="15" hidden="false" customHeight="false" outlineLevel="0" collapsed="false">
      <c r="A2247" s="3" t="n">
        <v>30001683</v>
      </c>
      <c r="B2247" s="3" t="s">
        <v>466</v>
      </c>
      <c r="C2247" s="3" t="s">
        <v>1377</v>
      </c>
      <c r="D2247" s="23" t="n">
        <v>432</v>
      </c>
      <c r="E2247" s="23" t="n">
        <v>470</v>
      </c>
      <c r="F2247" s="23" t="n">
        <f aca="false">D2247-E2247</f>
        <v>-38</v>
      </c>
      <c r="G2247" s="24" t="n">
        <f aca="false">IF(E2247&gt;0,D2247/E2247-1,"")</f>
        <v>-0.0808510638297872</v>
      </c>
      <c r="H2247" s="3" t="str">
        <f aca="false">IF(MAX(D2247,E2247)&lt;Parametros!$B$16,"",IF(E2247=0,"PIDE SIN FCST",IF(ABS(G2247)&gt;Parametros!$B$14,IF(G2247&gt;0,"SOBRE FCST","BAJO FCST"),"")))</f>
        <v/>
      </c>
    </row>
    <row r="2248" customFormat="false" ht="15" hidden="false" customHeight="false" outlineLevel="0" collapsed="false">
      <c r="A2248" s="3" t="n">
        <v>30001988</v>
      </c>
      <c r="B2248" s="3" t="s">
        <v>599</v>
      </c>
      <c r="C2248" s="3" t="s">
        <v>1380</v>
      </c>
      <c r="D2248" s="23" t="n">
        <v>0</v>
      </c>
      <c r="E2248" s="23" t="n">
        <v>37.605</v>
      </c>
      <c r="F2248" s="23" t="n">
        <f aca="false">D2248-E2248</f>
        <v>-37.605</v>
      </c>
      <c r="G2248" s="24" t="n">
        <f aca="false">IF(E2248&gt;0,D2248/E2248-1,"")</f>
        <v>-1</v>
      </c>
      <c r="H2248" s="3" t="str">
        <f aca="false">IF(MAX(D2248,E2248)&lt;Parametros!$B$16,"",IF(E2248=0,"PIDE SIN FCST",IF(ABS(G2248)&gt;Parametros!$B$14,IF(G2248&gt;0,"SOBRE FCST","BAJO FCST"),"")))</f>
        <v/>
      </c>
    </row>
    <row r="2249" customFormat="false" ht="15" hidden="false" customHeight="false" outlineLevel="0" collapsed="false">
      <c r="A2249" s="3" t="n">
        <v>30000179</v>
      </c>
      <c r="B2249" s="3" t="s">
        <v>449</v>
      </c>
      <c r="C2249" s="3" t="s">
        <v>1377</v>
      </c>
      <c r="D2249" s="23" t="n">
        <v>662.4</v>
      </c>
      <c r="E2249" s="23" t="n">
        <v>700</v>
      </c>
      <c r="F2249" s="23" t="n">
        <f aca="false">D2249-E2249</f>
        <v>-37.6</v>
      </c>
      <c r="G2249" s="24" t="n">
        <f aca="false">IF(E2249&gt;0,D2249/E2249-1,"")</f>
        <v>-0.0537142857142857</v>
      </c>
      <c r="H2249" s="3" t="str">
        <f aca="false">IF(MAX(D2249,E2249)&lt;Parametros!$B$16,"",IF(E2249=0,"PIDE SIN FCST",IF(ABS(G2249)&gt;Parametros!$B$14,IF(G2249&gt;0,"SOBRE FCST","BAJO FCST"),"")))</f>
        <v/>
      </c>
    </row>
    <row r="2250" customFormat="false" ht="15" hidden="false" customHeight="false" outlineLevel="0" collapsed="false">
      <c r="A2250" s="3" t="n">
        <v>30000488</v>
      </c>
      <c r="B2250" s="3" t="s">
        <v>448</v>
      </c>
      <c r="C2250" s="3" t="s">
        <v>1373</v>
      </c>
      <c r="D2250" s="23" t="n">
        <v>561.6</v>
      </c>
      <c r="E2250" s="23" t="n">
        <v>598.854018843209</v>
      </c>
      <c r="F2250" s="23" t="n">
        <f aca="false">D2250-E2250</f>
        <v>-37.2540188432091</v>
      </c>
      <c r="G2250" s="24" t="n">
        <f aca="false">IF(E2250&gt;0,D2250/E2250-1,"")</f>
        <v>-0.0622088483520102</v>
      </c>
      <c r="H2250" s="3" t="str">
        <f aca="false">IF(MAX(D2250,E2250)&lt;Parametros!$B$16,"",IF(E2250=0,"PIDE SIN FCST",IF(ABS(G2250)&gt;Parametros!$B$14,IF(G2250&gt;0,"SOBRE FCST","BAJO FCST"),"")))</f>
        <v/>
      </c>
    </row>
    <row r="2251" customFormat="false" ht="15" hidden="false" customHeight="false" outlineLevel="0" collapsed="false">
      <c r="A2251" s="3" t="n">
        <v>30002177</v>
      </c>
      <c r="B2251" s="3" t="s">
        <v>285</v>
      </c>
      <c r="C2251" s="3" t="s">
        <v>1376</v>
      </c>
      <c r="D2251" s="23" t="n">
        <v>36.8</v>
      </c>
      <c r="E2251" s="23" t="n">
        <v>0</v>
      </c>
      <c r="F2251" s="23" t="n">
        <f aca="false">D2251-E2251</f>
        <v>36.8</v>
      </c>
      <c r="G2251" s="24" t="str">
        <f aca="false">IF(E2251&gt;0,D2251/E2251-1,"")</f>
        <v/>
      </c>
      <c r="H2251" s="3" t="str">
        <f aca="false">IF(MAX(D2251,E2251)&lt;Parametros!$B$16,"",IF(E2251=0,"PIDE SIN FCST",IF(ABS(G2251)&gt;Parametros!$B$14,IF(G2251&gt;0,"SOBRE FCST","BAJO FCST"),"")))</f>
        <v/>
      </c>
    </row>
    <row r="2252" customFormat="false" ht="15" hidden="false" customHeight="false" outlineLevel="0" collapsed="false">
      <c r="A2252" s="3" t="n">
        <v>30002090</v>
      </c>
      <c r="B2252" s="3" t="s">
        <v>317</v>
      </c>
      <c r="C2252" s="3" t="s">
        <v>1378</v>
      </c>
      <c r="D2252" s="23" t="n">
        <v>1330.2</v>
      </c>
      <c r="E2252" s="23" t="n">
        <v>1293.86259824361</v>
      </c>
      <c r="F2252" s="23" t="n">
        <f aca="false">D2252-E2252</f>
        <v>36.3374017563951</v>
      </c>
      <c r="G2252" s="24" t="n">
        <f aca="false">IF(E2252&gt;0,D2252/E2252-1,"")</f>
        <v>0.0280844363271049</v>
      </c>
      <c r="H2252" s="3" t="str">
        <f aca="false">IF(MAX(D2252,E2252)&lt;Parametros!$B$16,"",IF(E2252=0,"PIDE SIN FCST",IF(ABS(G2252)&gt;Parametros!$B$14,IF(G2252&gt;0,"SOBRE FCST","BAJO FCST"),"")))</f>
        <v/>
      </c>
    </row>
    <row r="2253" customFormat="false" ht="15" hidden="false" customHeight="false" outlineLevel="0" collapsed="false">
      <c r="A2253" s="3" t="n">
        <v>30002077</v>
      </c>
      <c r="B2253" s="3" t="s">
        <v>364</v>
      </c>
      <c r="C2253" s="3" t="s">
        <v>1375</v>
      </c>
      <c r="D2253" s="23" t="n">
        <v>36</v>
      </c>
      <c r="E2253" s="23" t="n">
        <v>0</v>
      </c>
      <c r="F2253" s="23" t="n">
        <f aca="false">D2253-E2253</f>
        <v>36</v>
      </c>
      <c r="G2253" s="24" t="str">
        <f aca="false">IF(E2253&gt;0,D2253/E2253-1,"")</f>
        <v/>
      </c>
      <c r="H2253" s="3" t="str">
        <f aca="false">IF(MAX(D2253,E2253)&lt;Parametros!$B$16,"",IF(E2253=0,"PIDE SIN FCST",IF(ABS(G2253)&gt;Parametros!$B$14,IF(G2253&gt;0,"SOBRE FCST","BAJO FCST"),"")))</f>
        <v/>
      </c>
    </row>
    <row r="2254" customFormat="false" ht="15" hidden="false" customHeight="false" outlineLevel="0" collapsed="false">
      <c r="A2254" s="3" t="n">
        <v>30000478</v>
      </c>
      <c r="B2254" s="3" t="s">
        <v>392</v>
      </c>
      <c r="C2254" s="3" t="s">
        <v>1379</v>
      </c>
      <c r="D2254" s="23" t="n">
        <v>1836</v>
      </c>
      <c r="E2254" s="23" t="n">
        <v>1800</v>
      </c>
      <c r="F2254" s="23" t="n">
        <f aca="false">D2254-E2254</f>
        <v>36</v>
      </c>
      <c r="G2254" s="24" t="n">
        <f aca="false">IF(E2254&gt;0,D2254/E2254-1,"")</f>
        <v>0.02</v>
      </c>
      <c r="H2254" s="3" t="str">
        <f aca="false">IF(MAX(D2254,E2254)&lt;Parametros!$B$16,"",IF(E2254=0,"PIDE SIN FCST",IF(ABS(G2254)&gt;Parametros!$B$14,IF(G2254&gt;0,"SOBRE FCST","BAJO FCST"),"")))</f>
        <v/>
      </c>
    </row>
    <row r="2255" customFormat="false" ht="15" hidden="false" customHeight="false" outlineLevel="0" collapsed="false">
      <c r="A2255" s="3" t="n">
        <v>30000192</v>
      </c>
      <c r="B2255" s="3" t="s">
        <v>311</v>
      </c>
      <c r="C2255" s="3" t="s">
        <v>1376</v>
      </c>
      <c r="D2255" s="23" t="n">
        <v>0</v>
      </c>
      <c r="E2255" s="23" t="n">
        <v>36</v>
      </c>
      <c r="F2255" s="23" t="n">
        <f aca="false">D2255-E2255</f>
        <v>-36</v>
      </c>
      <c r="G2255" s="24" t="n">
        <f aca="false">IF(E2255&gt;0,D2255/E2255-1,"")</f>
        <v>-1</v>
      </c>
      <c r="H2255" s="3" t="str">
        <f aca="false">IF(MAX(D2255,E2255)&lt;Parametros!$B$16,"",IF(E2255=0,"PIDE SIN FCST",IF(ABS(G2255)&gt;Parametros!$B$14,IF(G2255&gt;0,"SOBRE FCST","BAJO FCST"),"")))</f>
        <v/>
      </c>
    </row>
    <row r="2256" customFormat="false" ht="15" hidden="false" customHeight="false" outlineLevel="0" collapsed="false">
      <c r="A2256" s="3" t="n">
        <v>30000551</v>
      </c>
      <c r="B2256" s="3" t="s">
        <v>245</v>
      </c>
      <c r="C2256" s="3" t="s">
        <v>1375</v>
      </c>
      <c r="D2256" s="23" t="n">
        <v>6664</v>
      </c>
      <c r="E2256" s="23" t="n">
        <v>6700</v>
      </c>
      <c r="F2256" s="23" t="n">
        <f aca="false">D2256-E2256</f>
        <v>-36</v>
      </c>
      <c r="G2256" s="24" t="n">
        <f aca="false">IF(E2256&gt;0,D2256/E2256-1,"")</f>
        <v>-0.00537313432835818</v>
      </c>
      <c r="H2256" s="3" t="str">
        <f aca="false">IF(MAX(D2256,E2256)&lt;Parametros!$B$16,"",IF(E2256=0,"PIDE SIN FCST",IF(ABS(G2256)&gt;Parametros!$B$14,IF(G2256&gt;0,"SOBRE FCST","BAJO FCST"),"")))</f>
        <v/>
      </c>
    </row>
    <row r="2257" customFormat="false" ht="15" hidden="false" customHeight="false" outlineLevel="0" collapsed="false">
      <c r="A2257" s="3" t="n">
        <v>30000177</v>
      </c>
      <c r="B2257" s="3" t="s">
        <v>439</v>
      </c>
      <c r="C2257" s="3" t="s">
        <v>1377</v>
      </c>
      <c r="D2257" s="23" t="n">
        <v>585.6</v>
      </c>
      <c r="E2257" s="23" t="n">
        <v>550</v>
      </c>
      <c r="F2257" s="23" t="n">
        <f aca="false">D2257-E2257</f>
        <v>35.5999999999999</v>
      </c>
      <c r="G2257" s="24" t="n">
        <f aca="false">IF(E2257&gt;0,D2257/E2257-1,"")</f>
        <v>0.0647272727272725</v>
      </c>
      <c r="H2257" s="3" t="str">
        <f aca="false">IF(MAX(D2257,E2257)&lt;Parametros!$B$16,"",IF(E2257=0,"PIDE SIN FCST",IF(ABS(G2257)&gt;Parametros!$B$14,IF(G2257&gt;0,"SOBRE FCST","BAJO FCST"),"")))</f>
        <v/>
      </c>
    </row>
    <row r="2258" customFormat="false" ht="15" hidden="false" customHeight="false" outlineLevel="0" collapsed="false">
      <c r="A2258" s="3" t="n">
        <v>30000250</v>
      </c>
      <c r="B2258" s="3" t="s">
        <v>544</v>
      </c>
      <c r="C2258" s="3" t="s">
        <v>1378</v>
      </c>
      <c r="D2258" s="23" t="n">
        <v>396</v>
      </c>
      <c r="E2258" s="23" t="n">
        <v>431.287532747868</v>
      </c>
      <c r="F2258" s="23" t="n">
        <f aca="false">D2258-E2258</f>
        <v>-35.2875327478682</v>
      </c>
      <c r="G2258" s="24" t="n">
        <f aca="false">IF(E2258&gt;0,D2258/E2258-1,"")</f>
        <v>-0.0818190419812052</v>
      </c>
      <c r="H2258" s="3" t="str">
        <f aca="false">IF(MAX(D2258,E2258)&lt;Parametros!$B$16,"",IF(E2258=0,"PIDE SIN FCST",IF(ABS(G2258)&gt;Parametros!$B$14,IF(G2258&gt;0,"SOBRE FCST","BAJO FCST"),"")))</f>
        <v/>
      </c>
    </row>
    <row r="2259" customFormat="false" ht="15" hidden="false" customHeight="false" outlineLevel="0" collapsed="false">
      <c r="A2259" s="3" t="n">
        <v>30002113</v>
      </c>
      <c r="B2259" s="3" t="s">
        <v>498</v>
      </c>
      <c r="C2259" s="3" t="s">
        <v>1373</v>
      </c>
      <c r="D2259" s="23" t="n">
        <v>585</v>
      </c>
      <c r="E2259" s="23" t="n">
        <v>550</v>
      </c>
      <c r="F2259" s="23" t="n">
        <f aca="false">D2259-E2259</f>
        <v>35</v>
      </c>
      <c r="G2259" s="24" t="n">
        <f aca="false">IF(E2259&gt;0,D2259/E2259-1,"")</f>
        <v>0.0636363636363637</v>
      </c>
      <c r="H2259" s="3" t="str">
        <f aca="false">IF(MAX(D2259,E2259)&lt;Parametros!$B$16,"",IF(E2259=0,"PIDE SIN FCST",IF(ABS(G2259)&gt;Parametros!$B$14,IF(G2259&gt;0,"SOBRE FCST","BAJO FCST"),"")))</f>
        <v/>
      </c>
    </row>
    <row r="2260" customFormat="false" ht="15" hidden="false" customHeight="false" outlineLevel="0" collapsed="false">
      <c r="A2260" s="3" t="n">
        <v>30001710</v>
      </c>
      <c r="B2260" s="3" t="s">
        <v>335</v>
      </c>
      <c r="C2260" s="3" t="s">
        <v>1375</v>
      </c>
      <c r="D2260" s="23" t="n">
        <v>3319.68</v>
      </c>
      <c r="E2260" s="23" t="n">
        <v>3354.33268091644</v>
      </c>
      <c r="F2260" s="23" t="n">
        <f aca="false">D2260-E2260</f>
        <v>-34.6526809164388</v>
      </c>
      <c r="G2260" s="24" t="n">
        <f aca="false">IF(E2260&gt;0,D2260/E2260-1,"")</f>
        <v>-0.0103307227436282</v>
      </c>
      <c r="H2260" s="3" t="str">
        <f aca="false">IF(MAX(D2260,E2260)&lt;Parametros!$B$16,"",IF(E2260=0,"PIDE SIN FCST",IF(ABS(G2260)&gt;Parametros!$B$14,IF(G2260&gt;0,"SOBRE FCST","BAJO FCST"),"")))</f>
        <v/>
      </c>
    </row>
    <row r="2261" customFormat="false" ht="15" hidden="false" customHeight="false" outlineLevel="0" collapsed="false">
      <c r="A2261" s="3" t="n">
        <v>30002186</v>
      </c>
      <c r="B2261" s="3" t="s">
        <v>623</v>
      </c>
      <c r="C2261" s="3" t="s">
        <v>1373</v>
      </c>
      <c r="D2261" s="23" t="n">
        <v>34.5</v>
      </c>
      <c r="E2261" s="23" t="n">
        <v>0</v>
      </c>
      <c r="F2261" s="23" t="n">
        <f aca="false">D2261-E2261</f>
        <v>34.5</v>
      </c>
      <c r="G2261" s="24" t="str">
        <f aca="false">IF(E2261&gt;0,D2261/E2261-1,"")</f>
        <v/>
      </c>
      <c r="H2261" s="3" t="str">
        <f aca="false">IF(MAX(D2261,E2261)&lt;Parametros!$B$16,"",IF(E2261=0,"PIDE SIN FCST",IF(ABS(G2261)&gt;Parametros!$B$14,IF(G2261&gt;0,"SOBRE FCST","BAJO FCST"),"")))</f>
        <v/>
      </c>
    </row>
    <row r="2262" customFormat="false" ht="15" hidden="false" customHeight="false" outlineLevel="0" collapsed="false">
      <c r="A2262" s="3" t="n">
        <v>30002187</v>
      </c>
      <c r="B2262" s="3" t="s">
        <v>642</v>
      </c>
      <c r="C2262" s="3" t="s">
        <v>1373</v>
      </c>
      <c r="D2262" s="23" t="n">
        <v>34.5</v>
      </c>
      <c r="E2262" s="23" t="n">
        <v>0</v>
      </c>
      <c r="F2262" s="23" t="n">
        <f aca="false">D2262-E2262</f>
        <v>34.5</v>
      </c>
      <c r="G2262" s="24" t="str">
        <f aca="false">IF(E2262&gt;0,D2262/E2262-1,"")</f>
        <v/>
      </c>
      <c r="H2262" s="3" t="str">
        <f aca="false">IF(MAX(D2262,E2262)&lt;Parametros!$B$16,"",IF(E2262=0,"PIDE SIN FCST",IF(ABS(G2262)&gt;Parametros!$B$14,IF(G2262&gt;0,"SOBRE FCST","BAJO FCST"),"")))</f>
        <v/>
      </c>
    </row>
    <row r="2263" customFormat="false" ht="15" hidden="false" customHeight="false" outlineLevel="0" collapsed="false">
      <c r="A2263" s="3" t="n">
        <v>30000054</v>
      </c>
      <c r="B2263" s="3" t="s">
        <v>349</v>
      </c>
      <c r="C2263" s="3" t="s">
        <v>1375</v>
      </c>
      <c r="D2263" s="23" t="n">
        <v>6734.4</v>
      </c>
      <c r="E2263" s="23" t="n">
        <v>6700</v>
      </c>
      <c r="F2263" s="23" t="n">
        <f aca="false">D2263-E2263</f>
        <v>34.4000000000015</v>
      </c>
      <c r="G2263" s="24" t="n">
        <f aca="false">IF(E2263&gt;0,D2263/E2263-1,"")</f>
        <v>0.00513432835820926</v>
      </c>
      <c r="H2263" s="3" t="str">
        <f aca="false">IF(MAX(D2263,E2263)&lt;Parametros!$B$16,"",IF(E2263=0,"PIDE SIN FCST",IF(ABS(G2263)&gt;Parametros!$B$14,IF(G2263&gt;0,"SOBRE FCST","BAJO FCST"),"")))</f>
        <v/>
      </c>
    </row>
    <row r="2264" customFormat="false" ht="15" hidden="false" customHeight="false" outlineLevel="0" collapsed="false">
      <c r="A2264" s="3" t="n">
        <v>30000055</v>
      </c>
      <c r="B2264" s="3" t="s">
        <v>417</v>
      </c>
      <c r="C2264" s="3" t="s">
        <v>1378</v>
      </c>
      <c r="D2264" s="23" t="n">
        <v>993.6</v>
      </c>
      <c r="E2264" s="23" t="n">
        <v>1028</v>
      </c>
      <c r="F2264" s="23" t="n">
        <f aca="false">D2264-E2264</f>
        <v>-34.4000000000001</v>
      </c>
      <c r="G2264" s="24" t="n">
        <f aca="false">IF(E2264&gt;0,D2264/E2264-1,"")</f>
        <v>-0.0334630350194554</v>
      </c>
      <c r="H2264" s="3" t="str">
        <f aca="false">IF(MAX(D2264,E2264)&lt;Parametros!$B$16,"",IF(E2264=0,"PIDE SIN FCST",IF(ABS(G2264)&gt;Parametros!$B$14,IF(G2264&gt;0,"SOBRE FCST","BAJO FCST"),"")))</f>
        <v/>
      </c>
    </row>
    <row r="2265" customFormat="false" ht="15" hidden="false" customHeight="false" outlineLevel="0" collapsed="false">
      <c r="A2265" s="3" t="n">
        <v>30001412</v>
      </c>
      <c r="B2265" s="3" t="s">
        <v>635</v>
      </c>
      <c r="C2265" s="3" t="s">
        <v>1373</v>
      </c>
      <c r="D2265" s="23" t="n">
        <v>0</v>
      </c>
      <c r="E2265" s="23" t="n">
        <v>34.3933333333334</v>
      </c>
      <c r="F2265" s="23" t="n">
        <f aca="false">D2265-E2265</f>
        <v>-34.3933333333334</v>
      </c>
      <c r="G2265" s="24" t="n">
        <f aca="false">IF(E2265&gt;0,D2265/E2265-1,"")</f>
        <v>-1</v>
      </c>
      <c r="H2265" s="3" t="str">
        <f aca="false">IF(MAX(D2265,E2265)&lt;Parametros!$B$16,"",IF(E2265=0,"PIDE SIN FCST",IF(ABS(G2265)&gt;Parametros!$B$14,IF(G2265&gt;0,"SOBRE FCST","BAJO FCST"),"")))</f>
        <v/>
      </c>
    </row>
    <row r="2266" customFormat="false" ht="15" hidden="false" customHeight="false" outlineLevel="0" collapsed="false">
      <c r="A2266" s="3" t="n">
        <v>30000665</v>
      </c>
      <c r="B2266" s="3" t="s">
        <v>617</v>
      </c>
      <c r="C2266" s="3" t="s">
        <v>1377</v>
      </c>
      <c r="D2266" s="23" t="n">
        <v>85.12</v>
      </c>
      <c r="E2266" s="23" t="n">
        <v>119.32</v>
      </c>
      <c r="F2266" s="23" t="n">
        <f aca="false">D2266-E2266</f>
        <v>-34.2</v>
      </c>
      <c r="G2266" s="24" t="n">
        <f aca="false">IF(E2266&gt;0,D2266/E2266-1,"")</f>
        <v>-0.286624203821656</v>
      </c>
      <c r="H2266" s="3" t="str">
        <f aca="false">IF(MAX(D2266,E2266)&lt;Parametros!$B$16,"",IF(E2266=0,"PIDE SIN FCST",IF(ABS(G2266)&gt;Parametros!$B$14,IF(G2266&gt;0,"SOBRE FCST","BAJO FCST"),"")))</f>
        <v/>
      </c>
    </row>
    <row r="2267" customFormat="false" ht="15" hidden="false" customHeight="false" outlineLevel="0" collapsed="false">
      <c r="A2267" s="3" t="n">
        <v>30001408</v>
      </c>
      <c r="B2267" s="3" t="s">
        <v>643</v>
      </c>
      <c r="C2267" s="3" t="s">
        <v>1375</v>
      </c>
      <c r="D2267" s="23" t="n">
        <v>34</v>
      </c>
      <c r="E2267" s="23" t="n">
        <v>0</v>
      </c>
      <c r="F2267" s="23" t="n">
        <f aca="false">D2267-E2267</f>
        <v>34</v>
      </c>
      <c r="G2267" s="24" t="str">
        <f aca="false">IF(E2267&gt;0,D2267/E2267-1,"")</f>
        <v/>
      </c>
      <c r="H2267" s="3" t="str">
        <f aca="false">IF(MAX(D2267,E2267)&lt;Parametros!$B$16,"",IF(E2267=0,"PIDE SIN FCST",IF(ABS(G2267)&gt;Parametros!$B$14,IF(G2267&gt;0,"SOBRE FCST","BAJO FCST"),"")))</f>
        <v/>
      </c>
    </row>
    <row r="2268" customFormat="false" ht="15" hidden="false" customHeight="false" outlineLevel="0" collapsed="false">
      <c r="A2268" s="3" t="n">
        <v>30000641</v>
      </c>
      <c r="B2268" s="3" t="s">
        <v>524</v>
      </c>
      <c r="C2268" s="3" t="s">
        <v>1378</v>
      </c>
      <c r="D2268" s="23" t="n">
        <v>206.72</v>
      </c>
      <c r="E2268" s="23" t="n">
        <v>240</v>
      </c>
      <c r="F2268" s="23" t="n">
        <f aca="false">D2268-E2268</f>
        <v>-33.28</v>
      </c>
      <c r="G2268" s="24" t="n">
        <f aca="false">IF(E2268&gt;0,D2268/E2268-1,"")</f>
        <v>-0.138666666666667</v>
      </c>
      <c r="H2268" s="3" t="str">
        <f aca="false">IF(MAX(D2268,E2268)&lt;Parametros!$B$16,"",IF(E2268=0,"PIDE SIN FCST",IF(ABS(G2268)&gt;Parametros!$B$14,IF(G2268&gt;0,"SOBRE FCST","BAJO FCST"),"")))</f>
        <v/>
      </c>
    </row>
    <row r="2269" customFormat="false" ht="15" hidden="false" customHeight="false" outlineLevel="0" collapsed="false">
      <c r="A2269" s="3" t="n">
        <v>30001152</v>
      </c>
      <c r="B2269" s="3" t="s">
        <v>577</v>
      </c>
      <c r="C2269" s="3" t="s">
        <v>1373</v>
      </c>
      <c r="D2269" s="23" t="n">
        <v>243.2</v>
      </c>
      <c r="E2269" s="23" t="n">
        <v>210</v>
      </c>
      <c r="F2269" s="23" t="n">
        <f aca="false">D2269-E2269</f>
        <v>33.2</v>
      </c>
      <c r="G2269" s="24" t="n">
        <f aca="false">IF(E2269&gt;0,D2269/E2269-1,"")</f>
        <v>0.158095238095238</v>
      </c>
      <c r="H2269" s="3" t="str">
        <f aca="false">IF(MAX(D2269,E2269)&lt;Parametros!$B$16,"",IF(E2269=0,"PIDE SIN FCST",IF(ABS(G2269)&gt;Parametros!$B$14,IF(G2269&gt;0,"SOBRE FCST","BAJO FCST"),"")))</f>
        <v/>
      </c>
    </row>
    <row r="2270" customFormat="false" ht="15" hidden="false" customHeight="false" outlineLevel="0" collapsed="false">
      <c r="A2270" s="3" t="n">
        <v>30002085</v>
      </c>
      <c r="B2270" s="3" t="s">
        <v>607</v>
      </c>
      <c r="C2270" s="3" t="s">
        <v>1378</v>
      </c>
      <c r="D2270" s="23" t="n">
        <v>104.16</v>
      </c>
      <c r="E2270" s="23" t="n">
        <v>137.346308518032</v>
      </c>
      <c r="F2270" s="23" t="n">
        <f aca="false">D2270-E2270</f>
        <v>-33.1863085180319</v>
      </c>
      <c r="G2270" s="24" t="n">
        <f aca="false">IF(E2270&gt;0,D2270/E2270-1,"")</f>
        <v>-0.241625048944617</v>
      </c>
      <c r="H2270" s="3" t="str">
        <f aca="false">IF(MAX(D2270,E2270)&lt;Parametros!$B$16,"",IF(E2270=0,"PIDE SIN FCST",IF(ABS(G2270)&gt;Parametros!$B$14,IF(G2270&gt;0,"SOBRE FCST","BAJO FCST"),"")))</f>
        <v/>
      </c>
    </row>
    <row r="2271" customFormat="false" ht="15" hidden="false" customHeight="false" outlineLevel="0" collapsed="false">
      <c r="A2271" s="3" t="n">
        <v>30001474</v>
      </c>
      <c r="B2271" s="3" t="s">
        <v>514</v>
      </c>
      <c r="C2271" s="3" t="s">
        <v>1373</v>
      </c>
      <c r="D2271" s="23" t="n">
        <v>1252.8</v>
      </c>
      <c r="E2271" s="23" t="n">
        <v>1285.86639030861</v>
      </c>
      <c r="F2271" s="23" t="n">
        <f aca="false">D2271-E2271</f>
        <v>-33.066390308609</v>
      </c>
      <c r="G2271" s="24" t="n">
        <f aca="false">IF(E2271&gt;0,D2271/E2271-1,"")</f>
        <v>-0.0257152613660531</v>
      </c>
      <c r="H2271" s="3" t="str">
        <f aca="false">IF(MAX(D2271,E2271)&lt;Parametros!$B$16,"",IF(E2271=0,"PIDE SIN FCST",IF(ABS(G2271)&gt;Parametros!$B$14,IF(G2271&gt;0,"SOBRE FCST","BAJO FCST"),"")))</f>
        <v/>
      </c>
    </row>
    <row r="2272" customFormat="false" ht="15" hidden="false" customHeight="false" outlineLevel="0" collapsed="false">
      <c r="A2272" s="3" t="n">
        <v>30001411</v>
      </c>
      <c r="B2272" s="3" t="s">
        <v>638</v>
      </c>
      <c r="C2272" s="3" t="s">
        <v>1377</v>
      </c>
      <c r="D2272" s="23" t="n">
        <v>0</v>
      </c>
      <c r="E2272" s="23" t="n">
        <v>33.0268973355222</v>
      </c>
      <c r="F2272" s="23" t="n">
        <f aca="false">D2272-E2272</f>
        <v>-33.0268973355222</v>
      </c>
      <c r="G2272" s="24" t="n">
        <f aca="false">IF(E2272&gt;0,D2272/E2272-1,"")</f>
        <v>-1</v>
      </c>
      <c r="H2272" s="3" t="str">
        <f aca="false">IF(MAX(D2272,E2272)&lt;Parametros!$B$16,"",IF(E2272=0,"PIDE SIN FCST",IF(ABS(G2272)&gt;Parametros!$B$14,IF(G2272&gt;0,"SOBRE FCST","BAJO FCST"),"")))</f>
        <v/>
      </c>
    </row>
    <row r="2273" customFormat="false" ht="15" hidden="false" customHeight="false" outlineLevel="0" collapsed="false">
      <c r="A2273" s="3" t="n">
        <v>30000641</v>
      </c>
      <c r="B2273" s="3" t="s">
        <v>524</v>
      </c>
      <c r="C2273" s="3" t="s">
        <v>1375</v>
      </c>
      <c r="D2273" s="23" t="n">
        <v>2967.04</v>
      </c>
      <c r="E2273" s="23" t="n">
        <v>3000</v>
      </c>
      <c r="F2273" s="23" t="n">
        <f aca="false">D2273-E2273</f>
        <v>-32.96</v>
      </c>
      <c r="G2273" s="24" t="n">
        <f aca="false">IF(E2273&gt;0,D2273/E2273-1,"")</f>
        <v>-0.0109866666666667</v>
      </c>
      <c r="H2273" s="3" t="str">
        <f aca="false">IF(MAX(D2273,E2273)&lt;Parametros!$B$16,"",IF(E2273=0,"PIDE SIN FCST",IF(ABS(G2273)&gt;Parametros!$B$14,IF(G2273&gt;0,"SOBRE FCST","BAJO FCST"),"")))</f>
        <v/>
      </c>
    </row>
    <row r="2274" customFormat="false" ht="15" hidden="false" customHeight="false" outlineLevel="0" collapsed="false">
      <c r="A2274" s="3" t="n">
        <v>30002093</v>
      </c>
      <c r="B2274" s="3" t="s">
        <v>488</v>
      </c>
      <c r="C2274" s="3" t="s">
        <v>1378</v>
      </c>
      <c r="D2274" s="23" t="n">
        <v>156.816</v>
      </c>
      <c r="E2274" s="23" t="n">
        <v>189.700376550074</v>
      </c>
      <c r="F2274" s="23" t="n">
        <f aca="false">D2274-E2274</f>
        <v>-32.8843765500739</v>
      </c>
      <c r="G2274" s="24" t="n">
        <f aca="false">IF(E2274&gt;0,D2274/E2274-1,"")</f>
        <v>-0.173349031499648</v>
      </c>
      <c r="H2274" s="3" t="str">
        <f aca="false">IF(MAX(D2274,E2274)&lt;Parametros!$B$16,"",IF(E2274=0,"PIDE SIN FCST",IF(ABS(G2274)&gt;Parametros!$B$14,IF(G2274&gt;0,"SOBRE FCST","BAJO FCST"),"")))</f>
        <v/>
      </c>
    </row>
    <row r="2275" customFormat="false" ht="15" hidden="false" customHeight="false" outlineLevel="0" collapsed="false">
      <c r="A2275" s="3" t="n">
        <v>30000089</v>
      </c>
      <c r="B2275" s="3" t="s">
        <v>467</v>
      </c>
      <c r="C2275" s="3" t="s">
        <v>1373</v>
      </c>
      <c r="D2275" s="23" t="n">
        <v>1744</v>
      </c>
      <c r="E2275" s="23" t="n">
        <v>1711.76514700541</v>
      </c>
      <c r="F2275" s="23" t="n">
        <f aca="false">D2275-E2275</f>
        <v>32.234852994595</v>
      </c>
      <c r="G2275" s="24" t="n">
        <f aca="false">IF(E2275&gt;0,D2275/E2275-1,"")</f>
        <v>0.0188313525666692</v>
      </c>
      <c r="H2275" s="3" t="str">
        <f aca="false">IF(MAX(D2275,E2275)&lt;Parametros!$B$16,"",IF(E2275=0,"PIDE SIN FCST",IF(ABS(G2275)&gt;Parametros!$B$14,IF(G2275&gt;0,"SOBRE FCST","BAJO FCST"),"")))</f>
        <v/>
      </c>
    </row>
    <row r="2276" customFormat="false" ht="15" hidden="false" customHeight="false" outlineLevel="0" collapsed="false">
      <c r="A2276" s="3" t="n">
        <v>30002137</v>
      </c>
      <c r="B2276" s="3" t="s">
        <v>627</v>
      </c>
      <c r="C2276" s="3" t="s">
        <v>1378</v>
      </c>
      <c r="D2276" s="23" t="n">
        <v>247.8</v>
      </c>
      <c r="E2276" s="23" t="n">
        <v>215.643766373934</v>
      </c>
      <c r="F2276" s="23" t="n">
        <f aca="false">D2276-E2276</f>
        <v>32.1562336260658</v>
      </c>
      <c r="G2276" s="24" t="n">
        <f aca="false">IF(E2276&gt;0,D2276/E2276-1,"")</f>
        <v>0.149117380793219</v>
      </c>
      <c r="H2276" s="3" t="str">
        <f aca="false">IF(MAX(D2276,E2276)&lt;Parametros!$B$16,"",IF(E2276=0,"PIDE SIN FCST",IF(ABS(G2276)&gt;Parametros!$B$14,IF(G2276&gt;0,"SOBRE FCST","BAJO FCST"),"")))</f>
        <v/>
      </c>
    </row>
    <row r="2277" customFormat="false" ht="15" hidden="false" customHeight="false" outlineLevel="0" collapsed="false">
      <c r="A2277" s="3" t="n">
        <v>30002330</v>
      </c>
      <c r="B2277" s="3" t="s">
        <v>275</v>
      </c>
      <c r="C2277" s="3" t="s">
        <v>1378</v>
      </c>
      <c r="D2277" s="23" t="n">
        <v>2220</v>
      </c>
      <c r="E2277" s="23" t="n">
        <v>2252</v>
      </c>
      <c r="F2277" s="23" t="n">
        <f aca="false">D2277-E2277</f>
        <v>-32</v>
      </c>
      <c r="G2277" s="24" t="n">
        <f aca="false">IF(E2277&gt;0,D2277/E2277-1,"")</f>
        <v>-0.0142095914742452</v>
      </c>
      <c r="H2277" s="3" t="str">
        <f aca="false">IF(MAX(D2277,E2277)&lt;Parametros!$B$16,"",IF(E2277=0,"PIDE SIN FCST",IF(ABS(G2277)&gt;Parametros!$B$14,IF(G2277&gt;0,"SOBRE FCST","BAJO FCST"),"")))</f>
        <v/>
      </c>
    </row>
    <row r="2278" customFormat="false" ht="15" hidden="false" customHeight="false" outlineLevel="0" collapsed="false">
      <c r="A2278" s="3" t="n">
        <v>30001363</v>
      </c>
      <c r="B2278" s="3" t="s">
        <v>621</v>
      </c>
      <c r="C2278" s="3" t="s">
        <v>1373</v>
      </c>
      <c r="D2278" s="23" t="n">
        <v>488.52</v>
      </c>
      <c r="E2278" s="23" t="n">
        <v>520</v>
      </c>
      <c r="F2278" s="23" t="n">
        <f aca="false">D2278-E2278</f>
        <v>-31.48</v>
      </c>
      <c r="G2278" s="24" t="n">
        <f aca="false">IF(E2278&gt;0,D2278/E2278-1,"")</f>
        <v>-0.0605384615384615</v>
      </c>
      <c r="H2278" s="3" t="str">
        <f aca="false">IF(MAX(D2278,E2278)&lt;Parametros!$B$16,"",IF(E2278=0,"PIDE SIN FCST",IF(ABS(G2278)&gt;Parametros!$B$14,IF(G2278&gt;0,"SOBRE FCST","BAJO FCST"),"")))</f>
        <v/>
      </c>
    </row>
    <row r="2279" customFormat="false" ht="15" hidden="false" customHeight="false" outlineLevel="0" collapsed="false">
      <c r="A2279" s="3" t="n">
        <v>30002184</v>
      </c>
      <c r="B2279" s="3" t="s">
        <v>379</v>
      </c>
      <c r="C2279" s="3" t="s">
        <v>1373</v>
      </c>
      <c r="D2279" s="23" t="n">
        <v>163.2</v>
      </c>
      <c r="E2279" s="23" t="n">
        <v>193.722867628022</v>
      </c>
      <c r="F2279" s="23" t="n">
        <f aca="false">D2279-E2279</f>
        <v>-30.5228676280219</v>
      </c>
      <c r="G2279" s="24" t="n">
        <f aca="false">IF(E2279&gt;0,D2279/E2279-1,"")</f>
        <v>-0.157559445623273</v>
      </c>
      <c r="H2279" s="3" t="str">
        <f aca="false">IF(MAX(D2279,E2279)&lt;Parametros!$B$16,"",IF(E2279=0,"PIDE SIN FCST",IF(ABS(G2279)&gt;Parametros!$B$14,IF(G2279&gt;0,"SOBRE FCST","BAJO FCST"),"")))</f>
        <v/>
      </c>
    </row>
    <row r="2280" customFormat="false" ht="15" hidden="false" customHeight="false" outlineLevel="0" collapsed="false">
      <c r="A2280" s="3" t="n">
        <v>30001479</v>
      </c>
      <c r="B2280" s="3" t="s">
        <v>589</v>
      </c>
      <c r="C2280" s="3" t="s">
        <v>1377</v>
      </c>
      <c r="D2280" s="23" t="n">
        <v>119.88</v>
      </c>
      <c r="E2280" s="23" t="n">
        <v>150</v>
      </c>
      <c r="F2280" s="23" t="n">
        <f aca="false">D2280-E2280</f>
        <v>-30.12</v>
      </c>
      <c r="G2280" s="24" t="n">
        <f aca="false">IF(E2280&gt;0,D2280/E2280-1,"")</f>
        <v>-0.2008</v>
      </c>
      <c r="H2280" s="3" t="str">
        <f aca="false">IF(MAX(D2280,E2280)&lt;Parametros!$B$16,"",IF(E2280=0,"PIDE SIN FCST",IF(ABS(G2280)&gt;Parametros!$B$14,IF(G2280&gt;0,"SOBRE FCST","BAJO FCST"),"")))</f>
        <v/>
      </c>
    </row>
    <row r="2281" customFormat="false" ht="15" hidden="false" customHeight="false" outlineLevel="0" collapsed="false">
      <c r="A2281" s="3" t="n">
        <v>30002170</v>
      </c>
      <c r="B2281" s="3" t="s">
        <v>561</v>
      </c>
      <c r="C2281" s="3" t="s">
        <v>1377</v>
      </c>
      <c r="D2281" s="23" t="n">
        <v>259.2</v>
      </c>
      <c r="E2281" s="23" t="n">
        <v>289.011545206308</v>
      </c>
      <c r="F2281" s="23" t="n">
        <f aca="false">D2281-E2281</f>
        <v>-29.8115452063077</v>
      </c>
      <c r="G2281" s="24" t="n">
        <f aca="false">IF(E2281&gt;0,D2281/E2281-1,"")</f>
        <v>-0.103150014941538</v>
      </c>
      <c r="H2281" s="3" t="str">
        <f aca="false">IF(MAX(D2281,E2281)&lt;Parametros!$B$16,"",IF(E2281=0,"PIDE SIN FCST",IF(ABS(G2281)&gt;Parametros!$B$14,IF(G2281&gt;0,"SOBRE FCST","BAJO FCST"),"")))</f>
        <v/>
      </c>
    </row>
    <row r="2282" customFormat="false" ht="15" hidden="false" customHeight="false" outlineLevel="0" collapsed="false">
      <c r="A2282" s="3" t="n">
        <v>30002077</v>
      </c>
      <c r="B2282" s="3" t="s">
        <v>364</v>
      </c>
      <c r="C2282" s="3" t="s">
        <v>1373</v>
      </c>
      <c r="D2282" s="23" t="n">
        <v>1344</v>
      </c>
      <c r="E2282" s="23" t="n">
        <v>1373.76</v>
      </c>
      <c r="F2282" s="23" t="n">
        <f aca="false">D2282-E2282</f>
        <v>-29.76</v>
      </c>
      <c r="G2282" s="24" t="n">
        <f aca="false">IF(E2282&gt;0,D2282/E2282-1,"")</f>
        <v>-0.0216631726065688</v>
      </c>
      <c r="H2282" s="3" t="str">
        <f aca="false">IF(MAX(D2282,E2282)&lt;Parametros!$B$16,"",IF(E2282=0,"PIDE SIN FCST",IF(ABS(G2282)&gt;Parametros!$B$14,IF(G2282&gt;0,"SOBRE FCST","BAJO FCST"),"")))</f>
        <v/>
      </c>
    </row>
    <row r="2283" customFormat="false" ht="15" hidden="false" customHeight="false" outlineLevel="0" collapsed="false">
      <c r="A2283" s="3" t="n">
        <v>30001816</v>
      </c>
      <c r="B2283" s="3" t="s">
        <v>421</v>
      </c>
      <c r="C2283" s="3" t="s">
        <v>1373</v>
      </c>
      <c r="D2283" s="23" t="n">
        <v>868.32</v>
      </c>
      <c r="E2283" s="23" t="n">
        <v>838.808815717086</v>
      </c>
      <c r="F2283" s="23" t="n">
        <f aca="false">D2283-E2283</f>
        <v>29.5111842829142</v>
      </c>
      <c r="G2283" s="24" t="n">
        <f aca="false">IF(E2283&gt;0,D2283/E2283-1,"")</f>
        <v>0.0351822533692443</v>
      </c>
      <c r="H2283" s="3" t="str">
        <f aca="false">IF(MAX(D2283,E2283)&lt;Parametros!$B$16,"",IF(E2283=0,"PIDE SIN FCST",IF(ABS(G2283)&gt;Parametros!$B$14,IF(G2283&gt;0,"SOBRE FCST","BAJO FCST"),"")))</f>
        <v/>
      </c>
    </row>
    <row r="2284" customFormat="false" ht="15" hidden="false" customHeight="false" outlineLevel="0" collapsed="false">
      <c r="A2284" s="3" t="n">
        <v>30000334</v>
      </c>
      <c r="B2284" s="3" t="s">
        <v>447</v>
      </c>
      <c r="C2284" s="3" t="s">
        <v>1379</v>
      </c>
      <c r="D2284" s="23" t="n">
        <v>0</v>
      </c>
      <c r="E2284" s="23" t="n">
        <v>29.28</v>
      </c>
      <c r="F2284" s="23" t="n">
        <f aca="false">D2284-E2284</f>
        <v>-29.28</v>
      </c>
      <c r="G2284" s="24" t="n">
        <f aca="false">IF(E2284&gt;0,D2284/E2284-1,"")</f>
        <v>-1</v>
      </c>
      <c r="H2284" s="3" t="str">
        <f aca="false">IF(MAX(D2284,E2284)&lt;Parametros!$B$16,"",IF(E2284=0,"PIDE SIN FCST",IF(ABS(G2284)&gt;Parametros!$B$14,IF(G2284&gt;0,"SOBRE FCST","BAJO FCST"),"")))</f>
        <v/>
      </c>
    </row>
    <row r="2285" customFormat="false" ht="15" hidden="false" customHeight="false" outlineLevel="0" collapsed="false">
      <c r="A2285" s="3" t="n">
        <v>30000640</v>
      </c>
      <c r="B2285" s="3" t="s">
        <v>606</v>
      </c>
      <c r="C2285" s="3" t="s">
        <v>1377</v>
      </c>
      <c r="D2285" s="23" t="n">
        <v>224.96</v>
      </c>
      <c r="E2285" s="23" t="n">
        <v>195.92</v>
      </c>
      <c r="F2285" s="23" t="n">
        <f aca="false">D2285-E2285</f>
        <v>29.04</v>
      </c>
      <c r="G2285" s="24" t="n">
        <f aca="false">IF(E2285&gt;0,D2285/E2285-1,"")</f>
        <v>0.14822376480196</v>
      </c>
      <c r="H2285" s="3" t="str">
        <f aca="false">IF(MAX(D2285,E2285)&lt;Parametros!$B$16,"",IF(E2285=0,"PIDE SIN FCST",IF(ABS(G2285)&gt;Parametros!$B$14,IF(G2285&gt;0,"SOBRE FCST","BAJO FCST"),"")))</f>
        <v/>
      </c>
    </row>
    <row r="2286" customFormat="false" ht="15" hidden="false" customHeight="false" outlineLevel="0" collapsed="false">
      <c r="A2286" s="3" t="n">
        <v>30000542</v>
      </c>
      <c r="B2286" s="3" t="s">
        <v>616</v>
      </c>
      <c r="C2286" s="3" t="s">
        <v>1375</v>
      </c>
      <c r="D2286" s="23" t="n">
        <v>269.5</v>
      </c>
      <c r="E2286" s="23" t="n">
        <v>298</v>
      </c>
      <c r="F2286" s="23" t="n">
        <f aca="false">D2286-E2286</f>
        <v>-28.5</v>
      </c>
      <c r="G2286" s="24" t="n">
        <f aca="false">IF(E2286&gt;0,D2286/E2286-1,"")</f>
        <v>-0.0956375838926175</v>
      </c>
      <c r="H2286" s="3" t="str">
        <f aca="false">IF(MAX(D2286,E2286)&lt;Parametros!$B$16,"",IF(E2286=0,"PIDE SIN FCST",IF(ABS(G2286)&gt;Parametros!$B$14,IF(G2286&gt;0,"SOBRE FCST","BAJO FCST"),"")))</f>
        <v/>
      </c>
    </row>
    <row r="2287" customFormat="false" ht="15" hidden="false" customHeight="false" outlineLevel="0" collapsed="false">
      <c r="A2287" s="3" t="n">
        <v>30000630</v>
      </c>
      <c r="B2287" s="3" t="s">
        <v>356</v>
      </c>
      <c r="C2287" s="3" t="s">
        <v>1377</v>
      </c>
      <c r="D2287" s="23" t="n">
        <v>451.52</v>
      </c>
      <c r="E2287" s="23" t="n">
        <v>480</v>
      </c>
      <c r="F2287" s="23" t="n">
        <f aca="false">D2287-E2287</f>
        <v>-28.48</v>
      </c>
      <c r="G2287" s="24" t="n">
        <f aca="false">IF(E2287&gt;0,D2287/E2287-1,"")</f>
        <v>-0.0593333333333334</v>
      </c>
      <c r="H2287" s="3" t="str">
        <f aca="false">IF(MAX(D2287,E2287)&lt;Parametros!$B$16,"",IF(E2287=0,"PIDE SIN FCST",IF(ABS(G2287)&gt;Parametros!$B$14,IF(G2287&gt;0,"SOBRE FCST","BAJO FCST"),"")))</f>
        <v/>
      </c>
    </row>
    <row r="2288" customFormat="false" ht="15" hidden="false" customHeight="false" outlineLevel="0" collapsed="false">
      <c r="A2288" s="3" t="n">
        <v>30001363</v>
      </c>
      <c r="B2288" s="3" t="s">
        <v>621</v>
      </c>
      <c r="C2288" s="3" t="s">
        <v>1377</v>
      </c>
      <c r="D2288" s="23" t="n">
        <v>168.36</v>
      </c>
      <c r="E2288" s="23" t="n">
        <v>140</v>
      </c>
      <c r="F2288" s="23" t="n">
        <f aca="false">D2288-E2288</f>
        <v>28.36</v>
      </c>
      <c r="G2288" s="24" t="n">
        <f aca="false">IF(E2288&gt;0,D2288/E2288-1,"")</f>
        <v>0.202571428571429</v>
      </c>
      <c r="H2288" s="3" t="str">
        <f aca="false">IF(MAX(D2288,E2288)&lt;Parametros!$B$16,"",IF(E2288=0,"PIDE SIN FCST",IF(ABS(G2288)&gt;Parametros!$B$14,IF(G2288&gt;0,"SOBRE FCST","BAJO FCST"),"")))</f>
        <v/>
      </c>
    </row>
    <row r="2289" customFormat="false" ht="15" hidden="false" customHeight="false" outlineLevel="0" collapsed="false">
      <c r="A2289" s="3" t="n">
        <v>30000383</v>
      </c>
      <c r="B2289" s="3" t="s">
        <v>578</v>
      </c>
      <c r="C2289" s="3" t="s">
        <v>1377</v>
      </c>
      <c r="D2289" s="23" t="n">
        <v>252</v>
      </c>
      <c r="E2289" s="23" t="n">
        <v>280.348620715356</v>
      </c>
      <c r="F2289" s="23" t="n">
        <f aca="false">D2289-E2289</f>
        <v>-28.3486207153561</v>
      </c>
      <c r="G2289" s="24" t="n">
        <f aca="false">IF(E2289&gt;0,D2289/E2289-1,"")</f>
        <v>-0.101119173131724</v>
      </c>
      <c r="H2289" s="3" t="str">
        <f aca="false">IF(MAX(D2289,E2289)&lt;Parametros!$B$16,"",IF(E2289=0,"PIDE SIN FCST",IF(ABS(G2289)&gt;Parametros!$B$14,IF(G2289&gt;0,"SOBRE FCST","BAJO FCST"),"")))</f>
        <v/>
      </c>
    </row>
    <row r="2290" customFormat="false" ht="15" hidden="false" customHeight="false" outlineLevel="0" collapsed="false">
      <c r="A2290" s="3" t="n">
        <v>30000560</v>
      </c>
      <c r="B2290" s="3" t="s">
        <v>384</v>
      </c>
      <c r="C2290" s="3" t="s">
        <v>1377</v>
      </c>
      <c r="D2290" s="23" t="n">
        <v>403.2</v>
      </c>
      <c r="E2290" s="23" t="n">
        <v>431.287532747868</v>
      </c>
      <c r="F2290" s="23" t="n">
        <f aca="false">D2290-E2290</f>
        <v>-28.0875327478682</v>
      </c>
      <c r="G2290" s="24" t="n">
        <f aca="false">IF(E2290&gt;0,D2290/E2290-1,"")</f>
        <v>-0.0651248427444998</v>
      </c>
      <c r="H2290" s="3" t="str">
        <f aca="false">IF(MAX(D2290,E2290)&lt;Parametros!$B$16,"",IF(E2290=0,"PIDE SIN FCST",IF(ABS(G2290)&gt;Parametros!$B$14,IF(G2290&gt;0,"SOBRE FCST","BAJO FCST"),"")))</f>
        <v/>
      </c>
    </row>
    <row r="2291" customFormat="false" ht="15" hidden="false" customHeight="false" outlineLevel="0" collapsed="false">
      <c r="A2291" s="3" t="n">
        <v>30001020</v>
      </c>
      <c r="B2291" s="3" t="s">
        <v>461</v>
      </c>
      <c r="C2291" s="3" t="s">
        <v>1376</v>
      </c>
      <c r="D2291" s="23" t="n">
        <v>27.6</v>
      </c>
      <c r="E2291" s="23" t="n">
        <v>0</v>
      </c>
      <c r="F2291" s="23" t="n">
        <f aca="false">D2291-E2291</f>
        <v>27.6</v>
      </c>
      <c r="G2291" s="24" t="str">
        <f aca="false">IF(E2291&gt;0,D2291/E2291-1,"")</f>
        <v/>
      </c>
      <c r="H2291" s="3" t="str">
        <f aca="false">IF(MAX(D2291,E2291)&lt;Parametros!$B$16,"",IF(E2291=0,"PIDE SIN FCST",IF(ABS(G2291)&gt;Parametros!$B$14,IF(G2291&gt;0,"SOBRE FCST","BAJO FCST"),"")))</f>
        <v/>
      </c>
    </row>
    <row r="2292" customFormat="false" ht="15" hidden="false" customHeight="false" outlineLevel="0" collapsed="false">
      <c r="A2292" s="3" t="n">
        <v>30001711</v>
      </c>
      <c r="B2292" s="3" t="s">
        <v>309</v>
      </c>
      <c r="C2292" s="3" t="s">
        <v>1373</v>
      </c>
      <c r="D2292" s="23" t="n">
        <v>1276.8</v>
      </c>
      <c r="E2292" s="23" t="n">
        <v>1250.55401777528</v>
      </c>
      <c r="F2292" s="23" t="n">
        <f aca="false">D2292-E2292</f>
        <v>26.245982224724</v>
      </c>
      <c r="G2292" s="24" t="n">
        <f aca="false">IF(E2292&gt;0,D2292/E2292-1,"")</f>
        <v>0.0209874838284998</v>
      </c>
      <c r="H2292" s="3" t="str">
        <f aca="false">IF(MAX(D2292,E2292)&lt;Parametros!$B$16,"",IF(E2292=0,"PIDE SIN FCST",IF(ABS(G2292)&gt;Parametros!$B$14,IF(G2292&gt;0,"SOBRE FCST","BAJO FCST"),"")))</f>
        <v/>
      </c>
    </row>
    <row r="2293" customFormat="false" ht="15" hidden="false" customHeight="false" outlineLevel="0" collapsed="false">
      <c r="A2293" s="3" t="n">
        <v>30001946</v>
      </c>
      <c r="B2293" s="3" t="s">
        <v>400</v>
      </c>
      <c r="C2293" s="3" t="s">
        <v>1379</v>
      </c>
      <c r="D2293" s="23" t="n">
        <v>1526.4</v>
      </c>
      <c r="E2293" s="23" t="n">
        <v>1552.63511789233</v>
      </c>
      <c r="F2293" s="23" t="n">
        <f aca="false">D2293-E2293</f>
        <v>-26.2351178923259</v>
      </c>
      <c r="G2293" s="24" t="n">
        <f aca="false">IF(E2293&gt;0,D2293/E2293-1,"")</f>
        <v>-0.0168971560606845</v>
      </c>
      <c r="H2293" s="3" t="str">
        <f aca="false">IF(MAX(D2293,E2293)&lt;Parametros!$B$16,"",IF(E2293=0,"PIDE SIN FCST",IF(ABS(G2293)&gt;Parametros!$B$14,IF(G2293&gt;0,"SOBRE FCST","BAJO FCST"),"")))</f>
        <v/>
      </c>
    </row>
    <row r="2294" customFormat="false" ht="15" hidden="false" customHeight="false" outlineLevel="0" collapsed="false">
      <c r="A2294" s="3" t="n">
        <v>30002087</v>
      </c>
      <c r="B2294" s="3" t="s">
        <v>595</v>
      </c>
      <c r="C2294" s="3" t="s">
        <v>1378</v>
      </c>
      <c r="D2294" s="23" t="n">
        <v>97.44</v>
      </c>
      <c r="E2294" s="23" t="n">
        <v>122.298332301731</v>
      </c>
      <c r="F2294" s="23" t="n">
        <f aca="false">D2294-E2294</f>
        <v>-24.8583323017306</v>
      </c>
      <c r="G2294" s="24" t="n">
        <f aca="false">IF(E2294&gt;0,D2294/E2294-1,"")</f>
        <v>-0.203259781502179</v>
      </c>
      <c r="H2294" s="3" t="str">
        <f aca="false">IF(MAX(D2294,E2294)&lt;Parametros!$B$16,"",IF(E2294=0,"PIDE SIN FCST",IF(ABS(G2294)&gt;Parametros!$B$14,IF(G2294&gt;0,"SOBRE FCST","BAJO FCST"),"")))</f>
        <v/>
      </c>
    </row>
    <row r="2295" customFormat="false" ht="15" hidden="false" customHeight="false" outlineLevel="0" collapsed="false">
      <c r="A2295" s="3" t="n">
        <v>30001764</v>
      </c>
      <c r="B2295" s="3" t="s">
        <v>390</v>
      </c>
      <c r="C2295" s="3" t="s">
        <v>1372</v>
      </c>
      <c r="D2295" s="23" t="n">
        <v>3542.4</v>
      </c>
      <c r="E2295" s="23" t="n">
        <v>3567</v>
      </c>
      <c r="F2295" s="23" t="n">
        <f aca="false">D2295-E2295</f>
        <v>-24.5999999999999</v>
      </c>
      <c r="G2295" s="24" t="n">
        <f aca="false">IF(E2295&gt;0,D2295/E2295-1,"")</f>
        <v>-0.00689655172413795</v>
      </c>
      <c r="H2295" s="3" t="str">
        <f aca="false">IF(MAX(D2295,E2295)&lt;Parametros!$B$16,"",IF(E2295=0,"PIDE SIN FCST",IF(ABS(G2295)&gt;Parametros!$B$14,IF(G2295&gt;0,"SOBRE FCST","BAJO FCST"),"")))</f>
        <v/>
      </c>
    </row>
    <row r="2296" customFormat="false" ht="15" hidden="false" customHeight="false" outlineLevel="0" collapsed="false">
      <c r="A2296" s="3" t="n">
        <v>30000641</v>
      </c>
      <c r="B2296" s="3" t="s">
        <v>524</v>
      </c>
      <c r="C2296" s="3" t="s">
        <v>1377</v>
      </c>
      <c r="D2296" s="23" t="n">
        <v>115.52</v>
      </c>
      <c r="E2296" s="23" t="n">
        <v>140</v>
      </c>
      <c r="F2296" s="23" t="n">
        <f aca="false">D2296-E2296</f>
        <v>-24.48</v>
      </c>
      <c r="G2296" s="24" t="n">
        <f aca="false">IF(E2296&gt;0,D2296/E2296-1,"")</f>
        <v>-0.174857142857143</v>
      </c>
      <c r="H2296" s="3" t="str">
        <f aca="false">IF(MAX(D2296,E2296)&lt;Parametros!$B$16,"",IF(E2296=0,"PIDE SIN FCST",IF(ABS(G2296)&gt;Parametros!$B$14,IF(G2296&gt;0,"SOBRE FCST","BAJO FCST"),"")))</f>
        <v/>
      </c>
    </row>
    <row r="2297" customFormat="false" ht="15" hidden="false" customHeight="false" outlineLevel="0" collapsed="false">
      <c r="A2297" s="3" t="n">
        <v>30001992</v>
      </c>
      <c r="B2297" s="3" t="s">
        <v>490</v>
      </c>
      <c r="C2297" s="3" t="s">
        <v>1377</v>
      </c>
      <c r="D2297" s="23" t="n">
        <v>468</v>
      </c>
      <c r="E2297" s="23" t="n">
        <v>443.57444716831</v>
      </c>
      <c r="F2297" s="23" t="n">
        <f aca="false">D2297-E2297</f>
        <v>24.4255528316905</v>
      </c>
      <c r="G2297" s="24" t="n">
        <f aca="false">IF(E2297&gt;0,D2297/E2297-1,"")</f>
        <v>0.0550652838269163</v>
      </c>
      <c r="H2297" s="3" t="str">
        <f aca="false">IF(MAX(D2297,E2297)&lt;Parametros!$B$16,"",IF(E2297=0,"PIDE SIN FCST",IF(ABS(G2297)&gt;Parametros!$B$14,IF(G2297&gt;0,"SOBRE FCST","BAJO FCST"),"")))</f>
        <v/>
      </c>
    </row>
    <row r="2298" customFormat="false" ht="15" hidden="false" customHeight="false" outlineLevel="0" collapsed="false">
      <c r="A2298" s="3" t="n">
        <v>30002164</v>
      </c>
      <c r="B2298" s="3" t="s">
        <v>632</v>
      </c>
      <c r="C2298" s="3" t="s">
        <v>1373</v>
      </c>
      <c r="D2298" s="23" t="n">
        <v>67.2</v>
      </c>
      <c r="E2298" s="23" t="n">
        <v>43.1287532747868</v>
      </c>
      <c r="F2298" s="23" t="n">
        <f aca="false">D2298-E2298</f>
        <v>24.0712467252132</v>
      </c>
      <c r="G2298" s="24" t="n">
        <f aca="false">IF(E2298&gt;0,D2298/E2298-1,"")</f>
        <v>0.5581252620925</v>
      </c>
      <c r="H2298" s="3" t="str">
        <f aca="false">IF(MAX(D2298,E2298)&lt;Parametros!$B$16,"",IF(E2298=0,"PIDE SIN FCST",IF(ABS(G2298)&gt;Parametros!$B$14,IF(G2298&gt;0,"SOBRE FCST","BAJO FCST"),"")))</f>
        <v/>
      </c>
    </row>
    <row r="2299" customFormat="false" ht="15" hidden="false" customHeight="false" outlineLevel="0" collapsed="false">
      <c r="A2299" s="3" t="n">
        <v>30000089</v>
      </c>
      <c r="B2299" s="3" t="s">
        <v>467</v>
      </c>
      <c r="C2299" s="3" t="s">
        <v>1375</v>
      </c>
      <c r="D2299" s="23" t="n">
        <v>24</v>
      </c>
      <c r="E2299" s="23" t="n">
        <v>0</v>
      </c>
      <c r="F2299" s="23" t="n">
        <f aca="false">D2299-E2299</f>
        <v>24</v>
      </c>
      <c r="G2299" s="24" t="str">
        <f aca="false">IF(E2299&gt;0,D2299/E2299-1,"")</f>
        <v/>
      </c>
      <c r="H2299" s="3" t="str">
        <f aca="false">IF(MAX(D2299,E2299)&lt;Parametros!$B$16,"",IF(E2299=0,"PIDE SIN FCST",IF(ABS(G2299)&gt;Parametros!$B$14,IF(G2299&gt;0,"SOBRE FCST","BAJO FCST"),"")))</f>
        <v/>
      </c>
    </row>
    <row r="2300" customFormat="false" ht="15" hidden="false" customHeight="false" outlineLevel="0" collapsed="false">
      <c r="A2300" s="3" t="n">
        <v>30000653</v>
      </c>
      <c r="B2300" s="3" t="s">
        <v>596</v>
      </c>
      <c r="C2300" s="3" t="s">
        <v>1377</v>
      </c>
      <c r="D2300" s="23" t="n">
        <v>176.32</v>
      </c>
      <c r="E2300" s="23" t="n">
        <v>200</v>
      </c>
      <c r="F2300" s="23" t="n">
        <f aca="false">D2300-E2300</f>
        <v>-23.68</v>
      </c>
      <c r="G2300" s="24" t="n">
        <f aca="false">IF(E2300&gt;0,D2300/E2300-1,"")</f>
        <v>-0.1184</v>
      </c>
      <c r="H2300" s="3" t="str">
        <f aca="false">IF(MAX(D2300,E2300)&lt;Parametros!$B$16,"",IF(E2300=0,"PIDE SIN FCST",IF(ABS(G2300)&gt;Parametros!$B$14,IF(G2300&gt;0,"SOBRE FCST","BAJO FCST"),"")))</f>
        <v/>
      </c>
    </row>
    <row r="2301" customFormat="false" ht="15" hidden="false" customHeight="false" outlineLevel="0" collapsed="false">
      <c r="A2301" s="3" t="n">
        <v>30002291</v>
      </c>
      <c r="B2301" s="3" t="s">
        <v>483</v>
      </c>
      <c r="C2301" s="3" t="s">
        <v>1380</v>
      </c>
      <c r="D2301" s="23" t="n">
        <v>976.5</v>
      </c>
      <c r="E2301" s="23" t="n">
        <v>1000</v>
      </c>
      <c r="F2301" s="23" t="n">
        <f aca="false">D2301-E2301</f>
        <v>-23.5</v>
      </c>
      <c r="G2301" s="24" t="n">
        <f aca="false">IF(E2301&gt;0,D2301/E2301-1,"")</f>
        <v>-0.0235</v>
      </c>
      <c r="H2301" s="3" t="str">
        <f aca="false">IF(MAX(D2301,E2301)&lt;Parametros!$B$16,"",IF(E2301=0,"PIDE SIN FCST",IF(ABS(G2301)&gt;Parametros!$B$14,IF(G2301&gt;0,"SOBRE FCST","BAJO FCST"),"")))</f>
        <v/>
      </c>
    </row>
    <row r="2302" customFormat="false" ht="15" hidden="false" customHeight="false" outlineLevel="0" collapsed="false">
      <c r="A2302" s="3" t="n">
        <v>30000628</v>
      </c>
      <c r="B2302" s="3" t="s">
        <v>574</v>
      </c>
      <c r="C2302" s="3" t="s">
        <v>1375</v>
      </c>
      <c r="D2302" s="23" t="n">
        <v>772.48</v>
      </c>
      <c r="E2302" s="23" t="n">
        <v>750</v>
      </c>
      <c r="F2302" s="23" t="n">
        <f aca="false">D2302-E2302</f>
        <v>22.48</v>
      </c>
      <c r="G2302" s="24" t="n">
        <f aca="false">IF(E2302&gt;0,D2302/E2302-1,"")</f>
        <v>0.0299733333333334</v>
      </c>
      <c r="H2302" s="3" t="str">
        <f aca="false">IF(MAX(D2302,E2302)&lt;Parametros!$B$16,"",IF(E2302=0,"PIDE SIN FCST",IF(ABS(G2302)&gt;Parametros!$B$14,IF(G2302&gt;0,"SOBRE FCST","BAJO FCST"),"")))</f>
        <v/>
      </c>
    </row>
    <row r="2303" customFormat="false" ht="15" hidden="false" customHeight="false" outlineLevel="0" collapsed="false">
      <c r="A2303" s="3" t="n">
        <v>30000641</v>
      </c>
      <c r="B2303" s="3" t="s">
        <v>524</v>
      </c>
      <c r="C2303" s="3" t="s">
        <v>1373</v>
      </c>
      <c r="D2303" s="23" t="n">
        <v>942.4</v>
      </c>
      <c r="E2303" s="23" t="n">
        <v>920</v>
      </c>
      <c r="F2303" s="23" t="n">
        <f aca="false">D2303-E2303</f>
        <v>22.4</v>
      </c>
      <c r="G2303" s="24" t="n">
        <f aca="false">IF(E2303&gt;0,D2303/E2303-1,"")</f>
        <v>0.0243478260869565</v>
      </c>
      <c r="H2303" s="3" t="str">
        <f aca="false">IF(MAX(D2303,E2303)&lt;Parametros!$B$16,"",IF(E2303=0,"PIDE SIN FCST",IF(ABS(G2303)&gt;Parametros!$B$14,IF(G2303&gt;0,"SOBRE FCST","BAJO FCST"),"")))</f>
        <v/>
      </c>
    </row>
    <row r="2304" customFormat="false" ht="15" hidden="false" customHeight="false" outlineLevel="0" collapsed="false">
      <c r="A2304" s="3" t="n">
        <v>30000057</v>
      </c>
      <c r="B2304" s="3" t="s">
        <v>554</v>
      </c>
      <c r="C2304" s="3" t="s">
        <v>1376</v>
      </c>
      <c r="D2304" s="23" t="n">
        <v>222</v>
      </c>
      <c r="E2304" s="23" t="n">
        <v>200</v>
      </c>
      <c r="F2304" s="23" t="n">
        <f aca="false">D2304-E2304</f>
        <v>22</v>
      </c>
      <c r="G2304" s="24" t="n">
        <f aca="false">IF(E2304&gt;0,D2304/E2304-1,"")</f>
        <v>0.11</v>
      </c>
      <c r="H2304" s="3" t="str">
        <f aca="false">IF(MAX(D2304,E2304)&lt;Parametros!$B$16,"",IF(E2304=0,"PIDE SIN FCST",IF(ABS(G2304)&gt;Parametros!$B$14,IF(G2304&gt;0,"SOBRE FCST","BAJO FCST"),"")))</f>
        <v/>
      </c>
    </row>
    <row r="2305" customFormat="false" ht="15" hidden="false" customHeight="false" outlineLevel="0" collapsed="false">
      <c r="A2305" s="3" t="n">
        <v>30000668</v>
      </c>
      <c r="B2305" s="3" t="s">
        <v>280</v>
      </c>
      <c r="C2305" s="3" t="s">
        <v>1376</v>
      </c>
      <c r="D2305" s="23" t="n">
        <v>18.24</v>
      </c>
      <c r="E2305" s="23" t="n">
        <v>40</v>
      </c>
      <c r="F2305" s="23" t="n">
        <f aca="false">D2305-E2305</f>
        <v>-21.76</v>
      </c>
      <c r="G2305" s="24" t="n">
        <f aca="false">IF(E2305&gt;0,D2305/E2305-1,"")</f>
        <v>-0.544</v>
      </c>
      <c r="H2305" s="3" t="str">
        <f aca="false">IF(MAX(D2305,E2305)&lt;Parametros!$B$16,"",IF(E2305=0,"PIDE SIN FCST",IF(ABS(G2305)&gt;Parametros!$B$14,IF(G2305&gt;0,"SOBRE FCST","BAJO FCST"),"")))</f>
        <v/>
      </c>
    </row>
    <row r="2306" customFormat="false" ht="15" hidden="false" customHeight="false" outlineLevel="0" collapsed="false">
      <c r="A2306" s="3" t="n">
        <v>30002091</v>
      </c>
      <c r="B2306" s="3" t="s">
        <v>325</v>
      </c>
      <c r="C2306" s="3" t="s">
        <v>1376</v>
      </c>
      <c r="D2306" s="23" t="n">
        <v>21.6</v>
      </c>
      <c r="E2306" s="23" t="n">
        <v>0</v>
      </c>
      <c r="F2306" s="23" t="n">
        <f aca="false">D2306-E2306</f>
        <v>21.6</v>
      </c>
      <c r="G2306" s="24" t="str">
        <f aca="false">IF(E2306&gt;0,D2306/E2306-1,"")</f>
        <v/>
      </c>
      <c r="H2306" s="3" t="str">
        <f aca="false">IF(MAX(D2306,E2306)&lt;Parametros!$B$16,"",IF(E2306=0,"PIDE SIN FCST",IF(ABS(G2306)&gt;Parametros!$B$14,IF(G2306&gt;0,"SOBRE FCST","BAJO FCST"),"")))</f>
        <v/>
      </c>
    </row>
    <row r="2307" customFormat="false" ht="15" hidden="false" customHeight="false" outlineLevel="0" collapsed="false">
      <c r="A2307" s="3" t="n">
        <v>30001341</v>
      </c>
      <c r="B2307" s="3" t="s">
        <v>540</v>
      </c>
      <c r="C2307" s="3" t="s">
        <v>1375</v>
      </c>
      <c r="D2307" s="23" t="n">
        <v>21.6</v>
      </c>
      <c r="E2307" s="23" t="n">
        <v>0</v>
      </c>
      <c r="F2307" s="23" t="n">
        <f aca="false">D2307-E2307</f>
        <v>21.6</v>
      </c>
      <c r="G2307" s="24" t="str">
        <f aca="false">IF(E2307&gt;0,D2307/E2307-1,"")</f>
        <v/>
      </c>
      <c r="H2307" s="3" t="str">
        <f aca="false">IF(MAX(D2307,E2307)&lt;Parametros!$B$16,"",IF(E2307=0,"PIDE SIN FCST",IF(ABS(G2307)&gt;Parametros!$B$14,IF(G2307&gt;0,"SOBRE FCST","BAJO FCST"),"")))</f>
        <v/>
      </c>
    </row>
    <row r="2308" customFormat="false" ht="15" hidden="false" customHeight="false" outlineLevel="0" collapsed="false">
      <c r="A2308" s="3" t="n">
        <v>30000043</v>
      </c>
      <c r="B2308" s="3" t="s">
        <v>546</v>
      </c>
      <c r="C2308" s="3" t="s">
        <v>1375</v>
      </c>
      <c r="D2308" s="23" t="n">
        <v>1920.96</v>
      </c>
      <c r="E2308" s="23" t="n">
        <v>1900</v>
      </c>
      <c r="F2308" s="23" t="n">
        <f aca="false">D2308-E2308</f>
        <v>20.96</v>
      </c>
      <c r="G2308" s="24" t="n">
        <f aca="false">IF(E2308&gt;0,D2308/E2308-1,"")</f>
        <v>0.0110315789473685</v>
      </c>
      <c r="H2308" s="3" t="str">
        <f aca="false">IF(MAX(D2308,E2308)&lt;Parametros!$B$16,"",IF(E2308=0,"PIDE SIN FCST",IF(ABS(G2308)&gt;Parametros!$B$14,IF(G2308&gt;0,"SOBRE FCST","BAJO FCST"),"")))</f>
        <v/>
      </c>
    </row>
    <row r="2309" customFormat="false" ht="15" hidden="false" customHeight="false" outlineLevel="0" collapsed="false">
      <c r="A2309" s="3" t="n">
        <v>30000660</v>
      </c>
      <c r="B2309" s="3" t="s">
        <v>388</v>
      </c>
      <c r="C2309" s="3" t="s">
        <v>1380</v>
      </c>
      <c r="D2309" s="23" t="n">
        <v>4939.2</v>
      </c>
      <c r="E2309" s="23" t="n">
        <v>4918.58595142442</v>
      </c>
      <c r="F2309" s="23" t="n">
        <f aca="false">D2309-E2309</f>
        <v>20.614048575585</v>
      </c>
      <c r="G2309" s="24" t="n">
        <f aca="false">IF(E2309&gt;0,D2309/E2309-1,"")</f>
        <v>0.00419105181431578</v>
      </c>
      <c r="H2309" s="3" t="str">
        <f aca="false">IF(MAX(D2309,E2309)&lt;Parametros!$B$16,"",IF(E2309=0,"PIDE SIN FCST",IF(ABS(G2309)&gt;Parametros!$B$14,IF(G2309&gt;0,"SOBRE FCST","BAJO FCST"),"")))</f>
        <v/>
      </c>
    </row>
    <row r="2310" customFormat="false" ht="15" hidden="false" customHeight="false" outlineLevel="0" collapsed="false">
      <c r="A2310" s="3" t="n">
        <v>30002094</v>
      </c>
      <c r="B2310" s="3" t="s">
        <v>452</v>
      </c>
      <c r="C2310" s="3" t="s">
        <v>1378</v>
      </c>
      <c r="D2310" s="23" t="n">
        <v>169.488</v>
      </c>
      <c r="E2310" s="23" t="n">
        <v>189.700376550074</v>
      </c>
      <c r="F2310" s="23" t="n">
        <f aca="false">D2310-E2310</f>
        <v>-20.2123765500739</v>
      </c>
      <c r="G2310" s="24" t="n">
        <f aca="false">IF(E2310&gt;0,D2310/E2310-1,"")</f>
        <v>-0.106548953236994</v>
      </c>
      <c r="H2310" s="3" t="str">
        <f aca="false">IF(MAX(D2310,E2310)&lt;Parametros!$B$16,"",IF(E2310=0,"PIDE SIN FCST",IF(ABS(G2310)&gt;Parametros!$B$14,IF(G2310&gt;0,"SOBRE FCST","BAJO FCST"),"")))</f>
        <v/>
      </c>
    </row>
    <row r="2311" customFormat="false" ht="15" hidden="false" customHeight="false" outlineLevel="0" collapsed="false">
      <c r="A2311" s="3" t="n">
        <v>30000631</v>
      </c>
      <c r="B2311" s="3" t="s">
        <v>515</v>
      </c>
      <c r="C2311" s="3" t="s">
        <v>1380</v>
      </c>
      <c r="D2311" s="23" t="n">
        <v>3024</v>
      </c>
      <c r="E2311" s="23" t="n">
        <v>3004</v>
      </c>
      <c r="F2311" s="23" t="n">
        <f aca="false">D2311-E2311</f>
        <v>20</v>
      </c>
      <c r="G2311" s="24" t="n">
        <f aca="false">IF(E2311&gt;0,D2311/E2311-1,"")</f>
        <v>0.00665778961384822</v>
      </c>
      <c r="H2311" s="3" t="str">
        <f aca="false">IF(MAX(D2311,E2311)&lt;Parametros!$B$16,"",IF(E2311=0,"PIDE SIN FCST",IF(ABS(G2311)&gt;Parametros!$B$14,IF(G2311&gt;0,"SOBRE FCST","BAJO FCST"),"")))</f>
        <v/>
      </c>
    </row>
    <row r="2312" customFormat="false" ht="15" hidden="false" customHeight="false" outlineLevel="0" collapsed="false">
      <c r="A2312" s="3" t="n">
        <v>30000630</v>
      </c>
      <c r="B2312" s="3" t="s">
        <v>356</v>
      </c>
      <c r="C2312" s="3" t="s">
        <v>1376</v>
      </c>
      <c r="D2312" s="23" t="n">
        <v>0</v>
      </c>
      <c r="E2312" s="23" t="n">
        <v>20</v>
      </c>
      <c r="F2312" s="23" t="n">
        <f aca="false">D2312-E2312</f>
        <v>-20</v>
      </c>
      <c r="G2312" s="24" t="n">
        <f aca="false">IF(E2312&gt;0,D2312/E2312-1,"")</f>
        <v>-1</v>
      </c>
      <c r="H2312" s="3" t="str">
        <f aca="false">IF(MAX(D2312,E2312)&lt;Parametros!$B$16,"",IF(E2312=0,"PIDE SIN FCST",IF(ABS(G2312)&gt;Parametros!$B$14,IF(G2312&gt;0,"SOBRE FCST","BAJO FCST"),"")))</f>
        <v/>
      </c>
    </row>
    <row r="2313" customFormat="false" ht="15" hidden="false" customHeight="false" outlineLevel="0" collapsed="false">
      <c r="A2313" s="3" t="n">
        <v>30000195</v>
      </c>
      <c r="B2313" s="3" t="s">
        <v>348</v>
      </c>
      <c r="C2313" s="3" t="s">
        <v>1377</v>
      </c>
      <c r="D2313" s="23" t="n">
        <v>2520</v>
      </c>
      <c r="E2313" s="23" t="n">
        <v>2500</v>
      </c>
      <c r="F2313" s="23" t="n">
        <f aca="false">D2313-E2313</f>
        <v>20</v>
      </c>
      <c r="G2313" s="24" t="n">
        <f aca="false">IF(E2313&gt;0,D2313/E2313-1,"")</f>
        <v>0.00800000000000001</v>
      </c>
      <c r="H2313" s="3" t="str">
        <f aca="false">IF(MAX(D2313,E2313)&lt;Parametros!$B$16,"",IF(E2313=0,"PIDE SIN FCST",IF(ABS(G2313)&gt;Parametros!$B$14,IF(G2313&gt;0,"SOBRE FCST","BAJO FCST"),"")))</f>
        <v/>
      </c>
    </row>
    <row r="2314" customFormat="false" ht="15" hidden="false" customHeight="false" outlineLevel="0" collapsed="false">
      <c r="A2314" s="3" t="n">
        <v>30002276</v>
      </c>
      <c r="B2314" s="3" t="s">
        <v>523</v>
      </c>
      <c r="C2314" s="3" t="s">
        <v>1380</v>
      </c>
      <c r="D2314" s="23" t="n">
        <v>4320</v>
      </c>
      <c r="E2314" s="23" t="n">
        <v>4300</v>
      </c>
      <c r="F2314" s="23" t="n">
        <f aca="false">D2314-E2314</f>
        <v>20</v>
      </c>
      <c r="G2314" s="24" t="n">
        <f aca="false">IF(E2314&gt;0,D2314/E2314-1,"")</f>
        <v>0.00465116279069777</v>
      </c>
      <c r="H2314" s="3" t="str">
        <f aca="false">IF(MAX(D2314,E2314)&lt;Parametros!$B$16,"",IF(E2314=0,"PIDE SIN FCST",IF(ABS(G2314)&gt;Parametros!$B$14,IF(G2314&gt;0,"SOBRE FCST","BAJO FCST"),"")))</f>
        <v/>
      </c>
    </row>
    <row r="2315" customFormat="false" ht="15" hidden="false" customHeight="false" outlineLevel="0" collapsed="false">
      <c r="A2315" s="3" t="n">
        <v>30001574</v>
      </c>
      <c r="B2315" s="3" t="s">
        <v>365</v>
      </c>
      <c r="C2315" s="3" t="s">
        <v>1380</v>
      </c>
      <c r="D2315" s="23" t="n">
        <v>19380</v>
      </c>
      <c r="E2315" s="23" t="n">
        <v>19400</v>
      </c>
      <c r="F2315" s="23" t="n">
        <f aca="false">D2315-E2315</f>
        <v>-20</v>
      </c>
      <c r="G2315" s="24" t="n">
        <f aca="false">IF(E2315&gt;0,D2315/E2315-1,"")</f>
        <v>-0.00103092783505154</v>
      </c>
      <c r="H2315" s="3" t="str">
        <f aca="false">IF(MAX(D2315,E2315)&lt;Parametros!$B$16,"",IF(E2315=0,"PIDE SIN FCST",IF(ABS(G2315)&gt;Parametros!$B$14,IF(G2315&gt;0,"SOBRE FCST","BAJO FCST"),"")))</f>
        <v/>
      </c>
    </row>
    <row r="2316" customFormat="false" ht="15" hidden="false" customHeight="false" outlineLevel="0" collapsed="false">
      <c r="A2316" s="3" t="n">
        <v>30000248</v>
      </c>
      <c r="B2316" s="3" t="s">
        <v>434</v>
      </c>
      <c r="C2316" s="3" t="s">
        <v>1377</v>
      </c>
      <c r="D2316" s="23" t="n">
        <v>2784</v>
      </c>
      <c r="E2316" s="23" t="n">
        <v>2803.90482152324</v>
      </c>
      <c r="F2316" s="23" t="n">
        <f aca="false">D2316-E2316</f>
        <v>-19.9048215232351</v>
      </c>
      <c r="G2316" s="24" t="n">
        <f aca="false">IF(E2316&gt;0,D2316/E2316-1,"")</f>
        <v>-0.00709896476172889</v>
      </c>
      <c r="H2316" s="3" t="str">
        <f aca="false">IF(MAX(D2316,E2316)&lt;Parametros!$B$16,"",IF(E2316=0,"PIDE SIN FCST",IF(ABS(G2316)&gt;Parametros!$B$14,IF(G2316&gt;0,"SOBRE FCST","BAJO FCST"),"")))</f>
        <v/>
      </c>
    </row>
    <row r="2317" customFormat="false" ht="15" hidden="false" customHeight="false" outlineLevel="0" collapsed="false">
      <c r="A2317" s="3" t="n">
        <v>30000173</v>
      </c>
      <c r="B2317" s="3" t="s">
        <v>484</v>
      </c>
      <c r="C2317" s="3" t="s">
        <v>1377</v>
      </c>
      <c r="D2317" s="23" t="n">
        <v>382.2</v>
      </c>
      <c r="E2317" s="23" t="n">
        <v>401.8</v>
      </c>
      <c r="F2317" s="23" t="n">
        <f aca="false">D2317-E2317</f>
        <v>-19.6</v>
      </c>
      <c r="G2317" s="24" t="n">
        <f aca="false">IF(E2317&gt;0,D2317/E2317-1,"")</f>
        <v>-0.0487804878048781</v>
      </c>
      <c r="H2317" s="3" t="str">
        <f aca="false">IF(MAX(D2317,E2317)&lt;Parametros!$B$16,"",IF(E2317=0,"PIDE SIN FCST",IF(ABS(G2317)&gt;Parametros!$B$14,IF(G2317&gt;0,"SOBRE FCST","BAJO FCST"),"")))</f>
        <v/>
      </c>
    </row>
    <row r="2318" customFormat="false" ht="15" hidden="false" customHeight="false" outlineLevel="0" collapsed="false">
      <c r="A2318" s="3" t="n">
        <v>30002135</v>
      </c>
      <c r="B2318" s="3" t="s">
        <v>446</v>
      </c>
      <c r="C2318" s="3" t="s">
        <v>1377</v>
      </c>
      <c r="D2318" s="23" t="n">
        <v>19.2</v>
      </c>
      <c r="E2318" s="23" t="n">
        <v>0</v>
      </c>
      <c r="F2318" s="23" t="n">
        <f aca="false">D2318-E2318</f>
        <v>19.2</v>
      </c>
      <c r="G2318" s="24" t="str">
        <f aca="false">IF(E2318&gt;0,D2318/E2318-1,"")</f>
        <v/>
      </c>
      <c r="H2318" s="3" t="str">
        <f aca="false">IF(MAX(D2318,E2318)&lt;Parametros!$B$16,"",IF(E2318=0,"PIDE SIN FCST",IF(ABS(G2318)&gt;Parametros!$B$14,IF(G2318&gt;0,"SOBRE FCST","BAJO FCST"),"")))</f>
        <v/>
      </c>
    </row>
    <row r="2319" customFormat="false" ht="15" hidden="false" customHeight="false" outlineLevel="0" collapsed="false">
      <c r="A2319" s="3" t="n">
        <v>30002293</v>
      </c>
      <c r="B2319" s="3" t="s">
        <v>454</v>
      </c>
      <c r="C2319" s="3" t="s">
        <v>1377</v>
      </c>
      <c r="D2319" s="23" t="n">
        <v>388.8</v>
      </c>
      <c r="E2319" s="23" t="n">
        <v>370</v>
      </c>
      <c r="F2319" s="23" t="n">
        <f aca="false">D2319-E2319</f>
        <v>18.8</v>
      </c>
      <c r="G2319" s="24" t="n">
        <f aca="false">IF(E2319&gt;0,D2319/E2319-1,"")</f>
        <v>0.0508108108108107</v>
      </c>
      <c r="H2319" s="3" t="str">
        <f aca="false">IF(MAX(D2319,E2319)&lt;Parametros!$B$16,"",IF(E2319=0,"PIDE SIN FCST",IF(ABS(G2319)&gt;Parametros!$B$14,IF(G2319&gt;0,"SOBRE FCST","BAJO FCST"),"")))</f>
        <v/>
      </c>
    </row>
    <row r="2320" customFormat="false" ht="15" hidden="false" customHeight="false" outlineLevel="0" collapsed="false">
      <c r="A2320" s="3" t="n">
        <v>30001996</v>
      </c>
      <c r="B2320" s="3" t="s">
        <v>394</v>
      </c>
      <c r="C2320" s="3" t="s">
        <v>1379</v>
      </c>
      <c r="D2320" s="23" t="n">
        <v>1854</v>
      </c>
      <c r="E2320" s="23" t="n">
        <v>1835.26609679944</v>
      </c>
      <c r="F2320" s="23" t="n">
        <f aca="false">D2320-E2320</f>
        <v>18.73390320056</v>
      </c>
      <c r="G2320" s="24" t="n">
        <f aca="false">IF(E2320&gt;0,D2320/E2320-1,"")</f>
        <v>0.0102077313111328</v>
      </c>
      <c r="H2320" s="3" t="str">
        <f aca="false">IF(MAX(D2320,E2320)&lt;Parametros!$B$16,"",IF(E2320=0,"PIDE SIN FCST",IF(ABS(G2320)&gt;Parametros!$B$14,IF(G2320&gt;0,"SOBRE FCST","BAJO FCST"),"")))</f>
        <v/>
      </c>
    </row>
    <row r="2321" customFormat="false" ht="15" hidden="false" customHeight="false" outlineLevel="0" collapsed="false">
      <c r="A2321" s="3" t="n">
        <v>30000668</v>
      </c>
      <c r="B2321" s="3" t="s">
        <v>280</v>
      </c>
      <c r="C2321" s="3" t="s">
        <v>1378</v>
      </c>
      <c r="D2321" s="23" t="n">
        <v>3423.04</v>
      </c>
      <c r="E2321" s="23" t="n">
        <v>3441.6</v>
      </c>
      <c r="F2321" s="23" t="n">
        <f aca="false">D2321-E2321</f>
        <v>-18.5599999999999</v>
      </c>
      <c r="G2321" s="24" t="n">
        <f aca="false">IF(E2321&gt;0,D2321/E2321-1,"")</f>
        <v>-0.00539284053928402</v>
      </c>
      <c r="H2321" s="3" t="str">
        <f aca="false">IF(MAX(D2321,E2321)&lt;Parametros!$B$16,"",IF(E2321=0,"PIDE SIN FCST",IF(ABS(G2321)&gt;Parametros!$B$14,IF(G2321&gt;0,"SOBRE FCST","BAJO FCST"),"")))</f>
        <v/>
      </c>
    </row>
    <row r="2322" customFormat="false" ht="15" hidden="false" customHeight="false" outlineLevel="0" collapsed="false">
      <c r="A2322" s="3" t="n">
        <v>30001689</v>
      </c>
      <c r="B2322" s="3" t="s">
        <v>358</v>
      </c>
      <c r="C2322" s="3" t="s">
        <v>1372</v>
      </c>
      <c r="D2322" s="23" t="n">
        <v>1040</v>
      </c>
      <c r="E2322" s="23" t="n">
        <v>1021.5545666397</v>
      </c>
      <c r="F2322" s="23" t="n">
        <f aca="false">D2322-E2322</f>
        <v>18.445433360297</v>
      </c>
      <c r="G2322" s="24" t="n">
        <f aca="false">IF(E2322&gt;0,D2322/E2322-1,"")</f>
        <v>0.01805623895449</v>
      </c>
      <c r="H2322" s="3" t="str">
        <f aca="false">IF(MAX(D2322,E2322)&lt;Parametros!$B$16,"",IF(E2322=0,"PIDE SIN FCST",IF(ABS(G2322)&gt;Parametros!$B$14,IF(G2322&gt;0,"SOBRE FCST","BAJO FCST"),"")))</f>
        <v/>
      </c>
    </row>
    <row r="2323" customFormat="false" ht="15" hidden="false" customHeight="false" outlineLevel="0" collapsed="false">
      <c r="A2323" s="3" t="n">
        <v>30000054</v>
      </c>
      <c r="B2323" s="3" t="s">
        <v>349</v>
      </c>
      <c r="C2323" s="3" t="s">
        <v>1376</v>
      </c>
      <c r="D2323" s="23" t="n">
        <v>618.24</v>
      </c>
      <c r="E2323" s="23" t="n">
        <v>600</v>
      </c>
      <c r="F2323" s="23" t="n">
        <f aca="false">D2323-E2323</f>
        <v>18.24</v>
      </c>
      <c r="G2323" s="24" t="n">
        <f aca="false">IF(E2323&gt;0,D2323/E2323-1,"")</f>
        <v>0.0304</v>
      </c>
      <c r="H2323" s="3" t="str">
        <f aca="false">IF(MAX(D2323,E2323)&lt;Parametros!$B$16,"",IF(E2323=0,"PIDE SIN FCST",IF(ABS(G2323)&gt;Parametros!$B$14,IF(G2323&gt;0,"SOBRE FCST","BAJO FCST"),"")))</f>
        <v/>
      </c>
    </row>
    <row r="2324" customFormat="false" ht="15" hidden="false" customHeight="false" outlineLevel="0" collapsed="false">
      <c r="A2324" s="3" t="n">
        <v>30000307</v>
      </c>
      <c r="B2324" s="3" t="s">
        <v>410</v>
      </c>
      <c r="C2324" s="3" t="s">
        <v>1376</v>
      </c>
      <c r="D2324" s="23" t="n">
        <v>18</v>
      </c>
      <c r="E2324" s="23" t="n">
        <v>0</v>
      </c>
      <c r="F2324" s="23" t="n">
        <f aca="false">D2324-E2324</f>
        <v>18</v>
      </c>
      <c r="G2324" s="24" t="str">
        <f aca="false">IF(E2324&gt;0,D2324/E2324-1,"")</f>
        <v/>
      </c>
      <c r="H2324" s="3" t="str">
        <f aca="false">IF(MAX(D2324,E2324)&lt;Parametros!$B$16,"",IF(E2324=0,"PIDE SIN FCST",IF(ABS(G2324)&gt;Parametros!$B$14,IF(G2324&gt;0,"SOBRE FCST","BAJO FCST"),"")))</f>
        <v/>
      </c>
    </row>
    <row r="2325" customFormat="false" ht="15" hidden="false" customHeight="false" outlineLevel="0" collapsed="false">
      <c r="A2325" s="3" t="n">
        <v>30001996</v>
      </c>
      <c r="B2325" s="3" t="s">
        <v>394</v>
      </c>
      <c r="C2325" s="3" t="s">
        <v>1376</v>
      </c>
      <c r="D2325" s="23" t="n">
        <v>18</v>
      </c>
      <c r="E2325" s="23" t="n">
        <v>0</v>
      </c>
      <c r="F2325" s="23" t="n">
        <f aca="false">D2325-E2325</f>
        <v>18</v>
      </c>
      <c r="G2325" s="24" t="str">
        <f aca="false">IF(E2325&gt;0,D2325/E2325-1,"")</f>
        <v/>
      </c>
      <c r="H2325" s="3" t="str">
        <f aca="false">IF(MAX(D2325,E2325)&lt;Parametros!$B$16,"",IF(E2325=0,"PIDE SIN FCST",IF(ABS(G2325)&gt;Parametros!$B$14,IF(G2325&gt;0,"SOBRE FCST","BAJO FCST"),"")))</f>
        <v/>
      </c>
    </row>
    <row r="2326" customFormat="false" ht="15" hidden="false" customHeight="false" outlineLevel="0" collapsed="false">
      <c r="A2326" s="3" t="n">
        <v>30001081</v>
      </c>
      <c r="B2326" s="3" t="s">
        <v>267</v>
      </c>
      <c r="C2326" s="3" t="s">
        <v>1377</v>
      </c>
      <c r="D2326" s="23" t="n">
        <v>2339.04</v>
      </c>
      <c r="E2326" s="23" t="n">
        <v>2357.01321618586</v>
      </c>
      <c r="F2326" s="23" t="n">
        <f aca="false">D2326-E2326</f>
        <v>-17.973216185856</v>
      </c>
      <c r="G2326" s="24" t="n">
        <f aca="false">IF(E2326&gt;0,D2326/E2326-1,"")</f>
        <v>-0.00762542019808465</v>
      </c>
      <c r="H2326" s="3" t="str">
        <f aca="false">IF(MAX(D2326,E2326)&lt;Parametros!$B$16,"",IF(E2326=0,"PIDE SIN FCST",IF(ABS(G2326)&gt;Parametros!$B$14,IF(G2326&gt;0,"SOBRE FCST","BAJO FCST"),"")))</f>
        <v/>
      </c>
    </row>
    <row r="2327" customFormat="false" ht="15" hidden="false" customHeight="false" outlineLevel="0" collapsed="false">
      <c r="A2327" s="3" t="n">
        <v>30000612</v>
      </c>
      <c r="B2327" s="3" t="s">
        <v>580</v>
      </c>
      <c r="C2327" s="3" t="s">
        <v>1373</v>
      </c>
      <c r="D2327" s="23" t="n">
        <v>1699.2</v>
      </c>
      <c r="E2327" s="23" t="n">
        <v>1716.8</v>
      </c>
      <c r="F2327" s="23" t="n">
        <f aca="false">D2327-E2327</f>
        <v>-17.5999999999999</v>
      </c>
      <c r="G2327" s="24" t="n">
        <f aca="false">IF(E2327&gt;0,D2327/E2327-1,"")</f>
        <v>-0.0102516309412861</v>
      </c>
      <c r="H2327" s="3" t="str">
        <f aca="false">IF(MAX(D2327,E2327)&lt;Parametros!$B$16,"",IF(E2327=0,"PIDE SIN FCST",IF(ABS(G2327)&gt;Parametros!$B$14,IF(G2327&gt;0,"SOBRE FCST","BAJO FCST"),"")))</f>
        <v/>
      </c>
    </row>
    <row r="2328" customFormat="false" ht="15" hidden="false" customHeight="false" outlineLevel="0" collapsed="false">
      <c r="A2328" s="3" t="n">
        <v>30002358</v>
      </c>
      <c r="B2328" s="3" t="s">
        <v>493</v>
      </c>
      <c r="C2328" s="3" t="s">
        <v>1377</v>
      </c>
      <c r="D2328" s="23" t="n">
        <v>612</v>
      </c>
      <c r="E2328" s="23" t="n">
        <v>629.213184950489</v>
      </c>
      <c r="F2328" s="23" t="n">
        <f aca="false">D2328-E2328</f>
        <v>-17.2131849504887</v>
      </c>
      <c r="G2328" s="24" t="n">
        <f aca="false">IF(E2328&gt;0,D2328/E2328-1,"")</f>
        <v>-0.0273566819039928</v>
      </c>
      <c r="H2328" s="3" t="str">
        <f aca="false">IF(MAX(D2328,E2328)&lt;Parametros!$B$16,"",IF(E2328=0,"PIDE SIN FCST",IF(ABS(G2328)&gt;Parametros!$B$14,IF(G2328&gt;0,"SOBRE FCST","BAJO FCST"),"")))</f>
        <v/>
      </c>
    </row>
    <row r="2329" customFormat="false" ht="15" hidden="false" customHeight="false" outlineLevel="0" collapsed="false">
      <c r="A2329" s="3" t="n">
        <v>30000542</v>
      </c>
      <c r="B2329" s="3" t="s">
        <v>616</v>
      </c>
      <c r="C2329" s="3" t="s">
        <v>1373</v>
      </c>
      <c r="D2329" s="23" t="n">
        <v>177.1</v>
      </c>
      <c r="E2329" s="23" t="n">
        <v>160.072916666667</v>
      </c>
      <c r="F2329" s="23" t="n">
        <f aca="false">D2329-E2329</f>
        <v>17.0270833333334</v>
      </c>
      <c r="G2329" s="24" t="n">
        <f aca="false">IF(E2329&gt;0,D2329/E2329-1,"")</f>
        <v>0.106370794559771</v>
      </c>
      <c r="H2329" s="3" t="str">
        <f aca="false">IF(MAX(D2329,E2329)&lt;Parametros!$B$16,"",IF(E2329=0,"PIDE SIN FCST",IF(ABS(G2329)&gt;Parametros!$B$14,IF(G2329&gt;0,"SOBRE FCST","BAJO FCST"),"")))</f>
        <v/>
      </c>
    </row>
    <row r="2330" customFormat="false" ht="15" hidden="false" customHeight="false" outlineLevel="0" collapsed="false">
      <c r="A2330" s="3" t="n">
        <v>30001376</v>
      </c>
      <c r="B2330" s="3" t="s">
        <v>404</v>
      </c>
      <c r="C2330" s="3" t="s">
        <v>1377</v>
      </c>
      <c r="D2330" s="23" t="n">
        <v>360</v>
      </c>
      <c r="E2330" s="23" t="n">
        <v>376.773593145123</v>
      </c>
      <c r="F2330" s="23" t="n">
        <f aca="false">D2330-E2330</f>
        <v>-16.7735931451233</v>
      </c>
      <c r="G2330" s="24" t="n">
        <f aca="false">IF(E2330&gt;0,D2330/E2330-1,"")</f>
        <v>-0.044519025351818</v>
      </c>
      <c r="H2330" s="3" t="str">
        <f aca="false">IF(MAX(D2330,E2330)&lt;Parametros!$B$16,"",IF(E2330=0,"PIDE SIN FCST",IF(ABS(G2330)&gt;Parametros!$B$14,IF(G2330&gt;0,"SOBRE FCST","BAJO FCST"),"")))</f>
        <v/>
      </c>
    </row>
    <row r="2331" customFormat="false" ht="15" hidden="false" customHeight="false" outlineLevel="0" collapsed="false">
      <c r="A2331" s="3" t="n">
        <v>30000641</v>
      </c>
      <c r="B2331" s="3" t="s">
        <v>524</v>
      </c>
      <c r="C2331" s="3" t="s">
        <v>1380</v>
      </c>
      <c r="D2331" s="23" t="n">
        <v>2316.48</v>
      </c>
      <c r="E2331" s="23" t="n">
        <v>2300</v>
      </c>
      <c r="F2331" s="23" t="n">
        <f aca="false">D2331-E2331</f>
        <v>16.48</v>
      </c>
      <c r="G2331" s="24" t="n">
        <f aca="false">IF(E2331&gt;0,D2331/E2331-1,"")</f>
        <v>0.00716521739130438</v>
      </c>
      <c r="H2331" s="3" t="str">
        <f aca="false">IF(MAX(D2331,E2331)&lt;Parametros!$B$16,"",IF(E2331=0,"PIDE SIN FCST",IF(ABS(G2331)&gt;Parametros!$B$14,IF(G2331&gt;0,"SOBRE FCST","BAJO FCST"),"")))</f>
        <v/>
      </c>
    </row>
    <row r="2332" customFormat="false" ht="15" hidden="false" customHeight="false" outlineLevel="0" collapsed="false">
      <c r="A2332" s="3" t="n">
        <v>30001423</v>
      </c>
      <c r="B2332" s="3" t="s">
        <v>328</v>
      </c>
      <c r="C2332" s="3" t="s">
        <v>1379</v>
      </c>
      <c r="D2332" s="23" t="n">
        <v>234</v>
      </c>
      <c r="E2332" s="23" t="n">
        <v>217.632888349515</v>
      </c>
      <c r="F2332" s="23" t="n">
        <f aca="false">D2332-E2332</f>
        <v>16.3671116504855</v>
      </c>
      <c r="G2332" s="24" t="n">
        <f aca="false">IF(E2332&gt;0,D2332/E2332-1,"")</f>
        <v>0.0752051391433091</v>
      </c>
      <c r="H2332" s="3" t="str">
        <f aca="false">IF(MAX(D2332,E2332)&lt;Parametros!$B$16,"",IF(E2332=0,"PIDE SIN FCST",IF(ABS(G2332)&gt;Parametros!$B$14,IF(G2332&gt;0,"SOBRE FCST","BAJO FCST"),"")))</f>
        <v/>
      </c>
    </row>
    <row r="2333" customFormat="false" ht="15" hidden="false" customHeight="false" outlineLevel="0" collapsed="false">
      <c r="A2333" s="3" t="n">
        <v>30000495</v>
      </c>
      <c r="B2333" s="3" t="s">
        <v>613</v>
      </c>
      <c r="C2333" s="3" t="s">
        <v>1373</v>
      </c>
      <c r="D2333" s="23" t="n">
        <v>394.2</v>
      </c>
      <c r="E2333" s="23" t="n">
        <v>377.90975190652</v>
      </c>
      <c r="F2333" s="23" t="n">
        <f aca="false">D2333-E2333</f>
        <v>16.2902480934797</v>
      </c>
      <c r="G2333" s="24" t="n">
        <f aca="false">IF(E2333&gt;0,D2333/E2333-1,"")</f>
        <v>0.0431061860968045</v>
      </c>
      <c r="H2333" s="3" t="str">
        <f aca="false">IF(MAX(D2333,E2333)&lt;Parametros!$B$16,"",IF(E2333=0,"PIDE SIN FCST",IF(ABS(G2333)&gt;Parametros!$B$14,IF(G2333&gt;0,"SOBRE FCST","BAJO FCST"),"")))</f>
        <v/>
      </c>
    </row>
    <row r="2334" customFormat="false" ht="15" hidden="false" customHeight="false" outlineLevel="0" collapsed="false">
      <c r="A2334" s="3" t="n">
        <v>30001481</v>
      </c>
      <c r="B2334" s="3" t="s">
        <v>588</v>
      </c>
      <c r="C2334" s="3" t="s">
        <v>1376</v>
      </c>
      <c r="D2334" s="23" t="n">
        <v>16.2</v>
      </c>
      <c r="E2334" s="23" t="n">
        <v>0</v>
      </c>
      <c r="F2334" s="23" t="n">
        <f aca="false">D2334-E2334</f>
        <v>16.2</v>
      </c>
      <c r="G2334" s="24" t="str">
        <f aca="false">IF(E2334&gt;0,D2334/E2334-1,"")</f>
        <v/>
      </c>
      <c r="H2334" s="3" t="str">
        <f aca="false">IF(MAX(D2334,E2334)&lt;Parametros!$B$16,"",IF(E2334=0,"PIDE SIN FCST",IF(ABS(G2334)&gt;Parametros!$B$14,IF(G2334&gt;0,"SOBRE FCST","BAJO FCST"),"")))</f>
        <v/>
      </c>
    </row>
    <row r="2335" customFormat="false" ht="15" hidden="false" customHeight="false" outlineLevel="0" collapsed="false">
      <c r="A2335" s="3" t="n">
        <v>30001479</v>
      </c>
      <c r="B2335" s="3" t="s">
        <v>589</v>
      </c>
      <c r="C2335" s="3" t="s">
        <v>1376</v>
      </c>
      <c r="D2335" s="23" t="n">
        <v>16.2</v>
      </c>
      <c r="E2335" s="23" t="n">
        <v>0</v>
      </c>
      <c r="F2335" s="23" t="n">
        <f aca="false">D2335-E2335</f>
        <v>16.2</v>
      </c>
      <c r="G2335" s="24" t="str">
        <f aca="false">IF(E2335&gt;0,D2335/E2335-1,"")</f>
        <v/>
      </c>
      <c r="H2335" s="3" t="str">
        <f aca="false">IF(MAX(D2335,E2335)&lt;Parametros!$B$16,"",IF(E2335=0,"PIDE SIN FCST",IF(ABS(G2335)&gt;Parametros!$B$14,IF(G2335&gt;0,"SOBRE FCST","BAJO FCST"),"")))</f>
        <v/>
      </c>
    </row>
    <row r="2336" customFormat="false" ht="15" hidden="false" customHeight="false" outlineLevel="0" collapsed="false">
      <c r="A2336" s="3" t="n">
        <v>30001482</v>
      </c>
      <c r="B2336" s="3" t="s">
        <v>566</v>
      </c>
      <c r="C2336" s="3" t="s">
        <v>1376</v>
      </c>
      <c r="D2336" s="23" t="n">
        <v>16.2</v>
      </c>
      <c r="E2336" s="23" t="n">
        <v>0</v>
      </c>
      <c r="F2336" s="23" t="n">
        <f aca="false">D2336-E2336</f>
        <v>16.2</v>
      </c>
      <c r="G2336" s="24" t="str">
        <f aca="false">IF(E2336&gt;0,D2336/E2336-1,"")</f>
        <v/>
      </c>
      <c r="H2336" s="3" t="str">
        <f aca="false">IF(MAX(D2336,E2336)&lt;Parametros!$B$16,"",IF(E2336=0,"PIDE SIN FCST",IF(ABS(G2336)&gt;Parametros!$B$14,IF(G2336&gt;0,"SOBRE FCST","BAJO FCST"),"")))</f>
        <v/>
      </c>
    </row>
    <row r="2337" customFormat="false" ht="15" hidden="false" customHeight="false" outlineLevel="0" collapsed="false">
      <c r="A2337" s="3" t="n">
        <v>30001820</v>
      </c>
      <c r="B2337" s="3" t="s">
        <v>619</v>
      </c>
      <c r="C2337" s="3" t="s">
        <v>1377</v>
      </c>
      <c r="D2337" s="23" t="n">
        <v>91.2</v>
      </c>
      <c r="E2337" s="23" t="n">
        <v>75</v>
      </c>
      <c r="F2337" s="23" t="n">
        <f aca="false">D2337-E2337</f>
        <v>16.2</v>
      </c>
      <c r="G2337" s="24" t="n">
        <f aca="false">IF(E2337&gt;0,D2337/E2337-1,"")</f>
        <v>0.216</v>
      </c>
      <c r="H2337" s="3" t="str">
        <f aca="false">IF(MAX(D2337,E2337)&lt;Parametros!$B$16,"",IF(E2337=0,"PIDE SIN FCST",IF(ABS(G2337)&gt;Parametros!$B$14,IF(G2337&gt;0,"SOBRE FCST","BAJO FCST"),"")))</f>
        <v/>
      </c>
    </row>
    <row r="2338" customFormat="false" ht="15" hidden="false" customHeight="false" outlineLevel="0" collapsed="false">
      <c r="A2338" s="3" t="n">
        <v>30000115</v>
      </c>
      <c r="B2338" s="3" t="s">
        <v>283</v>
      </c>
      <c r="C2338" s="3" t="s">
        <v>1376</v>
      </c>
      <c r="D2338" s="23" t="n">
        <v>16</v>
      </c>
      <c r="E2338" s="23" t="n">
        <v>0</v>
      </c>
      <c r="F2338" s="23" t="n">
        <f aca="false">D2338-E2338</f>
        <v>16</v>
      </c>
      <c r="G2338" s="24" t="str">
        <f aca="false">IF(E2338&gt;0,D2338/E2338-1,"")</f>
        <v/>
      </c>
      <c r="H2338" s="3" t="str">
        <f aca="false">IF(MAX(D2338,E2338)&lt;Parametros!$B$16,"",IF(E2338=0,"PIDE SIN FCST",IF(ABS(G2338)&gt;Parametros!$B$14,IF(G2338&gt;0,"SOBRE FCST","BAJO FCST"),"")))</f>
        <v/>
      </c>
    </row>
    <row r="2339" customFormat="false" ht="15" hidden="false" customHeight="false" outlineLevel="0" collapsed="false">
      <c r="A2339" s="3" t="n">
        <v>30001860</v>
      </c>
      <c r="B2339" s="3" t="s">
        <v>626</v>
      </c>
      <c r="C2339" s="3" t="s">
        <v>1377</v>
      </c>
      <c r="D2339" s="23" t="n">
        <v>47.688</v>
      </c>
      <c r="E2339" s="23" t="n">
        <v>63.584</v>
      </c>
      <c r="F2339" s="23" t="n">
        <f aca="false">D2339-E2339</f>
        <v>-15.896</v>
      </c>
      <c r="G2339" s="24" t="n">
        <f aca="false">IF(E2339&gt;0,D2339/E2339-1,"")</f>
        <v>-0.25</v>
      </c>
      <c r="H2339" s="3" t="str">
        <f aca="false">IF(MAX(D2339,E2339)&lt;Parametros!$B$16,"",IF(E2339=0,"PIDE SIN FCST",IF(ABS(G2339)&gt;Parametros!$B$14,IF(G2339&gt;0,"SOBRE FCST","BAJO FCST"),"")))</f>
        <v/>
      </c>
    </row>
    <row r="2340" customFormat="false" ht="15" hidden="false" customHeight="false" outlineLevel="0" collapsed="false">
      <c r="A2340" s="3" t="n">
        <v>30002261</v>
      </c>
      <c r="B2340" s="3" t="s">
        <v>545</v>
      </c>
      <c r="C2340" s="3" t="s">
        <v>1377</v>
      </c>
      <c r="D2340" s="23" t="n">
        <v>251.85</v>
      </c>
      <c r="E2340" s="23" t="n">
        <v>267.622540947134</v>
      </c>
      <c r="F2340" s="23" t="n">
        <f aca="false">D2340-E2340</f>
        <v>-15.7725409471343</v>
      </c>
      <c r="G2340" s="24" t="n">
        <f aca="false">IF(E2340&gt;0,D2340/E2340-1,"")</f>
        <v>-0.0589357715957491</v>
      </c>
      <c r="H2340" s="3" t="str">
        <f aca="false">IF(MAX(D2340,E2340)&lt;Parametros!$B$16,"",IF(E2340=0,"PIDE SIN FCST",IF(ABS(G2340)&gt;Parametros!$B$14,IF(G2340&gt;0,"SOBRE FCST","BAJO FCST"),"")))</f>
        <v/>
      </c>
    </row>
    <row r="2341" customFormat="false" ht="15" hidden="false" customHeight="false" outlineLevel="0" collapsed="false">
      <c r="A2341" s="3" t="n">
        <v>30000631</v>
      </c>
      <c r="B2341" s="3" t="s">
        <v>515</v>
      </c>
      <c r="C2341" s="3" t="s">
        <v>1373</v>
      </c>
      <c r="D2341" s="23" t="n">
        <v>1065.6</v>
      </c>
      <c r="E2341" s="23" t="n">
        <v>1050</v>
      </c>
      <c r="F2341" s="23" t="n">
        <f aca="false">D2341-E2341</f>
        <v>15.5999999999999</v>
      </c>
      <c r="G2341" s="24" t="n">
        <f aca="false">IF(E2341&gt;0,D2341/E2341-1,"")</f>
        <v>0.0148571428571427</v>
      </c>
      <c r="H2341" s="3" t="str">
        <f aca="false">IF(MAX(D2341,E2341)&lt;Parametros!$B$16,"",IF(E2341=0,"PIDE SIN FCST",IF(ABS(G2341)&gt;Parametros!$B$14,IF(G2341&gt;0,"SOBRE FCST","BAJO FCST"),"")))</f>
        <v/>
      </c>
    </row>
    <row r="2342" customFormat="false" ht="15" hidden="false" customHeight="false" outlineLevel="0" collapsed="false">
      <c r="A2342" s="3" t="n">
        <v>30001889</v>
      </c>
      <c r="B2342" s="3" t="s">
        <v>507</v>
      </c>
      <c r="C2342" s="3" t="s">
        <v>1377</v>
      </c>
      <c r="D2342" s="23" t="n">
        <v>206.4</v>
      </c>
      <c r="E2342" s="23" t="n">
        <v>190.890972372995</v>
      </c>
      <c r="F2342" s="23" t="n">
        <f aca="false">D2342-E2342</f>
        <v>15.5090276270054</v>
      </c>
      <c r="G2342" s="24" t="n">
        <f aca="false">IF(E2342&gt;0,D2342/E2342-1,"")</f>
        <v>0.0812454744936877</v>
      </c>
      <c r="H2342" s="3" t="str">
        <f aca="false">IF(MAX(D2342,E2342)&lt;Parametros!$B$16,"",IF(E2342=0,"PIDE SIN FCST",IF(ABS(G2342)&gt;Parametros!$B$14,IF(G2342&gt;0,"SOBRE FCST","BAJO FCST"),"")))</f>
        <v/>
      </c>
    </row>
    <row r="2343" customFormat="false" ht="15" hidden="false" customHeight="false" outlineLevel="0" collapsed="false">
      <c r="A2343" s="3" t="n">
        <v>30001527</v>
      </c>
      <c r="B2343" s="3" t="s">
        <v>618</v>
      </c>
      <c r="C2343" s="3" t="s">
        <v>1372</v>
      </c>
      <c r="D2343" s="23" t="n">
        <v>190.4</v>
      </c>
      <c r="E2343" s="23" t="n">
        <v>175</v>
      </c>
      <c r="F2343" s="23" t="n">
        <f aca="false">D2343-E2343</f>
        <v>15.4</v>
      </c>
      <c r="G2343" s="24" t="n">
        <f aca="false">IF(E2343&gt;0,D2343/E2343-1,"")</f>
        <v>0.0880000000000001</v>
      </c>
      <c r="H2343" s="3" t="str">
        <f aca="false">IF(MAX(D2343,E2343)&lt;Parametros!$B$16,"",IF(E2343=0,"PIDE SIN FCST",IF(ABS(G2343)&gt;Parametros!$B$14,IF(G2343&gt;0,"SOBRE FCST","BAJO FCST"),"")))</f>
        <v/>
      </c>
    </row>
    <row r="2344" customFormat="false" ht="15" hidden="false" customHeight="false" outlineLevel="0" collapsed="false">
      <c r="A2344" s="3" t="n">
        <v>30000667</v>
      </c>
      <c r="B2344" s="3" t="s">
        <v>608</v>
      </c>
      <c r="C2344" s="3" t="s">
        <v>1375</v>
      </c>
      <c r="D2344" s="23" t="n">
        <v>984.96</v>
      </c>
      <c r="E2344" s="23" t="n">
        <v>1000</v>
      </c>
      <c r="F2344" s="23" t="n">
        <f aca="false">D2344-E2344</f>
        <v>-15.04</v>
      </c>
      <c r="G2344" s="24" t="n">
        <f aca="false">IF(E2344&gt;0,D2344/E2344-1,"")</f>
        <v>-0.0150399999999999</v>
      </c>
      <c r="H2344" s="3" t="str">
        <f aca="false">IF(MAX(D2344,E2344)&lt;Parametros!$B$16,"",IF(E2344=0,"PIDE SIN FCST",IF(ABS(G2344)&gt;Parametros!$B$14,IF(G2344&gt;0,"SOBRE FCST","BAJO FCST"),"")))</f>
        <v/>
      </c>
    </row>
    <row r="2345" customFormat="false" ht="15" hidden="false" customHeight="false" outlineLevel="0" collapsed="false">
      <c r="A2345" s="3" t="n">
        <v>30001735</v>
      </c>
      <c r="B2345" s="3" t="s">
        <v>641</v>
      </c>
      <c r="C2345" s="3" t="s">
        <v>1373</v>
      </c>
      <c r="D2345" s="23" t="n">
        <v>15</v>
      </c>
      <c r="E2345" s="23" t="n">
        <v>0</v>
      </c>
      <c r="F2345" s="23" t="n">
        <f aca="false">D2345-E2345</f>
        <v>15</v>
      </c>
      <c r="G2345" s="24" t="str">
        <f aca="false">IF(E2345&gt;0,D2345/E2345-1,"")</f>
        <v/>
      </c>
      <c r="H2345" s="3" t="str">
        <f aca="false">IF(MAX(D2345,E2345)&lt;Parametros!$B$16,"",IF(E2345=0,"PIDE SIN FCST",IF(ABS(G2345)&gt;Parametros!$B$14,IF(G2345&gt;0,"SOBRE FCST","BAJO FCST"),"")))</f>
        <v/>
      </c>
    </row>
    <row r="2346" customFormat="false" ht="15" hidden="false" customHeight="false" outlineLevel="0" collapsed="false">
      <c r="A2346" s="3" t="n">
        <v>30001977</v>
      </c>
      <c r="B2346" s="3" t="s">
        <v>292</v>
      </c>
      <c r="C2346" s="3" t="s">
        <v>1377</v>
      </c>
      <c r="D2346" s="23" t="n">
        <v>1026</v>
      </c>
      <c r="E2346" s="23" t="n">
        <v>1011.07017001737</v>
      </c>
      <c r="F2346" s="23" t="n">
        <f aca="false">D2346-E2346</f>
        <v>14.929829982628</v>
      </c>
      <c r="G2346" s="24" t="n">
        <f aca="false">IF(E2346&gt;0,D2346/E2346-1,"")</f>
        <v>0.0147663638245519</v>
      </c>
      <c r="H2346" s="3" t="str">
        <f aca="false">IF(MAX(D2346,E2346)&lt;Parametros!$B$16,"",IF(E2346=0,"PIDE SIN FCST",IF(ABS(G2346)&gt;Parametros!$B$14,IF(G2346&gt;0,"SOBRE FCST","BAJO FCST"),"")))</f>
        <v/>
      </c>
    </row>
    <row r="2347" customFormat="false" ht="15" hidden="false" customHeight="false" outlineLevel="0" collapsed="false">
      <c r="A2347" s="3" t="n">
        <v>30002126</v>
      </c>
      <c r="B2347" s="3" t="s">
        <v>624</v>
      </c>
      <c r="C2347" s="3" t="s">
        <v>1379</v>
      </c>
      <c r="D2347" s="23" t="n">
        <v>230.16</v>
      </c>
      <c r="E2347" s="23" t="n">
        <v>215.643766373934</v>
      </c>
      <c r="F2347" s="23" t="n">
        <f aca="false">D2347-E2347</f>
        <v>14.5162336260658</v>
      </c>
      <c r="G2347" s="24" t="n">
        <f aca="false">IF(E2347&gt;0,D2347/E2347-1,"")</f>
        <v>0.0673158045333624</v>
      </c>
      <c r="H2347" s="3" t="str">
        <f aca="false">IF(MAX(D2347,E2347)&lt;Parametros!$B$16,"",IF(E2347=0,"PIDE SIN FCST",IF(ABS(G2347)&gt;Parametros!$B$14,IF(G2347&gt;0,"SOBRE FCST","BAJO FCST"),"")))</f>
        <v/>
      </c>
    </row>
    <row r="2348" customFormat="false" ht="15" hidden="false" customHeight="false" outlineLevel="0" collapsed="false">
      <c r="A2348" s="3" t="n">
        <v>30000307</v>
      </c>
      <c r="B2348" s="3" t="s">
        <v>410</v>
      </c>
      <c r="C2348" s="3" t="s">
        <v>1378</v>
      </c>
      <c r="D2348" s="23" t="n">
        <v>540</v>
      </c>
      <c r="E2348" s="23" t="n">
        <v>525.51622527618</v>
      </c>
      <c r="F2348" s="23" t="n">
        <f aca="false">D2348-E2348</f>
        <v>14.4837747238203</v>
      </c>
      <c r="G2348" s="24" t="n">
        <f aca="false">IF(E2348&gt;0,D2348/E2348-1,"")</f>
        <v>0.0275610419377792</v>
      </c>
      <c r="H2348" s="3" t="str">
        <f aca="false">IF(MAX(D2348,E2348)&lt;Parametros!$B$16,"",IF(E2348=0,"PIDE SIN FCST",IF(ABS(G2348)&gt;Parametros!$B$14,IF(G2348&gt;0,"SOBRE FCST","BAJO FCST"),"")))</f>
        <v/>
      </c>
    </row>
    <row r="2349" customFormat="false" ht="15" hidden="false" customHeight="false" outlineLevel="0" collapsed="false">
      <c r="A2349" s="3" t="n">
        <v>30000116</v>
      </c>
      <c r="B2349" s="3" t="s">
        <v>424</v>
      </c>
      <c r="C2349" s="3" t="s">
        <v>1375</v>
      </c>
      <c r="D2349" s="23" t="n">
        <v>14.4</v>
      </c>
      <c r="E2349" s="23" t="n">
        <v>0</v>
      </c>
      <c r="F2349" s="23" t="n">
        <f aca="false">D2349-E2349</f>
        <v>14.4</v>
      </c>
      <c r="G2349" s="24" t="str">
        <f aca="false">IF(E2349&gt;0,D2349/E2349-1,"")</f>
        <v/>
      </c>
      <c r="H2349" s="3" t="str">
        <f aca="false">IF(MAX(D2349,E2349)&lt;Parametros!$B$16,"",IF(E2349=0,"PIDE SIN FCST",IF(ABS(G2349)&gt;Parametros!$B$14,IF(G2349&gt;0,"SOBRE FCST","BAJO FCST"),"")))</f>
        <v/>
      </c>
    </row>
    <row r="2350" customFormat="false" ht="15" hidden="false" customHeight="false" outlineLevel="0" collapsed="false">
      <c r="A2350" s="3" t="n">
        <v>30002331</v>
      </c>
      <c r="B2350" s="3" t="s">
        <v>543</v>
      </c>
      <c r="C2350" s="3" t="s">
        <v>1373</v>
      </c>
      <c r="D2350" s="23" t="n">
        <v>14.4</v>
      </c>
      <c r="E2350" s="23" t="n">
        <v>0</v>
      </c>
      <c r="F2350" s="23" t="n">
        <f aca="false">D2350-E2350</f>
        <v>14.4</v>
      </c>
      <c r="G2350" s="24" t="str">
        <f aca="false">IF(E2350&gt;0,D2350/E2350-1,"")</f>
        <v/>
      </c>
      <c r="H2350" s="3" t="str">
        <f aca="false">IF(MAX(D2350,E2350)&lt;Parametros!$B$16,"",IF(E2350=0,"PIDE SIN FCST",IF(ABS(G2350)&gt;Parametros!$B$14,IF(G2350&gt;0,"SOBRE FCST","BAJO FCST"),"")))</f>
        <v/>
      </c>
    </row>
    <row r="2351" customFormat="false" ht="15" hidden="false" customHeight="false" outlineLevel="0" collapsed="false">
      <c r="A2351" s="3" t="n">
        <v>30002090</v>
      </c>
      <c r="B2351" s="3" t="s">
        <v>317</v>
      </c>
      <c r="C2351" s="3" t="s">
        <v>1376</v>
      </c>
      <c r="D2351" s="23" t="n">
        <v>14.4</v>
      </c>
      <c r="E2351" s="23" t="n">
        <v>0</v>
      </c>
      <c r="F2351" s="23" t="n">
        <f aca="false">D2351-E2351</f>
        <v>14.4</v>
      </c>
      <c r="G2351" s="24" t="str">
        <f aca="false">IF(E2351&gt;0,D2351/E2351-1,"")</f>
        <v/>
      </c>
      <c r="H2351" s="3" t="str">
        <f aca="false">IF(MAX(D2351,E2351)&lt;Parametros!$B$16,"",IF(E2351=0,"PIDE SIN FCST",IF(ABS(G2351)&gt;Parametros!$B$14,IF(G2351&gt;0,"SOBRE FCST","BAJO FCST"),"")))</f>
        <v/>
      </c>
    </row>
    <row r="2352" customFormat="false" ht="15" hidden="false" customHeight="false" outlineLevel="0" collapsed="false">
      <c r="A2352" s="3" t="n">
        <v>30000671</v>
      </c>
      <c r="B2352" s="3" t="s">
        <v>552</v>
      </c>
      <c r="C2352" s="3" t="s">
        <v>1379</v>
      </c>
      <c r="D2352" s="23" t="n">
        <v>1185.6</v>
      </c>
      <c r="E2352" s="23" t="n">
        <v>1200</v>
      </c>
      <c r="F2352" s="23" t="n">
        <f aca="false">D2352-E2352</f>
        <v>-14.4000000000001</v>
      </c>
      <c r="G2352" s="24" t="n">
        <f aca="false">IF(E2352&gt;0,D2352/E2352-1,"")</f>
        <v>-0.0120000000000001</v>
      </c>
      <c r="H2352" s="3" t="str">
        <f aca="false">IF(MAX(D2352,E2352)&lt;Parametros!$B$16,"",IF(E2352=0,"PIDE SIN FCST",IF(ABS(G2352)&gt;Parametros!$B$14,IF(G2352&gt;0,"SOBRE FCST","BAJO FCST"),"")))</f>
        <v/>
      </c>
    </row>
    <row r="2353" customFormat="false" ht="15" hidden="false" customHeight="false" outlineLevel="0" collapsed="false">
      <c r="A2353" s="3" t="n">
        <v>30000642</v>
      </c>
      <c r="B2353" s="3" t="s">
        <v>451</v>
      </c>
      <c r="C2353" s="3" t="s">
        <v>1379</v>
      </c>
      <c r="D2353" s="23" t="n">
        <v>1185.6</v>
      </c>
      <c r="E2353" s="23" t="n">
        <v>1200</v>
      </c>
      <c r="F2353" s="23" t="n">
        <f aca="false">D2353-E2353</f>
        <v>-14.4000000000001</v>
      </c>
      <c r="G2353" s="24" t="n">
        <f aca="false">IF(E2353&gt;0,D2353/E2353-1,"")</f>
        <v>-0.0120000000000001</v>
      </c>
      <c r="H2353" s="3" t="str">
        <f aca="false">IF(MAX(D2353,E2353)&lt;Parametros!$B$16,"",IF(E2353=0,"PIDE SIN FCST",IF(ABS(G2353)&gt;Parametros!$B$14,IF(G2353&gt;0,"SOBRE FCST","BAJO FCST"),"")))</f>
        <v/>
      </c>
    </row>
    <row r="2354" customFormat="false" ht="15" hidden="false" customHeight="false" outlineLevel="0" collapsed="false">
      <c r="A2354" s="3" t="n">
        <v>30001876</v>
      </c>
      <c r="B2354" s="3" t="s">
        <v>373</v>
      </c>
      <c r="C2354" s="3" t="s">
        <v>1379</v>
      </c>
      <c r="D2354" s="23" t="n">
        <v>1279.8</v>
      </c>
      <c r="E2354" s="23" t="n">
        <v>1293.86259824361</v>
      </c>
      <c r="F2354" s="23" t="n">
        <f aca="false">D2354-E2354</f>
        <v>-14.062598243605</v>
      </c>
      <c r="G2354" s="24" t="n">
        <f aca="false">IF(E2354&gt;0,D2354/E2354-1,"")</f>
        <v>-0.0108686952252076</v>
      </c>
      <c r="H2354" s="3" t="str">
        <f aca="false">IF(MAX(D2354,E2354)&lt;Parametros!$B$16,"",IF(E2354=0,"PIDE SIN FCST",IF(ABS(G2354)&gt;Parametros!$B$14,IF(G2354&gt;0,"SOBRE FCST","BAJO FCST"),"")))</f>
        <v/>
      </c>
    </row>
    <row r="2355" customFormat="false" ht="15" hidden="false" customHeight="false" outlineLevel="0" collapsed="false">
      <c r="A2355" s="3" t="n">
        <v>30000610</v>
      </c>
      <c r="B2355" s="3" t="s">
        <v>387</v>
      </c>
      <c r="C2355" s="3" t="s">
        <v>1375</v>
      </c>
      <c r="D2355" s="23" t="n">
        <v>336</v>
      </c>
      <c r="E2355" s="23" t="n">
        <v>350</v>
      </c>
      <c r="F2355" s="23" t="n">
        <f aca="false">D2355-E2355</f>
        <v>-14</v>
      </c>
      <c r="G2355" s="24" t="n">
        <f aca="false">IF(E2355&gt;0,D2355/E2355-1,"")</f>
        <v>-0.04</v>
      </c>
      <c r="H2355" s="3" t="str">
        <f aca="false">IF(MAX(D2355,E2355)&lt;Parametros!$B$16,"",IF(E2355=0,"PIDE SIN FCST",IF(ABS(G2355)&gt;Parametros!$B$14,IF(G2355&gt;0,"SOBRE FCST","BAJO FCST"),"")))</f>
        <v/>
      </c>
    </row>
    <row r="2356" customFormat="false" ht="15" hidden="false" customHeight="false" outlineLevel="0" collapsed="false">
      <c r="A2356" s="3" t="n">
        <v>30000665</v>
      </c>
      <c r="B2356" s="3" t="s">
        <v>617</v>
      </c>
      <c r="C2356" s="3" t="s">
        <v>1373</v>
      </c>
      <c r="D2356" s="23" t="n">
        <v>182.4</v>
      </c>
      <c r="E2356" s="23" t="n">
        <v>195.52</v>
      </c>
      <c r="F2356" s="23" t="n">
        <f aca="false">D2356-E2356</f>
        <v>-13.12</v>
      </c>
      <c r="G2356" s="24" t="n">
        <f aca="false">IF(E2356&gt;0,D2356/E2356-1,"")</f>
        <v>-0.0671031096563012</v>
      </c>
      <c r="H2356" s="3" t="str">
        <f aca="false">IF(MAX(D2356,E2356)&lt;Parametros!$B$16,"",IF(E2356=0,"PIDE SIN FCST",IF(ABS(G2356)&gt;Parametros!$B$14,IF(G2356&gt;0,"SOBRE FCST","BAJO FCST"),"")))</f>
        <v/>
      </c>
    </row>
    <row r="2357" customFormat="false" ht="15" hidden="false" customHeight="false" outlineLevel="0" collapsed="false">
      <c r="A2357" s="3" t="n">
        <v>30000643</v>
      </c>
      <c r="B2357" s="3" t="s">
        <v>240</v>
      </c>
      <c r="C2357" s="3" t="s">
        <v>1377</v>
      </c>
      <c r="D2357" s="23" t="n">
        <v>1574.72</v>
      </c>
      <c r="E2357" s="23" t="n">
        <v>1587.76</v>
      </c>
      <c r="F2357" s="23" t="n">
        <f aca="false">D2357-E2357</f>
        <v>-13.04</v>
      </c>
      <c r="G2357" s="24" t="n">
        <f aca="false">IF(E2357&gt;0,D2357/E2357-1,"")</f>
        <v>-0.0082128281352345</v>
      </c>
      <c r="H2357" s="3" t="str">
        <f aca="false">IF(MAX(D2357,E2357)&lt;Parametros!$B$16,"",IF(E2357=0,"PIDE SIN FCST",IF(ABS(G2357)&gt;Parametros!$B$14,IF(G2357&gt;0,"SOBRE FCST","BAJO FCST"),"")))</f>
        <v/>
      </c>
    </row>
    <row r="2358" customFormat="false" ht="15" hidden="false" customHeight="false" outlineLevel="0" collapsed="false">
      <c r="A2358" s="3" t="n">
        <v>30001656</v>
      </c>
      <c r="B2358" s="3" t="s">
        <v>350</v>
      </c>
      <c r="C2358" s="3" t="s">
        <v>1372</v>
      </c>
      <c r="D2358" s="23" t="n">
        <v>362.88</v>
      </c>
      <c r="E2358" s="23" t="n">
        <v>350</v>
      </c>
      <c r="F2358" s="23" t="n">
        <f aca="false">D2358-E2358</f>
        <v>12.88</v>
      </c>
      <c r="G2358" s="24" t="n">
        <f aca="false">IF(E2358&gt;0,D2358/E2358-1,"")</f>
        <v>0.0367999999999999</v>
      </c>
      <c r="H2358" s="3" t="str">
        <f aca="false">IF(MAX(D2358,E2358)&lt;Parametros!$B$16,"",IF(E2358=0,"PIDE SIN FCST",IF(ABS(G2358)&gt;Parametros!$B$14,IF(G2358&gt;0,"SOBRE FCST","BAJO FCST"),"")))</f>
        <v/>
      </c>
    </row>
    <row r="2359" customFormat="false" ht="15" hidden="false" customHeight="false" outlineLevel="0" collapsed="false">
      <c r="A2359" s="3" t="n">
        <v>30002145</v>
      </c>
      <c r="B2359" s="3" t="s">
        <v>631</v>
      </c>
      <c r="C2359" s="3" t="s">
        <v>1375</v>
      </c>
      <c r="D2359" s="23" t="n">
        <v>12.6</v>
      </c>
      <c r="E2359" s="23" t="n">
        <v>0</v>
      </c>
      <c r="F2359" s="23" t="n">
        <f aca="false">D2359-E2359</f>
        <v>12.6</v>
      </c>
      <c r="G2359" s="24" t="str">
        <f aca="false">IF(E2359&gt;0,D2359/E2359-1,"")</f>
        <v/>
      </c>
      <c r="H2359" s="3" t="str">
        <f aca="false">IF(MAX(D2359,E2359)&lt;Parametros!$B$16,"",IF(E2359=0,"PIDE SIN FCST",IF(ABS(G2359)&gt;Parametros!$B$14,IF(G2359&gt;0,"SOBRE FCST","BAJO FCST"),"")))</f>
        <v/>
      </c>
    </row>
    <row r="2360" customFormat="false" ht="15" hidden="false" customHeight="false" outlineLevel="0" collapsed="false">
      <c r="A2360" s="3" t="n">
        <v>30001954</v>
      </c>
      <c r="B2360" s="3" t="s">
        <v>470</v>
      </c>
      <c r="C2360" s="3" t="s">
        <v>1380</v>
      </c>
      <c r="D2360" s="23" t="n">
        <v>2312</v>
      </c>
      <c r="E2360" s="23" t="n">
        <v>2300</v>
      </c>
      <c r="F2360" s="23" t="n">
        <f aca="false">D2360-E2360</f>
        <v>12</v>
      </c>
      <c r="G2360" s="24" t="n">
        <f aca="false">IF(E2360&gt;0,D2360/E2360-1,"")</f>
        <v>0.00521739130434784</v>
      </c>
      <c r="H2360" s="3" t="str">
        <f aca="false">IF(MAX(D2360,E2360)&lt;Parametros!$B$16,"",IF(E2360=0,"PIDE SIN FCST",IF(ABS(G2360)&gt;Parametros!$B$14,IF(G2360&gt;0,"SOBRE FCST","BAJO FCST"),"")))</f>
        <v/>
      </c>
    </row>
    <row r="2361" customFormat="false" ht="15" hidden="false" customHeight="false" outlineLevel="0" collapsed="false">
      <c r="A2361" s="3" t="n">
        <v>30001149</v>
      </c>
      <c r="B2361" s="3" t="s">
        <v>536</v>
      </c>
      <c r="C2361" s="3" t="s">
        <v>1376</v>
      </c>
      <c r="D2361" s="23" t="n">
        <v>12</v>
      </c>
      <c r="E2361" s="23" t="n">
        <v>0</v>
      </c>
      <c r="F2361" s="23" t="n">
        <f aca="false">D2361-E2361</f>
        <v>12</v>
      </c>
      <c r="G2361" s="24" t="str">
        <f aca="false">IF(E2361&gt;0,D2361/E2361-1,"")</f>
        <v/>
      </c>
      <c r="H2361" s="3" t="str">
        <f aca="false">IF(MAX(D2361,E2361)&lt;Parametros!$B$16,"",IF(E2361=0,"PIDE SIN FCST",IF(ABS(G2361)&gt;Parametros!$B$14,IF(G2361&gt;0,"SOBRE FCST","BAJO FCST"),"")))</f>
        <v/>
      </c>
    </row>
    <row r="2362" customFormat="false" ht="15" hidden="false" customHeight="false" outlineLevel="0" collapsed="false">
      <c r="A2362" s="3" t="n">
        <v>30002099</v>
      </c>
      <c r="B2362" s="3" t="s">
        <v>237</v>
      </c>
      <c r="C2362" s="3" t="s">
        <v>1376</v>
      </c>
      <c r="D2362" s="23" t="n">
        <v>12</v>
      </c>
      <c r="E2362" s="23" t="n">
        <v>0</v>
      </c>
      <c r="F2362" s="23" t="n">
        <f aca="false">D2362-E2362</f>
        <v>12</v>
      </c>
      <c r="G2362" s="24" t="str">
        <f aca="false">IF(E2362&gt;0,D2362/E2362-1,"")</f>
        <v/>
      </c>
      <c r="H2362" s="3" t="str">
        <f aca="false">IF(MAX(D2362,E2362)&lt;Parametros!$B$16,"",IF(E2362=0,"PIDE SIN FCST",IF(ABS(G2362)&gt;Parametros!$B$14,IF(G2362&gt;0,"SOBRE FCST","BAJO FCST"),"")))</f>
        <v/>
      </c>
    </row>
    <row r="2363" customFormat="false" ht="15" hidden="false" customHeight="false" outlineLevel="0" collapsed="false">
      <c r="A2363" s="3" t="n">
        <v>30000239</v>
      </c>
      <c r="B2363" s="3" t="s">
        <v>644</v>
      </c>
      <c r="C2363" s="3" t="s">
        <v>1375</v>
      </c>
      <c r="D2363" s="23" t="n">
        <v>12</v>
      </c>
      <c r="E2363" s="23" t="n">
        <v>0</v>
      </c>
      <c r="F2363" s="23" t="n">
        <f aca="false">D2363-E2363</f>
        <v>12</v>
      </c>
      <c r="G2363" s="24" t="str">
        <f aca="false">IF(E2363&gt;0,D2363/E2363-1,"")</f>
        <v/>
      </c>
      <c r="H2363" s="3" t="str">
        <f aca="false">IF(MAX(D2363,E2363)&lt;Parametros!$B$16,"",IF(E2363=0,"PIDE SIN FCST",IF(ABS(G2363)&gt;Parametros!$B$14,IF(G2363&gt;0,"SOBRE FCST","BAJO FCST"),"")))</f>
        <v/>
      </c>
    </row>
    <row r="2364" customFormat="false" ht="15" hidden="false" customHeight="false" outlineLevel="0" collapsed="false">
      <c r="A2364" s="3" t="n">
        <v>30000252</v>
      </c>
      <c r="B2364" s="3" t="s">
        <v>405</v>
      </c>
      <c r="C2364" s="3" t="s">
        <v>1376</v>
      </c>
      <c r="D2364" s="23" t="n">
        <v>12</v>
      </c>
      <c r="E2364" s="23" t="n">
        <v>0</v>
      </c>
      <c r="F2364" s="23" t="n">
        <f aca="false">D2364-E2364</f>
        <v>12</v>
      </c>
      <c r="G2364" s="24" t="str">
        <f aca="false">IF(E2364&gt;0,D2364/E2364-1,"")</f>
        <v/>
      </c>
      <c r="H2364" s="3" t="str">
        <f aca="false">IF(MAX(D2364,E2364)&lt;Parametros!$B$16,"",IF(E2364=0,"PIDE SIN FCST",IF(ABS(G2364)&gt;Parametros!$B$14,IF(G2364&gt;0,"SOBRE FCST","BAJO FCST"),"")))</f>
        <v/>
      </c>
    </row>
    <row r="2365" customFormat="false" ht="15" hidden="false" customHeight="false" outlineLevel="0" collapsed="false">
      <c r="A2365" s="3" t="n">
        <v>30001657</v>
      </c>
      <c r="B2365" s="3" t="s">
        <v>395</v>
      </c>
      <c r="C2365" s="3" t="s">
        <v>1372</v>
      </c>
      <c r="D2365" s="23" t="n">
        <v>241.92</v>
      </c>
      <c r="E2365" s="23" t="n">
        <v>230</v>
      </c>
      <c r="F2365" s="23" t="n">
        <f aca="false">D2365-E2365</f>
        <v>11.92</v>
      </c>
      <c r="G2365" s="24" t="n">
        <f aca="false">IF(E2365&gt;0,D2365/E2365-1,"")</f>
        <v>0.0518260869565217</v>
      </c>
      <c r="H2365" s="3" t="str">
        <f aca="false">IF(MAX(D2365,E2365)&lt;Parametros!$B$16,"",IF(E2365=0,"PIDE SIN FCST",IF(ABS(G2365)&gt;Parametros!$B$14,IF(G2365&gt;0,"SOBRE FCST","BAJO FCST"),"")))</f>
        <v/>
      </c>
    </row>
    <row r="2366" customFormat="false" ht="15" hidden="false" customHeight="false" outlineLevel="0" collapsed="false">
      <c r="A2366" s="3" t="n">
        <v>30000054</v>
      </c>
      <c r="B2366" s="3" t="s">
        <v>349</v>
      </c>
      <c r="C2366" s="3" t="s">
        <v>1377</v>
      </c>
      <c r="D2366" s="23" t="n">
        <v>1148.16</v>
      </c>
      <c r="E2366" s="23" t="n">
        <v>1160</v>
      </c>
      <c r="F2366" s="23" t="n">
        <f aca="false">D2366-E2366</f>
        <v>-11.8399999999999</v>
      </c>
      <c r="G2366" s="24" t="n">
        <f aca="false">IF(E2366&gt;0,D2366/E2366-1,"")</f>
        <v>-0.010206896551724</v>
      </c>
      <c r="H2366" s="3" t="str">
        <f aca="false">IF(MAX(D2366,E2366)&lt;Parametros!$B$16,"",IF(E2366=0,"PIDE SIN FCST",IF(ABS(G2366)&gt;Parametros!$B$14,IF(G2366&gt;0,"SOBRE FCST","BAJO FCST"),"")))</f>
        <v/>
      </c>
    </row>
    <row r="2367" customFormat="false" ht="15" hidden="false" customHeight="false" outlineLevel="0" collapsed="false">
      <c r="A2367" s="3" t="n">
        <v>30000637</v>
      </c>
      <c r="B2367" s="3" t="s">
        <v>232</v>
      </c>
      <c r="C2367" s="3" t="s">
        <v>1377</v>
      </c>
      <c r="D2367" s="23" t="n">
        <v>2851.52</v>
      </c>
      <c r="E2367" s="23" t="n">
        <v>2840.24</v>
      </c>
      <c r="F2367" s="23" t="n">
        <f aca="false">D2367-E2367</f>
        <v>11.2800000000011</v>
      </c>
      <c r="G2367" s="24" t="n">
        <f aca="false">IF(E2367&gt;0,D2367/E2367-1,"")</f>
        <v>0.00397149536658903</v>
      </c>
      <c r="H2367" s="3" t="str">
        <f aca="false">IF(MAX(D2367,E2367)&lt;Parametros!$B$16,"",IF(E2367=0,"PIDE SIN FCST",IF(ABS(G2367)&gt;Parametros!$B$14,IF(G2367&gt;0,"SOBRE FCST","BAJO FCST"),"")))</f>
        <v/>
      </c>
    </row>
    <row r="2368" customFormat="false" ht="15" hidden="false" customHeight="false" outlineLevel="0" collapsed="false">
      <c r="A2368" s="3" t="n">
        <v>30000631</v>
      </c>
      <c r="B2368" s="3" t="s">
        <v>515</v>
      </c>
      <c r="C2368" s="3" t="s">
        <v>1376</v>
      </c>
      <c r="D2368" s="23" t="n">
        <v>91.2</v>
      </c>
      <c r="E2368" s="23" t="n">
        <v>80</v>
      </c>
      <c r="F2368" s="23" t="n">
        <f aca="false">D2368-E2368</f>
        <v>11.2</v>
      </c>
      <c r="G2368" s="24" t="n">
        <f aca="false">IF(E2368&gt;0,D2368/E2368-1,"")</f>
        <v>0.14</v>
      </c>
      <c r="H2368" s="3" t="str">
        <f aca="false">IF(MAX(D2368,E2368)&lt;Parametros!$B$16,"",IF(E2368=0,"PIDE SIN FCST",IF(ABS(G2368)&gt;Parametros!$B$14,IF(G2368&gt;0,"SOBRE FCST","BAJO FCST"),"")))</f>
        <v/>
      </c>
    </row>
    <row r="2369" customFormat="false" ht="15" hidden="false" customHeight="false" outlineLevel="0" collapsed="false">
      <c r="A2369" s="3" t="n">
        <v>30000636</v>
      </c>
      <c r="B2369" s="3" t="s">
        <v>479</v>
      </c>
      <c r="C2369" s="3" t="s">
        <v>1376</v>
      </c>
      <c r="D2369" s="23" t="n">
        <v>28.8</v>
      </c>
      <c r="E2369" s="23" t="n">
        <v>40</v>
      </c>
      <c r="F2369" s="23" t="n">
        <f aca="false">D2369-E2369</f>
        <v>-11.2</v>
      </c>
      <c r="G2369" s="24" t="n">
        <f aca="false">IF(E2369&gt;0,D2369/E2369-1,"")</f>
        <v>-0.28</v>
      </c>
      <c r="H2369" s="3" t="str">
        <f aca="false">IF(MAX(D2369,E2369)&lt;Parametros!$B$16,"",IF(E2369=0,"PIDE SIN FCST",IF(ABS(G2369)&gt;Parametros!$B$14,IF(G2369&gt;0,"SOBRE FCST","BAJO FCST"),"")))</f>
        <v/>
      </c>
    </row>
    <row r="2370" customFormat="false" ht="15" hidden="false" customHeight="false" outlineLevel="0" collapsed="false">
      <c r="A2370" s="3" t="n">
        <v>30001474</v>
      </c>
      <c r="B2370" s="3" t="s">
        <v>514</v>
      </c>
      <c r="C2370" s="3" t="s">
        <v>1378</v>
      </c>
      <c r="D2370" s="23" t="n">
        <v>226.8</v>
      </c>
      <c r="E2370" s="23" t="n">
        <v>215.643766373934</v>
      </c>
      <c r="F2370" s="23" t="n">
        <f aca="false">D2370-E2370</f>
        <v>11.1562336260658</v>
      </c>
      <c r="G2370" s="24" t="n">
        <f aca="false">IF(E2370&gt;0,D2370/E2370-1,"")</f>
        <v>0.0517345519124373</v>
      </c>
      <c r="H2370" s="3" t="str">
        <f aca="false">IF(MAX(D2370,E2370)&lt;Parametros!$B$16,"",IF(E2370=0,"PIDE SIN FCST",IF(ABS(G2370)&gt;Parametros!$B$14,IF(G2370&gt;0,"SOBRE FCST","BAJO FCST"),"")))</f>
        <v/>
      </c>
    </row>
    <row r="2371" customFormat="false" ht="15" hidden="false" customHeight="false" outlineLevel="0" collapsed="false">
      <c r="A2371" s="3" t="n">
        <v>30000628</v>
      </c>
      <c r="B2371" s="3" t="s">
        <v>574</v>
      </c>
      <c r="C2371" s="3" t="s">
        <v>1376</v>
      </c>
      <c r="D2371" s="23" t="n">
        <v>10.88</v>
      </c>
      <c r="E2371" s="23" t="n">
        <v>0</v>
      </c>
      <c r="F2371" s="23" t="n">
        <f aca="false">D2371-E2371</f>
        <v>10.88</v>
      </c>
      <c r="G2371" s="24" t="str">
        <f aca="false">IF(E2371&gt;0,D2371/E2371-1,"")</f>
        <v/>
      </c>
      <c r="H2371" s="3" t="str">
        <f aca="false">IF(MAX(D2371,E2371)&lt;Parametros!$B$16,"",IF(E2371=0,"PIDE SIN FCST",IF(ABS(G2371)&gt;Parametros!$B$14,IF(G2371&gt;0,"SOBRE FCST","BAJO FCST"),"")))</f>
        <v/>
      </c>
    </row>
    <row r="2372" customFormat="false" ht="15" hidden="false" customHeight="false" outlineLevel="0" collapsed="false">
      <c r="A2372" s="3" t="n">
        <v>30001341</v>
      </c>
      <c r="B2372" s="3" t="s">
        <v>540</v>
      </c>
      <c r="C2372" s="3" t="s">
        <v>1376</v>
      </c>
      <c r="D2372" s="23" t="n">
        <v>10.8</v>
      </c>
      <c r="E2372" s="23" t="n">
        <v>0</v>
      </c>
      <c r="F2372" s="23" t="n">
        <f aca="false">D2372-E2372</f>
        <v>10.8</v>
      </c>
      <c r="G2372" s="24" t="str">
        <f aca="false">IF(E2372&gt;0,D2372/E2372-1,"")</f>
        <v/>
      </c>
      <c r="H2372" s="3" t="str">
        <f aca="false">IF(MAX(D2372,E2372)&lt;Parametros!$B$16,"",IF(E2372=0,"PIDE SIN FCST",IF(ABS(G2372)&gt;Parametros!$B$14,IF(G2372&gt;0,"SOBRE FCST","BAJO FCST"),"")))</f>
        <v/>
      </c>
    </row>
    <row r="2373" customFormat="false" ht="15" hidden="false" customHeight="false" outlineLevel="0" collapsed="false">
      <c r="A2373" s="3" t="n">
        <v>30000088</v>
      </c>
      <c r="B2373" s="3" t="s">
        <v>485</v>
      </c>
      <c r="C2373" s="3" t="s">
        <v>1377</v>
      </c>
      <c r="D2373" s="23" t="n">
        <v>852</v>
      </c>
      <c r="E2373" s="23" t="n">
        <v>862.575065495737</v>
      </c>
      <c r="F2373" s="23" t="n">
        <f aca="false">D2373-E2373</f>
        <v>-10.5750654957366</v>
      </c>
      <c r="G2373" s="24" t="n">
        <f aca="false">IF(E2373&gt;0,D2373/E2373-1,"")</f>
        <v>-0.0122598784949329</v>
      </c>
      <c r="H2373" s="3" t="str">
        <f aca="false">IF(MAX(D2373,E2373)&lt;Parametros!$B$16,"",IF(E2373=0,"PIDE SIN FCST",IF(ABS(G2373)&gt;Parametros!$B$14,IF(G2373&gt;0,"SOBRE FCST","BAJO FCST"),"")))</f>
        <v/>
      </c>
    </row>
    <row r="2374" customFormat="false" ht="15" hidden="false" customHeight="false" outlineLevel="0" collapsed="false">
      <c r="A2374" s="3" t="n">
        <v>30000666</v>
      </c>
      <c r="B2374" s="3" t="s">
        <v>592</v>
      </c>
      <c r="C2374" s="3" t="s">
        <v>1377</v>
      </c>
      <c r="D2374" s="23" t="n">
        <v>133.76</v>
      </c>
      <c r="E2374" s="23" t="n">
        <v>144.32</v>
      </c>
      <c r="F2374" s="23" t="n">
        <f aca="false">D2374-E2374</f>
        <v>-10.56</v>
      </c>
      <c r="G2374" s="24" t="n">
        <f aca="false">IF(E2374&gt;0,D2374/E2374-1,"")</f>
        <v>-0.0731707317073171</v>
      </c>
      <c r="H2374" s="3" t="str">
        <f aca="false">IF(MAX(D2374,E2374)&lt;Parametros!$B$16,"",IF(E2374=0,"PIDE SIN FCST",IF(ABS(G2374)&gt;Parametros!$B$14,IF(G2374&gt;0,"SOBRE FCST","BAJO FCST"),"")))</f>
        <v/>
      </c>
    </row>
    <row r="2375" customFormat="false" ht="15" hidden="false" customHeight="false" outlineLevel="0" collapsed="false">
      <c r="A2375" s="3" t="n">
        <v>30001536</v>
      </c>
      <c r="B2375" s="3" t="s">
        <v>440</v>
      </c>
      <c r="C2375" s="3" t="s">
        <v>1376</v>
      </c>
      <c r="D2375" s="23" t="n">
        <v>10.44</v>
      </c>
      <c r="E2375" s="23" t="n">
        <v>0</v>
      </c>
      <c r="F2375" s="23" t="n">
        <f aca="false">D2375-E2375</f>
        <v>10.44</v>
      </c>
      <c r="G2375" s="24" t="str">
        <f aca="false">IF(E2375&gt;0,D2375/E2375-1,"")</f>
        <v/>
      </c>
      <c r="H2375" s="3" t="str">
        <f aca="false">IF(MAX(D2375,E2375)&lt;Parametros!$B$16,"",IF(E2375=0,"PIDE SIN FCST",IF(ABS(G2375)&gt;Parametros!$B$14,IF(G2375&gt;0,"SOBRE FCST","BAJO FCST"),"")))</f>
        <v/>
      </c>
    </row>
    <row r="2376" customFormat="false" ht="15" hidden="false" customHeight="false" outlineLevel="0" collapsed="false">
      <c r="A2376" s="3" t="n">
        <v>30001537</v>
      </c>
      <c r="B2376" s="3" t="s">
        <v>571</v>
      </c>
      <c r="C2376" s="3" t="s">
        <v>1376</v>
      </c>
      <c r="D2376" s="23" t="n">
        <v>10.44</v>
      </c>
      <c r="E2376" s="23" t="n">
        <v>0</v>
      </c>
      <c r="F2376" s="23" t="n">
        <f aca="false">D2376-E2376</f>
        <v>10.44</v>
      </c>
      <c r="G2376" s="24" t="str">
        <f aca="false">IF(E2376&gt;0,D2376/E2376-1,"")</f>
        <v/>
      </c>
      <c r="H2376" s="3" t="str">
        <f aca="false">IF(MAX(D2376,E2376)&lt;Parametros!$B$16,"",IF(E2376=0,"PIDE SIN FCST",IF(ABS(G2376)&gt;Parametros!$B$14,IF(G2376&gt;0,"SOBRE FCST","BAJO FCST"),"")))</f>
        <v/>
      </c>
    </row>
    <row r="2377" customFormat="false" ht="15" hidden="false" customHeight="false" outlineLevel="0" collapsed="false">
      <c r="A2377" s="3" t="n">
        <v>30002357</v>
      </c>
      <c r="B2377" s="3" t="s">
        <v>556</v>
      </c>
      <c r="C2377" s="3" t="s">
        <v>1373</v>
      </c>
      <c r="D2377" s="23" t="n">
        <v>10</v>
      </c>
      <c r="E2377" s="23" t="n">
        <v>0</v>
      </c>
      <c r="F2377" s="23" t="n">
        <f aca="false">D2377-E2377</f>
        <v>10</v>
      </c>
      <c r="G2377" s="24" t="str">
        <f aca="false">IF(E2377&gt;0,D2377/E2377-1,"")</f>
        <v/>
      </c>
      <c r="H2377" s="3" t="str">
        <f aca="false">IF(MAX(D2377,E2377)&lt;Parametros!$B$16,"",IF(E2377=0,"PIDE SIN FCST",IF(ABS(G2377)&gt;Parametros!$B$14,IF(G2377&gt;0,"SOBRE FCST","BAJO FCST"),"")))</f>
        <v/>
      </c>
    </row>
    <row r="2378" customFormat="false" ht="15" hidden="false" customHeight="false" outlineLevel="0" collapsed="false">
      <c r="A2378" s="3" t="n">
        <v>30001364</v>
      </c>
      <c r="B2378" s="3" t="s">
        <v>248</v>
      </c>
      <c r="C2378" s="3" t="s">
        <v>1376</v>
      </c>
      <c r="D2378" s="23" t="n">
        <v>9.94</v>
      </c>
      <c r="E2378" s="23" t="n">
        <v>0</v>
      </c>
      <c r="F2378" s="23" t="n">
        <f aca="false">D2378-E2378</f>
        <v>9.94</v>
      </c>
      <c r="G2378" s="24" t="str">
        <f aca="false">IF(E2378&gt;0,D2378/E2378-1,"")</f>
        <v/>
      </c>
      <c r="H2378" s="3" t="str">
        <f aca="false">IF(MAX(D2378,E2378)&lt;Parametros!$B$16,"",IF(E2378=0,"PIDE SIN FCST",IF(ABS(G2378)&gt;Parametros!$B$14,IF(G2378&gt;0,"SOBRE FCST","BAJO FCST"),"")))</f>
        <v/>
      </c>
    </row>
    <row r="2379" customFormat="false" ht="15" hidden="false" customHeight="false" outlineLevel="0" collapsed="false">
      <c r="A2379" s="3" t="n">
        <v>30002081</v>
      </c>
      <c r="B2379" s="3" t="s">
        <v>579</v>
      </c>
      <c r="C2379" s="3" t="s">
        <v>1377</v>
      </c>
      <c r="D2379" s="23" t="n">
        <v>170.24</v>
      </c>
      <c r="E2379" s="23" t="n">
        <v>180</v>
      </c>
      <c r="F2379" s="23" t="n">
        <f aca="false">D2379-E2379</f>
        <v>-9.75999999999999</v>
      </c>
      <c r="G2379" s="24" t="n">
        <f aca="false">IF(E2379&gt;0,D2379/E2379-1,"")</f>
        <v>-0.0542222222222222</v>
      </c>
      <c r="H2379" s="3" t="str">
        <f aca="false">IF(MAX(D2379,E2379)&lt;Parametros!$B$16,"",IF(E2379=0,"PIDE SIN FCST",IF(ABS(G2379)&gt;Parametros!$B$14,IF(G2379&gt;0,"SOBRE FCST","BAJO FCST"),"")))</f>
        <v/>
      </c>
    </row>
    <row r="2380" customFormat="false" ht="15" hidden="false" customHeight="false" outlineLevel="0" collapsed="false">
      <c r="A2380" s="3" t="n">
        <v>30002081</v>
      </c>
      <c r="B2380" s="3" t="s">
        <v>579</v>
      </c>
      <c r="C2380" s="3" t="s">
        <v>1375</v>
      </c>
      <c r="D2380" s="23" t="n">
        <v>1690.24</v>
      </c>
      <c r="E2380" s="23" t="n">
        <v>1700</v>
      </c>
      <c r="F2380" s="23" t="n">
        <f aca="false">D2380-E2380</f>
        <v>-9.75999999999999</v>
      </c>
      <c r="G2380" s="24" t="n">
        <f aca="false">IF(E2380&gt;0,D2380/E2380-1,"")</f>
        <v>-0.00574117647058825</v>
      </c>
      <c r="H2380" s="3" t="str">
        <f aca="false">IF(MAX(D2380,E2380)&lt;Parametros!$B$16,"",IF(E2380=0,"PIDE SIN FCST",IF(ABS(G2380)&gt;Parametros!$B$14,IF(G2380&gt;0,"SOBRE FCST","BAJO FCST"),"")))</f>
        <v/>
      </c>
    </row>
    <row r="2381" customFormat="false" ht="15" hidden="false" customHeight="false" outlineLevel="0" collapsed="false">
      <c r="A2381" s="3" t="n">
        <v>30000600</v>
      </c>
      <c r="B2381" s="3" t="s">
        <v>338</v>
      </c>
      <c r="C2381" s="3" t="s">
        <v>1380</v>
      </c>
      <c r="D2381" s="23" t="n">
        <v>1090.32</v>
      </c>
      <c r="E2381" s="23" t="n">
        <v>1100</v>
      </c>
      <c r="F2381" s="23" t="n">
        <f aca="false">D2381-E2381</f>
        <v>-9.68000000000006</v>
      </c>
      <c r="G2381" s="24" t="n">
        <f aca="false">IF(E2381&gt;0,D2381/E2381-1,"")</f>
        <v>-0.00880000000000003</v>
      </c>
      <c r="H2381" s="3" t="str">
        <f aca="false">IF(MAX(D2381,E2381)&lt;Parametros!$B$16,"",IF(E2381=0,"PIDE SIN FCST",IF(ABS(G2381)&gt;Parametros!$B$14,IF(G2381&gt;0,"SOBRE FCST","BAJO FCST"),"")))</f>
        <v/>
      </c>
    </row>
    <row r="2382" customFormat="false" ht="15" hidden="false" customHeight="false" outlineLevel="0" collapsed="false">
      <c r="A2382" s="3" t="n">
        <v>30002170</v>
      </c>
      <c r="B2382" s="3" t="s">
        <v>561</v>
      </c>
      <c r="C2382" s="3" t="s">
        <v>1375</v>
      </c>
      <c r="D2382" s="23" t="n">
        <v>9.6</v>
      </c>
      <c r="E2382" s="23" t="n">
        <v>0</v>
      </c>
      <c r="F2382" s="23" t="n">
        <f aca="false">D2382-E2382</f>
        <v>9.6</v>
      </c>
      <c r="G2382" s="24" t="str">
        <f aca="false">IF(E2382&gt;0,D2382/E2382-1,"")</f>
        <v/>
      </c>
      <c r="H2382" s="3" t="str">
        <f aca="false">IF(MAX(D2382,E2382)&lt;Parametros!$B$16,"",IF(E2382=0,"PIDE SIN FCST",IF(ABS(G2382)&gt;Parametros!$B$14,IF(G2382&gt;0,"SOBRE FCST","BAJO FCST"),"")))</f>
        <v/>
      </c>
    </row>
    <row r="2383" customFormat="false" ht="15" hidden="false" customHeight="false" outlineLevel="0" collapsed="false">
      <c r="A2383" s="3" t="n">
        <v>30002134</v>
      </c>
      <c r="B2383" s="3" t="s">
        <v>444</v>
      </c>
      <c r="C2383" s="3" t="s">
        <v>1377</v>
      </c>
      <c r="D2383" s="23" t="n">
        <v>9.6</v>
      </c>
      <c r="E2383" s="23" t="n">
        <v>0</v>
      </c>
      <c r="F2383" s="23" t="n">
        <f aca="false">D2383-E2383</f>
        <v>9.6</v>
      </c>
      <c r="G2383" s="24" t="str">
        <f aca="false">IF(E2383&gt;0,D2383/E2383-1,"")</f>
        <v/>
      </c>
      <c r="H2383" s="3" t="str">
        <f aca="false">IF(MAX(D2383,E2383)&lt;Parametros!$B$16,"",IF(E2383=0,"PIDE SIN FCST",IF(ABS(G2383)&gt;Parametros!$B$14,IF(G2383&gt;0,"SOBRE FCST","BAJO FCST"),"")))</f>
        <v/>
      </c>
    </row>
    <row r="2384" customFormat="false" ht="15" hidden="false" customHeight="false" outlineLevel="0" collapsed="false">
      <c r="A2384" s="3" t="n">
        <v>30002126</v>
      </c>
      <c r="B2384" s="3" t="s">
        <v>624</v>
      </c>
      <c r="C2384" s="3" t="s">
        <v>1378</v>
      </c>
      <c r="D2384" s="23" t="n">
        <v>33.6</v>
      </c>
      <c r="E2384" s="23" t="n">
        <v>43.1287532747868</v>
      </c>
      <c r="F2384" s="23" t="n">
        <f aca="false">D2384-E2384</f>
        <v>-9.52875327478683</v>
      </c>
      <c r="G2384" s="24" t="n">
        <f aca="false">IF(E2384&gt;0,D2384/E2384-1,"")</f>
        <v>-0.22093736895375</v>
      </c>
      <c r="H2384" s="3" t="str">
        <f aca="false">IF(MAX(D2384,E2384)&lt;Parametros!$B$16,"",IF(E2384=0,"PIDE SIN FCST",IF(ABS(G2384)&gt;Parametros!$B$14,IF(G2384&gt;0,"SOBRE FCST","BAJO FCST"),"")))</f>
        <v/>
      </c>
    </row>
    <row r="2385" customFormat="false" ht="15" hidden="false" customHeight="false" outlineLevel="0" collapsed="false">
      <c r="A2385" s="3" t="n">
        <v>30000500</v>
      </c>
      <c r="B2385" s="3" t="s">
        <v>526</v>
      </c>
      <c r="C2385" s="3" t="s">
        <v>1378</v>
      </c>
      <c r="D2385" s="23" t="n">
        <v>826.2</v>
      </c>
      <c r="E2385" s="23" t="n">
        <v>835.35713147023</v>
      </c>
      <c r="F2385" s="23" t="n">
        <f aca="false">D2385-E2385</f>
        <v>-9.15713147023007</v>
      </c>
      <c r="G2385" s="24" t="n">
        <f aca="false">IF(E2385&gt;0,D2385/E2385-1,"")</f>
        <v>-0.0109619360693234</v>
      </c>
      <c r="H2385" s="3" t="str">
        <f aca="false">IF(MAX(D2385,E2385)&lt;Parametros!$B$16,"",IF(E2385=0,"PIDE SIN FCST",IF(ABS(G2385)&gt;Parametros!$B$14,IF(G2385&gt;0,"SOBRE FCST","BAJO FCST"),"")))</f>
        <v/>
      </c>
    </row>
    <row r="2386" customFormat="false" ht="15" hidden="false" customHeight="false" outlineLevel="0" collapsed="false">
      <c r="A2386" s="3" t="n">
        <v>30001661</v>
      </c>
      <c r="B2386" s="3" t="s">
        <v>431</v>
      </c>
      <c r="C2386" s="3" t="s">
        <v>1372</v>
      </c>
      <c r="D2386" s="23" t="n">
        <v>151.2</v>
      </c>
      <c r="E2386" s="23" t="n">
        <v>160</v>
      </c>
      <c r="F2386" s="23" t="n">
        <f aca="false">D2386-E2386</f>
        <v>-8.80000000000001</v>
      </c>
      <c r="G2386" s="24" t="n">
        <f aca="false">IF(E2386&gt;0,D2386/E2386-1,"")</f>
        <v>-0.0550000000000001</v>
      </c>
      <c r="H2386" s="3" t="str">
        <f aca="false">IF(MAX(D2386,E2386)&lt;Parametros!$B$16,"",IF(E2386=0,"PIDE SIN FCST",IF(ABS(G2386)&gt;Parametros!$B$14,IF(G2386&gt;0,"SOBRE FCST","BAJO FCST"),"")))</f>
        <v/>
      </c>
    </row>
    <row r="2387" customFormat="false" ht="15" hidden="false" customHeight="false" outlineLevel="0" collapsed="false">
      <c r="A2387" s="3" t="n">
        <v>30000608</v>
      </c>
      <c r="B2387" s="3" t="s">
        <v>416</v>
      </c>
      <c r="C2387" s="3" t="s">
        <v>1375</v>
      </c>
      <c r="D2387" s="23" t="n">
        <v>591.36</v>
      </c>
      <c r="E2387" s="23" t="n">
        <v>600</v>
      </c>
      <c r="F2387" s="23" t="n">
        <f aca="false">D2387-E2387</f>
        <v>-8.63999999999999</v>
      </c>
      <c r="G2387" s="24" t="n">
        <f aca="false">IF(E2387&gt;0,D2387/E2387-1,"")</f>
        <v>-0.0144</v>
      </c>
      <c r="H2387" s="3" t="str">
        <f aca="false">IF(MAX(D2387,E2387)&lt;Parametros!$B$16,"",IF(E2387=0,"PIDE SIN FCST",IF(ABS(G2387)&gt;Parametros!$B$14,IF(G2387&gt;0,"SOBRE FCST","BAJO FCST"),"")))</f>
        <v/>
      </c>
    </row>
    <row r="2388" customFormat="false" ht="15" hidden="false" customHeight="false" outlineLevel="0" collapsed="false">
      <c r="A2388" s="3" t="n">
        <v>30000075</v>
      </c>
      <c r="B2388" s="3" t="s">
        <v>380</v>
      </c>
      <c r="C2388" s="3" t="s">
        <v>1377</v>
      </c>
      <c r="D2388" s="23" t="n">
        <v>423</v>
      </c>
      <c r="E2388" s="23" t="n">
        <v>431.287532747868</v>
      </c>
      <c r="F2388" s="23" t="n">
        <f aca="false">D2388-E2388</f>
        <v>-8.28753274786823</v>
      </c>
      <c r="G2388" s="24" t="n">
        <f aca="false">IF(E2388&gt;0,D2388/E2388-1,"")</f>
        <v>-0.0192157948435601</v>
      </c>
      <c r="H2388" s="3" t="str">
        <f aca="false">IF(MAX(D2388,E2388)&lt;Parametros!$B$16,"",IF(E2388=0,"PIDE SIN FCST",IF(ABS(G2388)&gt;Parametros!$B$14,IF(G2388&gt;0,"SOBRE FCST","BAJO FCST"),"")))</f>
        <v/>
      </c>
    </row>
    <row r="2389" customFormat="false" ht="15" hidden="false" customHeight="false" outlineLevel="0" collapsed="false">
      <c r="A2389" s="3" t="n">
        <v>30000050</v>
      </c>
      <c r="B2389" s="3" t="s">
        <v>604</v>
      </c>
      <c r="C2389" s="3" t="s">
        <v>1380</v>
      </c>
      <c r="D2389" s="23" t="n">
        <v>828</v>
      </c>
      <c r="E2389" s="23" t="n">
        <v>820</v>
      </c>
      <c r="F2389" s="23" t="n">
        <f aca="false">D2389-E2389</f>
        <v>8</v>
      </c>
      <c r="G2389" s="24" t="n">
        <f aca="false">IF(E2389&gt;0,D2389/E2389-1,"")</f>
        <v>0.00975609756097562</v>
      </c>
      <c r="H2389" s="3" t="str">
        <f aca="false">IF(MAX(D2389,E2389)&lt;Parametros!$B$16,"",IF(E2389=0,"PIDE SIN FCST",IF(ABS(G2389)&gt;Parametros!$B$14,IF(G2389&gt;0,"SOBRE FCST","BAJO FCST"),"")))</f>
        <v/>
      </c>
    </row>
    <row r="2390" customFormat="false" ht="15" hidden="false" customHeight="false" outlineLevel="0" collapsed="false">
      <c r="A2390" s="3" t="n">
        <v>30002046</v>
      </c>
      <c r="B2390" s="3" t="s">
        <v>620</v>
      </c>
      <c r="C2390" s="3" t="s">
        <v>1377</v>
      </c>
      <c r="D2390" s="23" t="n">
        <v>27.72</v>
      </c>
      <c r="E2390" s="23" t="n">
        <v>19.8</v>
      </c>
      <c r="F2390" s="23" t="n">
        <f aca="false">D2390-E2390</f>
        <v>7.92</v>
      </c>
      <c r="G2390" s="24" t="n">
        <f aca="false">IF(E2390&gt;0,D2390/E2390-1,"")</f>
        <v>0.4</v>
      </c>
      <c r="H2390" s="3" t="str">
        <f aca="false">IF(MAX(D2390,E2390)&lt;Parametros!$B$16,"",IF(E2390=0,"PIDE SIN FCST",IF(ABS(G2390)&gt;Parametros!$B$14,IF(G2390&gt;0,"SOBRE FCST","BAJO FCST"),"")))</f>
        <v/>
      </c>
    </row>
    <row r="2391" customFormat="false" ht="15" hidden="false" customHeight="false" outlineLevel="0" collapsed="false">
      <c r="A2391" s="3" t="n">
        <v>30000671</v>
      </c>
      <c r="B2391" s="3" t="s">
        <v>552</v>
      </c>
      <c r="C2391" s="3" t="s">
        <v>1373</v>
      </c>
      <c r="D2391" s="23" t="n">
        <v>674.88</v>
      </c>
      <c r="E2391" s="23" t="n">
        <v>682.4</v>
      </c>
      <c r="F2391" s="23" t="n">
        <f aca="false">D2391-E2391</f>
        <v>-7.51999999999998</v>
      </c>
      <c r="G2391" s="24" t="n">
        <f aca="false">IF(E2391&gt;0,D2391/E2391-1,"")</f>
        <v>-0.0110199296600234</v>
      </c>
      <c r="H2391" s="3" t="str">
        <f aca="false">IF(MAX(D2391,E2391)&lt;Parametros!$B$16,"",IF(E2391=0,"PIDE SIN FCST",IF(ABS(G2391)&gt;Parametros!$B$14,IF(G2391&gt;0,"SOBRE FCST","BAJO FCST"),"")))</f>
        <v/>
      </c>
    </row>
    <row r="2392" customFormat="false" ht="15" hidden="false" customHeight="false" outlineLevel="0" collapsed="false">
      <c r="A2392" s="3" t="n">
        <v>30002132</v>
      </c>
      <c r="B2392" s="3" t="s">
        <v>586</v>
      </c>
      <c r="C2392" s="3" t="s">
        <v>1377</v>
      </c>
      <c r="D2392" s="23" t="n">
        <v>7.5</v>
      </c>
      <c r="E2392" s="23" t="n">
        <v>0</v>
      </c>
      <c r="F2392" s="23" t="n">
        <f aca="false">D2392-E2392</f>
        <v>7.5</v>
      </c>
      <c r="G2392" s="24" t="str">
        <f aca="false">IF(E2392&gt;0,D2392/E2392-1,"")</f>
        <v/>
      </c>
      <c r="H2392" s="3" t="str">
        <f aca="false">IF(MAX(D2392,E2392)&lt;Parametros!$B$16,"",IF(E2392=0,"PIDE SIN FCST",IF(ABS(G2392)&gt;Parametros!$B$14,IF(G2392&gt;0,"SOBRE FCST","BAJO FCST"),"")))</f>
        <v/>
      </c>
    </row>
    <row r="2393" customFormat="false" ht="15" hidden="false" customHeight="false" outlineLevel="0" collapsed="false">
      <c r="A2393" s="3" t="n">
        <v>30001780</v>
      </c>
      <c r="B2393" s="3" t="s">
        <v>340</v>
      </c>
      <c r="C2393" s="3" t="s">
        <v>1376</v>
      </c>
      <c r="D2393" s="23" t="n">
        <v>407.376</v>
      </c>
      <c r="E2393" s="23" t="n">
        <v>400</v>
      </c>
      <c r="F2393" s="23" t="n">
        <f aca="false">D2393-E2393</f>
        <v>7.37599999999998</v>
      </c>
      <c r="G2393" s="24" t="n">
        <f aca="false">IF(E2393&gt;0,D2393/E2393-1,"")</f>
        <v>0.01844</v>
      </c>
      <c r="H2393" s="3" t="str">
        <f aca="false">IF(MAX(D2393,E2393)&lt;Parametros!$B$16,"",IF(E2393=0,"PIDE SIN FCST",IF(ABS(G2393)&gt;Parametros!$B$14,IF(G2393&gt;0,"SOBRE FCST","BAJO FCST"),"")))</f>
        <v/>
      </c>
    </row>
    <row r="2394" customFormat="false" ht="15" hidden="false" customHeight="false" outlineLevel="0" collapsed="false">
      <c r="A2394" s="3" t="n">
        <v>30000658</v>
      </c>
      <c r="B2394" s="3" t="s">
        <v>322</v>
      </c>
      <c r="C2394" s="3" t="s">
        <v>1379</v>
      </c>
      <c r="D2394" s="23" t="n">
        <v>3669.6</v>
      </c>
      <c r="E2394" s="23" t="n">
        <v>3676.95356395287</v>
      </c>
      <c r="F2394" s="23" t="n">
        <f aca="false">D2394-E2394</f>
        <v>-7.35356395286726</v>
      </c>
      <c r="G2394" s="24" t="n">
        <f aca="false">IF(E2394&gt;0,D2394/E2394-1,"")</f>
        <v>-0.00199990666865046</v>
      </c>
      <c r="H2394" s="3" t="str">
        <f aca="false">IF(MAX(D2394,E2394)&lt;Parametros!$B$16,"",IF(E2394=0,"PIDE SIN FCST",IF(ABS(G2394)&gt;Parametros!$B$14,IF(G2394&gt;0,"SOBRE FCST","BAJO FCST"),"")))</f>
        <v/>
      </c>
    </row>
    <row r="2395" customFormat="false" ht="15" hidden="false" customHeight="false" outlineLevel="0" collapsed="false">
      <c r="A2395" s="3" t="n">
        <v>30000253</v>
      </c>
      <c r="B2395" s="3" t="s">
        <v>542</v>
      </c>
      <c r="C2395" s="3" t="s">
        <v>1375</v>
      </c>
      <c r="D2395" s="23" t="n">
        <v>1128</v>
      </c>
      <c r="E2395" s="23" t="n">
        <v>1120.97218980648</v>
      </c>
      <c r="F2395" s="23" t="n">
        <f aca="false">D2395-E2395</f>
        <v>7.02781019352392</v>
      </c>
      <c r="G2395" s="24" t="n">
        <f aca="false">IF(E2395&gt;0,D2395/E2395-1,"")</f>
        <v>0.00626938853383785</v>
      </c>
      <c r="H2395" s="3" t="str">
        <f aca="false">IF(MAX(D2395,E2395)&lt;Parametros!$B$16,"",IF(E2395=0,"PIDE SIN FCST",IF(ABS(G2395)&gt;Parametros!$B$14,IF(G2395&gt;0,"SOBRE FCST","BAJO FCST"),"")))</f>
        <v/>
      </c>
    </row>
    <row r="2396" customFormat="false" ht="15" hidden="false" customHeight="false" outlineLevel="0" collapsed="false">
      <c r="A2396" s="3" t="n">
        <v>30000053</v>
      </c>
      <c r="B2396" s="3" t="s">
        <v>525</v>
      </c>
      <c r="C2396" s="3" t="s">
        <v>1373</v>
      </c>
      <c r="D2396" s="23" t="n">
        <v>244.2</v>
      </c>
      <c r="E2396" s="23" t="n">
        <v>237.7</v>
      </c>
      <c r="F2396" s="23" t="n">
        <f aca="false">D2396-E2396</f>
        <v>6.5</v>
      </c>
      <c r="G2396" s="24" t="n">
        <f aca="false">IF(E2396&gt;0,D2396/E2396-1,"")</f>
        <v>0.0273453933529659</v>
      </c>
      <c r="H2396" s="3" t="str">
        <f aca="false">IF(MAX(D2396,E2396)&lt;Parametros!$B$16,"",IF(E2396=0,"PIDE SIN FCST",IF(ABS(G2396)&gt;Parametros!$B$14,IF(G2396&gt;0,"SOBRE FCST","BAJO FCST"),"")))</f>
        <v/>
      </c>
    </row>
    <row r="2397" customFormat="false" ht="15" hidden="false" customHeight="false" outlineLevel="0" collapsed="false">
      <c r="A2397" s="3" t="n">
        <v>30001405</v>
      </c>
      <c r="B2397" s="3" t="s">
        <v>386</v>
      </c>
      <c r="C2397" s="3" t="s">
        <v>1377</v>
      </c>
      <c r="D2397" s="23" t="n">
        <v>1030.5</v>
      </c>
      <c r="E2397" s="23" t="n">
        <v>1036.92029059484</v>
      </c>
      <c r="F2397" s="23" t="n">
        <f aca="false">D2397-E2397</f>
        <v>-6.42029059483593</v>
      </c>
      <c r="G2397" s="24" t="n">
        <f aca="false">IF(E2397&gt;0,D2397/E2397-1,"")</f>
        <v>-0.00619169154376653</v>
      </c>
      <c r="H2397" s="3" t="str">
        <f aca="false">IF(MAX(D2397,E2397)&lt;Parametros!$B$16,"",IF(E2397=0,"PIDE SIN FCST",IF(ABS(G2397)&gt;Parametros!$B$14,IF(G2397&gt;0,"SOBRE FCST","BAJO FCST"),"")))</f>
        <v/>
      </c>
    </row>
    <row r="2398" customFormat="false" ht="15" hidden="false" customHeight="false" outlineLevel="0" collapsed="false">
      <c r="A2398" s="3" t="n">
        <v>30001050</v>
      </c>
      <c r="B2398" s="3" t="s">
        <v>233</v>
      </c>
      <c r="C2398" s="3" t="s">
        <v>1378</v>
      </c>
      <c r="D2398" s="23" t="n">
        <v>2328</v>
      </c>
      <c r="E2398" s="23" t="n">
        <v>2321.64040190926</v>
      </c>
      <c r="F2398" s="23" t="n">
        <f aca="false">D2398-E2398</f>
        <v>6.35959809073802</v>
      </c>
      <c r="G2398" s="24" t="n">
        <f aca="false">IF(E2398&gt;0,D2398/E2398-1,"")</f>
        <v>0.00273926921908663</v>
      </c>
      <c r="H2398" s="3" t="str">
        <f aca="false">IF(MAX(D2398,E2398)&lt;Parametros!$B$16,"",IF(E2398=0,"PIDE SIN FCST",IF(ABS(G2398)&gt;Parametros!$B$14,IF(G2398&gt;0,"SOBRE FCST","BAJO FCST"),"")))</f>
        <v/>
      </c>
    </row>
    <row r="2399" customFormat="false" ht="15" hidden="false" customHeight="false" outlineLevel="0" collapsed="false">
      <c r="A2399" s="3" t="n">
        <v>30000629</v>
      </c>
      <c r="B2399" s="3" t="s">
        <v>347</v>
      </c>
      <c r="C2399" s="3" t="s">
        <v>1377</v>
      </c>
      <c r="D2399" s="23" t="n">
        <v>1143.04</v>
      </c>
      <c r="E2399" s="23" t="n">
        <v>1149.28</v>
      </c>
      <c r="F2399" s="23" t="n">
        <f aca="false">D2399-E2399</f>
        <v>-6.24000000000001</v>
      </c>
      <c r="G2399" s="24" t="n">
        <f aca="false">IF(E2399&gt;0,D2399/E2399-1,"")</f>
        <v>-0.00542948628706674</v>
      </c>
      <c r="H2399" s="3" t="str">
        <f aca="false">IF(MAX(D2399,E2399)&lt;Parametros!$B$16,"",IF(E2399=0,"PIDE SIN FCST",IF(ABS(G2399)&gt;Parametros!$B$14,IF(G2399&gt;0,"SOBRE FCST","BAJO FCST"),"")))</f>
        <v/>
      </c>
    </row>
    <row r="2400" customFormat="false" ht="15" hidden="false" customHeight="false" outlineLevel="0" collapsed="false">
      <c r="A2400" s="3" t="n">
        <v>30001861</v>
      </c>
      <c r="B2400" s="3" t="s">
        <v>250</v>
      </c>
      <c r="C2400" s="3" t="s">
        <v>1378</v>
      </c>
      <c r="D2400" s="23" t="n">
        <v>3493.8</v>
      </c>
      <c r="E2400" s="23" t="n">
        <v>3500</v>
      </c>
      <c r="F2400" s="23" t="n">
        <f aca="false">D2400-E2400</f>
        <v>-6.19999999999982</v>
      </c>
      <c r="G2400" s="24" t="n">
        <f aca="false">IF(E2400&gt;0,D2400/E2400-1,"")</f>
        <v>-0.00177142857142854</v>
      </c>
      <c r="H2400" s="3" t="str">
        <f aca="false">IF(MAX(D2400,E2400)&lt;Parametros!$B$16,"",IF(E2400=0,"PIDE SIN FCST",IF(ABS(G2400)&gt;Parametros!$B$14,IF(G2400&gt;0,"SOBRE FCST","BAJO FCST"),"")))</f>
        <v/>
      </c>
    </row>
    <row r="2401" customFormat="false" ht="15" hidden="false" customHeight="false" outlineLevel="0" collapsed="false">
      <c r="A2401" s="3" t="n">
        <v>30001407</v>
      </c>
      <c r="B2401" s="3" t="s">
        <v>537</v>
      </c>
      <c r="C2401" s="3" t="s">
        <v>1377</v>
      </c>
      <c r="D2401" s="23" t="n">
        <v>1044</v>
      </c>
      <c r="E2401" s="23" t="n">
        <v>1037.90591124335</v>
      </c>
      <c r="F2401" s="23" t="n">
        <f aca="false">D2401-E2401</f>
        <v>6.09408875664894</v>
      </c>
      <c r="G2401" s="24" t="n">
        <f aca="false">IF(E2401&gt;0,D2401/E2401-1,"")</f>
        <v>0.00587152331500707</v>
      </c>
      <c r="H2401" s="3" t="str">
        <f aca="false">IF(MAX(D2401,E2401)&lt;Parametros!$B$16,"",IF(E2401=0,"PIDE SIN FCST",IF(ABS(G2401)&gt;Parametros!$B$14,IF(G2401&gt;0,"SOBRE FCST","BAJO FCST"),"")))</f>
        <v/>
      </c>
    </row>
    <row r="2402" customFormat="false" ht="15" hidden="false" customHeight="false" outlineLevel="0" collapsed="false">
      <c r="A2402" s="3" t="n">
        <v>30000244</v>
      </c>
      <c r="B2402" s="3" t="s">
        <v>403</v>
      </c>
      <c r="C2402" s="3" t="s">
        <v>1375</v>
      </c>
      <c r="D2402" s="23" t="n">
        <v>216</v>
      </c>
      <c r="E2402" s="23" t="n">
        <v>210</v>
      </c>
      <c r="F2402" s="23" t="n">
        <f aca="false">D2402-E2402</f>
        <v>6</v>
      </c>
      <c r="G2402" s="24" t="n">
        <f aca="false">IF(E2402&gt;0,D2402/E2402-1,"")</f>
        <v>0.0285714285714285</v>
      </c>
      <c r="H2402" s="3" t="str">
        <f aca="false">IF(MAX(D2402,E2402)&lt;Parametros!$B$16,"",IF(E2402=0,"PIDE SIN FCST",IF(ABS(G2402)&gt;Parametros!$B$14,IF(G2402&gt;0,"SOBRE FCST","BAJO FCST"),"")))</f>
        <v/>
      </c>
    </row>
    <row r="2403" customFormat="false" ht="15" hidden="false" customHeight="false" outlineLevel="0" collapsed="false">
      <c r="A2403" s="3" t="n">
        <v>30000068</v>
      </c>
      <c r="B2403" s="3" t="s">
        <v>640</v>
      </c>
      <c r="C2403" s="3" t="s">
        <v>1375</v>
      </c>
      <c r="D2403" s="23" t="n">
        <v>6</v>
      </c>
      <c r="E2403" s="23" t="n">
        <v>0</v>
      </c>
      <c r="F2403" s="23" t="n">
        <f aca="false">D2403-E2403</f>
        <v>6</v>
      </c>
      <c r="G2403" s="24" t="str">
        <f aca="false">IF(E2403&gt;0,D2403/E2403-1,"")</f>
        <v/>
      </c>
      <c r="H2403" s="3" t="str">
        <f aca="false">IF(MAX(D2403,E2403)&lt;Parametros!$B$16,"",IF(E2403=0,"PIDE SIN FCST",IF(ABS(G2403)&gt;Parametros!$B$14,IF(G2403&gt;0,"SOBRE FCST","BAJO FCST"),"")))</f>
        <v/>
      </c>
    </row>
    <row r="2404" customFormat="false" ht="15" hidden="false" customHeight="false" outlineLevel="0" collapsed="false">
      <c r="A2404" s="3" t="n">
        <v>30000251</v>
      </c>
      <c r="B2404" s="3" t="s">
        <v>615</v>
      </c>
      <c r="C2404" s="3" t="s">
        <v>1376</v>
      </c>
      <c r="D2404" s="23" t="n">
        <v>6</v>
      </c>
      <c r="E2404" s="23" t="n">
        <v>0</v>
      </c>
      <c r="F2404" s="23" t="n">
        <f aca="false">D2404-E2404</f>
        <v>6</v>
      </c>
      <c r="G2404" s="24" t="str">
        <f aca="false">IF(E2404&gt;0,D2404/E2404-1,"")</f>
        <v/>
      </c>
      <c r="H2404" s="3" t="str">
        <f aca="false">IF(MAX(D2404,E2404)&lt;Parametros!$B$16,"",IF(E2404=0,"PIDE SIN FCST",IF(ABS(G2404)&gt;Parametros!$B$14,IF(G2404&gt;0,"SOBRE FCST","BAJO FCST"),"")))</f>
        <v/>
      </c>
    </row>
    <row r="2405" customFormat="false" ht="15" hidden="false" customHeight="false" outlineLevel="0" collapsed="false">
      <c r="A2405" s="3" t="n">
        <v>30000088</v>
      </c>
      <c r="B2405" s="3" t="s">
        <v>485</v>
      </c>
      <c r="C2405" s="3" t="s">
        <v>1375</v>
      </c>
      <c r="D2405" s="23" t="n">
        <v>2406</v>
      </c>
      <c r="E2405" s="23" t="n">
        <v>2400</v>
      </c>
      <c r="F2405" s="23" t="n">
        <f aca="false">D2405-E2405</f>
        <v>6</v>
      </c>
      <c r="G2405" s="24" t="n">
        <f aca="false">IF(E2405&gt;0,D2405/E2405-1,"")</f>
        <v>0.00249999999999995</v>
      </c>
      <c r="H2405" s="3" t="str">
        <f aca="false">IF(MAX(D2405,E2405)&lt;Parametros!$B$16,"",IF(E2405=0,"PIDE SIN FCST",IF(ABS(G2405)&gt;Parametros!$B$14,IF(G2405&gt;0,"SOBRE FCST","BAJO FCST"),"")))</f>
        <v/>
      </c>
    </row>
    <row r="2406" customFormat="false" ht="15" hidden="false" customHeight="false" outlineLevel="0" collapsed="false">
      <c r="A2406" s="3" t="n">
        <v>30001487</v>
      </c>
      <c r="B2406" s="3" t="s">
        <v>353</v>
      </c>
      <c r="C2406" s="3" t="s">
        <v>1377</v>
      </c>
      <c r="D2406" s="23" t="n">
        <v>1146</v>
      </c>
      <c r="E2406" s="23" t="n">
        <v>1151.938722626</v>
      </c>
      <c r="F2406" s="23" t="n">
        <f aca="false">D2406-E2406</f>
        <v>-5.93872262600189</v>
      </c>
      <c r="G2406" s="24" t="n">
        <f aca="false">IF(E2406&gt;0,D2406/E2406-1,"")</f>
        <v>-0.00515541539611042</v>
      </c>
      <c r="H2406" s="3" t="str">
        <f aca="false">IF(MAX(D2406,E2406)&lt;Parametros!$B$16,"",IF(E2406=0,"PIDE SIN FCST",IF(ABS(G2406)&gt;Parametros!$B$14,IF(G2406&gt;0,"SOBRE FCST","BAJO FCST"),"")))</f>
        <v/>
      </c>
    </row>
    <row r="2407" customFormat="false" ht="15" hidden="false" customHeight="false" outlineLevel="0" collapsed="false">
      <c r="A2407" s="3" t="n">
        <v>30001093</v>
      </c>
      <c r="B2407" s="3" t="s">
        <v>327</v>
      </c>
      <c r="C2407" s="3" t="s">
        <v>1378</v>
      </c>
      <c r="D2407" s="23" t="n">
        <v>1288.8</v>
      </c>
      <c r="E2407" s="23" t="n">
        <v>1293.86259824361</v>
      </c>
      <c r="F2407" s="23" t="n">
        <f aca="false">D2407-E2407</f>
        <v>-5.06259824360495</v>
      </c>
      <c r="G2407" s="24" t="n">
        <f aca="false">IF(E2407&gt;0,D2407/E2407-1,"")</f>
        <v>-0.00391277887658037</v>
      </c>
      <c r="H2407" s="3" t="str">
        <f aca="false">IF(MAX(D2407,E2407)&lt;Parametros!$B$16,"",IF(E2407=0,"PIDE SIN FCST",IF(ABS(G2407)&gt;Parametros!$B$14,IF(G2407&gt;0,"SOBRE FCST","BAJO FCST"),"")))</f>
        <v/>
      </c>
    </row>
    <row r="2408" customFormat="false" ht="15" hidden="false" customHeight="false" outlineLevel="0" collapsed="false">
      <c r="A2408" s="3" t="n">
        <v>30000309</v>
      </c>
      <c r="B2408" s="3" t="s">
        <v>236</v>
      </c>
      <c r="C2408" s="3" t="s">
        <v>1378</v>
      </c>
      <c r="D2408" s="23" t="n">
        <v>4488</v>
      </c>
      <c r="E2408" s="23" t="n">
        <v>4493.01252959865</v>
      </c>
      <c r="F2408" s="23" t="n">
        <f aca="false">D2408-E2408</f>
        <v>-5.0125295986536</v>
      </c>
      <c r="G2408" s="24" t="n">
        <f aca="false">IF(E2408&gt;0,D2408/E2408-1,"")</f>
        <v>-0.00111562778105612</v>
      </c>
      <c r="H2408" s="3" t="str">
        <f aca="false">IF(MAX(D2408,E2408)&lt;Parametros!$B$16,"",IF(E2408=0,"PIDE SIN FCST",IF(ABS(G2408)&gt;Parametros!$B$14,IF(G2408&gt;0,"SOBRE FCST","BAJO FCST"),"")))</f>
        <v/>
      </c>
    </row>
    <row r="2409" customFormat="false" ht="15" hidden="false" customHeight="false" outlineLevel="0" collapsed="false">
      <c r="A2409" s="3" t="n">
        <v>30002165</v>
      </c>
      <c r="B2409" s="3" t="s">
        <v>314</v>
      </c>
      <c r="C2409" s="3" t="s">
        <v>1377</v>
      </c>
      <c r="D2409" s="23" t="n">
        <v>651.84</v>
      </c>
      <c r="E2409" s="23" t="n">
        <v>646.931299121803</v>
      </c>
      <c r="F2409" s="23" t="n">
        <f aca="false">D2409-E2409</f>
        <v>4.90870087819735</v>
      </c>
      <c r="G2409" s="24" t="n">
        <f aca="false">IF(E2409&gt;0,D2409/E2409-1,"")</f>
        <v>0.00758766948648315</v>
      </c>
      <c r="H2409" s="3" t="str">
        <f aca="false">IF(MAX(D2409,E2409)&lt;Parametros!$B$16,"",IF(E2409=0,"PIDE SIN FCST",IF(ABS(G2409)&gt;Parametros!$B$14,IF(G2409&gt;0,"SOBRE FCST","BAJO FCST"),"")))</f>
        <v/>
      </c>
    </row>
    <row r="2410" customFormat="false" ht="15" hidden="false" customHeight="false" outlineLevel="0" collapsed="false">
      <c r="A2410" s="3" t="n">
        <v>30001540</v>
      </c>
      <c r="B2410" s="3" t="s">
        <v>501</v>
      </c>
      <c r="C2410" s="3" t="s">
        <v>1372</v>
      </c>
      <c r="D2410" s="23" t="n">
        <v>595.84</v>
      </c>
      <c r="E2410" s="23" t="n">
        <v>591.2</v>
      </c>
      <c r="F2410" s="23" t="n">
        <f aca="false">D2410-E2410</f>
        <v>4.63999999999999</v>
      </c>
      <c r="G2410" s="24" t="n">
        <f aca="false">IF(E2410&gt;0,D2410/E2410-1,"")</f>
        <v>0.00784844384303107</v>
      </c>
      <c r="H2410" s="3" t="str">
        <f aca="false">IF(MAX(D2410,E2410)&lt;Parametros!$B$16,"",IF(E2410=0,"PIDE SIN FCST",IF(ABS(G2410)&gt;Parametros!$B$14,IF(G2410&gt;0,"SOBRE FCST","BAJO FCST"),"")))</f>
        <v/>
      </c>
    </row>
    <row r="2411" customFormat="false" ht="15" hidden="false" customHeight="false" outlineLevel="0" collapsed="false">
      <c r="A2411" s="3" t="n">
        <v>30001698</v>
      </c>
      <c r="B2411" s="3" t="s">
        <v>539</v>
      </c>
      <c r="C2411" s="3" t="s">
        <v>1376</v>
      </c>
      <c r="D2411" s="23" t="n">
        <v>30.24</v>
      </c>
      <c r="E2411" s="23" t="n">
        <v>34.56</v>
      </c>
      <c r="F2411" s="23" t="n">
        <f aca="false">D2411-E2411</f>
        <v>-4.32</v>
      </c>
      <c r="G2411" s="24" t="n">
        <f aca="false">IF(E2411&gt;0,D2411/E2411-1,"")</f>
        <v>-0.125</v>
      </c>
      <c r="H2411" s="3" t="str">
        <f aca="false">IF(MAX(D2411,E2411)&lt;Parametros!$B$16,"",IF(E2411=0,"PIDE SIN FCST",IF(ABS(G2411)&gt;Parametros!$B$14,IF(G2411&gt;0,"SOBRE FCST","BAJO FCST"),"")))</f>
        <v/>
      </c>
    </row>
    <row r="2412" customFormat="false" ht="15" hidden="false" customHeight="false" outlineLevel="0" collapsed="false">
      <c r="A2412" s="3" t="n">
        <v>30002137</v>
      </c>
      <c r="B2412" s="3" t="s">
        <v>627</v>
      </c>
      <c r="C2412" s="3" t="s">
        <v>1375</v>
      </c>
      <c r="D2412" s="23" t="n">
        <v>4.2</v>
      </c>
      <c r="E2412" s="23" t="n">
        <v>0</v>
      </c>
      <c r="F2412" s="23" t="n">
        <f aca="false">D2412-E2412</f>
        <v>4.2</v>
      </c>
      <c r="G2412" s="24" t="str">
        <f aca="false">IF(E2412&gt;0,D2412/E2412-1,"")</f>
        <v/>
      </c>
      <c r="H2412" s="3" t="str">
        <f aca="false">IF(MAX(D2412,E2412)&lt;Parametros!$B$16,"",IF(E2412=0,"PIDE SIN FCST",IF(ABS(G2412)&gt;Parametros!$B$14,IF(G2412&gt;0,"SOBRE FCST","BAJO FCST"),"")))</f>
        <v/>
      </c>
    </row>
    <row r="2413" customFormat="false" ht="15" hidden="false" customHeight="false" outlineLevel="0" collapsed="false">
      <c r="A2413" s="3" t="n">
        <v>30002325</v>
      </c>
      <c r="B2413" s="3" t="s">
        <v>505</v>
      </c>
      <c r="C2413" s="3" t="s">
        <v>1373</v>
      </c>
      <c r="D2413" s="23" t="n">
        <v>1098</v>
      </c>
      <c r="E2413" s="23" t="n">
        <v>1093.9375</v>
      </c>
      <c r="F2413" s="23" t="n">
        <f aca="false">D2413-E2413</f>
        <v>4.0625</v>
      </c>
      <c r="G2413" s="24" t="n">
        <f aca="false">IF(E2413&gt;0,D2413/E2413-1,"")</f>
        <v>0.00371364908872773</v>
      </c>
      <c r="H2413" s="3" t="str">
        <f aca="false">IF(MAX(D2413,E2413)&lt;Parametros!$B$16,"",IF(E2413=0,"PIDE SIN FCST",IF(ABS(G2413)&gt;Parametros!$B$14,IF(G2413&gt;0,"SOBRE FCST","BAJO FCST"),"")))</f>
        <v/>
      </c>
    </row>
    <row r="2414" customFormat="false" ht="15" hidden="false" customHeight="false" outlineLevel="0" collapsed="false">
      <c r="A2414" s="3" t="n">
        <v>30000612</v>
      </c>
      <c r="B2414" s="3" t="s">
        <v>580</v>
      </c>
      <c r="C2414" s="3" t="s">
        <v>1377</v>
      </c>
      <c r="D2414" s="23" t="n">
        <v>115.2</v>
      </c>
      <c r="E2414" s="23" t="n">
        <v>119.2</v>
      </c>
      <c r="F2414" s="23" t="n">
        <f aca="false">D2414-E2414</f>
        <v>-4</v>
      </c>
      <c r="G2414" s="24" t="n">
        <f aca="false">IF(E2414&gt;0,D2414/E2414-1,"")</f>
        <v>-0.0335570469798657</v>
      </c>
      <c r="H2414" s="3" t="str">
        <f aca="false">IF(MAX(D2414,E2414)&lt;Parametros!$B$16,"",IF(E2414=0,"PIDE SIN FCST",IF(ABS(G2414)&gt;Parametros!$B$14,IF(G2414&gt;0,"SOBRE FCST","BAJO FCST"),"")))</f>
        <v/>
      </c>
    </row>
    <row r="2415" customFormat="false" ht="15" hidden="false" customHeight="false" outlineLevel="0" collapsed="false">
      <c r="A2415" s="3" t="n">
        <v>30001541</v>
      </c>
      <c r="B2415" s="3" t="s">
        <v>591</v>
      </c>
      <c r="C2415" s="3" t="s">
        <v>1375</v>
      </c>
      <c r="D2415" s="23" t="n">
        <v>4</v>
      </c>
      <c r="E2415" s="23" t="n">
        <v>0</v>
      </c>
      <c r="F2415" s="23" t="n">
        <f aca="false">D2415-E2415</f>
        <v>4</v>
      </c>
      <c r="G2415" s="24" t="str">
        <f aca="false">IF(E2415&gt;0,D2415/E2415-1,"")</f>
        <v/>
      </c>
      <c r="H2415" s="3" t="str">
        <f aca="false">IF(MAX(D2415,E2415)&lt;Parametros!$B$16,"",IF(E2415=0,"PIDE SIN FCST",IF(ABS(G2415)&gt;Parametros!$B$14,IF(G2415&gt;0,"SOBRE FCST","BAJO FCST"),"")))</f>
        <v/>
      </c>
    </row>
    <row r="2416" customFormat="false" ht="15" hidden="false" customHeight="false" outlineLevel="0" collapsed="false">
      <c r="A2416" s="3" t="n">
        <v>30001402</v>
      </c>
      <c r="B2416" s="3" t="s">
        <v>460</v>
      </c>
      <c r="C2416" s="3" t="s">
        <v>1378</v>
      </c>
      <c r="D2416" s="23" t="n">
        <v>858.6</v>
      </c>
      <c r="E2416" s="23" t="n">
        <v>862.575065495737</v>
      </c>
      <c r="F2416" s="23" t="n">
        <f aca="false">D2416-E2416</f>
        <v>-3.97506549573654</v>
      </c>
      <c r="G2416" s="24" t="n">
        <f aca="false">IF(E2416&gt;0,D2416/E2416-1,"")</f>
        <v>-0.00460837051144303</v>
      </c>
      <c r="H2416" s="3" t="str">
        <f aca="false">IF(MAX(D2416,E2416)&lt;Parametros!$B$16,"",IF(E2416=0,"PIDE SIN FCST",IF(ABS(G2416)&gt;Parametros!$B$14,IF(G2416&gt;0,"SOBRE FCST","BAJO FCST"),"")))</f>
        <v/>
      </c>
    </row>
    <row r="2417" customFormat="false" ht="15" hidden="false" customHeight="false" outlineLevel="0" collapsed="false">
      <c r="A2417" s="3" t="n">
        <v>30002229</v>
      </c>
      <c r="B2417" s="3" t="s">
        <v>344</v>
      </c>
      <c r="C2417" s="3" t="s">
        <v>1373</v>
      </c>
      <c r="D2417" s="23" t="n">
        <v>115</v>
      </c>
      <c r="E2417" s="23" t="n">
        <v>118.833333333333</v>
      </c>
      <c r="F2417" s="23" t="n">
        <f aca="false">D2417-E2417</f>
        <v>-3.8333333333333</v>
      </c>
      <c r="G2417" s="24" t="n">
        <f aca="false">IF(E2417&gt;0,D2417/E2417-1,"")</f>
        <v>-0.0322580645161288</v>
      </c>
      <c r="H2417" s="3" t="str">
        <f aca="false">IF(MAX(D2417,E2417)&lt;Parametros!$B$16,"",IF(E2417=0,"PIDE SIN FCST",IF(ABS(G2417)&gt;Parametros!$B$14,IF(G2417&gt;0,"SOBRE FCST","BAJO FCST"),"")))</f>
        <v/>
      </c>
    </row>
    <row r="2418" customFormat="false" ht="15" hidden="false" customHeight="false" outlineLevel="0" collapsed="false">
      <c r="A2418" s="3" t="n">
        <v>30001537</v>
      </c>
      <c r="B2418" s="3" t="s">
        <v>571</v>
      </c>
      <c r="C2418" s="3" t="s">
        <v>1378</v>
      </c>
      <c r="D2418" s="23" t="n">
        <v>180.96</v>
      </c>
      <c r="E2418" s="23" t="n">
        <v>177.231031975755</v>
      </c>
      <c r="F2418" s="23" t="n">
        <f aca="false">D2418-E2418</f>
        <v>3.72896802424461</v>
      </c>
      <c r="G2418" s="24" t="n">
        <f aca="false">IF(E2418&gt;0,D2418/E2418-1,"")</f>
        <v>0.0210401529725037</v>
      </c>
      <c r="H2418" s="3" t="str">
        <f aca="false">IF(MAX(D2418,E2418)&lt;Parametros!$B$16,"",IF(E2418=0,"PIDE SIN FCST",IF(ABS(G2418)&gt;Parametros!$B$14,IF(G2418&gt;0,"SOBRE FCST","BAJO FCST"),"")))</f>
        <v/>
      </c>
    </row>
    <row r="2419" customFormat="false" ht="15" hidden="false" customHeight="false" outlineLevel="0" collapsed="false">
      <c r="A2419" s="3" t="n">
        <v>30000043</v>
      </c>
      <c r="B2419" s="3" t="s">
        <v>546</v>
      </c>
      <c r="C2419" s="3" t="s">
        <v>1377</v>
      </c>
      <c r="D2419" s="23" t="n">
        <v>441.6</v>
      </c>
      <c r="E2419" s="23" t="n">
        <v>438.32</v>
      </c>
      <c r="F2419" s="23" t="n">
        <f aca="false">D2419-E2419</f>
        <v>3.28000000000003</v>
      </c>
      <c r="G2419" s="24" t="n">
        <f aca="false">IF(E2419&gt;0,D2419/E2419-1,"")</f>
        <v>0.0074831173571821</v>
      </c>
      <c r="H2419" s="3" t="str">
        <f aca="false">IF(MAX(D2419,E2419)&lt;Parametros!$B$16,"",IF(E2419=0,"PIDE SIN FCST",IF(ABS(G2419)&gt;Parametros!$B$14,IF(G2419&gt;0,"SOBRE FCST","BAJO FCST"),"")))</f>
        <v/>
      </c>
    </row>
    <row r="2420" customFormat="false" ht="15" hidden="false" customHeight="false" outlineLevel="0" collapsed="false">
      <c r="A2420" s="3" t="n">
        <v>30001747</v>
      </c>
      <c r="B2420" s="3" t="s">
        <v>381</v>
      </c>
      <c r="C2420" s="3" t="s">
        <v>1376</v>
      </c>
      <c r="D2420" s="23" t="n">
        <v>3.24</v>
      </c>
      <c r="E2420" s="23" t="n">
        <v>0</v>
      </c>
      <c r="F2420" s="23" t="n">
        <f aca="false">D2420-E2420</f>
        <v>3.24</v>
      </c>
      <c r="G2420" s="24" t="str">
        <f aca="false">IF(E2420&gt;0,D2420/E2420-1,"")</f>
        <v/>
      </c>
      <c r="H2420" s="3" t="str">
        <f aca="false">IF(MAX(D2420,E2420)&lt;Parametros!$B$16,"",IF(E2420=0,"PIDE SIN FCST",IF(ABS(G2420)&gt;Parametros!$B$14,IF(G2420&gt;0,"SOBRE FCST","BAJO FCST"),"")))</f>
        <v/>
      </c>
    </row>
    <row r="2421" customFormat="false" ht="15" hidden="false" customHeight="false" outlineLevel="0" collapsed="false">
      <c r="A2421" s="3" t="n">
        <v>30001746</v>
      </c>
      <c r="B2421" s="3" t="s">
        <v>375</v>
      </c>
      <c r="C2421" s="3" t="s">
        <v>1376</v>
      </c>
      <c r="D2421" s="23" t="n">
        <v>3.24</v>
      </c>
      <c r="E2421" s="23" t="n">
        <v>0</v>
      </c>
      <c r="F2421" s="23" t="n">
        <f aca="false">D2421-E2421</f>
        <v>3.24</v>
      </c>
      <c r="G2421" s="24" t="str">
        <f aca="false">IF(E2421&gt;0,D2421/E2421-1,"")</f>
        <v/>
      </c>
      <c r="H2421" s="3" t="str">
        <f aca="false">IF(MAX(D2421,E2421)&lt;Parametros!$B$16,"",IF(E2421=0,"PIDE SIN FCST",IF(ABS(G2421)&gt;Parametros!$B$14,IF(G2421&gt;0,"SOBRE FCST","BAJO FCST"),"")))</f>
        <v/>
      </c>
    </row>
    <row r="2422" customFormat="false" ht="15" hidden="false" customHeight="false" outlineLevel="0" collapsed="false">
      <c r="A2422" s="3" t="n">
        <v>30000627</v>
      </c>
      <c r="B2422" s="3" t="s">
        <v>308</v>
      </c>
      <c r="C2422" s="3" t="s">
        <v>1379</v>
      </c>
      <c r="D2422" s="23" t="n">
        <v>3672</v>
      </c>
      <c r="E2422" s="23" t="n">
        <v>3668.8</v>
      </c>
      <c r="F2422" s="23" t="n">
        <f aca="false">D2422-E2422</f>
        <v>3.19999999999982</v>
      </c>
      <c r="G2422" s="24" t="n">
        <f aca="false">IF(E2422&gt;0,D2422/E2422-1,"")</f>
        <v>0.00087221979938934</v>
      </c>
      <c r="H2422" s="3" t="str">
        <f aca="false">IF(MAX(D2422,E2422)&lt;Parametros!$B$16,"",IF(E2422=0,"PIDE SIN FCST",IF(ABS(G2422)&gt;Parametros!$B$14,IF(G2422&gt;0,"SOBRE FCST","BAJO FCST"),"")))</f>
        <v/>
      </c>
    </row>
    <row r="2423" customFormat="false" ht="15" hidden="false" customHeight="false" outlineLevel="0" collapsed="false">
      <c r="A2423" s="3" t="n">
        <v>30001886</v>
      </c>
      <c r="B2423" s="3" t="s">
        <v>500</v>
      </c>
      <c r="C2423" s="3" t="s">
        <v>1373</v>
      </c>
      <c r="D2423" s="23" t="n">
        <v>793.44</v>
      </c>
      <c r="E2423" s="23" t="n">
        <v>795.92</v>
      </c>
      <c r="F2423" s="23" t="n">
        <f aca="false">D2423-E2423</f>
        <v>-2.48000000000002</v>
      </c>
      <c r="G2423" s="24" t="n">
        <f aca="false">IF(E2423&gt;0,D2423/E2423-1,"")</f>
        <v>-0.00311589104432608</v>
      </c>
      <c r="H2423" s="3" t="str">
        <f aca="false">IF(MAX(D2423,E2423)&lt;Parametros!$B$16,"",IF(E2423=0,"PIDE SIN FCST",IF(ABS(G2423)&gt;Parametros!$B$14,IF(G2423&gt;0,"SOBRE FCST","BAJO FCST"),"")))</f>
        <v/>
      </c>
    </row>
    <row r="2424" customFormat="false" ht="15" hidden="false" customHeight="false" outlineLevel="0" collapsed="false">
      <c r="A2424" s="3" t="n">
        <v>30002329</v>
      </c>
      <c r="B2424" s="3" t="s">
        <v>253</v>
      </c>
      <c r="C2424" s="3" t="s">
        <v>1372</v>
      </c>
      <c r="D2424" s="23" t="n">
        <v>1890</v>
      </c>
      <c r="E2424" s="23" t="n">
        <v>1892.46446310312</v>
      </c>
      <c r="F2424" s="23" t="n">
        <f aca="false">D2424-E2424</f>
        <v>-2.46446310312194</v>
      </c>
      <c r="G2424" s="24" t="n">
        <f aca="false">IF(E2424&gt;0,D2424/E2424-1,"")</f>
        <v>-0.00130225066370915</v>
      </c>
      <c r="H2424" s="3" t="str">
        <f aca="false">IF(MAX(D2424,E2424)&lt;Parametros!$B$16,"",IF(E2424=0,"PIDE SIN FCST",IF(ABS(G2424)&gt;Parametros!$B$14,IF(G2424&gt;0,"SOBRE FCST","BAJO FCST"),"")))</f>
        <v/>
      </c>
    </row>
    <row r="2425" customFormat="false" ht="15" hidden="false" customHeight="false" outlineLevel="0" collapsed="false">
      <c r="A2425" s="3" t="n">
        <v>30001820</v>
      </c>
      <c r="B2425" s="3" t="s">
        <v>619</v>
      </c>
      <c r="C2425" s="3" t="s">
        <v>1373</v>
      </c>
      <c r="D2425" s="23" t="n">
        <v>297.92</v>
      </c>
      <c r="E2425" s="23" t="n">
        <v>300</v>
      </c>
      <c r="F2425" s="23" t="n">
        <f aca="false">D2425-E2425</f>
        <v>-2.07999999999998</v>
      </c>
      <c r="G2425" s="24" t="n">
        <f aca="false">IF(E2425&gt;0,D2425/E2425-1,"")</f>
        <v>-0.00693333333333324</v>
      </c>
      <c r="H2425" s="3" t="str">
        <f aca="false">IF(MAX(D2425,E2425)&lt;Parametros!$B$16,"",IF(E2425=0,"PIDE SIN FCST",IF(ABS(G2425)&gt;Parametros!$B$14,IF(G2425&gt;0,"SOBRE FCST","BAJO FCST"),"")))</f>
        <v/>
      </c>
    </row>
    <row r="2426" customFormat="false" ht="15" hidden="false" customHeight="false" outlineLevel="0" collapsed="false">
      <c r="A2426" s="3" t="n">
        <v>30001489</v>
      </c>
      <c r="B2426" s="3" t="s">
        <v>289</v>
      </c>
      <c r="C2426" s="3" t="s">
        <v>1376</v>
      </c>
      <c r="D2426" s="23" t="n">
        <v>1.704</v>
      </c>
      <c r="E2426" s="23" t="n">
        <v>0</v>
      </c>
      <c r="F2426" s="23" t="n">
        <f aca="false">D2426-E2426</f>
        <v>1.704</v>
      </c>
      <c r="G2426" s="24" t="str">
        <f aca="false">IF(E2426&gt;0,D2426/E2426-1,"")</f>
        <v/>
      </c>
      <c r="H2426" s="3" t="str">
        <f aca="false">IF(MAX(D2426,E2426)&lt;Parametros!$B$16,"",IF(E2426=0,"PIDE SIN FCST",IF(ABS(G2426)&gt;Parametros!$B$14,IF(G2426&gt;0,"SOBRE FCST","BAJO FCST"),"")))</f>
        <v/>
      </c>
    </row>
    <row r="2427" customFormat="false" ht="15" hidden="false" customHeight="false" outlineLevel="0" collapsed="false">
      <c r="A2427" s="3" t="n">
        <v>30000542</v>
      </c>
      <c r="B2427" s="3" t="s">
        <v>616</v>
      </c>
      <c r="C2427" s="3" t="s">
        <v>1378</v>
      </c>
      <c r="D2427" s="23" t="n">
        <v>38.5</v>
      </c>
      <c r="E2427" s="23" t="n">
        <v>39.8853828982308</v>
      </c>
      <c r="F2427" s="23" t="n">
        <f aca="false">D2427-E2427</f>
        <v>-1.38538289823082</v>
      </c>
      <c r="G2427" s="24" t="n">
        <f aca="false">IF(E2427&gt;0,D2427/E2427-1,"")</f>
        <v>-0.034734100504079</v>
      </c>
      <c r="H2427" s="3" t="str">
        <f aca="false">IF(MAX(D2427,E2427)&lt;Parametros!$B$16,"",IF(E2427=0,"PIDE SIN FCST",IF(ABS(G2427)&gt;Parametros!$B$14,IF(G2427&gt;0,"SOBRE FCST","BAJO FCST"),"")))</f>
        <v/>
      </c>
    </row>
    <row r="2428" customFormat="false" ht="15" hidden="false" customHeight="false" outlineLevel="0" collapsed="false">
      <c r="A2428" s="3" t="n">
        <v>30001886</v>
      </c>
      <c r="B2428" s="3" t="s">
        <v>500</v>
      </c>
      <c r="C2428" s="3" t="s">
        <v>1377</v>
      </c>
      <c r="D2428" s="23" t="n">
        <v>401.28</v>
      </c>
      <c r="E2428" s="23" t="n">
        <v>400</v>
      </c>
      <c r="F2428" s="23" t="n">
        <f aca="false">D2428-E2428</f>
        <v>1.27999999999997</v>
      </c>
      <c r="G2428" s="24" t="n">
        <f aca="false">IF(E2428&gt;0,D2428/E2428-1,"")</f>
        <v>0.00319999999999987</v>
      </c>
      <c r="H2428" s="3" t="str">
        <f aca="false">IF(MAX(D2428,E2428)&lt;Parametros!$B$16,"",IF(E2428=0,"PIDE SIN FCST",IF(ABS(G2428)&gt;Parametros!$B$14,IF(G2428&gt;0,"SOBRE FCST","BAJO FCST"),"")))</f>
        <v/>
      </c>
    </row>
    <row r="2429" customFormat="false" ht="15" hidden="false" customHeight="false" outlineLevel="0" collapsed="false">
      <c r="A2429" s="3" t="n">
        <v>30000086</v>
      </c>
      <c r="B2429" s="3" t="s">
        <v>508</v>
      </c>
      <c r="C2429" s="3" t="s">
        <v>1379</v>
      </c>
      <c r="D2429" s="23" t="n">
        <v>648</v>
      </c>
      <c r="E2429" s="23" t="n">
        <v>646.931299121803</v>
      </c>
      <c r="F2429" s="23" t="n">
        <f aca="false">D2429-E2429</f>
        <v>1.06870087819743</v>
      </c>
      <c r="G2429" s="24" t="n">
        <f aca="false">IF(E2429&gt;0,D2429/E2429-1,"")</f>
        <v>0.00165195420232123</v>
      </c>
      <c r="H2429" s="3" t="str">
        <f aca="false">IF(MAX(D2429,E2429)&lt;Parametros!$B$16,"",IF(E2429=0,"PIDE SIN FCST",IF(ABS(G2429)&gt;Parametros!$B$14,IF(G2429&gt;0,"SOBRE FCST","BAJO FCST"),"")))</f>
        <v/>
      </c>
    </row>
    <row r="2430" customFormat="false" ht="15" hidden="false" customHeight="false" outlineLevel="0" collapsed="false">
      <c r="A2430" s="3" t="n">
        <v>30002170</v>
      </c>
      <c r="B2430" s="3" t="s">
        <v>561</v>
      </c>
      <c r="C2430" s="3" t="s">
        <v>1373</v>
      </c>
      <c r="D2430" s="23" t="n">
        <v>288</v>
      </c>
      <c r="E2430" s="23" t="n">
        <v>289.011545206308</v>
      </c>
      <c r="F2430" s="23" t="n">
        <f aca="false">D2430-E2430</f>
        <v>-1.01154520630769</v>
      </c>
      <c r="G2430" s="24" t="n">
        <f aca="false">IF(E2430&gt;0,D2430/E2430-1,"")</f>
        <v>-0.00350001660170918</v>
      </c>
      <c r="H2430" s="3" t="str">
        <f aca="false">IF(MAX(D2430,E2430)&lt;Parametros!$B$16,"",IF(E2430=0,"PIDE SIN FCST",IF(ABS(G2430)&gt;Parametros!$B$14,IF(G2430&gt;0,"SOBRE FCST","BAJO FCST"),"")))</f>
        <v/>
      </c>
    </row>
    <row r="2431" customFormat="false" ht="15" hidden="false" customHeight="false" outlineLevel="0" collapsed="false">
      <c r="A2431" s="3" t="n">
        <v>30001925</v>
      </c>
      <c r="B2431" s="3" t="s">
        <v>551</v>
      </c>
      <c r="C2431" s="3" t="s">
        <v>1380</v>
      </c>
      <c r="D2431" s="23" t="n">
        <v>0</v>
      </c>
      <c r="E2431" s="23" t="n">
        <v>0.89125</v>
      </c>
      <c r="F2431" s="23" t="n">
        <f aca="false">D2431-E2431</f>
        <v>-0.89125</v>
      </c>
      <c r="G2431" s="24" t="n">
        <f aca="false">IF(E2431&gt;0,D2431/E2431-1,"")</f>
        <v>-1</v>
      </c>
      <c r="H2431" s="3" t="str">
        <f aca="false">IF(MAX(D2431,E2431)&lt;Parametros!$B$16,"",IF(E2431=0,"PIDE SIN FCST",IF(ABS(G2431)&gt;Parametros!$B$14,IF(G2431&gt;0,"SOBRE FCST","BAJO FCST"),"")))</f>
        <v/>
      </c>
    </row>
    <row r="2432" customFormat="false" ht="15" hidden="false" customHeight="false" outlineLevel="0" collapsed="false">
      <c r="A2432" s="3" t="n">
        <v>30000318</v>
      </c>
      <c r="B2432" s="3" t="s">
        <v>306</v>
      </c>
      <c r="C2432" s="3" t="s">
        <v>1373</v>
      </c>
      <c r="D2432" s="23" t="n">
        <v>11274</v>
      </c>
      <c r="E2432" s="23" t="n">
        <v>11273.125</v>
      </c>
      <c r="F2432" s="23" t="n">
        <f aca="false">D2432-E2432</f>
        <v>0.875</v>
      </c>
      <c r="G2432" s="24" t="n">
        <f aca="false">IF(E2432&gt;0,D2432/E2432-1,"")</f>
        <v>7.76182291954974E-005</v>
      </c>
      <c r="H2432" s="3" t="str">
        <f aca="false">IF(MAX(D2432,E2432)&lt;Parametros!$B$16,"",IF(E2432=0,"PIDE SIN FCST",IF(ABS(G2432)&gt;Parametros!$B$14,IF(G2432&gt;0,"SOBRE FCST","BAJO FCST"),"")))</f>
        <v/>
      </c>
    </row>
    <row r="2433" customFormat="false" ht="15" hidden="false" customHeight="false" outlineLevel="0" collapsed="false">
      <c r="A2433" s="3" t="n">
        <v>30001037</v>
      </c>
      <c r="B2433" s="3" t="s">
        <v>614</v>
      </c>
      <c r="C2433" s="3" t="s">
        <v>1377</v>
      </c>
      <c r="D2433" s="23" t="n">
        <v>140.4</v>
      </c>
      <c r="E2433" s="23" t="n">
        <v>139.786402100269</v>
      </c>
      <c r="F2433" s="23" t="n">
        <f aca="false">D2433-E2433</f>
        <v>0.613597899731218</v>
      </c>
      <c r="G2433" s="24" t="n">
        <f aca="false">IF(E2433&gt;0,D2433/E2433-1,"")</f>
        <v>0.00438953925783925</v>
      </c>
      <c r="H2433" s="3" t="str">
        <f aca="false">IF(MAX(D2433,E2433)&lt;Parametros!$B$16,"",IF(E2433=0,"PIDE SIN FCST",IF(ABS(G2433)&gt;Parametros!$B$14,IF(G2433&gt;0,"SOBRE FCST","BAJO FCST"),"")))</f>
        <v/>
      </c>
    </row>
    <row r="2434" customFormat="false" ht="15" hidden="false" customHeight="false" outlineLevel="0" collapsed="false">
      <c r="A2434" s="3" t="n">
        <v>30000478</v>
      </c>
      <c r="B2434" s="3" t="s">
        <v>392</v>
      </c>
      <c r="C2434" s="3" t="s">
        <v>1373</v>
      </c>
      <c r="D2434" s="23" t="n">
        <v>2004</v>
      </c>
      <c r="E2434" s="23" t="n">
        <v>2003.45833333333</v>
      </c>
      <c r="F2434" s="23" t="n">
        <f aca="false">D2434-E2434</f>
        <v>0.54166666666697</v>
      </c>
      <c r="G2434" s="24" t="n">
        <f aca="false">IF(E2434&gt;0,D2434/E2434-1,"")</f>
        <v>0.000270365825759678</v>
      </c>
      <c r="H2434" s="3" t="str">
        <f aca="false">IF(MAX(D2434,E2434)&lt;Parametros!$B$16,"",IF(E2434=0,"PIDE SIN FCST",IF(ABS(G2434)&gt;Parametros!$B$14,IF(G2434&gt;0,"SOBRE FCST","BAJO FCST"),"")))</f>
        <v/>
      </c>
    </row>
    <row r="2435" customFormat="false" ht="15" hidden="false" customHeight="false" outlineLevel="0" collapsed="false">
      <c r="A2435" s="3" t="n">
        <v>30000635</v>
      </c>
      <c r="B2435" s="3" t="s">
        <v>558</v>
      </c>
      <c r="C2435" s="3" t="s">
        <v>1378</v>
      </c>
      <c r="D2435" s="23" t="n">
        <v>230.4</v>
      </c>
      <c r="E2435" s="23" t="n">
        <v>230</v>
      </c>
      <c r="F2435" s="23" t="n">
        <f aca="false">D2435-E2435</f>
        <v>0.400000000000006</v>
      </c>
      <c r="G2435" s="24" t="n">
        <f aca="false">IF(E2435&gt;0,D2435/E2435-1,"")</f>
        <v>0.00173913043478269</v>
      </c>
      <c r="H2435" s="3" t="str">
        <f aca="false">IF(MAX(D2435,E2435)&lt;Parametros!$B$16,"",IF(E2435=0,"PIDE SIN FCST",IF(ABS(G2435)&gt;Parametros!$B$14,IF(G2435&gt;0,"SOBRE FCST","BAJO FCST"),"")))</f>
        <v/>
      </c>
    </row>
    <row r="2436" customFormat="false" ht="15" hidden="false" customHeight="false" outlineLevel="0" collapsed="false">
      <c r="A2436" s="3" t="n">
        <v>30002217</v>
      </c>
      <c r="B2436" s="3" t="s">
        <v>584</v>
      </c>
      <c r="C2436" s="3" t="s">
        <v>1380</v>
      </c>
      <c r="D2436" s="23" t="n">
        <v>0</v>
      </c>
      <c r="E2436" s="23" t="n">
        <v>0.2659375</v>
      </c>
      <c r="F2436" s="23" t="n">
        <f aca="false">D2436-E2436</f>
        <v>-0.2659375</v>
      </c>
      <c r="G2436" s="24" t="n">
        <f aca="false">IF(E2436&gt;0,D2436/E2436-1,"")</f>
        <v>-1</v>
      </c>
      <c r="H2436" s="3" t="str">
        <f aca="false">IF(MAX(D2436,E2436)&lt;Parametros!$B$16,"",IF(E2436=0,"PIDE SIN FCST",IF(ABS(G2436)&gt;Parametros!$B$14,IF(G2436&gt;0,"SOBRE FCST","BAJO FCST"),"")))</f>
        <v/>
      </c>
    </row>
    <row r="2437" customFormat="false" ht="15" hidden="false" customHeight="false" outlineLevel="0" collapsed="false">
      <c r="A2437" s="3" t="n">
        <v>30000347</v>
      </c>
      <c r="B2437" s="3" t="s">
        <v>319</v>
      </c>
      <c r="C2437" s="3" t="s">
        <v>1376</v>
      </c>
      <c r="D2437" s="23" t="n">
        <v>24</v>
      </c>
      <c r="E2437" s="23" t="n">
        <v>24</v>
      </c>
      <c r="F2437" s="23" t="n">
        <f aca="false">D2437-E2437</f>
        <v>0</v>
      </c>
      <c r="G2437" s="24" t="n">
        <f aca="false">IF(E2437&gt;0,D2437/E2437-1,"")</f>
        <v>0</v>
      </c>
      <c r="H2437" s="3" t="str">
        <f aca="false">IF(MAX(D2437,E2437)&lt;Parametros!$B$16,"",IF(E2437=0,"PIDE SIN FCST",IF(ABS(G2437)&gt;Parametros!$B$14,IF(G2437&gt;0,"SOBRE FCST","BAJO FCST"),"")))</f>
        <v/>
      </c>
    </row>
  </sheetData>
  <autoFilter ref="A16:H2437"/>
  <conditionalFormatting sqref="H17:H2437">
    <cfRule type="expression" priority="2" aboveAverage="0" equalAverage="0" bottom="0" percent="0" rank="0" text="" dxfId="11">
      <formula>H17&lt;&gt;""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2026-10-22T13:08:57Z</dcterms:created>
  <dc:creator>openpyxl</dc:creator>
  <dc:description/>
  <dc:language>en-US</dc:language>
  <cp:lastModifiedBy/>
  <dcterms:modified xsi:type="dcterms:W3CDTF">2026-10-22T13:08:58Z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